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6925"/>
  <workbookPr hidePivotFieldList="1" defaultThemeVersion="164011"/>
  <mc:AlternateContent xmlns:mc="http://schemas.openxmlformats.org/markup-compatibility/2006">
    <mc:Choice Requires="x15">
      <x15ac:absPath xmlns:x15ac="http://schemas.microsoft.com/office/spreadsheetml/2010/11/ac" url="C:\Users\jackaljenchieh1\Desktop\Projection\HHP\Jul\"/>
    </mc:Choice>
  </mc:AlternateContent>
  <bookViews>
    <workbookView xWindow="0" yWindow="0" windowWidth="14400" windowHeight="4965"/>
  </bookViews>
  <sheets>
    <sheet name="Presentation" sheetId="15" r:id="rId1"/>
    <sheet name="FS" sheetId="3" r:id="rId2"/>
    <sheet name="P&amp;L Drivers" sheetId="1" r:id="rId3"/>
    <sheet name="CAPEX" sheetId="2" r:id="rId4"/>
    <sheet name="P&amp;L Assumptions" sheetId="4" r:id="rId5"/>
    <sheet name="Debt Profile" sheetId="5" r:id="rId6"/>
    <sheet name="Other Houses" sheetId="16" r:id="rId7"/>
    <sheet name="Smartphones" sheetId="17" r:id="rId8"/>
    <sheet name="PC" sheetId="8" r:id="rId9"/>
    <sheet name="Tablet" sheetId="7" r:id="rId10"/>
    <sheet name="Switch" sheetId="9" r:id="rId11"/>
    <sheet name="WLAN" sheetId="11" r:id="rId12"/>
    <sheet name="Server" sheetId="10" r:id="rId13"/>
    <sheet name="Global TV" sheetId="13" r:id="rId14"/>
    <sheet name="EMSODM" sheetId="12" r:id="rId15"/>
    <sheet name="Sharp_FII_BBG Forecast" sheetId="18" r:id="rId16"/>
  </sheets>
  <externalReferences>
    <externalReference r:id="rId17"/>
    <externalReference r:id="rId18"/>
    <externalReference r:id="rId19"/>
    <externalReference r:id="rId20"/>
    <externalReference r:id="rId21"/>
  </externalReferences>
  <definedNames>
    <definedName name="_xlnm._FilterDatabase" localSheetId="7" hidden="1">Smartphones!$A$10:$L$21</definedName>
    <definedName name="BasePeriod">[1]Currencies!$J$5</definedName>
    <definedName name="CurNameRange" localSheetId="7">#REF!</definedName>
    <definedName name="CurNameRange">#REF!</definedName>
    <definedName name="EndYear" localSheetId="7">[1]Currencies!$E$2</definedName>
    <definedName name="EndYear">[2]Currencies!$E$2</definedName>
    <definedName name="EndYear_PC">[3]Currencies!$E$2</definedName>
    <definedName name="EndYear_Tab">[3]Currencies!$E$2</definedName>
    <definedName name="ENI_Pivot_SM">[4]Helper_Data!$E$19</definedName>
    <definedName name="ENI_Pivot_SM2">'[4]Helper_Data(2)'!$E$26</definedName>
    <definedName name="ENI_Pivot_SM2R">'[4]Helper_Data(2)'!$E$71</definedName>
    <definedName name="ENI_Pivot_SMCD">[4]Helper_Data!$Y$18</definedName>
    <definedName name="ENI_Pivot_SMR">[4]Helper_Data!$E$185</definedName>
    <definedName name="ENI_Pivot_Swit1">[4]Sheet3_Switches!$A$21</definedName>
    <definedName name="ENI_Pivot_Swit1CD">[4]Sheet3_Switches!$U$22</definedName>
    <definedName name="ENI_Pivot_Swit2">[4]Sheet4_Switches!$A$21</definedName>
    <definedName name="ENI_Pivot_Swit2_Campus">[4]Sheet4_Switches!$A$83</definedName>
    <definedName name="ENI_Pivot_Swit2_Data">[4]Sheet4_Switches!$A$119</definedName>
    <definedName name="ENI_Pivot_WLAN">[4]Sheet5_WLAN!$A$21</definedName>
    <definedName name="ENI_Pivot_WLAN2">[4]Sheet6_WLAN!$A$22</definedName>
    <definedName name="LookupGartnerXrates">[1]Currencies!$F$7</definedName>
    <definedName name="_xlnm.Print_Area" localSheetId="7">Smartphones!$A$1:$J$40</definedName>
    <definedName name="StartYear" localSheetId="7">[1]Currencies!$E$1</definedName>
    <definedName name="StartYear">[2]Currencies!$E$1</definedName>
    <definedName name="StartYear_PC">[3]Currencies!$E$1</definedName>
    <definedName name="StartYear_Tab">[3]Currencies!$E$1</definedName>
    <definedName name="TabletPCDemoPivot" localSheetId="7">#REF!</definedName>
    <definedName name="TabletPCDemoPivot">#REF!</definedName>
    <definedName name="TabletPCYearwisePivot" localSheetId="7">Smartphones!$A$22</definedName>
    <definedName name="TabletPCYearwisePivot">#REF!</definedName>
    <definedName name="UP_PC">[3]Currencies!$E$4</definedName>
    <definedName name="UP_Tab">[3]Currencies!$E$4</definedName>
    <definedName name="UpdatePeriod">[1]Currencies!$E$3</definedName>
    <definedName name="UpdatePeriodMOYR" localSheetId="7">[1]Currencies!$E$4</definedName>
    <definedName name="UpdatePeriodMOYR">[2]Currencies!$E$4</definedName>
    <definedName name="wan">[4]Currencies!$E$1</definedName>
    <definedName name="xCurrencies">[1]Currencies!$E$8:$E$41</definedName>
  </definedNames>
  <calcPr calcId="171027"/>
  <pivotCaches>
    <pivotCache cacheId="53" r:id="rId22"/>
    <pivotCache cacheId="54" r:id="rId23"/>
    <pivotCache cacheId="55" r:id="rId24"/>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Z18" i="16" l="1"/>
  <c r="AZ19" i="16"/>
  <c r="AZ20" i="16"/>
  <c r="AZ17" i="16"/>
  <c r="AJ18" i="16"/>
  <c r="AJ19" i="16"/>
  <c r="AJ20" i="16"/>
  <c r="AJ17" i="16"/>
  <c r="T18" i="16"/>
  <c r="T19" i="16"/>
  <c r="T20" i="16"/>
  <c r="T17" i="16"/>
  <c r="D18" i="16"/>
  <c r="D19" i="16"/>
  <c r="D20" i="16"/>
  <c r="D17" i="16"/>
  <c r="C113" i="5" l="1"/>
  <c r="P169" i="3" l="1"/>
  <c r="O169" i="3"/>
  <c r="W26" i="1"/>
  <c r="X26" i="1"/>
  <c r="V26" i="1"/>
  <c r="D20" i="9"/>
  <c r="E20" i="9"/>
  <c r="F20" i="9"/>
  <c r="G20" i="9"/>
  <c r="H20" i="9"/>
  <c r="I20" i="9"/>
  <c r="C20" i="9"/>
  <c r="C19" i="9"/>
  <c r="D19" i="9"/>
  <c r="E19" i="9"/>
  <c r="F19" i="9"/>
  <c r="G19" i="9"/>
  <c r="H19" i="9"/>
  <c r="I19" i="9"/>
  <c r="B19" i="9"/>
  <c r="M111" i="15" l="1"/>
  <c r="L111" i="15"/>
  <c r="N170" i="3"/>
  <c r="M170" i="3"/>
  <c r="L170" i="3"/>
  <c r="N111" i="15"/>
  <c r="J44" i="3" l="1"/>
  <c r="J42" i="3"/>
  <c r="J43" i="3"/>
  <c r="K29" i="3"/>
  <c r="L29" i="3"/>
  <c r="K21" i="3"/>
  <c r="K18" i="3"/>
  <c r="K17" i="3"/>
  <c r="K8" i="3"/>
  <c r="K16" i="3"/>
  <c r="K20" i="3" s="1"/>
  <c r="L4" i="3"/>
  <c r="L4" i="15"/>
  <c r="M28" i="15"/>
  <c r="N28" i="15"/>
  <c r="M29" i="15"/>
  <c r="N29" i="15"/>
  <c r="M31" i="15"/>
  <c r="N31" i="15"/>
  <c r="M32" i="15"/>
  <c r="N32" i="15"/>
  <c r="L32" i="15"/>
  <c r="L31" i="15"/>
  <c r="L29" i="15"/>
  <c r="L28" i="15"/>
  <c r="L30" i="15" s="1"/>
  <c r="N72" i="3"/>
  <c r="M72" i="3"/>
  <c r="L72" i="3"/>
  <c r="N70" i="3"/>
  <c r="M70" i="3"/>
  <c r="L70" i="3"/>
  <c r="N68" i="3"/>
  <c r="M68" i="3"/>
  <c r="L68" i="3"/>
  <c r="N66" i="3"/>
  <c r="M66" i="3"/>
  <c r="L66" i="3"/>
  <c r="M52" i="3"/>
  <c r="N52" i="3"/>
  <c r="J52" i="3"/>
  <c r="N51" i="3"/>
  <c r="M51" i="3"/>
  <c r="M46" i="3"/>
  <c r="N46" i="3"/>
  <c r="N43" i="3"/>
  <c r="N45" i="3"/>
  <c r="M45" i="3"/>
  <c r="M42" i="3" s="1"/>
  <c r="N44" i="3"/>
  <c r="M44" i="3"/>
  <c r="M43" i="3"/>
  <c r="N41" i="3"/>
  <c r="M41" i="3"/>
  <c r="L41" i="3"/>
  <c r="N40" i="3"/>
  <c r="M40" i="3"/>
  <c r="L40" i="3"/>
  <c r="N39" i="3"/>
  <c r="M39" i="3"/>
  <c r="L39" i="3"/>
  <c r="M105" i="15"/>
  <c r="N105" i="15"/>
  <c r="L105" i="15"/>
  <c r="L108" i="15" s="1"/>
  <c r="M99" i="15"/>
  <c r="N99" i="15"/>
  <c r="L99" i="15"/>
  <c r="L98" i="15" s="1"/>
  <c r="L94" i="15"/>
  <c r="M94" i="15"/>
  <c r="N94" i="15"/>
  <c r="M93" i="15"/>
  <c r="M95" i="15" s="1"/>
  <c r="N93" i="15"/>
  <c r="L93" i="15"/>
  <c r="M91" i="15"/>
  <c r="N91" i="15"/>
  <c r="N107" i="15"/>
  <c r="L91" i="15"/>
  <c r="L107" i="15"/>
  <c r="N34" i="15"/>
  <c r="N55" i="15" s="1"/>
  <c r="M34" i="15"/>
  <c r="M55" i="15" s="1"/>
  <c r="L34" i="15"/>
  <c r="L55" i="15" s="1"/>
  <c r="M27" i="15"/>
  <c r="L27" i="15"/>
  <c r="L33" i="15" s="1"/>
  <c r="M33" i="15"/>
  <c r="M54" i="15"/>
  <c r="N54" i="15"/>
  <c r="L54" i="15"/>
  <c r="M45" i="15"/>
  <c r="N45" i="15"/>
  <c r="L52" i="15"/>
  <c r="L45" i="15"/>
  <c r="L34" i="3"/>
  <c r="L33" i="3"/>
  <c r="L28" i="3"/>
  <c r="L26" i="3"/>
  <c r="L20" i="3"/>
  <c r="L21" i="3"/>
  <c r="L10" i="15" s="1"/>
  <c r="L18" i="3"/>
  <c r="L17" i="3"/>
  <c r="L16" i="3"/>
  <c r="L7" i="15" s="1"/>
  <c r="L127" i="3"/>
  <c r="L126" i="3"/>
  <c r="L125" i="3"/>
  <c r="L80" i="3" s="1"/>
  <c r="K7" i="3"/>
  <c r="K5" i="3"/>
  <c r="K6" i="3"/>
  <c r="N117" i="3"/>
  <c r="M117" i="3"/>
  <c r="L117" i="3"/>
  <c r="N115" i="3"/>
  <c r="M115" i="3"/>
  <c r="L115" i="3"/>
  <c r="M113" i="3"/>
  <c r="M26" i="15"/>
  <c r="M52" i="15" s="1"/>
  <c r="L113" i="3"/>
  <c r="N113" i="3"/>
  <c r="L111" i="3"/>
  <c r="M111" i="3"/>
  <c r="N111" i="3"/>
  <c r="L109" i="3"/>
  <c r="M109" i="3"/>
  <c r="N109" i="3"/>
  <c r="L104" i="3"/>
  <c r="M104" i="3"/>
  <c r="N104" i="3"/>
  <c r="N105" i="3" s="1"/>
  <c r="N25" i="15" s="1"/>
  <c r="M105" i="3"/>
  <c r="M25" i="15" s="1"/>
  <c r="M35" i="15" s="1"/>
  <c r="M56" i="15" s="1"/>
  <c r="L105" i="3"/>
  <c r="L25" i="15" s="1"/>
  <c r="I105" i="3"/>
  <c r="N99" i="3"/>
  <c r="M99" i="3"/>
  <c r="L99" i="3"/>
  <c r="L98" i="3"/>
  <c r="M98" i="3"/>
  <c r="N98" i="3"/>
  <c r="L97" i="3"/>
  <c r="L21" i="15" s="1"/>
  <c r="M97" i="3"/>
  <c r="M21" i="15" s="1"/>
  <c r="N97" i="3"/>
  <c r="L96" i="3"/>
  <c r="L83" i="3"/>
  <c r="L82" i="3"/>
  <c r="N92" i="3"/>
  <c r="N19" i="15" s="1"/>
  <c r="L89" i="3"/>
  <c r="L92" i="3" s="1"/>
  <c r="L19" i="15" s="1"/>
  <c r="N89" i="3"/>
  <c r="M89" i="3"/>
  <c r="M92" i="3" s="1"/>
  <c r="M19" i="15" s="1"/>
  <c r="L18" i="15"/>
  <c r="L50" i="15" s="1"/>
  <c r="M18" i="15"/>
  <c r="M50" i="15" s="1"/>
  <c r="L22" i="15"/>
  <c r="M22" i="15"/>
  <c r="L23" i="15"/>
  <c r="M23" i="15"/>
  <c r="L26" i="15"/>
  <c r="M4" i="15"/>
  <c r="L8" i="15"/>
  <c r="L100" i="15" s="1"/>
  <c r="L9" i="15"/>
  <c r="L47" i="15" s="1"/>
  <c r="L11" i="15"/>
  <c r="L41" i="15" s="1"/>
  <c r="L60" i="15" s="1"/>
  <c r="L13" i="15"/>
  <c r="L42" i="15" s="1"/>
  <c r="L61" i="15" s="1"/>
  <c r="M13" i="15"/>
  <c r="M48" i="15" s="1"/>
  <c r="L14" i="15"/>
  <c r="L15" i="15"/>
  <c r="L49" i="15" s="1"/>
  <c r="L16" i="15"/>
  <c r="L17" i="15"/>
  <c r="M17" i="15"/>
  <c r="L3" i="15"/>
  <c r="L46" i="15" s="1"/>
  <c r="M3" i="15"/>
  <c r="M46" i="15" s="1"/>
  <c r="N26" i="15"/>
  <c r="N52" i="15" s="1"/>
  <c r="N23" i="15"/>
  <c r="N22" i="15"/>
  <c r="N21" i="15"/>
  <c r="N18" i="15"/>
  <c r="N50" i="15" s="1"/>
  <c r="N17" i="15"/>
  <c r="N27" i="15" s="1"/>
  <c r="N33" i="15" s="1"/>
  <c r="N13" i="15"/>
  <c r="N48" i="15" s="1"/>
  <c r="N4" i="15"/>
  <c r="N3" i="15"/>
  <c r="N46" i="15" s="1"/>
  <c r="S29" i="2"/>
  <c r="R28" i="2"/>
  <c r="Q27" i="2"/>
  <c r="K33" i="2"/>
  <c r="K55" i="2"/>
  <c r="A56" i="2"/>
  <c r="A58" i="2"/>
  <c r="AX18" i="16"/>
  <c r="AX19" i="16"/>
  <c r="AX20" i="16"/>
  <c r="AX17" i="16"/>
  <c r="AH18" i="16"/>
  <c r="AH19" i="16"/>
  <c r="AH20" i="16"/>
  <c r="AH17" i="16"/>
  <c r="R18" i="16"/>
  <c r="R19" i="16"/>
  <c r="R20" i="16"/>
  <c r="R17" i="16"/>
  <c r="AM18" i="1"/>
  <c r="AL18" i="1"/>
  <c r="AK18" i="1"/>
  <c r="AJ18" i="1"/>
  <c r="N64" i="5"/>
  <c r="M64" i="5"/>
  <c r="L64" i="5"/>
  <c r="K64" i="5"/>
  <c r="J64" i="5"/>
  <c r="J52" i="5"/>
  <c r="L45" i="5"/>
  <c r="O37" i="5"/>
  <c r="Q37" i="5"/>
  <c r="P37" i="5"/>
  <c r="K115" i="5"/>
  <c r="L115" i="5" s="1"/>
  <c r="M115" i="5" s="1"/>
  <c r="N115" i="5" s="1"/>
  <c r="O115" i="5" s="1"/>
  <c r="J115" i="5"/>
  <c r="O190" i="3"/>
  <c r="O108" i="3" s="1"/>
  <c r="O186" i="3"/>
  <c r="M125" i="3"/>
  <c r="L6" i="3"/>
  <c r="L5" i="3"/>
  <c r="L7" i="3" s="1"/>
  <c r="M4" i="3"/>
  <c r="N4" i="3"/>
  <c r="M83" i="3"/>
  <c r="N125" i="3"/>
  <c r="N80" i="3" s="1"/>
  <c r="N26" i="3"/>
  <c r="J125" i="3"/>
  <c r="N83" i="3"/>
  <c r="N21" i="13"/>
  <c r="M21" i="13"/>
  <c r="L21" i="13"/>
  <c r="K21" i="13"/>
  <c r="J17" i="13"/>
  <c r="K18" i="13" s="1"/>
  <c r="L18" i="13"/>
  <c r="K17" i="13"/>
  <c r="L17" i="13"/>
  <c r="M10" i="13"/>
  <c r="L10" i="13"/>
  <c r="K10" i="13"/>
  <c r="L45" i="1"/>
  <c r="K45" i="1"/>
  <c r="J89" i="3"/>
  <c r="J92" i="3" s="1"/>
  <c r="L36" i="1"/>
  <c r="K36" i="1"/>
  <c r="K12" i="1"/>
  <c r="K6" i="1" s="1"/>
  <c r="L12" i="1"/>
  <c r="P31" i="5"/>
  <c r="O31" i="5"/>
  <c r="I96" i="5"/>
  <c r="I97" i="5"/>
  <c r="I98" i="5"/>
  <c r="I99" i="5"/>
  <c r="I100" i="5"/>
  <c r="I101" i="5"/>
  <c r="I102" i="5"/>
  <c r="I103" i="5"/>
  <c r="I104" i="5"/>
  <c r="I95" i="5"/>
  <c r="B103" i="5"/>
  <c r="B95" i="5"/>
  <c r="AL18" i="16"/>
  <c r="AL19" i="16"/>
  <c r="AL20" i="16"/>
  <c r="AL17" i="16"/>
  <c r="AK17" i="16"/>
  <c r="U17" i="16"/>
  <c r="F18" i="16"/>
  <c r="F19" i="16"/>
  <c r="F20" i="16"/>
  <c r="F17" i="16"/>
  <c r="E17" i="16"/>
  <c r="X18" i="16"/>
  <c r="X19" i="16"/>
  <c r="X20" i="16"/>
  <c r="X17" i="16"/>
  <c r="H18" i="16"/>
  <c r="H19" i="16"/>
  <c r="H20" i="16"/>
  <c r="H17" i="16"/>
  <c r="M26" i="3"/>
  <c r="H26" i="3"/>
  <c r="N18" i="3"/>
  <c r="M18" i="3"/>
  <c r="N5" i="3"/>
  <c r="N7" i="3" s="1"/>
  <c r="N16" i="3" s="1"/>
  <c r="N7" i="15" s="1"/>
  <c r="M6" i="3"/>
  <c r="M5" i="3" s="1"/>
  <c r="M7" i="3" s="1"/>
  <c r="M5" i="15" s="1"/>
  <c r="N6" i="3"/>
  <c r="V32" i="1"/>
  <c r="W32" i="1"/>
  <c r="X32" i="1"/>
  <c r="U32" i="1"/>
  <c r="N35" i="15" l="1"/>
  <c r="N56" i="15" s="1"/>
  <c r="N98" i="15"/>
  <c r="M92" i="15"/>
  <c r="L35" i="15"/>
  <c r="L56" i="15" s="1"/>
  <c r="N92" i="15"/>
  <c r="L48" i="15"/>
  <c r="N108" i="15"/>
  <c r="L92" i="15"/>
  <c r="M98" i="15"/>
  <c r="M108" i="15"/>
  <c r="N30" i="15"/>
  <c r="L46" i="1"/>
  <c r="M30" i="15"/>
  <c r="N42" i="3"/>
  <c r="N95" i="15"/>
  <c r="L95" i="15"/>
  <c r="M107" i="15"/>
  <c r="L128" i="3"/>
  <c r="L8" i="3"/>
  <c r="L6" i="15" s="1"/>
  <c r="L96" i="15" s="1"/>
  <c r="L5" i="15"/>
  <c r="N5" i="15"/>
  <c r="K37" i="1"/>
  <c r="K39" i="1" s="1"/>
  <c r="L37" i="1"/>
  <c r="L39" i="1" s="1"/>
  <c r="L12" i="15"/>
  <c r="M20" i="15"/>
  <c r="L20" i="15"/>
  <c r="L37" i="15" s="1"/>
  <c r="L58" i="15" s="1"/>
  <c r="N20" i="15"/>
  <c r="K4" i="1"/>
  <c r="K7" i="1"/>
  <c r="K46" i="1"/>
  <c r="L14" i="1"/>
  <c r="M80" i="3"/>
  <c r="K9" i="1"/>
  <c r="K5" i="1"/>
  <c r="K8" i="1"/>
  <c r="K10" i="1"/>
  <c r="N28" i="3"/>
  <c r="N33" i="3" s="1"/>
  <c r="N20" i="3"/>
  <c r="N17" i="3"/>
  <c r="N8" i="3"/>
  <c r="M16" i="3"/>
  <c r="M7" i="15" s="1"/>
  <c r="M8" i="3"/>
  <c r="V33" i="1"/>
  <c r="W33" i="1"/>
  <c r="X33" i="1"/>
  <c r="U33" i="1"/>
  <c r="A171" i="10"/>
  <c r="K170" i="10"/>
  <c r="J170" i="10"/>
  <c r="I170" i="10"/>
  <c r="H170" i="10"/>
  <c r="G170" i="10"/>
  <c r="F170" i="10"/>
  <c r="E170" i="10"/>
  <c r="D170" i="10"/>
  <c r="B170" i="10"/>
  <c r="A170" i="10"/>
  <c r="K169" i="10"/>
  <c r="J169" i="10"/>
  <c r="I169" i="10"/>
  <c r="H169" i="10"/>
  <c r="G169" i="10"/>
  <c r="F169" i="10"/>
  <c r="E169" i="10"/>
  <c r="D169" i="10"/>
  <c r="B169" i="10"/>
  <c r="A169" i="10"/>
  <c r="K168" i="10"/>
  <c r="J168" i="10"/>
  <c r="I168" i="10"/>
  <c r="H168" i="10"/>
  <c r="G168" i="10"/>
  <c r="F168" i="10"/>
  <c r="E168" i="10"/>
  <c r="D168" i="10"/>
  <c r="B168" i="10"/>
  <c r="A168" i="10"/>
  <c r="K167" i="10"/>
  <c r="J167" i="10"/>
  <c r="I167" i="10"/>
  <c r="H167" i="10"/>
  <c r="G167" i="10"/>
  <c r="F167" i="10"/>
  <c r="E167" i="10"/>
  <c r="D167" i="10"/>
  <c r="B167" i="10"/>
  <c r="A167" i="10"/>
  <c r="K166" i="10"/>
  <c r="J166" i="10"/>
  <c r="I166" i="10"/>
  <c r="H166" i="10"/>
  <c r="G166" i="10"/>
  <c r="F166" i="10"/>
  <c r="E166" i="10"/>
  <c r="D166" i="10"/>
  <c r="B166" i="10"/>
  <c r="A166" i="10"/>
  <c r="K165" i="10"/>
  <c r="J165" i="10"/>
  <c r="I165" i="10"/>
  <c r="H165" i="10"/>
  <c r="G165" i="10"/>
  <c r="F165" i="10"/>
  <c r="E165" i="10"/>
  <c r="D165" i="10"/>
  <c r="B165" i="10"/>
  <c r="A165" i="10"/>
  <c r="K164" i="10"/>
  <c r="J164" i="10"/>
  <c r="I164" i="10"/>
  <c r="H164" i="10"/>
  <c r="G164" i="10"/>
  <c r="F164" i="10"/>
  <c r="E164" i="10"/>
  <c r="D164" i="10"/>
  <c r="B164" i="10"/>
  <c r="A164" i="10"/>
  <c r="K163" i="10"/>
  <c r="J163" i="10"/>
  <c r="I163" i="10"/>
  <c r="H163" i="10"/>
  <c r="G163" i="10"/>
  <c r="F163" i="10"/>
  <c r="E163" i="10"/>
  <c r="D163" i="10"/>
  <c r="B163" i="10"/>
  <c r="A163" i="10"/>
  <c r="K162" i="10"/>
  <c r="J162" i="10"/>
  <c r="I162" i="10"/>
  <c r="H162" i="10"/>
  <c r="G162" i="10"/>
  <c r="F162" i="10"/>
  <c r="E162" i="10"/>
  <c r="D162" i="10"/>
  <c r="B162" i="10"/>
  <c r="A162" i="10"/>
  <c r="K161" i="10"/>
  <c r="J161" i="10"/>
  <c r="I161" i="10"/>
  <c r="H161" i="10"/>
  <c r="G161" i="10"/>
  <c r="F161" i="10"/>
  <c r="E161" i="10"/>
  <c r="D161" i="10"/>
  <c r="B161" i="10"/>
  <c r="A161" i="10"/>
  <c r="K160" i="10"/>
  <c r="J160" i="10"/>
  <c r="I160" i="10"/>
  <c r="H160" i="10"/>
  <c r="G160" i="10"/>
  <c r="F160" i="10"/>
  <c r="E160" i="10"/>
  <c r="D160" i="10"/>
  <c r="B160" i="10"/>
  <c r="A160" i="10"/>
  <c r="K159" i="10"/>
  <c r="J159" i="10"/>
  <c r="I159" i="10"/>
  <c r="H159" i="10"/>
  <c r="G159" i="10"/>
  <c r="F159" i="10"/>
  <c r="E159" i="10"/>
  <c r="D159" i="10"/>
  <c r="B159" i="10"/>
  <c r="A159" i="10"/>
  <c r="K158" i="10"/>
  <c r="J158" i="10"/>
  <c r="I158" i="10"/>
  <c r="H158" i="10"/>
  <c r="G158" i="10"/>
  <c r="F158" i="10"/>
  <c r="E158" i="10"/>
  <c r="D158" i="10"/>
  <c r="B158" i="10"/>
  <c r="A158" i="10"/>
  <c r="K157" i="10"/>
  <c r="J157" i="10"/>
  <c r="I157" i="10"/>
  <c r="H157" i="10"/>
  <c r="G157" i="10"/>
  <c r="F157" i="10"/>
  <c r="E157" i="10"/>
  <c r="D157" i="10"/>
  <c r="B157" i="10"/>
  <c r="A157" i="10"/>
  <c r="K156" i="10"/>
  <c r="J156" i="10"/>
  <c r="I156" i="10"/>
  <c r="H156" i="10"/>
  <c r="G156" i="10"/>
  <c r="F156" i="10"/>
  <c r="E156" i="10"/>
  <c r="D156" i="10"/>
  <c r="B156" i="10"/>
  <c r="A156" i="10"/>
  <c r="K155" i="10"/>
  <c r="J155" i="10"/>
  <c r="I155" i="10"/>
  <c r="H155" i="10"/>
  <c r="G155" i="10"/>
  <c r="F155" i="10"/>
  <c r="E155" i="10"/>
  <c r="D155" i="10"/>
  <c r="B155" i="10"/>
  <c r="A155" i="10"/>
  <c r="K154" i="10"/>
  <c r="J154" i="10"/>
  <c r="I154" i="10"/>
  <c r="H154" i="10"/>
  <c r="G154" i="10"/>
  <c r="F154" i="10"/>
  <c r="E154" i="10"/>
  <c r="D154" i="10"/>
  <c r="B154" i="10"/>
  <c r="A154" i="10"/>
  <c r="K153" i="10"/>
  <c r="J153" i="10"/>
  <c r="I153" i="10"/>
  <c r="H153" i="10"/>
  <c r="G153" i="10"/>
  <c r="F153" i="10"/>
  <c r="E153" i="10"/>
  <c r="D153" i="10"/>
  <c r="B153" i="10"/>
  <c r="A153" i="10"/>
  <c r="K152" i="10"/>
  <c r="J152" i="10"/>
  <c r="I152" i="10"/>
  <c r="H152" i="10"/>
  <c r="G152" i="10"/>
  <c r="F152" i="10"/>
  <c r="E152" i="10"/>
  <c r="D152" i="10"/>
  <c r="B152" i="10"/>
  <c r="A152" i="10"/>
  <c r="K151" i="10"/>
  <c r="J151" i="10"/>
  <c r="I151" i="10"/>
  <c r="H151" i="10"/>
  <c r="G151" i="10"/>
  <c r="F151" i="10"/>
  <c r="E151" i="10"/>
  <c r="D151" i="10"/>
  <c r="B151" i="10"/>
  <c r="A151" i="10"/>
  <c r="K150" i="10"/>
  <c r="J150" i="10"/>
  <c r="I150" i="10"/>
  <c r="H150" i="10"/>
  <c r="G150" i="10"/>
  <c r="F150" i="10"/>
  <c r="E150" i="10"/>
  <c r="D150" i="10"/>
  <c r="C150" i="10"/>
  <c r="B150" i="10"/>
  <c r="A150" i="10"/>
  <c r="A148" i="10"/>
  <c r="A145" i="10"/>
  <c r="A120" i="10"/>
  <c r="A116" i="10"/>
  <c r="J115" i="10"/>
  <c r="I115" i="10"/>
  <c r="H115" i="10"/>
  <c r="G115" i="10"/>
  <c r="F115" i="10"/>
  <c r="E115" i="10"/>
  <c r="D115" i="10"/>
  <c r="C115" i="10"/>
  <c r="A115" i="10"/>
  <c r="J114" i="10"/>
  <c r="I114" i="10"/>
  <c r="H114" i="10"/>
  <c r="G114" i="10"/>
  <c r="F114" i="10"/>
  <c r="E114" i="10"/>
  <c r="D114" i="10"/>
  <c r="C114" i="10"/>
  <c r="A114" i="10"/>
  <c r="J113" i="10"/>
  <c r="I113" i="10"/>
  <c r="H113" i="10"/>
  <c r="G113" i="10"/>
  <c r="F113" i="10"/>
  <c r="E113" i="10"/>
  <c r="D113" i="10"/>
  <c r="C113" i="10"/>
  <c r="A113" i="10"/>
  <c r="J112" i="10"/>
  <c r="I112" i="10"/>
  <c r="H112" i="10"/>
  <c r="G112" i="10"/>
  <c r="F112" i="10"/>
  <c r="E112" i="10"/>
  <c r="D112" i="10"/>
  <c r="C112" i="10"/>
  <c r="A112" i="10"/>
  <c r="J111" i="10"/>
  <c r="I111" i="10"/>
  <c r="H111" i="10"/>
  <c r="G111" i="10"/>
  <c r="F111" i="10"/>
  <c r="E111" i="10"/>
  <c r="D111" i="10"/>
  <c r="C111" i="10"/>
  <c r="A111" i="10"/>
  <c r="J110" i="10"/>
  <c r="I110" i="10"/>
  <c r="H110" i="10"/>
  <c r="G110" i="10"/>
  <c r="F110" i="10"/>
  <c r="E110" i="10"/>
  <c r="D110" i="10"/>
  <c r="C110" i="10"/>
  <c r="A110" i="10"/>
  <c r="J109" i="10"/>
  <c r="I109" i="10"/>
  <c r="H109" i="10"/>
  <c r="G109" i="10"/>
  <c r="F109" i="10"/>
  <c r="E109" i="10"/>
  <c r="D109" i="10"/>
  <c r="C109" i="10"/>
  <c r="A109" i="10"/>
  <c r="J108" i="10"/>
  <c r="I108" i="10"/>
  <c r="H108" i="10"/>
  <c r="G108" i="10"/>
  <c r="F108" i="10"/>
  <c r="E108" i="10"/>
  <c r="D108" i="10"/>
  <c r="C108" i="10"/>
  <c r="A108" i="10"/>
  <c r="J107" i="10"/>
  <c r="I107" i="10"/>
  <c r="H107" i="10"/>
  <c r="G107" i="10"/>
  <c r="F107" i="10"/>
  <c r="E107" i="10"/>
  <c r="D107" i="10"/>
  <c r="C107" i="10"/>
  <c r="A107" i="10"/>
  <c r="J106" i="10"/>
  <c r="I106" i="10"/>
  <c r="H106" i="10"/>
  <c r="G106" i="10"/>
  <c r="F106" i="10"/>
  <c r="E106" i="10"/>
  <c r="D106" i="10"/>
  <c r="C106" i="10"/>
  <c r="A106" i="10"/>
  <c r="J105" i="10"/>
  <c r="I105" i="10"/>
  <c r="H105" i="10"/>
  <c r="G105" i="10"/>
  <c r="F105" i="10"/>
  <c r="E105" i="10"/>
  <c r="D105" i="10"/>
  <c r="C105" i="10"/>
  <c r="A105" i="10"/>
  <c r="J104" i="10"/>
  <c r="I104" i="10"/>
  <c r="H104" i="10"/>
  <c r="G104" i="10"/>
  <c r="F104" i="10"/>
  <c r="E104" i="10"/>
  <c r="D104" i="10"/>
  <c r="C104" i="10"/>
  <c r="A104" i="10"/>
  <c r="J103" i="10"/>
  <c r="I103" i="10"/>
  <c r="H103" i="10"/>
  <c r="G103" i="10"/>
  <c r="F103" i="10"/>
  <c r="E103" i="10"/>
  <c r="D103" i="10"/>
  <c r="C103" i="10"/>
  <c r="B103" i="10"/>
  <c r="A102" i="10"/>
  <c r="A98" i="10"/>
  <c r="A82" i="10"/>
  <c r="B77" i="10"/>
  <c r="B76" i="10"/>
  <c r="B75" i="10"/>
  <c r="B74" i="10"/>
  <c r="A71" i="10"/>
  <c r="A64" i="10"/>
  <c r="A35" i="10"/>
  <c r="B5" i="10"/>
  <c r="A39" i="10" s="1"/>
  <c r="B4" i="10"/>
  <c r="A9" i="10" s="1"/>
  <c r="A1" i="10"/>
  <c r="N24" i="15" l="1"/>
  <c r="N40" i="15"/>
  <c r="N38" i="15"/>
  <c r="N59" i="15" s="1"/>
  <c r="N37" i="15"/>
  <c r="N58" i="15" s="1"/>
  <c r="N36" i="15"/>
  <c r="N57" i="15" s="1"/>
  <c r="N39" i="15"/>
  <c r="N51" i="15"/>
  <c r="L36" i="15"/>
  <c r="L57" i="15" s="1"/>
  <c r="L39" i="15"/>
  <c r="L40" i="15"/>
  <c r="L38" i="15"/>
  <c r="L59" i="15" s="1"/>
  <c r="L51" i="15"/>
  <c r="M24" i="15"/>
  <c r="M38" i="15"/>
  <c r="M59" i="15" s="1"/>
  <c r="M36" i="15"/>
  <c r="M57" i="15" s="1"/>
  <c r="M39" i="15"/>
  <c r="M51" i="15"/>
  <c r="M40" i="15"/>
  <c r="M37" i="15"/>
  <c r="M58" i="15" s="1"/>
  <c r="L48" i="1"/>
  <c r="N8" i="15"/>
  <c r="N100" i="15" s="1"/>
  <c r="L43" i="1"/>
  <c r="N6" i="15"/>
  <c r="N96" i="15" s="1"/>
  <c r="N34" i="3"/>
  <c r="N16" i="15" s="1"/>
  <c r="N15" i="15"/>
  <c r="N49" i="15" s="1"/>
  <c r="N29" i="3"/>
  <c r="N11" i="15" s="1"/>
  <c r="N14" i="15"/>
  <c r="N21" i="3"/>
  <c r="N10" i="15" s="1"/>
  <c r="N9" i="15"/>
  <c r="N47" i="15" s="1"/>
  <c r="K43" i="1"/>
  <c r="M6" i="15"/>
  <c r="M96" i="15" s="1"/>
  <c r="M28" i="3"/>
  <c r="M14" i="15" s="1"/>
  <c r="M33" i="3"/>
  <c r="M29" i="3"/>
  <c r="M11" i="15" s="1"/>
  <c r="M20" i="3"/>
  <c r="M17" i="3"/>
  <c r="W30" i="1"/>
  <c r="X30" i="1"/>
  <c r="G31" i="7"/>
  <c r="H31" i="7"/>
  <c r="I31" i="7"/>
  <c r="J31" i="7"/>
  <c r="F31" i="7"/>
  <c r="G26" i="7"/>
  <c r="H26" i="7"/>
  <c r="I26" i="7"/>
  <c r="J26" i="7"/>
  <c r="F26" i="7"/>
  <c r="G21" i="7"/>
  <c r="H21" i="7"/>
  <c r="I21" i="7"/>
  <c r="J21" i="7"/>
  <c r="F21" i="7"/>
  <c r="Z9" i="1"/>
  <c r="Z10" i="1"/>
  <c r="Z13" i="1"/>
  <c r="Z6" i="1" s="1"/>
  <c r="Y16" i="1"/>
  <c r="Y18" i="1"/>
  <c r="Z18" i="1"/>
  <c r="Z16" i="1" s="1"/>
  <c r="Y20" i="1"/>
  <c r="Y22" i="1"/>
  <c r="Z22" i="1"/>
  <c r="Z20" i="1" s="1"/>
  <c r="Y24" i="1"/>
  <c r="Y26" i="1"/>
  <c r="Z26" i="1"/>
  <c r="Z24" i="1" s="1"/>
  <c r="Y28" i="1"/>
  <c r="Z28" i="1"/>
  <c r="Y34" i="1"/>
  <c r="Z34" i="1" s="1"/>
  <c r="Z33" i="1" s="1"/>
  <c r="Z38" i="1"/>
  <c r="G28" i="8"/>
  <c r="H28" i="8"/>
  <c r="I28" i="8"/>
  <c r="J28" i="8"/>
  <c r="F28" i="8"/>
  <c r="D35" i="17"/>
  <c r="M12" i="15" l="1"/>
  <c r="M42" i="15"/>
  <c r="M61" i="15" s="1"/>
  <c r="M41" i="15"/>
  <c r="M60" i="15" s="1"/>
  <c r="N12" i="15"/>
  <c r="N42" i="15"/>
  <c r="N61" i="15" s="1"/>
  <c r="N41" i="15"/>
  <c r="N60" i="15" s="1"/>
  <c r="M34" i="3"/>
  <c r="M16" i="15" s="1"/>
  <c r="M15" i="15"/>
  <c r="M49" i="15" s="1"/>
  <c r="M21" i="3"/>
  <c r="M10" i="15" s="1"/>
  <c r="M9" i="15"/>
  <c r="M47" i="15" s="1"/>
  <c r="M8" i="15"/>
  <c r="M100" i="15" s="1"/>
  <c r="K48" i="1"/>
  <c r="Y33" i="1"/>
  <c r="Y32" i="1" s="1"/>
  <c r="Z32" i="1"/>
  <c r="BK21" i="16" l="1"/>
  <c r="AU21" i="16"/>
  <c r="AE21" i="16"/>
  <c r="O21" i="16"/>
  <c r="BL20" i="16"/>
  <c r="AV20" i="16"/>
  <c r="AT20" i="16"/>
  <c r="AP20" i="16"/>
  <c r="AF20" i="16"/>
  <c r="AD20" i="16"/>
  <c r="Z20" i="16"/>
  <c r="P20" i="16"/>
  <c r="N20" i="16"/>
  <c r="J20" i="16"/>
  <c r="BL19" i="16"/>
  <c r="AV19" i="16"/>
  <c r="AT19" i="16"/>
  <c r="AP19" i="16"/>
  <c r="AF19" i="16"/>
  <c r="AD19" i="16"/>
  <c r="Z19" i="16"/>
  <c r="P19" i="16"/>
  <c r="N19" i="16"/>
  <c r="J19" i="16"/>
  <c r="BL18" i="16"/>
  <c r="AV18" i="16"/>
  <c r="AT18" i="16"/>
  <c r="AP18" i="16"/>
  <c r="AF18" i="16"/>
  <c r="AD18" i="16"/>
  <c r="Z18" i="16"/>
  <c r="P18" i="16"/>
  <c r="N18" i="16"/>
  <c r="J18" i="16"/>
  <c r="BL17" i="16"/>
  <c r="AV17" i="16"/>
  <c r="AP17" i="16"/>
  <c r="AF17" i="16"/>
  <c r="Z17" i="16"/>
  <c r="P17" i="16"/>
  <c r="J17" i="16"/>
  <c r="AP9" i="16"/>
  <c r="AN9" i="16"/>
  <c r="AD9" i="16"/>
  <c r="AB9" i="16"/>
  <c r="Z9" i="16"/>
  <c r="X9" i="16"/>
  <c r="V9" i="16"/>
  <c r="N9" i="16"/>
  <c r="L9" i="16"/>
  <c r="J9" i="16"/>
  <c r="H9" i="16"/>
  <c r="F9" i="16"/>
  <c r="AP8" i="16"/>
  <c r="AN8" i="16"/>
  <c r="AD8" i="16"/>
  <c r="AB8" i="16"/>
  <c r="Z8" i="16"/>
  <c r="X8" i="16"/>
  <c r="V8" i="16"/>
  <c r="N8" i="16"/>
  <c r="L8" i="16"/>
  <c r="J8" i="16"/>
  <c r="H8" i="16"/>
  <c r="F8" i="16"/>
  <c r="AP7" i="16"/>
  <c r="AN7" i="16"/>
  <c r="AD7" i="16"/>
  <c r="AB7" i="16"/>
  <c r="Z7" i="16"/>
  <c r="X7" i="16"/>
  <c r="V7" i="16"/>
  <c r="N7" i="16"/>
  <c r="L7" i="16"/>
  <c r="J7" i="16"/>
  <c r="H7" i="16"/>
  <c r="F7" i="16"/>
  <c r="AP6" i="16"/>
  <c r="AN6" i="16"/>
  <c r="AD6" i="16"/>
  <c r="AB6" i="16"/>
  <c r="Z6" i="16"/>
  <c r="X6" i="16"/>
  <c r="V6" i="16"/>
  <c r="N6" i="16"/>
  <c r="L6" i="16"/>
  <c r="J6" i="16"/>
  <c r="H6" i="16"/>
  <c r="F6" i="16"/>
  <c r="R34" i="18"/>
  <c r="P34" i="18"/>
  <c r="N34" i="18"/>
  <c r="I34" i="18"/>
  <c r="G34" i="18"/>
  <c r="E34" i="18"/>
  <c r="C34" i="18"/>
  <c r="B34" i="18"/>
  <c r="O182" i="3"/>
  <c r="O183" i="3" s="1"/>
  <c r="O32" i="3" s="1"/>
  <c r="O112" i="3" l="1"/>
  <c r="X38" i="1" l="1"/>
  <c r="AK9" i="1" l="1"/>
  <c r="AL9" i="1"/>
  <c r="AM9" i="1"/>
  <c r="AN9" i="1"/>
  <c r="Y9" i="1" s="1"/>
  <c r="AJ9" i="1"/>
  <c r="E35" i="17" l="1"/>
  <c r="D36" i="17"/>
  <c r="E36" i="17"/>
  <c r="G38" i="17" l="1"/>
  <c r="H39" i="17"/>
  <c r="I39" i="17"/>
  <c r="J39" i="17"/>
  <c r="H38" i="17"/>
  <c r="I38" i="17"/>
  <c r="J38" i="17"/>
  <c r="F38" i="17"/>
  <c r="G39" i="17" s="1"/>
  <c r="F36" i="17"/>
  <c r="V9" i="1"/>
  <c r="W9" i="1"/>
  <c r="X9" i="1"/>
  <c r="AK10" i="1"/>
  <c r="V10" i="1" s="1"/>
  <c r="AL10" i="1"/>
  <c r="W10" i="1" s="1"/>
  <c r="AM10" i="1"/>
  <c r="X10" i="1" s="1"/>
  <c r="AN10" i="1"/>
  <c r="AJ10" i="1"/>
  <c r="U10" i="1" s="1"/>
  <c r="AK8" i="1"/>
  <c r="AL8" i="1" s="1"/>
  <c r="AM8" i="1" s="1"/>
  <c r="AN8" i="1" s="1"/>
  <c r="G36" i="17"/>
  <c r="H36" i="17"/>
  <c r="I36" i="17"/>
  <c r="J36" i="17"/>
  <c r="G35" i="17"/>
  <c r="H35" i="17"/>
  <c r="I35" i="17"/>
  <c r="J35" i="17"/>
  <c r="F35" i="17"/>
  <c r="A10" i="17"/>
  <c r="B5" i="17"/>
  <c r="A9" i="17" s="1"/>
  <c r="A2" i="17"/>
  <c r="Y10" i="1" l="1"/>
  <c r="Y13" i="1"/>
  <c r="F39" i="17"/>
  <c r="U9" i="1" s="1"/>
  <c r="U5" i="1" s="1"/>
  <c r="Y6" i="1" l="1"/>
  <c r="J148" i="3"/>
  <c r="P182" i="3"/>
  <c r="Q182" i="3"/>
  <c r="R180" i="3"/>
  <c r="R182" i="3" s="1"/>
  <c r="B2" i="15"/>
  <c r="L3" i="2" l="1"/>
  <c r="K57" i="2"/>
  <c r="P7" i="2" s="1"/>
  <c r="K18" i="2"/>
  <c r="K34" i="2" l="1"/>
  <c r="T34" i="2" s="1"/>
  <c r="Q34" i="2" l="1"/>
  <c r="S34" i="2"/>
  <c r="S7" i="2" s="1"/>
  <c r="I103" i="15" s="1"/>
  <c r="R34" i="2"/>
  <c r="R7" i="2" s="1"/>
  <c r="H103" i="15" s="1"/>
  <c r="T7" i="2"/>
  <c r="J103" i="15" s="1"/>
  <c r="T41" i="2"/>
  <c r="R39" i="2" l="1"/>
  <c r="S39" i="2" s="1"/>
  <c r="S40" i="2"/>
  <c r="T40" i="2" s="1"/>
  <c r="R38" i="2"/>
  <c r="S38" i="2" s="1"/>
  <c r="T38" i="2" s="1"/>
  <c r="Q7" i="2"/>
  <c r="G103" i="15" s="1"/>
  <c r="Q38" i="2"/>
  <c r="Q37" i="2" s="1"/>
  <c r="R37" i="2" l="1"/>
  <c r="T39" i="2"/>
  <c r="T37" i="2" s="1"/>
  <c r="S37" i="2"/>
  <c r="J179" i="3" l="1"/>
  <c r="P179" i="3"/>
  <c r="P183" i="3" s="1"/>
  <c r="P32" i="3" s="1"/>
  <c r="Q179" i="3" l="1"/>
  <c r="Q183" i="3" s="1"/>
  <c r="Q32" i="3" s="1"/>
  <c r="R179" i="3"/>
  <c r="R183" i="3" s="1"/>
  <c r="R32" i="3" s="1"/>
  <c r="P176" i="3"/>
  <c r="O175" i="3"/>
  <c r="X13" i="1"/>
  <c r="W13" i="1"/>
  <c r="X12" i="1"/>
  <c r="Y12" i="1" s="1"/>
  <c r="V12" i="1"/>
  <c r="Z12" i="1" l="1"/>
  <c r="Z5" i="1" s="1"/>
  <c r="Y5" i="1"/>
  <c r="G37" i="1"/>
  <c r="G53" i="1" s="1"/>
  <c r="F37" i="1"/>
  <c r="F53" i="1" s="1"/>
  <c r="F12" i="1"/>
  <c r="F52" i="1" s="1"/>
  <c r="G12" i="1"/>
  <c r="G52" i="1" s="1"/>
  <c r="M34" i="1"/>
  <c r="I34" i="1"/>
  <c r="J34" i="1"/>
  <c r="H34" i="1"/>
  <c r="J45" i="5" l="1"/>
  <c r="J98" i="3"/>
  <c r="F111" i="15"/>
  <c r="H111" i="15" l="1"/>
  <c r="Q169" i="3"/>
  <c r="G111" i="15"/>
  <c r="X46" i="1"/>
  <c r="Y46" i="1" s="1"/>
  <c r="Z46" i="1" s="1"/>
  <c r="V46" i="1"/>
  <c r="U46" i="1"/>
  <c r="U45" i="1" s="1"/>
  <c r="I111" i="15" l="1"/>
  <c r="R169" i="3"/>
  <c r="J111" i="15" s="1"/>
  <c r="L24" i="15" s="1"/>
  <c r="B171" i="5"/>
  <c r="C171" i="5" l="1"/>
  <c r="D171" i="5" l="1"/>
  <c r="E171" i="5" s="1"/>
  <c r="D108" i="5"/>
  <c r="J107" i="5"/>
  <c r="M32" i="5"/>
  <c r="V44" i="5" s="1"/>
  <c r="L26" i="5"/>
  <c r="L25" i="5"/>
  <c r="K45" i="5"/>
  <c r="V46" i="5" l="1"/>
  <c r="K46" i="5"/>
  <c r="V48" i="5"/>
  <c r="F29" i="15"/>
  <c r="J104" i="15" l="1"/>
  <c r="F104" i="15"/>
  <c r="B61" i="15"/>
  <c r="B60" i="15"/>
  <c r="B59" i="15"/>
  <c r="B58" i="15"/>
  <c r="B57" i="15"/>
  <c r="B56" i="15"/>
  <c r="B52" i="15"/>
  <c r="D34" i="15"/>
  <c r="D55" i="15" s="1"/>
  <c r="E34" i="15"/>
  <c r="E55" i="15" s="1"/>
  <c r="F34" i="15"/>
  <c r="F55" i="15" s="1"/>
  <c r="C32" i="15"/>
  <c r="D31" i="15"/>
  <c r="E31" i="15"/>
  <c r="F31" i="15"/>
  <c r="C31" i="15"/>
  <c r="D29" i="15"/>
  <c r="E29" i="15"/>
  <c r="C29" i="15"/>
  <c r="D28" i="15"/>
  <c r="E28" i="15"/>
  <c r="F28" i="15"/>
  <c r="F30" i="15" s="1"/>
  <c r="C28" i="15"/>
  <c r="D23" i="15"/>
  <c r="E23" i="15"/>
  <c r="F23" i="15"/>
  <c r="C23" i="15"/>
  <c r="D22" i="15"/>
  <c r="E22" i="15"/>
  <c r="F22" i="15"/>
  <c r="C22" i="15"/>
  <c r="E21" i="15"/>
  <c r="C21" i="15"/>
  <c r="D19" i="15"/>
  <c r="C18" i="15"/>
  <c r="C50" i="15" s="1"/>
  <c r="D13" i="15"/>
  <c r="D48" i="15" s="1"/>
  <c r="E13" i="15"/>
  <c r="E48" i="15" s="1"/>
  <c r="F13" i="15"/>
  <c r="F48" i="15" s="1"/>
  <c r="C13" i="15"/>
  <c r="C48" i="15" s="1"/>
  <c r="D3" i="15"/>
  <c r="D46" i="15" s="1"/>
  <c r="E3" i="15"/>
  <c r="E46" i="15" s="1"/>
  <c r="F3" i="15"/>
  <c r="F46" i="15" s="1"/>
  <c r="C3" i="15"/>
  <c r="C46" i="15" s="1"/>
  <c r="D2" i="15"/>
  <c r="D45" i="15" s="1"/>
  <c r="E2" i="15"/>
  <c r="E17" i="15" s="1"/>
  <c r="E27" i="15" s="1"/>
  <c r="E33" i="15" s="1"/>
  <c r="F2" i="15"/>
  <c r="F45" i="15" s="1"/>
  <c r="G2" i="15"/>
  <c r="H2" i="15"/>
  <c r="H17" i="15" s="1"/>
  <c r="H27" i="15" s="1"/>
  <c r="I2" i="15"/>
  <c r="I17" i="15" s="1"/>
  <c r="I27" i="15" s="1"/>
  <c r="I33" i="15" s="1"/>
  <c r="J2" i="15"/>
  <c r="J54" i="15" s="1"/>
  <c r="K65" i="15" s="1"/>
  <c r="J91" i="15" s="1"/>
  <c r="C2" i="15"/>
  <c r="D17" i="15" l="1"/>
  <c r="D27" i="15" s="1"/>
  <c r="D33" i="15" s="1"/>
  <c r="E20" i="15"/>
  <c r="E51" i="15" s="1"/>
  <c r="C20" i="15"/>
  <c r="C51" i="15" s="1"/>
  <c r="D30" i="15"/>
  <c r="C30" i="15"/>
  <c r="I54" i="15"/>
  <c r="J65" i="15" s="1"/>
  <c r="I91" i="15" s="1"/>
  <c r="E45" i="15"/>
  <c r="D54" i="15"/>
  <c r="E30" i="15"/>
  <c r="H54" i="15"/>
  <c r="I65" i="15" s="1"/>
  <c r="H91" i="15" s="1"/>
  <c r="J17" i="15"/>
  <c r="J27" i="15" s="1"/>
  <c r="J33" i="15" s="1"/>
  <c r="I45" i="15"/>
  <c r="E54" i="15"/>
  <c r="C17" i="15"/>
  <c r="C27" i="15" s="1"/>
  <c r="C33" i="15" s="1"/>
  <c r="C54" i="15"/>
  <c r="C45" i="15"/>
  <c r="G17" i="15"/>
  <c r="G27" i="15" s="1"/>
  <c r="G33" i="15" s="1"/>
  <c r="G54" i="15"/>
  <c r="H65" i="15" s="1"/>
  <c r="G91" i="15" s="1"/>
  <c r="G45" i="15"/>
  <c r="F17" i="15"/>
  <c r="F27" i="15" s="1"/>
  <c r="F33" i="15" s="1"/>
  <c r="F54" i="15"/>
  <c r="G65" i="15" s="1"/>
  <c r="F91" i="15" s="1"/>
  <c r="J45" i="15"/>
  <c r="H45" i="15"/>
  <c r="H33" i="15"/>
  <c r="C38" i="15" l="1"/>
  <c r="C59" i="15" s="1"/>
  <c r="C24" i="15"/>
  <c r="C40" i="15"/>
  <c r="P147" i="3"/>
  <c r="P148" i="3" s="1"/>
  <c r="P26" i="3" s="1"/>
  <c r="Q147" i="3"/>
  <c r="Q148" i="3" s="1"/>
  <c r="Q26" i="3" s="1"/>
  <c r="R147" i="3"/>
  <c r="R148" i="3" s="1"/>
  <c r="R26" i="3" s="1"/>
  <c r="O147" i="3"/>
  <c r="O148" i="3" s="1"/>
  <c r="O86" i="3" s="1"/>
  <c r="P86" i="3" l="1"/>
  <c r="Q86" i="3" s="1"/>
  <c r="R86" i="3" s="1"/>
  <c r="O26" i="3"/>
  <c r="L4" i="13"/>
  <c r="M4" i="13"/>
  <c r="N4" i="13"/>
  <c r="K4" i="13"/>
  <c r="G221" i="12" l="1"/>
  <c r="H221" i="12"/>
  <c r="I221" i="12"/>
  <c r="J221" i="12"/>
  <c r="F221" i="12"/>
  <c r="G220" i="12"/>
  <c r="H220" i="12"/>
  <c r="I220" i="12"/>
  <c r="J220" i="12"/>
  <c r="F220" i="12"/>
  <c r="K215" i="12"/>
  <c r="G215" i="12"/>
  <c r="H215" i="12"/>
  <c r="I215" i="12"/>
  <c r="J215" i="12"/>
  <c r="F216" i="12"/>
  <c r="G216" i="12"/>
  <c r="H216" i="12"/>
  <c r="I216" i="12"/>
  <c r="J216" i="12"/>
  <c r="F217" i="12"/>
  <c r="G217" i="12"/>
  <c r="H217" i="12"/>
  <c r="I217" i="12"/>
  <c r="J217" i="12"/>
  <c r="F218" i="12"/>
  <c r="G218" i="12"/>
  <c r="H218" i="12"/>
  <c r="I218" i="12"/>
  <c r="J218" i="12"/>
  <c r="G214" i="12"/>
  <c r="H214" i="12"/>
  <c r="I214" i="12"/>
  <c r="J214" i="12"/>
  <c r="F214" i="12"/>
  <c r="V38" i="1"/>
  <c r="G189" i="12"/>
  <c r="G190" i="12"/>
  <c r="G191" i="12"/>
  <c r="G188" i="12"/>
  <c r="C188" i="12"/>
  <c r="D188" i="12"/>
  <c r="E188" i="12"/>
  <c r="F188" i="12"/>
  <c r="B188" i="12"/>
  <c r="C189" i="12"/>
  <c r="D189" i="12"/>
  <c r="E189" i="12"/>
  <c r="F189" i="12"/>
  <c r="B189" i="12"/>
  <c r="B190" i="12"/>
  <c r="C190" i="12"/>
  <c r="D190" i="12"/>
  <c r="E190" i="12"/>
  <c r="F190" i="12"/>
  <c r="C191" i="12"/>
  <c r="D191" i="12"/>
  <c r="E191" i="12"/>
  <c r="F191" i="12"/>
  <c r="B191" i="12"/>
  <c r="C183" i="12"/>
  <c r="D183" i="12"/>
  <c r="E183" i="12"/>
  <c r="F183" i="12"/>
  <c r="G183" i="12"/>
  <c r="H183" i="12"/>
  <c r="I183" i="12"/>
  <c r="J183" i="12"/>
  <c r="K183" i="12"/>
  <c r="L183" i="12"/>
  <c r="M183" i="12"/>
  <c r="C184" i="12"/>
  <c r="D184" i="12"/>
  <c r="E184" i="12"/>
  <c r="F184" i="12"/>
  <c r="G184" i="12"/>
  <c r="H184" i="12"/>
  <c r="I184" i="12"/>
  <c r="J184" i="12"/>
  <c r="K184" i="12"/>
  <c r="L184" i="12"/>
  <c r="M184" i="12"/>
  <c r="B184" i="12"/>
  <c r="B183" i="12"/>
  <c r="B178" i="12"/>
  <c r="C178" i="12"/>
  <c r="D178" i="12"/>
  <c r="E178" i="12"/>
  <c r="F178" i="12"/>
  <c r="G178" i="12"/>
  <c r="H178" i="12"/>
  <c r="I178" i="12"/>
  <c r="J178" i="12"/>
  <c r="K178" i="12"/>
  <c r="L178" i="12"/>
  <c r="M178" i="12"/>
  <c r="B179" i="12"/>
  <c r="C179" i="12"/>
  <c r="D179" i="12"/>
  <c r="E179" i="12"/>
  <c r="F179" i="12"/>
  <c r="G179" i="12"/>
  <c r="H179" i="12"/>
  <c r="I179" i="12"/>
  <c r="J179" i="12"/>
  <c r="K179" i="12"/>
  <c r="L179" i="12"/>
  <c r="M179" i="12"/>
  <c r="B180" i="12"/>
  <c r="C180" i="12"/>
  <c r="D180" i="12"/>
  <c r="E180" i="12"/>
  <c r="F180" i="12"/>
  <c r="G180" i="12"/>
  <c r="H180" i="12"/>
  <c r="I180" i="12"/>
  <c r="J180" i="12"/>
  <c r="K180" i="12"/>
  <c r="L180" i="12"/>
  <c r="M180" i="12"/>
  <c r="C177" i="12"/>
  <c r="D177" i="12"/>
  <c r="E177" i="12"/>
  <c r="F177" i="12"/>
  <c r="G177" i="12"/>
  <c r="H177" i="12"/>
  <c r="I177" i="12"/>
  <c r="J177" i="12"/>
  <c r="K177" i="12"/>
  <c r="L177" i="12"/>
  <c r="M177" i="12"/>
  <c r="B177" i="12"/>
  <c r="L175" i="11" l="1"/>
  <c r="M175" i="11"/>
  <c r="N175" i="11"/>
  <c r="K175" i="11"/>
  <c r="H174" i="11"/>
  <c r="I174" i="11"/>
  <c r="J174" i="11"/>
  <c r="K174" i="11"/>
  <c r="L174" i="11"/>
  <c r="M174" i="11"/>
  <c r="N174" i="11"/>
  <c r="G174" i="11"/>
  <c r="D167" i="11"/>
  <c r="F166" i="11"/>
  <c r="E166" i="11"/>
  <c r="D166" i="11"/>
  <c r="C166" i="11" s="1"/>
  <c r="A166" i="11"/>
  <c r="F165" i="11"/>
  <c r="E165" i="11"/>
  <c r="D165" i="11"/>
  <c r="C165" i="11" s="1"/>
  <c r="A165" i="11"/>
  <c r="F164" i="11"/>
  <c r="E164" i="11"/>
  <c r="D164" i="11"/>
  <c r="C164" i="11" s="1"/>
  <c r="A164" i="11"/>
  <c r="F163" i="11"/>
  <c r="E163" i="11"/>
  <c r="D163" i="11"/>
  <c r="F162" i="11"/>
  <c r="E162" i="11"/>
  <c r="D162" i="11"/>
  <c r="F161" i="11"/>
  <c r="E161" i="11"/>
  <c r="B161" i="11" s="1"/>
  <c r="B162" i="11" s="1"/>
  <c r="D161" i="11"/>
  <c r="F160" i="11"/>
  <c r="E160" i="11"/>
  <c r="D160" i="11"/>
  <c r="F159" i="11"/>
  <c r="E159" i="11"/>
  <c r="D159" i="11"/>
  <c r="F158" i="11"/>
  <c r="E158" i="11"/>
  <c r="B158" i="11" s="1"/>
  <c r="D158" i="11"/>
  <c r="A158" i="11"/>
  <c r="A159" i="11" s="1"/>
  <c r="A160" i="11" s="1"/>
  <c r="F157" i="11"/>
  <c r="E157" i="11"/>
  <c r="D157" i="11"/>
  <c r="F156" i="11"/>
  <c r="E156" i="11"/>
  <c r="D156" i="11"/>
  <c r="F155" i="11"/>
  <c r="E155" i="11"/>
  <c r="B155" i="11" s="1"/>
  <c r="D155" i="11"/>
  <c r="A155" i="11"/>
  <c r="A156" i="11" s="1"/>
  <c r="A157" i="11" s="1"/>
  <c r="F154" i="11"/>
  <c r="E154" i="11"/>
  <c r="D154" i="11"/>
  <c r="F153" i="11"/>
  <c r="E153" i="11"/>
  <c r="D153" i="11"/>
  <c r="F152" i="11"/>
  <c r="E152" i="11"/>
  <c r="B152" i="11" s="1"/>
  <c r="B153" i="11" s="1"/>
  <c r="B154" i="11" s="1"/>
  <c r="D152" i="11"/>
  <c r="C152" i="11" s="1"/>
  <c r="A152" i="11"/>
  <c r="A153" i="11" s="1"/>
  <c r="A154" i="11" s="1"/>
  <c r="F151" i="11"/>
  <c r="E151" i="11"/>
  <c r="D151" i="11"/>
  <c r="C151" i="11" s="1"/>
  <c r="F150" i="11"/>
  <c r="E150" i="11"/>
  <c r="D150" i="11"/>
  <c r="C150" i="11"/>
  <c r="F149" i="11"/>
  <c r="E149" i="11"/>
  <c r="D149" i="11"/>
  <c r="C149" i="11"/>
  <c r="F148" i="11"/>
  <c r="E148" i="11"/>
  <c r="D148" i="11"/>
  <c r="F147" i="11"/>
  <c r="E147" i="11"/>
  <c r="D147" i="11"/>
  <c r="F146" i="11"/>
  <c r="E146" i="11"/>
  <c r="B146" i="11" s="1"/>
  <c r="D146" i="11"/>
  <c r="F145" i="11"/>
  <c r="E145" i="11"/>
  <c r="D145" i="11"/>
  <c r="F144" i="11"/>
  <c r="E144" i="11"/>
  <c r="D144" i="11"/>
  <c r="F143" i="11"/>
  <c r="E143" i="11"/>
  <c r="B143" i="11" s="1"/>
  <c r="D143" i="11"/>
  <c r="A143" i="11"/>
  <c r="A144" i="11" s="1"/>
  <c r="F142" i="11"/>
  <c r="E142" i="11"/>
  <c r="D142" i="11"/>
  <c r="F141" i="11"/>
  <c r="E141" i="11"/>
  <c r="D141" i="11"/>
  <c r="F140" i="11"/>
  <c r="E140" i="11"/>
  <c r="B140" i="11" s="1"/>
  <c r="D140" i="11"/>
  <c r="A140" i="11"/>
  <c r="A141" i="11" s="1"/>
  <c r="A142" i="11" s="1"/>
  <c r="F139" i="11"/>
  <c r="E139" i="11"/>
  <c r="D139" i="11"/>
  <c r="F138" i="11"/>
  <c r="E138" i="11"/>
  <c r="D138" i="11"/>
  <c r="F137" i="11"/>
  <c r="E137" i="11"/>
  <c r="B137" i="11" s="1"/>
  <c r="B138" i="11" s="1"/>
  <c r="B139" i="11" s="1"/>
  <c r="D137" i="11"/>
  <c r="C137" i="11" s="1"/>
  <c r="C138" i="11" s="1"/>
  <c r="A137" i="11"/>
  <c r="F136" i="11"/>
  <c r="E136" i="11"/>
  <c r="D136" i="11"/>
  <c r="C136" i="11" s="1"/>
  <c r="F135" i="11"/>
  <c r="E135" i="11"/>
  <c r="D135" i="11"/>
  <c r="C135" i="11" s="1"/>
  <c r="F134" i="11"/>
  <c r="E134" i="11"/>
  <c r="D134" i="11"/>
  <c r="C134" i="11" s="1"/>
  <c r="F133" i="11"/>
  <c r="E133" i="11"/>
  <c r="D133" i="11"/>
  <c r="F132" i="11"/>
  <c r="E132" i="11"/>
  <c r="D132" i="11"/>
  <c r="F131" i="11"/>
  <c r="E131" i="11"/>
  <c r="B131" i="11" s="1"/>
  <c r="D131" i="11"/>
  <c r="F130" i="11"/>
  <c r="E130" i="11"/>
  <c r="D130" i="11"/>
  <c r="F129" i="11"/>
  <c r="E129" i="11"/>
  <c r="D129" i="11"/>
  <c r="F128" i="11"/>
  <c r="E128" i="11"/>
  <c r="B128" i="11" s="1"/>
  <c r="B129" i="11" s="1"/>
  <c r="B130" i="11" s="1"/>
  <c r="D128" i="11"/>
  <c r="A128" i="11"/>
  <c r="F127" i="11"/>
  <c r="E127" i="11"/>
  <c r="D127" i="11"/>
  <c r="F126" i="11"/>
  <c r="E126" i="11"/>
  <c r="D126" i="11"/>
  <c r="F125" i="11"/>
  <c r="E125" i="11"/>
  <c r="B125" i="11" s="1"/>
  <c r="B126" i="11" s="1"/>
  <c r="B127" i="11" s="1"/>
  <c r="D125" i="11"/>
  <c r="A125" i="11"/>
  <c r="A126" i="11" s="1"/>
  <c r="A127" i="11" s="1"/>
  <c r="F124" i="11"/>
  <c r="E124" i="11"/>
  <c r="D124" i="11"/>
  <c r="F123" i="11"/>
  <c r="E123" i="11"/>
  <c r="D123" i="11"/>
  <c r="F122" i="11"/>
  <c r="E122" i="11"/>
  <c r="B122" i="11" s="1"/>
  <c r="B123" i="11" s="1"/>
  <c r="D122" i="11"/>
  <c r="C122" i="11" s="1"/>
  <c r="A122" i="11"/>
  <c r="A123" i="11" s="1"/>
  <c r="F121" i="11"/>
  <c r="E121" i="11"/>
  <c r="D121" i="11"/>
  <c r="C121" i="11"/>
  <c r="F120" i="11"/>
  <c r="E120" i="11"/>
  <c r="D120" i="11"/>
  <c r="C120" i="11"/>
  <c r="F119" i="11"/>
  <c r="E119" i="11"/>
  <c r="D119" i="11"/>
  <c r="C119" i="11"/>
  <c r="F118" i="11"/>
  <c r="E118" i="11"/>
  <c r="D118" i="11"/>
  <c r="F117" i="11"/>
  <c r="E117" i="11"/>
  <c r="D117" i="11"/>
  <c r="F116" i="11"/>
  <c r="E116" i="11"/>
  <c r="B116" i="11" s="1"/>
  <c r="D116" i="11"/>
  <c r="F115" i="11"/>
  <c r="E115" i="11"/>
  <c r="D115" i="11"/>
  <c r="F114" i="11"/>
  <c r="E114" i="11"/>
  <c r="D114" i="11"/>
  <c r="F113" i="11"/>
  <c r="E113" i="11"/>
  <c r="B113" i="11" s="1"/>
  <c r="D113" i="11"/>
  <c r="A113" i="11"/>
  <c r="F112" i="11"/>
  <c r="E112" i="11"/>
  <c r="D112" i="11"/>
  <c r="F111" i="11"/>
  <c r="E111" i="11"/>
  <c r="D111" i="11"/>
  <c r="F110" i="11"/>
  <c r="E110" i="11"/>
  <c r="B110" i="11" s="1"/>
  <c r="D110" i="11"/>
  <c r="A110" i="11"/>
  <c r="A111" i="11" s="1"/>
  <c r="A112" i="11" s="1"/>
  <c r="F109" i="11"/>
  <c r="E109" i="11"/>
  <c r="D109" i="11"/>
  <c r="F108" i="11"/>
  <c r="E108" i="11"/>
  <c r="D108" i="11"/>
  <c r="F107" i="11"/>
  <c r="E107" i="11"/>
  <c r="B107" i="11" s="1"/>
  <c r="D107" i="11"/>
  <c r="C107" i="11"/>
  <c r="A107" i="11"/>
  <c r="F106" i="11"/>
  <c r="E106" i="11"/>
  <c r="D106" i="11"/>
  <c r="C106" i="11"/>
  <c r="F105" i="11"/>
  <c r="E105" i="11"/>
  <c r="D105" i="11"/>
  <c r="C105" i="11" s="1"/>
  <c r="F104" i="11"/>
  <c r="E104" i="11"/>
  <c r="D104" i="11"/>
  <c r="C104" i="11" s="1"/>
  <c r="F103" i="11"/>
  <c r="E103" i="11"/>
  <c r="B103" i="11" s="1"/>
  <c r="D103" i="11"/>
  <c r="F102" i="11"/>
  <c r="E102" i="11"/>
  <c r="B102" i="11" s="1"/>
  <c r="D102" i="11"/>
  <c r="F101" i="11"/>
  <c r="E101" i="11"/>
  <c r="B101" i="11" s="1"/>
  <c r="D101" i="11"/>
  <c r="F100" i="11"/>
  <c r="E100" i="11"/>
  <c r="D100" i="11"/>
  <c r="F99" i="11"/>
  <c r="E99" i="11"/>
  <c r="D99" i="11"/>
  <c r="F98" i="11"/>
  <c r="E98" i="11"/>
  <c r="B98" i="11" s="1"/>
  <c r="B99" i="11" s="1"/>
  <c r="D98" i="11"/>
  <c r="A98" i="11"/>
  <c r="F97" i="11"/>
  <c r="E97" i="11"/>
  <c r="D97" i="11"/>
  <c r="F96" i="11"/>
  <c r="E96" i="11"/>
  <c r="D96" i="11"/>
  <c r="F95" i="11"/>
  <c r="E95" i="11"/>
  <c r="B95" i="11" s="1"/>
  <c r="D95" i="11"/>
  <c r="A95" i="11"/>
  <c r="A96" i="11" s="1"/>
  <c r="A97" i="11" s="1"/>
  <c r="F94" i="11"/>
  <c r="E94" i="11"/>
  <c r="D94" i="11"/>
  <c r="F93" i="11"/>
  <c r="E93" i="11"/>
  <c r="D93" i="11"/>
  <c r="F92" i="11"/>
  <c r="E92" i="11"/>
  <c r="B92" i="11" s="1"/>
  <c r="D92" i="11"/>
  <c r="C92" i="11" s="1"/>
  <c r="A92" i="11"/>
  <c r="A93" i="11" s="1"/>
  <c r="A94" i="11" s="1"/>
  <c r="F91" i="11"/>
  <c r="E91" i="11"/>
  <c r="D91" i="11"/>
  <c r="C91" i="11" s="1"/>
  <c r="F90" i="11"/>
  <c r="E90" i="11"/>
  <c r="D90" i="11"/>
  <c r="C90" i="11" s="1"/>
  <c r="F89" i="11"/>
  <c r="E89" i="11"/>
  <c r="D89" i="11"/>
  <c r="C89" i="11" s="1"/>
  <c r="F88" i="11"/>
  <c r="E88" i="11"/>
  <c r="D88" i="11"/>
  <c r="F87" i="11"/>
  <c r="E87" i="11"/>
  <c r="D87" i="11"/>
  <c r="F86" i="11"/>
  <c r="E86" i="11"/>
  <c r="B86" i="11" s="1"/>
  <c r="B87" i="11" s="1"/>
  <c r="D86" i="11"/>
  <c r="F85" i="11"/>
  <c r="E85" i="11"/>
  <c r="D85" i="11"/>
  <c r="F84" i="11"/>
  <c r="E84" i="11"/>
  <c r="D84" i="11"/>
  <c r="F83" i="11"/>
  <c r="E83" i="11"/>
  <c r="D83" i="11"/>
  <c r="B83" i="11"/>
  <c r="A83" i="11"/>
  <c r="A84" i="11" s="1"/>
  <c r="A85" i="11" s="1"/>
  <c r="F82" i="11"/>
  <c r="E82" i="11"/>
  <c r="D82" i="11"/>
  <c r="F81" i="11"/>
  <c r="E81" i="11"/>
  <c r="D81" i="11"/>
  <c r="F80" i="11"/>
  <c r="E80" i="11"/>
  <c r="B80" i="11" s="1"/>
  <c r="D80" i="11"/>
  <c r="A80" i="11"/>
  <c r="A81" i="11" s="1"/>
  <c r="A82" i="11" s="1"/>
  <c r="F79" i="11"/>
  <c r="E79" i="11"/>
  <c r="D79" i="11"/>
  <c r="F78" i="11"/>
  <c r="E78" i="11"/>
  <c r="D78" i="11"/>
  <c r="F77" i="11"/>
  <c r="E77" i="11"/>
  <c r="B77" i="11" s="1"/>
  <c r="D77" i="11"/>
  <c r="C77" i="11" s="1"/>
  <c r="A77" i="11"/>
  <c r="A78" i="11" s="1"/>
  <c r="F76" i="11"/>
  <c r="E76" i="11"/>
  <c r="D76" i="11"/>
  <c r="C76" i="11" s="1"/>
  <c r="F75" i="11"/>
  <c r="E75" i="11"/>
  <c r="D75" i="11"/>
  <c r="C75" i="11" s="1"/>
  <c r="F74" i="11"/>
  <c r="E74" i="11"/>
  <c r="D74" i="11"/>
  <c r="C74" i="11" s="1"/>
  <c r="F73" i="11"/>
  <c r="E73" i="11"/>
  <c r="D73" i="11"/>
  <c r="F72" i="11"/>
  <c r="E72" i="11"/>
  <c r="D72" i="11"/>
  <c r="F71" i="11"/>
  <c r="E71" i="11"/>
  <c r="B71" i="11" s="1"/>
  <c r="D71" i="11"/>
  <c r="F70" i="11"/>
  <c r="E70" i="11"/>
  <c r="D70" i="11"/>
  <c r="F69" i="11"/>
  <c r="E69" i="11"/>
  <c r="D69" i="11"/>
  <c r="F68" i="11"/>
  <c r="E68" i="11"/>
  <c r="B68" i="11" s="1"/>
  <c r="D68" i="11"/>
  <c r="A68" i="11"/>
  <c r="A69" i="11" s="1"/>
  <c r="A70" i="11" s="1"/>
  <c r="F67" i="11"/>
  <c r="E67" i="11"/>
  <c r="D67" i="11"/>
  <c r="F66" i="11"/>
  <c r="E66" i="11"/>
  <c r="D66" i="11"/>
  <c r="F65" i="11"/>
  <c r="E65" i="11"/>
  <c r="B65" i="11" s="1"/>
  <c r="D65" i="11"/>
  <c r="A65" i="11"/>
  <c r="A66" i="11" s="1"/>
  <c r="A67" i="11" s="1"/>
  <c r="F64" i="11"/>
  <c r="E64" i="11"/>
  <c r="D64" i="11"/>
  <c r="F63" i="11"/>
  <c r="E63" i="11"/>
  <c r="D63" i="11"/>
  <c r="F62" i="11"/>
  <c r="E62" i="11"/>
  <c r="B62" i="11" s="1"/>
  <c r="D62" i="11"/>
  <c r="C62" i="11" s="1"/>
  <c r="A62" i="11"/>
  <c r="F61" i="11"/>
  <c r="D61" i="11"/>
  <c r="N60" i="11"/>
  <c r="N61" i="11" s="1"/>
  <c r="M60" i="11"/>
  <c r="L60" i="11"/>
  <c r="L61" i="11" s="1"/>
  <c r="K60" i="11"/>
  <c r="K61" i="11" s="1"/>
  <c r="J60" i="11"/>
  <c r="J61" i="11" s="1"/>
  <c r="I60" i="11"/>
  <c r="H60" i="11"/>
  <c r="H61" i="11" s="1"/>
  <c r="G60" i="11"/>
  <c r="G61" i="11" s="1"/>
  <c r="D59" i="11"/>
  <c r="D55" i="11"/>
  <c r="P54" i="11"/>
  <c r="O54" i="11"/>
  <c r="N54" i="11"/>
  <c r="M54" i="11"/>
  <c r="L54" i="11"/>
  <c r="K54" i="11"/>
  <c r="J54" i="11"/>
  <c r="I54" i="11"/>
  <c r="H54" i="11"/>
  <c r="A54" i="11"/>
  <c r="B53" i="11"/>
  <c r="B54" i="11" s="1"/>
  <c r="A53" i="11"/>
  <c r="B52" i="11"/>
  <c r="A52" i="11"/>
  <c r="F51" i="11"/>
  <c r="E51" i="11"/>
  <c r="D51" i="11"/>
  <c r="A51" i="11" s="1"/>
  <c r="F50" i="11"/>
  <c r="E50" i="11"/>
  <c r="B50" i="11" s="1"/>
  <c r="B51" i="11" s="1"/>
  <c r="D50" i="11"/>
  <c r="A50" i="11" s="1"/>
  <c r="F49" i="11"/>
  <c r="E49" i="11"/>
  <c r="D49" i="11"/>
  <c r="A49" i="11" s="1"/>
  <c r="F48" i="11"/>
  <c r="E48" i="11"/>
  <c r="D48" i="11"/>
  <c r="A48" i="11" s="1"/>
  <c r="F47" i="11"/>
  <c r="E47" i="11"/>
  <c r="D47" i="11"/>
  <c r="F46" i="11"/>
  <c r="E46" i="11"/>
  <c r="B46" i="11" s="1"/>
  <c r="D46" i="11"/>
  <c r="F45" i="11"/>
  <c r="E45" i="11"/>
  <c r="D45" i="11"/>
  <c r="F44" i="11"/>
  <c r="E44" i="11"/>
  <c r="D44" i="11"/>
  <c r="F43" i="11"/>
  <c r="E43" i="11"/>
  <c r="D43" i="11"/>
  <c r="B43" i="11"/>
  <c r="B44" i="11" s="1"/>
  <c r="B45" i="11" s="1"/>
  <c r="A43" i="11"/>
  <c r="F42" i="11"/>
  <c r="E42" i="11"/>
  <c r="D42" i="11"/>
  <c r="A42" i="11" s="1"/>
  <c r="F41" i="11"/>
  <c r="E41" i="11"/>
  <c r="D41" i="11"/>
  <c r="A41" i="11"/>
  <c r="F40" i="11"/>
  <c r="E40" i="11"/>
  <c r="D40" i="11"/>
  <c r="A40" i="11" s="1"/>
  <c r="F39" i="11"/>
  <c r="E39" i="11"/>
  <c r="D39" i="11"/>
  <c r="F38" i="11"/>
  <c r="E38" i="11"/>
  <c r="D38" i="11"/>
  <c r="F37" i="11"/>
  <c r="E37" i="11"/>
  <c r="D37" i="11"/>
  <c r="B37" i="11"/>
  <c r="F36" i="11"/>
  <c r="E36" i="11"/>
  <c r="D36" i="11"/>
  <c r="F35" i="11"/>
  <c r="E35" i="11"/>
  <c r="D35" i="11"/>
  <c r="F34" i="11"/>
  <c r="E34" i="11"/>
  <c r="B34" i="11" s="1"/>
  <c r="D34" i="11"/>
  <c r="F33" i="11"/>
  <c r="E33" i="11"/>
  <c r="D33" i="11"/>
  <c r="F32" i="11"/>
  <c r="E32" i="11"/>
  <c r="D32" i="11"/>
  <c r="A32" i="11" s="1"/>
  <c r="F31" i="11"/>
  <c r="E31" i="11"/>
  <c r="B31" i="11" s="1"/>
  <c r="D31" i="11"/>
  <c r="A31" i="11"/>
  <c r="F30" i="11"/>
  <c r="E30" i="11"/>
  <c r="D30" i="11"/>
  <c r="A30" i="11" s="1"/>
  <c r="F29" i="11"/>
  <c r="E29" i="11"/>
  <c r="D29" i="11"/>
  <c r="A29" i="11" s="1"/>
  <c r="F28" i="11"/>
  <c r="E28" i="11"/>
  <c r="D28" i="11"/>
  <c r="A28" i="11" s="1"/>
  <c r="F27" i="11"/>
  <c r="E27" i="11"/>
  <c r="D27" i="11"/>
  <c r="F26" i="11"/>
  <c r="E26" i="11"/>
  <c r="D26" i="11"/>
  <c r="F25" i="11"/>
  <c r="E25" i="11"/>
  <c r="B25" i="11" s="1"/>
  <c r="D25" i="11"/>
  <c r="F24" i="11"/>
  <c r="E24" i="11"/>
  <c r="D24" i="11"/>
  <c r="F23" i="11"/>
  <c r="E23" i="11"/>
  <c r="D23" i="11"/>
  <c r="F22" i="11"/>
  <c r="E22" i="11"/>
  <c r="B22" i="11" s="1"/>
  <c r="D22" i="11"/>
  <c r="F21" i="11"/>
  <c r="E21" i="11"/>
  <c r="D21" i="11"/>
  <c r="F20" i="11"/>
  <c r="E20" i="11"/>
  <c r="D20" i="11"/>
  <c r="F19" i="11"/>
  <c r="E19" i="11"/>
  <c r="B19" i="11" s="1"/>
  <c r="D19" i="11"/>
  <c r="F18" i="11"/>
  <c r="E18" i="11"/>
  <c r="D18" i="11"/>
  <c r="F17" i="11"/>
  <c r="E17" i="11"/>
  <c r="D17" i="11"/>
  <c r="F16" i="11"/>
  <c r="E16" i="11"/>
  <c r="B16" i="11" s="1"/>
  <c r="D16" i="11"/>
  <c r="A16" i="11" s="1"/>
  <c r="F15" i="11"/>
  <c r="E15" i="11"/>
  <c r="N14" i="11"/>
  <c r="N15" i="11" s="1"/>
  <c r="M14" i="11"/>
  <c r="M15" i="11" s="1"/>
  <c r="L14" i="11"/>
  <c r="K14" i="11"/>
  <c r="J14" i="11"/>
  <c r="J15" i="11" s="1"/>
  <c r="I14" i="11"/>
  <c r="I15" i="11" s="1"/>
  <c r="H14" i="11"/>
  <c r="H15" i="11" s="1"/>
  <c r="G14" i="11"/>
  <c r="D13" i="11"/>
  <c r="E6" i="11"/>
  <c r="E5" i="11"/>
  <c r="D1" i="11"/>
  <c r="G122" i="5"/>
  <c r="K108" i="5"/>
  <c r="L108" i="5"/>
  <c r="K109" i="5"/>
  <c r="L109" i="5"/>
  <c r="K110" i="5"/>
  <c r="L110" i="5"/>
  <c r="M110" i="5"/>
  <c r="N110" i="5"/>
  <c r="O110" i="5"/>
  <c r="K111" i="5"/>
  <c r="L111" i="5"/>
  <c r="K112" i="5"/>
  <c r="L112" i="5"/>
  <c r="M112" i="5"/>
  <c r="N112" i="5"/>
  <c r="O112" i="5"/>
  <c r="K113" i="5"/>
  <c r="L113" i="5"/>
  <c r="M113" i="5"/>
  <c r="N113" i="5"/>
  <c r="K114" i="5"/>
  <c r="L114" i="5"/>
  <c r="M114" i="5"/>
  <c r="N114" i="5"/>
  <c r="O114" i="5"/>
  <c r="K116" i="5"/>
  <c r="L116" i="5"/>
  <c r="J108" i="5"/>
  <c r="J109" i="5"/>
  <c r="J110" i="5"/>
  <c r="J111" i="5"/>
  <c r="J112" i="5"/>
  <c r="J113" i="5"/>
  <c r="J114" i="5"/>
  <c r="J116" i="5"/>
  <c r="D116" i="5"/>
  <c r="D111" i="5"/>
  <c r="D109" i="5"/>
  <c r="M122" i="11"/>
  <c r="L77" i="11"/>
  <c r="J107" i="11"/>
  <c r="M51" i="11"/>
  <c r="K28" i="11"/>
  <c r="K51" i="11"/>
  <c r="I31" i="11"/>
  <c r="L62" i="11"/>
  <c r="O15" i="11" l="1"/>
  <c r="B26" i="11"/>
  <c r="C63" i="11"/>
  <c r="B72" i="11"/>
  <c r="B47" i="11"/>
  <c r="B63" i="11"/>
  <c r="B64" i="11" s="1"/>
  <c r="B114" i="11"/>
  <c r="C123" i="11"/>
  <c r="B111" i="11"/>
  <c r="B133" i="11"/>
  <c r="B134" i="11" s="1"/>
  <c r="B135" i="11" s="1"/>
  <c r="B93" i="11"/>
  <c r="B132" i="11"/>
  <c r="B159" i="11"/>
  <c r="B160" i="11" s="1"/>
  <c r="B94" i="11"/>
  <c r="A124" i="11"/>
  <c r="B38" i="11"/>
  <c r="B20" i="11"/>
  <c r="B32" i="11"/>
  <c r="A108" i="11"/>
  <c r="A109" i="11" s="1"/>
  <c r="B117" i="11"/>
  <c r="B118" i="11" s="1"/>
  <c r="B119" i="11" s="1"/>
  <c r="B120" i="11" s="1"/>
  <c r="B121" i="11" s="1"/>
  <c r="C139" i="11"/>
  <c r="B144" i="11"/>
  <c r="B78" i="11"/>
  <c r="B79" i="11" s="1"/>
  <c r="B108" i="11"/>
  <c r="B109" i="11" s="1"/>
  <c r="B66" i="11"/>
  <c r="B67" i="11" s="1"/>
  <c r="B69" i="11"/>
  <c r="B70" i="11" s="1"/>
  <c r="C78" i="11"/>
  <c r="C79" i="11" s="1"/>
  <c r="B81" i="11"/>
  <c r="B84" i="11"/>
  <c r="B115" i="11"/>
  <c r="B141" i="11"/>
  <c r="B142" i="11" s="1"/>
  <c r="A33" i="11"/>
  <c r="A71" i="11"/>
  <c r="A17" i="11"/>
  <c r="B39" i="11"/>
  <c r="B40" i="11" s="1"/>
  <c r="B41" i="11" s="1"/>
  <c r="B42" i="11" s="1"/>
  <c r="G15" i="11"/>
  <c r="K15" i="11"/>
  <c r="A18" i="11"/>
  <c r="B23" i="11"/>
  <c r="B24" i="11" s="1"/>
  <c r="A79" i="11"/>
  <c r="B21" i="11"/>
  <c r="B27" i="11"/>
  <c r="B48" i="11"/>
  <c r="A63" i="11"/>
  <c r="L15" i="11"/>
  <c r="B17" i="11"/>
  <c r="B18" i="11" s="1"/>
  <c r="B28" i="11" s="1"/>
  <c r="B29" i="11" s="1"/>
  <c r="B30" i="11" s="1"/>
  <c r="B33" i="11"/>
  <c r="B35" i="11"/>
  <c r="B36" i="11" s="1"/>
  <c r="B49" i="11"/>
  <c r="A138" i="11"/>
  <c r="A44" i="11"/>
  <c r="A99" i="11"/>
  <c r="C64" i="11"/>
  <c r="B88" i="11"/>
  <c r="B89" i="11" s="1"/>
  <c r="B90" i="11" s="1"/>
  <c r="B91" i="11" s="1"/>
  <c r="M61" i="11"/>
  <c r="B73" i="11"/>
  <c r="B74" i="11" s="1"/>
  <c r="B75" i="11" s="1"/>
  <c r="B76" i="11" s="1"/>
  <c r="B82" i="11"/>
  <c r="B112" i="11"/>
  <c r="I61" i="11"/>
  <c r="O61" i="11" s="1"/>
  <c r="A86" i="11"/>
  <c r="B96" i="11"/>
  <c r="B97" i="11" s="1"/>
  <c r="B100" i="11"/>
  <c r="B104" i="11"/>
  <c r="B105" i="11" s="1"/>
  <c r="B106" i="11" s="1"/>
  <c r="C108" i="11"/>
  <c r="C109" i="11" s="1"/>
  <c r="C124" i="11"/>
  <c r="C125" i="11" s="1"/>
  <c r="B85" i="11"/>
  <c r="A129" i="11"/>
  <c r="C93" i="11"/>
  <c r="A114" i="11"/>
  <c r="B136" i="11"/>
  <c r="B124" i="11"/>
  <c r="B145" i="11"/>
  <c r="C153" i="11"/>
  <c r="C140" i="11"/>
  <c r="A145" i="11"/>
  <c r="B156" i="11"/>
  <c r="B157" i="11" s="1"/>
  <c r="A161" i="11"/>
  <c r="B147" i="11"/>
  <c r="B148" i="11" s="1"/>
  <c r="B149" i="11" s="1"/>
  <c r="B150" i="11" s="1"/>
  <c r="B151" i="11" s="1"/>
  <c r="B163" i="11"/>
  <c r="L31" i="11"/>
  <c r="H123" i="11"/>
  <c r="J123" i="11"/>
  <c r="L152" i="11"/>
  <c r="H43" i="11"/>
  <c r="J137" i="11"/>
  <c r="G107" i="11"/>
  <c r="J32" i="11"/>
  <c r="G138" i="11"/>
  <c r="I43" i="11"/>
  <c r="N43" i="11"/>
  <c r="N78" i="11"/>
  <c r="G122" i="11"/>
  <c r="M62" i="11"/>
  <c r="K16" i="11"/>
  <c r="H63" i="11"/>
  <c r="I152" i="11"/>
  <c r="G137" i="11"/>
  <c r="L137" i="11"/>
  <c r="N62" i="11"/>
  <c r="M32" i="11"/>
  <c r="I78" i="11"/>
  <c r="K137" i="11"/>
  <c r="L43" i="11"/>
  <c r="G31" i="11"/>
  <c r="K107" i="11"/>
  <c r="K32" i="11"/>
  <c r="L28" i="11"/>
  <c r="K62" i="11"/>
  <c r="K92" i="11"/>
  <c r="N123" i="11"/>
  <c r="M152" i="11"/>
  <c r="L123" i="11"/>
  <c r="I32" i="11"/>
  <c r="G77" i="11"/>
  <c r="I123" i="11"/>
  <c r="K43" i="11"/>
  <c r="J16" i="11"/>
  <c r="H137" i="11"/>
  <c r="K77" i="11"/>
  <c r="I137" i="11"/>
  <c r="K50" i="11"/>
  <c r="H92" i="11"/>
  <c r="G92" i="11"/>
  <c r="M50" i="11"/>
  <c r="G16" i="11"/>
  <c r="M123" i="11"/>
  <c r="J152" i="11"/>
  <c r="G50" i="11"/>
  <c r="G28" i="11"/>
  <c r="K152" i="11"/>
  <c r="I28" i="11"/>
  <c r="I63" i="11"/>
  <c r="M78" i="11"/>
  <c r="L138" i="11"/>
  <c r="N16" i="11"/>
  <c r="I50" i="11"/>
  <c r="N122" i="11"/>
  <c r="H31" i="11"/>
  <c r="N32" i="11"/>
  <c r="M43" i="11"/>
  <c r="L92" i="11"/>
  <c r="H78" i="11"/>
  <c r="J51" i="11"/>
  <c r="N152" i="11"/>
  <c r="N28" i="11"/>
  <c r="M77" i="11"/>
  <c r="I77" i="11"/>
  <c r="H77" i="11"/>
  <c r="L107" i="11"/>
  <c r="M137" i="11"/>
  <c r="K31" i="11"/>
  <c r="N50" i="11"/>
  <c r="N31" i="11"/>
  <c r="M31" i="11"/>
  <c r="H152" i="11"/>
  <c r="H138" i="11"/>
  <c r="L78" i="11"/>
  <c r="J122" i="11"/>
  <c r="M16" i="11"/>
  <c r="G63" i="11"/>
  <c r="G152" i="11"/>
  <c r="L50" i="11"/>
  <c r="J50" i="11"/>
  <c r="J77" i="11"/>
  <c r="I62" i="11"/>
  <c r="J28" i="11"/>
  <c r="K122" i="11"/>
  <c r="H28" i="11"/>
  <c r="I16" i="11"/>
  <c r="N51" i="11"/>
  <c r="I122" i="11"/>
  <c r="L32" i="11"/>
  <c r="H16" i="11"/>
  <c r="J92" i="11"/>
  <c r="M28" i="11"/>
  <c r="H122" i="11"/>
  <c r="G51" i="11"/>
  <c r="K78" i="11"/>
  <c r="J62" i="11"/>
  <c r="L51" i="11"/>
  <c r="J43" i="11"/>
  <c r="H62" i="11"/>
  <c r="N137" i="11"/>
  <c r="I51" i="11"/>
  <c r="N77" i="11"/>
  <c r="K123" i="11"/>
  <c r="N138" i="11"/>
  <c r="L16" i="11"/>
  <c r="H50" i="11"/>
  <c r="G32" i="11"/>
  <c r="J63" i="11"/>
  <c r="J78" i="11"/>
  <c r="M138" i="11"/>
  <c r="N92" i="11"/>
  <c r="M92" i="11"/>
  <c r="H107" i="11"/>
  <c r="N63" i="11"/>
  <c r="M107" i="11"/>
  <c r="L63" i="11"/>
  <c r="H32" i="11"/>
  <c r="N107" i="11"/>
  <c r="G62" i="11"/>
  <c r="G78" i="11"/>
  <c r="G43" i="11"/>
  <c r="I107" i="11"/>
  <c r="J31" i="11"/>
  <c r="G123" i="11"/>
  <c r="H51" i="11"/>
  <c r="I92" i="11"/>
  <c r="L122" i="11"/>
  <c r="N53" i="11" l="1"/>
  <c r="K53" i="11"/>
  <c r="J53" i="11"/>
  <c r="O51" i="11"/>
  <c r="H53" i="11"/>
  <c r="I53" i="11"/>
  <c r="O123" i="11"/>
  <c r="L53" i="11"/>
  <c r="M53" i="11"/>
  <c r="O78" i="11"/>
  <c r="O16" i="11"/>
  <c r="L52" i="11"/>
  <c r="N52" i="11"/>
  <c r="O32" i="11"/>
  <c r="O137" i="11"/>
  <c r="O152" i="11"/>
  <c r="O107" i="11"/>
  <c r="O63" i="11"/>
  <c r="M52" i="11"/>
  <c r="O43" i="11"/>
  <c r="I52" i="11"/>
  <c r="O50" i="11"/>
  <c r="O122" i="11"/>
  <c r="O77" i="11"/>
  <c r="O92" i="11"/>
  <c r="O62" i="11"/>
  <c r="O31" i="11"/>
  <c r="K52" i="11"/>
  <c r="O28" i="11"/>
  <c r="H52" i="11"/>
  <c r="J52" i="11"/>
  <c r="A115" i="11"/>
  <c r="A100" i="11"/>
  <c r="C80" i="11"/>
  <c r="C65" i="11"/>
  <c r="C110" i="11"/>
  <c r="A19" i="11"/>
  <c r="C126" i="11"/>
  <c r="A72" i="11"/>
  <c r="A146" i="11"/>
  <c r="C154" i="11"/>
  <c r="C94" i="11"/>
  <c r="A130" i="11"/>
  <c r="A87" i="11"/>
  <c r="A139" i="11"/>
  <c r="A64" i="11"/>
  <c r="A34" i="11"/>
  <c r="C141" i="11"/>
  <c r="A162" i="11"/>
  <c r="A45" i="11"/>
  <c r="I33" i="11"/>
  <c r="K33" i="11"/>
  <c r="L140" i="11"/>
  <c r="G140" i="11"/>
  <c r="G79" i="11"/>
  <c r="G29" i="11"/>
  <c r="N33" i="11"/>
  <c r="K93" i="11"/>
  <c r="K125" i="11"/>
  <c r="H153" i="11"/>
  <c r="H18" i="11"/>
  <c r="L33" i="11"/>
  <c r="H140" i="11"/>
  <c r="M30" i="11"/>
  <c r="H125" i="11"/>
  <c r="I153" i="11"/>
  <c r="K138" i="11"/>
  <c r="J140" i="11"/>
  <c r="G93" i="11"/>
  <c r="L153" i="11"/>
  <c r="J93" i="11"/>
  <c r="K108" i="11"/>
  <c r="N18" i="11"/>
  <c r="N29" i="11"/>
  <c r="M29" i="11"/>
  <c r="K79" i="11"/>
  <c r="J64" i="11"/>
  <c r="I17" i="11"/>
  <c r="G18" i="11"/>
  <c r="M93" i="11"/>
  <c r="I30" i="11"/>
  <c r="J79" i="11"/>
  <c r="I18" i="11"/>
  <c r="H33" i="11"/>
  <c r="M153" i="11"/>
  <c r="H124" i="11"/>
  <c r="K17" i="11"/>
  <c r="M108" i="11"/>
  <c r="K29" i="11"/>
  <c r="I124" i="11"/>
  <c r="J153" i="11"/>
  <c r="M17" i="11"/>
  <c r="M33" i="11"/>
  <c r="K63" i="11"/>
  <c r="M63" i="11"/>
  <c r="L30" i="11"/>
  <c r="I125" i="11"/>
  <c r="M109" i="11"/>
  <c r="M125" i="11"/>
  <c r="I79" i="11"/>
  <c r="N44" i="11"/>
  <c r="K153" i="11"/>
  <c r="G153" i="11"/>
  <c r="I109" i="11"/>
  <c r="H109" i="11"/>
  <c r="G30" i="11"/>
  <c r="N30" i="11"/>
  <c r="G108" i="11"/>
  <c r="J17" i="11"/>
  <c r="I93" i="11"/>
  <c r="M44" i="11"/>
  <c r="L18" i="11"/>
  <c r="G17" i="11"/>
  <c r="N153" i="11"/>
  <c r="L93" i="11"/>
  <c r="L44" i="11"/>
  <c r="J124" i="11"/>
  <c r="J138" i="11"/>
  <c r="H93" i="11"/>
  <c r="G125" i="11"/>
  <c r="K44" i="11"/>
  <c r="L17" i="11"/>
  <c r="L124" i="11"/>
  <c r="H108" i="11"/>
  <c r="J33" i="11"/>
  <c r="L29" i="11"/>
  <c r="J29" i="11"/>
  <c r="L79" i="11"/>
  <c r="I140" i="11"/>
  <c r="J108" i="11"/>
  <c r="N79" i="11"/>
  <c r="K140" i="11"/>
  <c r="L108" i="11"/>
  <c r="K18" i="11"/>
  <c r="M18" i="11"/>
  <c r="L125" i="11"/>
  <c r="N93" i="11"/>
  <c r="N124" i="11"/>
  <c r="H17" i="11"/>
  <c r="I108" i="11"/>
  <c r="N109" i="11"/>
  <c r="L109" i="11"/>
  <c r="J125" i="11"/>
  <c r="I44" i="11"/>
  <c r="M124" i="11"/>
  <c r="N140" i="11"/>
  <c r="G44" i="11"/>
  <c r="K109" i="11"/>
  <c r="M79" i="11"/>
  <c r="H44" i="11"/>
  <c r="J18" i="11"/>
  <c r="G124" i="11"/>
  <c r="I138" i="11"/>
  <c r="J109" i="11"/>
  <c r="G109" i="11"/>
  <c r="H30" i="11"/>
  <c r="G33" i="11"/>
  <c r="J44" i="11"/>
  <c r="H79" i="11"/>
  <c r="J30" i="11"/>
  <c r="N125" i="11"/>
  <c r="I29" i="11"/>
  <c r="K124" i="11"/>
  <c r="M140" i="11"/>
  <c r="K30" i="11"/>
  <c r="H29" i="11"/>
  <c r="N108" i="11"/>
  <c r="N17" i="11"/>
  <c r="O124" i="11" l="1"/>
  <c r="O138" i="11"/>
  <c r="O125" i="11"/>
  <c r="O29" i="11"/>
  <c r="O18" i="11"/>
  <c r="O30" i="11"/>
  <c r="O109" i="11"/>
  <c r="O44" i="11"/>
  <c r="O93" i="11"/>
  <c r="O33" i="11"/>
  <c r="O79" i="11"/>
  <c r="O108" i="11"/>
  <c r="O153" i="11"/>
  <c r="O17" i="11"/>
  <c r="O140" i="11"/>
  <c r="A88" i="11"/>
  <c r="C95" i="11"/>
  <c r="A147" i="11"/>
  <c r="C142" i="11"/>
  <c r="C155" i="11"/>
  <c r="A20" i="11"/>
  <c r="A101" i="11"/>
  <c r="C111" i="11"/>
  <c r="C66" i="11"/>
  <c r="C81" i="11"/>
  <c r="A116" i="11"/>
  <c r="A35" i="11"/>
  <c r="A46" i="11"/>
  <c r="A163" i="11"/>
  <c r="A131" i="11"/>
  <c r="A73" i="11"/>
  <c r="C127" i="11"/>
  <c r="L94" i="11"/>
  <c r="G19" i="11"/>
  <c r="N139" i="11"/>
  <c r="M126" i="11"/>
  <c r="J154" i="11"/>
  <c r="L65" i="11"/>
  <c r="K110" i="11"/>
  <c r="L154" i="11"/>
  <c r="M110" i="11"/>
  <c r="L45" i="11"/>
  <c r="G80" i="11"/>
  <c r="M45" i="11"/>
  <c r="I19" i="11"/>
  <c r="G34" i="11"/>
  <c r="J19" i="11"/>
  <c r="H80" i="11"/>
  <c r="I94" i="11"/>
  <c r="N19" i="11"/>
  <c r="L80" i="11"/>
  <c r="M139" i="11"/>
  <c r="H65" i="11"/>
  <c r="K45" i="11"/>
  <c r="I154" i="11"/>
  <c r="J94" i="11"/>
  <c r="N34" i="11"/>
  <c r="J126" i="11"/>
  <c r="H110" i="11"/>
  <c r="L64" i="11"/>
  <c r="L139" i="11"/>
  <c r="M65" i="11"/>
  <c r="J139" i="11"/>
  <c r="J141" i="11"/>
  <c r="N94" i="11"/>
  <c r="G141" i="11"/>
  <c r="H19" i="11"/>
  <c r="K94" i="11"/>
  <c r="J65" i="11"/>
  <c r="J34" i="11"/>
  <c r="N126" i="11"/>
  <c r="K64" i="11"/>
  <c r="I34" i="11"/>
  <c r="G126" i="11"/>
  <c r="G154" i="11"/>
  <c r="I126" i="11"/>
  <c r="N141" i="11"/>
  <c r="I139" i="11"/>
  <c r="H139" i="11"/>
  <c r="M34" i="11"/>
  <c r="I110" i="11"/>
  <c r="N65" i="11"/>
  <c r="H94" i="11"/>
  <c r="K65" i="11"/>
  <c r="L141" i="11"/>
  <c r="I64" i="11"/>
  <c r="N45" i="11"/>
  <c r="G45" i="11"/>
  <c r="K19" i="11"/>
  <c r="I45" i="11"/>
  <c r="L34" i="11"/>
  <c r="H45" i="11"/>
  <c r="K126" i="11"/>
  <c r="K34" i="11"/>
  <c r="H154" i="11"/>
  <c r="L19" i="11"/>
  <c r="N64" i="11"/>
  <c r="L126" i="11"/>
  <c r="G65" i="11"/>
  <c r="M141" i="11"/>
  <c r="G110" i="11"/>
  <c r="J45" i="11"/>
  <c r="M94" i="11"/>
  <c r="K141" i="11"/>
  <c r="K80" i="11"/>
  <c r="M19" i="11"/>
  <c r="N154" i="11"/>
  <c r="G94" i="11"/>
  <c r="G139" i="11"/>
  <c r="K154" i="11"/>
  <c r="M80" i="11"/>
  <c r="J80" i="11"/>
  <c r="G64" i="11"/>
  <c r="N80" i="11"/>
  <c r="I141" i="11"/>
  <c r="J110" i="11"/>
  <c r="H34" i="11"/>
  <c r="L110" i="11"/>
  <c r="H126" i="11"/>
  <c r="K139" i="11"/>
  <c r="M64" i="11"/>
  <c r="H64" i="11"/>
  <c r="M154" i="11"/>
  <c r="I80" i="11"/>
  <c r="H141" i="11"/>
  <c r="N110" i="11"/>
  <c r="I65" i="11"/>
  <c r="O126" i="11" l="1"/>
  <c r="O139" i="11"/>
  <c r="O80" i="11"/>
  <c r="O65" i="11"/>
  <c r="O45" i="11"/>
  <c r="O19" i="11"/>
  <c r="O110" i="11"/>
  <c r="O34" i="11"/>
  <c r="O64" i="11"/>
  <c r="O154" i="11"/>
  <c r="O141" i="11"/>
  <c r="O94" i="11"/>
  <c r="C128" i="11"/>
  <c r="A74" i="11"/>
  <c r="A75" i="11" s="1"/>
  <c r="A76" i="11" s="1"/>
  <c r="A132" i="11"/>
  <c r="A117" i="11"/>
  <c r="C156" i="11"/>
  <c r="A148" i="11"/>
  <c r="C96" i="11"/>
  <c r="C82" i="11"/>
  <c r="C112" i="11"/>
  <c r="C143" i="11"/>
  <c r="A47" i="11"/>
  <c r="A36" i="11"/>
  <c r="A89" i="11"/>
  <c r="A90" i="11" s="1"/>
  <c r="A91" i="11" s="1"/>
  <c r="C67" i="11"/>
  <c r="A102" i="11"/>
  <c r="A21" i="11"/>
  <c r="M127" i="11"/>
  <c r="L95" i="11"/>
  <c r="H66" i="11"/>
  <c r="J66" i="11"/>
  <c r="M142" i="11"/>
  <c r="G111" i="11"/>
  <c r="N127" i="11"/>
  <c r="J48" i="11"/>
  <c r="M20" i="11"/>
  <c r="N20" i="11"/>
  <c r="J127" i="11"/>
  <c r="M46" i="11"/>
  <c r="N46" i="11"/>
  <c r="J142" i="11"/>
  <c r="L46" i="11"/>
  <c r="I95" i="11"/>
  <c r="L81" i="11"/>
  <c r="L155" i="11"/>
  <c r="J35" i="11"/>
  <c r="H155" i="11"/>
  <c r="G35" i="11"/>
  <c r="J95" i="11"/>
  <c r="J46" i="11"/>
  <c r="H95" i="11"/>
  <c r="K142" i="11"/>
  <c r="H46" i="11"/>
  <c r="N155" i="11"/>
  <c r="I81" i="11"/>
  <c r="L48" i="11"/>
  <c r="H142" i="11"/>
  <c r="H48" i="11"/>
  <c r="N48" i="11"/>
  <c r="I35" i="11"/>
  <c r="K48" i="11"/>
  <c r="G48" i="11"/>
  <c r="K95" i="11"/>
  <c r="H81" i="11"/>
  <c r="M66" i="11"/>
  <c r="K127" i="11"/>
  <c r="I20" i="11"/>
  <c r="K35" i="11"/>
  <c r="K66" i="11"/>
  <c r="K46" i="11"/>
  <c r="H20" i="11"/>
  <c r="M48" i="11"/>
  <c r="I48" i="11"/>
  <c r="K111" i="11"/>
  <c r="H111" i="11"/>
  <c r="K20" i="11"/>
  <c r="G46" i="11"/>
  <c r="J155" i="11"/>
  <c r="M35" i="11"/>
  <c r="M81" i="11"/>
  <c r="K81" i="11"/>
  <c r="L142" i="11"/>
  <c r="N66" i="11"/>
  <c r="J111" i="11"/>
  <c r="G20" i="11"/>
  <c r="L127" i="11"/>
  <c r="J20" i="11"/>
  <c r="L35" i="11"/>
  <c r="L111" i="11"/>
  <c r="I127" i="11"/>
  <c r="G66" i="11"/>
  <c r="N95" i="11"/>
  <c r="L66" i="11"/>
  <c r="J81" i="11"/>
  <c r="M155" i="11"/>
  <c r="H127" i="11"/>
  <c r="G81" i="11"/>
  <c r="N35" i="11"/>
  <c r="N81" i="11"/>
  <c r="K155" i="11"/>
  <c r="M95" i="11"/>
  <c r="N142" i="11"/>
  <c r="G155" i="11"/>
  <c r="M111" i="11"/>
  <c r="I111" i="11"/>
  <c r="G142" i="11"/>
  <c r="I46" i="11"/>
  <c r="I142" i="11"/>
  <c r="I66" i="11"/>
  <c r="H35" i="11"/>
  <c r="I155" i="11"/>
  <c r="N111" i="11"/>
  <c r="G127" i="11"/>
  <c r="G95" i="11"/>
  <c r="L20" i="11"/>
  <c r="O81" i="11" l="1"/>
  <c r="O46" i="11"/>
  <c r="O95" i="11"/>
  <c r="O155" i="11"/>
  <c r="O35" i="11"/>
  <c r="O142" i="11"/>
  <c r="O127" i="11"/>
  <c r="O20" i="11"/>
  <c r="O66" i="11"/>
  <c r="O111" i="11"/>
  <c r="O48" i="11"/>
  <c r="A103" i="11"/>
  <c r="A118" i="11"/>
  <c r="C144" i="11"/>
  <c r="C113" i="11"/>
  <c r="C157" i="11"/>
  <c r="A22" i="11"/>
  <c r="A37" i="11"/>
  <c r="A133" i="11"/>
  <c r="C97" i="11"/>
  <c r="A149" i="11"/>
  <c r="A150" i="11" s="1"/>
  <c r="A151" i="11" s="1"/>
  <c r="C129" i="11"/>
  <c r="C83" i="11"/>
  <c r="C68" i="11"/>
  <c r="L143" i="11"/>
  <c r="I47" i="11"/>
  <c r="N47" i="11"/>
  <c r="K156" i="11"/>
  <c r="M67" i="11"/>
  <c r="I49" i="11"/>
  <c r="H156" i="11"/>
  <c r="J156" i="11"/>
  <c r="G36" i="11"/>
  <c r="L128" i="11"/>
  <c r="J143" i="11"/>
  <c r="M143" i="11"/>
  <c r="N21" i="11"/>
  <c r="N156" i="11"/>
  <c r="G49" i="11"/>
  <c r="J36" i="11"/>
  <c r="M112" i="11"/>
  <c r="K112" i="11"/>
  <c r="H96" i="11"/>
  <c r="M49" i="11"/>
  <c r="H128" i="11"/>
  <c r="K128" i="11"/>
  <c r="G21" i="11"/>
  <c r="N143" i="11"/>
  <c r="L96" i="11"/>
  <c r="M96" i="11"/>
  <c r="H143" i="11"/>
  <c r="J96" i="11"/>
  <c r="K47" i="11"/>
  <c r="J49" i="11"/>
  <c r="G156" i="11"/>
  <c r="J128" i="11"/>
  <c r="I128" i="11"/>
  <c r="J112" i="11"/>
  <c r="I82" i="11"/>
  <c r="I156" i="11"/>
  <c r="M156" i="11"/>
  <c r="L82" i="11"/>
  <c r="K82" i="11"/>
  <c r="M36" i="11"/>
  <c r="G128" i="11"/>
  <c r="K21" i="11"/>
  <c r="H112" i="11"/>
  <c r="L156" i="11"/>
  <c r="N36" i="11"/>
  <c r="N128" i="11"/>
  <c r="M128" i="11"/>
  <c r="J21" i="11"/>
  <c r="I96" i="11"/>
  <c r="G82" i="11"/>
  <c r="I143" i="11"/>
  <c r="G67" i="11"/>
  <c r="I67" i="11"/>
  <c r="K49" i="11"/>
  <c r="H21" i="11"/>
  <c r="N49" i="11"/>
  <c r="K36" i="11"/>
  <c r="H67" i="11"/>
  <c r="K67" i="11"/>
  <c r="G96" i="11"/>
  <c r="M21" i="11"/>
  <c r="K143" i="11"/>
  <c r="M82" i="11"/>
  <c r="N112" i="11"/>
  <c r="M47" i="11"/>
  <c r="J47" i="11"/>
  <c r="L49" i="11"/>
  <c r="H47" i="11"/>
  <c r="H49" i="11"/>
  <c r="G143" i="11"/>
  <c r="L112" i="11"/>
  <c r="G47" i="11"/>
  <c r="G112" i="11"/>
  <c r="L21" i="11"/>
  <c r="H36" i="11"/>
  <c r="L67" i="11"/>
  <c r="H82" i="11"/>
  <c r="I36" i="11"/>
  <c r="N96" i="11"/>
  <c r="I21" i="11"/>
  <c r="L36" i="11"/>
  <c r="K96" i="11"/>
  <c r="N67" i="11"/>
  <c r="I112" i="11"/>
  <c r="J82" i="11"/>
  <c r="J67" i="11"/>
  <c r="N82" i="11"/>
  <c r="L47" i="11"/>
  <c r="O112" i="11" l="1"/>
  <c r="O82" i="11"/>
  <c r="O96" i="11"/>
  <c r="O47" i="11"/>
  <c r="O36" i="11"/>
  <c r="O156" i="11"/>
  <c r="O143" i="11"/>
  <c r="O67" i="11"/>
  <c r="O128" i="11"/>
  <c r="O49" i="11"/>
  <c r="O21" i="11"/>
  <c r="C69" i="11"/>
  <c r="A38" i="11"/>
  <c r="C145" i="11"/>
  <c r="A104" i="11"/>
  <c r="A105" i="11" s="1"/>
  <c r="A106" i="11" s="1"/>
  <c r="C114" i="11"/>
  <c r="A119" i="11"/>
  <c r="A120" i="11" s="1"/>
  <c r="A121" i="11" s="1"/>
  <c r="C98" i="11"/>
  <c r="C130" i="11"/>
  <c r="C158" i="11"/>
  <c r="C84" i="11"/>
  <c r="A134" i="11"/>
  <c r="A135" i="11" s="1"/>
  <c r="A136" i="11" s="1"/>
  <c r="A23" i="11"/>
  <c r="J40" i="11"/>
  <c r="I97" i="11"/>
  <c r="M144" i="11"/>
  <c r="I37" i="11"/>
  <c r="I68" i="11"/>
  <c r="M97" i="11"/>
  <c r="J113" i="11"/>
  <c r="K22" i="11"/>
  <c r="H22" i="11"/>
  <c r="G157" i="11"/>
  <c r="N68" i="11"/>
  <c r="L83" i="11"/>
  <c r="I129" i="11"/>
  <c r="J157" i="11"/>
  <c r="H83" i="11"/>
  <c r="H113" i="11"/>
  <c r="M129" i="11"/>
  <c r="H68" i="11"/>
  <c r="J22" i="11"/>
  <c r="M157" i="11"/>
  <c r="G97" i="11"/>
  <c r="L113" i="11"/>
  <c r="N37" i="11"/>
  <c r="G68" i="11"/>
  <c r="G113" i="11"/>
  <c r="L144" i="11"/>
  <c r="L129" i="11"/>
  <c r="H157" i="11"/>
  <c r="L22" i="11"/>
  <c r="K113" i="11"/>
  <c r="K144" i="11"/>
  <c r="J97" i="11"/>
  <c r="M68" i="11"/>
  <c r="J129" i="11"/>
  <c r="I157" i="11"/>
  <c r="H97" i="11"/>
  <c r="N129" i="11"/>
  <c r="N83" i="11"/>
  <c r="K157" i="11"/>
  <c r="G40" i="11"/>
  <c r="L37" i="11"/>
  <c r="I144" i="11"/>
  <c r="G144" i="11"/>
  <c r="L40" i="11"/>
  <c r="G83" i="11"/>
  <c r="J144" i="11"/>
  <c r="G22" i="11"/>
  <c r="N113" i="11"/>
  <c r="K97" i="11"/>
  <c r="M83" i="11"/>
  <c r="N157" i="11"/>
  <c r="N22" i="11"/>
  <c r="I83" i="11"/>
  <c r="L97" i="11"/>
  <c r="I22" i="11"/>
  <c r="N40" i="11"/>
  <c r="H40" i="11"/>
  <c r="K37" i="11"/>
  <c r="H129" i="11"/>
  <c r="M40" i="11"/>
  <c r="K40" i="11"/>
  <c r="M22" i="11"/>
  <c r="L68" i="11"/>
  <c r="M37" i="11"/>
  <c r="H144" i="11"/>
  <c r="N144" i="11"/>
  <c r="K129" i="11"/>
  <c r="J37" i="11"/>
  <c r="G129" i="11"/>
  <c r="I40" i="11"/>
  <c r="I113" i="11"/>
  <c r="G37" i="11"/>
  <c r="L157" i="11"/>
  <c r="N97" i="11"/>
  <c r="J68" i="11"/>
  <c r="K83" i="11"/>
  <c r="M113" i="11"/>
  <c r="K68" i="11"/>
  <c r="H37" i="11"/>
  <c r="J83" i="11"/>
  <c r="O97" i="11" l="1"/>
  <c r="O144" i="11"/>
  <c r="O68" i="11"/>
  <c r="O83" i="11"/>
  <c r="O113" i="11"/>
  <c r="O157" i="11"/>
  <c r="O22" i="11"/>
  <c r="O129" i="11"/>
  <c r="O40" i="11"/>
  <c r="O37" i="11"/>
  <c r="C159" i="11"/>
  <c r="C99" i="11"/>
  <c r="C146" i="11"/>
  <c r="C70" i="11"/>
  <c r="C131" i="11"/>
  <c r="C115" i="11"/>
  <c r="A24" i="11"/>
  <c r="C85" i="11"/>
  <c r="A39" i="11"/>
  <c r="M158" i="11"/>
  <c r="I130" i="11"/>
  <c r="M23" i="11"/>
  <c r="I98" i="11"/>
  <c r="M98" i="11"/>
  <c r="H114" i="11"/>
  <c r="J41" i="11"/>
  <c r="K69" i="11"/>
  <c r="L23" i="11"/>
  <c r="N98" i="11"/>
  <c r="L114" i="11"/>
  <c r="H23" i="11"/>
  <c r="N38" i="11"/>
  <c r="L98" i="11"/>
  <c r="N41" i="11"/>
  <c r="G38" i="11"/>
  <c r="H130" i="11"/>
  <c r="I145" i="11"/>
  <c r="N114" i="11"/>
  <c r="J84" i="11"/>
  <c r="N130" i="11"/>
  <c r="H145" i="11"/>
  <c r="M114" i="11"/>
  <c r="L41" i="11"/>
  <c r="G158" i="11"/>
  <c r="L38" i="11"/>
  <c r="M84" i="11"/>
  <c r="I69" i="11"/>
  <c r="J130" i="11"/>
  <c r="H98" i="11"/>
  <c r="K23" i="11"/>
  <c r="K41" i="11"/>
  <c r="H84" i="11"/>
  <c r="I41" i="11"/>
  <c r="N158" i="11"/>
  <c r="L84" i="11"/>
  <c r="K130" i="11"/>
  <c r="H158" i="11"/>
  <c r="L145" i="11"/>
  <c r="J38" i="11"/>
  <c r="G145" i="11"/>
  <c r="G114" i="11"/>
  <c r="G41" i="11"/>
  <c r="L69" i="11"/>
  <c r="H41" i="11"/>
  <c r="K98" i="11"/>
  <c r="N145" i="11"/>
  <c r="K114" i="11"/>
  <c r="N69" i="11"/>
  <c r="M41" i="11"/>
  <c r="I158" i="11"/>
  <c r="N23" i="11"/>
  <c r="M38" i="11"/>
  <c r="M145" i="11"/>
  <c r="K38" i="11"/>
  <c r="G23" i="11"/>
  <c r="J158" i="11"/>
  <c r="H38" i="11"/>
  <c r="H69" i="11"/>
  <c r="J69" i="11"/>
  <c r="J145" i="11"/>
  <c r="K145" i="11"/>
  <c r="G84" i="11"/>
  <c r="N84" i="11"/>
  <c r="G98" i="11"/>
  <c r="J114" i="11"/>
  <c r="K84" i="11"/>
  <c r="I23" i="11"/>
  <c r="M69" i="11"/>
  <c r="G130" i="11"/>
  <c r="M130" i="11"/>
  <c r="L130" i="11"/>
  <c r="K158" i="11"/>
  <c r="L158" i="11"/>
  <c r="J98" i="11"/>
  <c r="I114" i="11"/>
  <c r="J23" i="11"/>
  <c r="I38" i="11"/>
  <c r="G69" i="11"/>
  <c r="I84" i="11"/>
  <c r="O84" i="11" l="1"/>
  <c r="O23" i="11"/>
  <c r="O145" i="11"/>
  <c r="O158" i="11"/>
  <c r="O69" i="11"/>
  <c r="O41" i="11"/>
  <c r="O38" i="11"/>
  <c r="O114" i="11"/>
  <c r="O130" i="11"/>
  <c r="O98" i="11"/>
  <c r="C86" i="11"/>
  <c r="C116" i="11"/>
  <c r="C71" i="11"/>
  <c r="C100" i="11"/>
  <c r="C160" i="11"/>
  <c r="C132" i="11"/>
  <c r="A25" i="11"/>
  <c r="C147" i="11"/>
  <c r="H131" i="11"/>
  <c r="I146" i="11"/>
  <c r="G99" i="11"/>
  <c r="L159" i="11"/>
  <c r="L134" i="11"/>
  <c r="G85" i="11"/>
  <c r="K115" i="11"/>
  <c r="G42" i="11"/>
  <c r="J149" i="11"/>
  <c r="K131" i="11"/>
  <c r="N39" i="11"/>
  <c r="L42" i="11"/>
  <c r="K159" i="11"/>
  <c r="K42" i="11"/>
  <c r="N24" i="11"/>
  <c r="L39" i="11"/>
  <c r="I99" i="11"/>
  <c r="L146" i="11"/>
  <c r="M131" i="11"/>
  <c r="N99" i="11"/>
  <c r="L149" i="11"/>
  <c r="N134" i="11"/>
  <c r="G115" i="11"/>
  <c r="H115" i="11"/>
  <c r="N42" i="11"/>
  <c r="J159" i="11"/>
  <c r="G131" i="11"/>
  <c r="H146" i="11"/>
  <c r="K70" i="11"/>
  <c r="L99" i="11"/>
  <c r="K85" i="11"/>
  <c r="J131" i="11"/>
  <c r="I115" i="11"/>
  <c r="H42" i="11"/>
  <c r="H24" i="11"/>
  <c r="K134" i="11"/>
  <c r="L70" i="11"/>
  <c r="M39" i="11"/>
  <c r="J24" i="11"/>
  <c r="I159" i="11"/>
  <c r="M115" i="11"/>
  <c r="M146" i="11"/>
  <c r="H85" i="11"/>
  <c r="J99" i="11"/>
  <c r="M70" i="11"/>
  <c r="I42" i="11"/>
  <c r="K39" i="11"/>
  <c r="H99" i="11"/>
  <c r="I134" i="11"/>
  <c r="H39" i="11"/>
  <c r="N85" i="11"/>
  <c r="G149" i="11"/>
  <c r="J42" i="11"/>
  <c r="G159" i="11"/>
  <c r="G146" i="11"/>
  <c r="J115" i="11"/>
  <c r="K24" i="11"/>
  <c r="I149" i="11"/>
  <c r="H159" i="11"/>
  <c r="I39" i="11"/>
  <c r="N70" i="11"/>
  <c r="J146" i="11"/>
  <c r="I131" i="11"/>
  <c r="I24" i="11"/>
  <c r="I85" i="11"/>
  <c r="K149" i="11"/>
  <c r="J134" i="11"/>
  <c r="J70" i="11"/>
  <c r="K146" i="11"/>
  <c r="L85" i="11"/>
  <c r="G70" i="11"/>
  <c r="H70" i="11"/>
  <c r="J85" i="11"/>
  <c r="M24" i="11"/>
  <c r="M134" i="11"/>
  <c r="H134" i="11"/>
  <c r="N146" i="11"/>
  <c r="N131" i="11"/>
  <c r="L24" i="11"/>
  <c r="N149" i="11"/>
  <c r="N115" i="11"/>
  <c r="M159" i="11"/>
  <c r="M42" i="11"/>
  <c r="H149" i="11"/>
  <c r="N159" i="11"/>
  <c r="G39" i="11"/>
  <c r="L115" i="11"/>
  <c r="L131" i="11"/>
  <c r="G24" i="11"/>
  <c r="M99" i="11"/>
  <c r="M85" i="11"/>
  <c r="G134" i="11"/>
  <c r="K99" i="11"/>
  <c r="M149" i="11"/>
  <c r="J39" i="11"/>
  <c r="I70" i="11"/>
  <c r="O146" i="11" l="1"/>
  <c r="O131" i="11"/>
  <c r="O24" i="11"/>
  <c r="O134" i="11"/>
  <c r="O85" i="11"/>
  <c r="O149" i="11"/>
  <c r="O42" i="11"/>
  <c r="O39" i="11"/>
  <c r="O159" i="11"/>
  <c r="O115" i="11"/>
  <c r="O99" i="11"/>
  <c r="O70" i="11"/>
  <c r="C133" i="11"/>
  <c r="C161" i="11"/>
  <c r="C117" i="11"/>
  <c r="C148" i="11"/>
  <c r="C87" i="11"/>
  <c r="A26" i="11"/>
  <c r="C101" i="11"/>
  <c r="C72" i="11"/>
  <c r="N135" i="11"/>
  <c r="I147" i="11"/>
  <c r="K135" i="11"/>
  <c r="G100" i="11"/>
  <c r="K119" i="11"/>
  <c r="K71" i="11"/>
  <c r="G71" i="11"/>
  <c r="N89" i="11"/>
  <c r="I89" i="11"/>
  <c r="J89" i="11"/>
  <c r="J71" i="11"/>
  <c r="M135" i="11"/>
  <c r="J25" i="11"/>
  <c r="L116" i="11"/>
  <c r="L89" i="11"/>
  <c r="H147" i="11"/>
  <c r="M71" i="11"/>
  <c r="N116" i="11"/>
  <c r="K100" i="11"/>
  <c r="N71" i="11"/>
  <c r="G132" i="11"/>
  <c r="J132" i="11"/>
  <c r="G119" i="11"/>
  <c r="M25" i="11"/>
  <c r="J135" i="11"/>
  <c r="H160" i="11"/>
  <c r="K86" i="11"/>
  <c r="I132" i="11"/>
  <c r="N74" i="11"/>
  <c r="G116" i="11"/>
  <c r="M132" i="11"/>
  <c r="M89" i="11"/>
  <c r="H100" i="11"/>
  <c r="N147" i="11"/>
  <c r="M116" i="11"/>
  <c r="I100" i="11"/>
  <c r="L160" i="11"/>
  <c r="N86" i="11"/>
  <c r="L147" i="11"/>
  <c r="L71" i="11"/>
  <c r="M86" i="11"/>
  <c r="K132" i="11"/>
  <c r="N150" i="11"/>
  <c r="H71" i="11"/>
  <c r="L150" i="11"/>
  <c r="K160" i="11"/>
  <c r="H25" i="11"/>
  <c r="J150" i="11"/>
  <c r="J74" i="11"/>
  <c r="I71" i="11"/>
  <c r="J119" i="11"/>
  <c r="H119" i="11"/>
  <c r="N25" i="11"/>
  <c r="M147" i="11"/>
  <c r="L135" i="11"/>
  <c r="G25" i="11"/>
  <c r="J160" i="11"/>
  <c r="N119" i="11"/>
  <c r="K116" i="11"/>
  <c r="L86" i="11"/>
  <c r="I135" i="11"/>
  <c r="N100" i="11"/>
  <c r="I116" i="11"/>
  <c r="H135" i="11"/>
  <c r="H89" i="11"/>
  <c r="M119" i="11"/>
  <c r="I25" i="11"/>
  <c r="H132" i="11"/>
  <c r="K89" i="11"/>
  <c r="J86" i="11"/>
  <c r="L100" i="11"/>
  <c r="H116" i="11"/>
  <c r="G135" i="11"/>
  <c r="G147" i="11"/>
  <c r="M74" i="11"/>
  <c r="J147" i="11"/>
  <c r="G86" i="11"/>
  <c r="G74" i="11"/>
  <c r="L119" i="11"/>
  <c r="G160" i="11"/>
  <c r="M100" i="11"/>
  <c r="J116" i="11"/>
  <c r="J100" i="11"/>
  <c r="H74" i="11"/>
  <c r="G89" i="11"/>
  <c r="L25" i="11"/>
  <c r="I150" i="11"/>
  <c r="H150" i="11"/>
  <c r="K74" i="11"/>
  <c r="I86" i="11"/>
  <c r="M160" i="11"/>
  <c r="L74" i="11"/>
  <c r="K150" i="11"/>
  <c r="I74" i="11"/>
  <c r="N160" i="11"/>
  <c r="I119" i="11"/>
  <c r="K147" i="11"/>
  <c r="N132" i="11"/>
  <c r="H86" i="11"/>
  <c r="L132" i="11"/>
  <c r="M150" i="11"/>
  <c r="K25" i="11"/>
  <c r="I160" i="11"/>
  <c r="G150" i="11"/>
  <c r="O116" i="11" l="1"/>
  <c r="O132" i="11"/>
  <c r="O135" i="11"/>
  <c r="O71" i="11"/>
  <c r="O74" i="11"/>
  <c r="O25" i="11"/>
  <c r="O147" i="11"/>
  <c r="O160" i="11"/>
  <c r="O100" i="11"/>
  <c r="O89" i="11"/>
  <c r="O119" i="11"/>
  <c r="O86" i="11"/>
  <c r="O150" i="11"/>
  <c r="C118" i="11"/>
  <c r="C102" i="11"/>
  <c r="A27" i="11"/>
  <c r="C162" i="11"/>
  <c r="C73" i="11"/>
  <c r="C88" i="11"/>
  <c r="J90" i="11"/>
  <c r="K87" i="11"/>
  <c r="G148" i="11"/>
  <c r="N72" i="11"/>
  <c r="I26" i="11"/>
  <c r="N161" i="11"/>
  <c r="I117" i="11"/>
  <c r="L117" i="11"/>
  <c r="H87" i="11"/>
  <c r="H120" i="11"/>
  <c r="G72" i="11"/>
  <c r="G151" i="11"/>
  <c r="M148" i="11"/>
  <c r="J133" i="11"/>
  <c r="L136" i="11"/>
  <c r="M133" i="11"/>
  <c r="G120" i="11"/>
  <c r="I164" i="11"/>
  <c r="H161" i="11"/>
  <c r="M72" i="11"/>
  <c r="M117" i="11"/>
  <c r="K104" i="11"/>
  <c r="I151" i="11"/>
  <c r="N164" i="11"/>
  <c r="J161" i="11"/>
  <c r="H117" i="11"/>
  <c r="H151" i="11"/>
  <c r="K101" i="11"/>
  <c r="L151" i="11"/>
  <c r="H101" i="11"/>
  <c r="N26" i="11"/>
  <c r="G26" i="11"/>
  <c r="N75" i="11"/>
  <c r="G136" i="11"/>
  <c r="K117" i="11"/>
  <c r="L120" i="11"/>
  <c r="N101" i="11"/>
  <c r="N133" i="11"/>
  <c r="G161" i="11"/>
  <c r="H148" i="11"/>
  <c r="I101" i="11"/>
  <c r="K90" i="11"/>
  <c r="G90" i="11"/>
  <c r="J148" i="11"/>
  <c r="H164" i="11"/>
  <c r="K148" i="11"/>
  <c r="K120" i="11"/>
  <c r="G104" i="11"/>
  <c r="M136" i="11"/>
  <c r="L101" i="11"/>
  <c r="L75" i="11"/>
  <c r="I87" i="11"/>
  <c r="K161" i="11"/>
  <c r="L90" i="11"/>
  <c r="I75" i="11"/>
  <c r="I90" i="11"/>
  <c r="L104" i="11"/>
  <c r="N151" i="11"/>
  <c r="J72" i="11"/>
  <c r="G87" i="11"/>
  <c r="N90" i="11"/>
  <c r="K136" i="11"/>
  <c r="L161" i="11"/>
  <c r="I148" i="11"/>
  <c r="K26" i="11"/>
  <c r="M120" i="11"/>
  <c r="I133" i="11"/>
  <c r="M75" i="11"/>
  <c r="N136" i="11"/>
  <c r="G75" i="11"/>
  <c r="J151" i="11"/>
  <c r="J101" i="11"/>
  <c r="M90" i="11"/>
  <c r="L72" i="11"/>
  <c r="J136" i="11"/>
  <c r="H26" i="11"/>
  <c r="J164" i="11"/>
  <c r="L164" i="11"/>
  <c r="H75" i="11"/>
  <c r="L133" i="11"/>
  <c r="G117" i="11"/>
  <c r="J104" i="11"/>
  <c r="H72" i="11"/>
  <c r="J26" i="11"/>
  <c r="I120" i="11"/>
  <c r="H104" i="11"/>
  <c r="J87" i="11"/>
  <c r="L148" i="11"/>
  <c r="H136" i="11"/>
  <c r="L87" i="11"/>
  <c r="I104" i="11"/>
  <c r="K151" i="11"/>
  <c r="M104" i="11"/>
  <c r="J75" i="11"/>
  <c r="I136" i="11"/>
  <c r="N120" i="11"/>
  <c r="N117" i="11"/>
  <c r="H133" i="11"/>
  <c r="I72" i="11"/>
  <c r="G164" i="11"/>
  <c r="N104" i="11"/>
  <c r="G101" i="11"/>
  <c r="N148" i="11"/>
  <c r="M26" i="11"/>
  <c r="M151" i="11"/>
  <c r="L26" i="11"/>
  <c r="M87" i="11"/>
  <c r="N87" i="11"/>
  <c r="J120" i="11"/>
  <c r="K164" i="11"/>
  <c r="J117" i="11"/>
  <c r="K75" i="11"/>
  <c r="H90" i="11"/>
  <c r="I161" i="11"/>
  <c r="M164" i="11"/>
  <c r="M161" i="11"/>
  <c r="K72" i="11"/>
  <c r="G133" i="11"/>
  <c r="M101" i="11"/>
  <c r="K133" i="11"/>
  <c r="O87" i="11" l="1"/>
  <c r="O90" i="11"/>
  <c r="O72" i="11"/>
  <c r="O151" i="11"/>
  <c r="O117" i="11"/>
  <c r="O75" i="11"/>
  <c r="O161" i="11"/>
  <c r="O26" i="11"/>
  <c r="O101" i="11"/>
  <c r="O133" i="11"/>
  <c r="O136" i="11"/>
  <c r="O164" i="11"/>
  <c r="O148" i="11"/>
  <c r="O104" i="11"/>
  <c r="O120" i="11"/>
  <c r="C163" i="11"/>
  <c r="C103" i="11"/>
  <c r="H27" i="11"/>
  <c r="J118" i="11"/>
  <c r="J27" i="11"/>
  <c r="K73" i="11"/>
  <c r="L121" i="11"/>
  <c r="L102" i="11"/>
  <c r="I121" i="11"/>
  <c r="G165" i="11"/>
  <c r="J121" i="11"/>
  <c r="L73" i="11"/>
  <c r="J102" i="11"/>
  <c r="K165" i="11"/>
  <c r="J73" i="11"/>
  <c r="L27" i="11"/>
  <c r="N27" i="11"/>
  <c r="J76" i="11"/>
  <c r="H73" i="11"/>
  <c r="I162" i="11"/>
  <c r="L165" i="11"/>
  <c r="G91" i="11"/>
  <c r="N162" i="11"/>
  <c r="N118" i="11"/>
  <c r="I102" i="11"/>
  <c r="J105" i="11"/>
  <c r="L105" i="11"/>
  <c r="K102" i="11"/>
  <c r="H105" i="11"/>
  <c r="L162" i="11"/>
  <c r="M165" i="11"/>
  <c r="K162" i="11"/>
  <c r="H118" i="11"/>
  <c r="M27" i="11"/>
  <c r="M91" i="11"/>
  <c r="I118" i="11"/>
  <c r="I165" i="11"/>
  <c r="K105" i="11"/>
  <c r="H165" i="11"/>
  <c r="G105" i="11"/>
  <c r="J162" i="11"/>
  <c r="M88" i="11"/>
  <c r="I91" i="11"/>
  <c r="K76" i="11"/>
  <c r="N102" i="11"/>
  <c r="G27" i="11"/>
  <c r="L76" i="11"/>
  <c r="M162" i="11"/>
  <c r="G118" i="11"/>
  <c r="J91" i="11"/>
  <c r="J165" i="11"/>
  <c r="L118" i="11"/>
  <c r="H76" i="11"/>
  <c r="K118" i="11"/>
  <c r="K27" i="11"/>
  <c r="G73" i="11"/>
  <c r="H162" i="11"/>
  <c r="H102" i="11"/>
  <c r="M76" i="11"/>
  <c r="G88" i="11"/>
  <c r="L88" i="11"/>
  <c r="M73" i="11"/>
  <c r="H88" i="11"/>
  <c r="K91" i="11"/>
  <c r="N76" i="11"/>
  <c r="H121" i="11"/>
  <c r="I88" i="11"/>
  <c r="M121" i="11"/>
  <c r="N91" i="11"/>
  <c r="M102" i="11"/>
  <c r="H91" i="11"/>
  <c r="M118" i="11"/>
  <c r="G162" i="11"/>
  <c r="I73" i="11"/>
  <c r="I105" i="11"/>
  <c r="M105" i="11"/>
  <c r="N88" i="11"/>
  <c r="N73" i="11"/>
  <c r="N165" i="11"/>
  <c r="N105" i="11"/>
  <c r="K121" i="11"/>
  <c r="I27" i="11"/>
  <c r="J88" i="11"/>
  <c r="N121" i="11"/>
  <c r="K88" i="11"/>
  <c r="G121" i="11"/>
  <c r="G76" i="11"/>
  <c r="G102" i="11"/>
  <c r="I76" i="11"/>
  <c r="L91" i="11"/>
  <c r="O27" i="11" l="1"/>
  <c r="O165" i="11"/>
  <c r="O121" i="11"/>
  <c r="O88" i="11"/>
  <c r="O105" i="11"/>
  <c r="O91" i="11"/>
  <c r="O73" i="11"/>
  <c r="O76" i="11"/>
  <c r="O102" i="11"/>
  <c r="O162" i="11"/>
  <c r="O118" i="11"/>
  <c r="L106" i="11"/>
  <c r="M103" i="11"/>
  <c r="O166" i="11"/>
  <c r="P166" i="11"/>
  <c r="I103" i="11"/>
  <c r="L166" i="11"/>
  <c r="H163" i="11"/>
  <c r="L103" i="11"/>
  <c r="M163" i="11"/>
  <c r="L163" i="11"/>
  <c r="J103" i="11"/>
  <c r="J163" i="11"/>
  <c r="G166" i="11"/>
  <c r="H166" i="11"/>
  <c r="N163" i="11"/>
  <c r="G106" i="11"/>
  <c r="M166" i="11"/>
  <c r="K163" i="11"/>
  <c r="H106" i="11"/>
  <c r="K106" i="11"/>
  <c r="N106" i="11"/>
  <c r="K103" i="11"/>
  <c r="N166" i="11"/>
  <c r="I106" i="11"/>
  <c r="I163" i="11"/>
  <c r="M106" i="11"/>
  <c r="I166" i="11"/>
  <c r="H103" i="11"/>
  <c r="J106" i="11"/>
  <c r="N103" i="11"/>
  <c r="G163" i="11"/>
  <c r="K166" i="11"/>
  <c r="J166" i="11"/>
  <c r="G103" i="11"/>
  <c r="O106" i="11" l="1"/>
  <c r="O103" i="11"/>
  <c r="O163" i="11"/>
  <c r="Q166" i="11"/>
  <c r="V47" i="1" l="1"/>
  <c r="W47" i="1" s="1"/>
  <c r="V39" i="1"/>
  <c r="W39" i="1" s="1"/>
  <c r="X39" i="1" s="1"/>
  <c r="Y39" i="1" s="1"/>
  <c r="U18" i="1"/>
  <c r="V22" i="1"/>
  <c r="W22" i="1"/>
  <c r="X22" i="1"/>
  <c r="U22" i="1"/>
  <c r="H74" i="15" l="1"/>
  <c r="I74" i="15"/>
  <c r="K74" i="15"/>
  <c r="J74" i="15"/>
  <c r="Y37" i="1"/>
  <c r="Z39" i="1"/>
  <c r="Z37" i="1" s="1"/>
  <c r="X47" i="1"/>
  <c r="Y47" i="1" s="1"/>
  <c r="W45" i="1"/>
  <c r="X18" i="1"/>
  <c r="W18" i="1"/>
  <c r="V18" i="1"/>
  <c r="Y45" i="1" l="1"/>
  <c r="Z47" i="1"/>
  <c r="Z45" i="1" s="1"/>
  <c r="V5" i="1" l="1"/>
  <c r="I68" i="15" s="1"/>
  <c r="W5" i="1"/>
  <c r="J68" i="15" s="1"/>
  <c r="X5" i="1"/>
  <c r="K68" i="15" s="1"/>
  <c r="H68" i="15"/>
  <c r="J97" i="3" l="1"/>
  <c r="P32" i="5"/>
  <c r="O32" i="5"/>
  <c r="Q31" i="5"/>
  <c r="M45" i="5"/>
  <c r="J49" i="5"/>
  <c r="L14" i="5"/>
  <c r="L18" i="5" s="1"/>
  <c r="C157" i="5"/>
  <c r="D157" i="5" s="1"/>
  <c r="E157" i="5" s="1"/>
  <c r="C143" i="5"/>
  <c r="F143" i="5" s="1"/>
  <c r="E141" i="5"/>
  <c r="C141" i="5"/>
  <c r="F141" i="5" s="1"/>
  <c r="F138" i="5"/>
  <c r="F136" i="5"/>
  <c r="E136" i="5"/>
  <c r="C127" i="5"/>
  <c r="C128" i="5" s="1"/>
  <c r="B107" i="5"/>
  <c r="E104" i="5"/>
  <c r="F104" i="5" s="1"/>
  <c r="E103" i="5"/>
  <c r="F103" i="5" s="1"/>
  <c r="E102" i="5"/>
  <c r="F102" i="5" s="1"/>
  <c r="B114" i="5" s="1"/>
  <c r="C114" i="5" s="1"/>
  <c r="D114" i="5" s="1"/>
  <c r="E114" i="5" s="1"/>
  <c r="F114" i="5" s="1"/>
  <c r="G114" i="5" s="1"/>
  <c r="B102" i="5"/>
  <c r="E101" i="5"/>
  <c r="F101" i="5" s="1"/>
  <c r="B113" i="5" s="1"/>
  <c r="E100" i="5"/>
  <c r="F100" i="5" s="1"/>
  <c r="B112" i="5" s="1"/>
  <c r="C112" i="5" s="1"/>
  <c r="D112" i="5" s="1"/>
  <c r="E112" i="5" s="1"/>
  <c r="F112" i="5" s="1"/>
  <c r="G112" i="5" s="1"/>
  <c r="E99" i="5"/>
  <c r="F99" i="5" s="1"/>
  <c r="E98" i="5"/>
  <c r="F98" i="5" s="1"/>
  <c r="B110" i="5" s="1"/>
  <c r="C110" i="5" s="1"/>
  <c r="E97" i="5"/>
  <c r="F97" i="5" s="1"/>
  <c r="E96" i="5"/>
  <c r="F96" i="5" s="1"/>
  <c r="E95" i="5"/>
  <c r="F95" i="5" s="1"/>
  <c r="R45" i="5"/>
  <c r="R49" i="5" s="1"/>
  <c r="Q45" i="5"/>
  <c r="P45" i="5"/>
  <c r="P49" i="5" s="1"/>
  <c r="O45" i="5"/>
  <c r="N45" i="5"/>
  <c r="N49" i="5" s="1"/>
  <c r="N26" i="5"/>
  <c r="N25" i="5"/>
  <c r="N24" i="5"/>
  <c r="N23" i="5"/>
  <c r="N17" i="5"/>
  <c r="N16" i="5"/>
  <c r="N15" i="5"/>
  <c r="N13" i="5"/>
  <c r="N12" i="5"/>
  <c r="N11" i="5"/>
  <c r="L15" i="5"/>
  <c r="O15" i="5" s="1"/>
  <c r="N6" i="5"/>
  <c r="N5" i="5"/>
  <c r="N4" i="5"/>
  <c r="N3" i="5"/>
  <c r="L6" i="5"/>
  <c r="O6" i="5" s="1"/>
  <c r="O65" i="5" s="1"/>
  <c r="P65" i="5" s="1"/>
  <c r="L5" i="5"/>
  <c r="O12" i="5"/>
  <c r="O13" i="5"/>
  <c r="O11" i="5"/>
  <c r="O23" i="5"/>
  <c r="R22" i="5"/>
  <c r="M24" i="5" s="1"/>
  <c r="O24" i="5" s="1"/>
  <c r="L16" i="5"/>
  <c r="O16" i="5" s="1"/>
  <c r="O4" i="5"/>
  <c r="O3" i="5"/>
  <c r="B123" i="5" l="1"/>
  <c r="J117" i="5"/>
  <c r="B160" i="5"/>
  <c r="B162" i="5" s="1"/>
  <c r="C159" i="5" s="1"/>
  <c r="B115" i="5"/>
  <c r="C115" i="5" s="1"/>
  <c r="D115" i="5" s="1"/>
  <c r="E115" i="5" s="1"/>
  <c r="F115" i="5" s="1"/>
  <c r="G115" i="5" s="1"/>
  <c r="J134" i="3"/>
  <c r="F21" i="15"/>
  <c r="F20" i="15" s="1"/>
  <c r="O5" i="5"/>
  <c r="N65" i="5" s="1"/>
  <c r="V43" i="5"/>
  <c r="D113" i="5"/>
  <c r="E113" i="5" s="1"/>
  <c r="J54" i="5"/>
  <c r="V45" i="5"/>
  <c r="D110" i="5"/>
  <c r="J99" i="3"/>
  <c r="O99" i="3" s="1"/>
  <c r="P99" i="3" s="1"/>
  <c r="B168" i="5"/>
  <c r="N117" i="5"/>
  <c r="O117" i="5"/>
  <c r="M117" i="5"/>
  <c r="K117" i="5"/>
  <c r="L117" i="5"/>
  <c r="C123" i="5"/>
  <c r="C175" i="5" s="1"/>
  <c r="D123" i="5"/>
  <c r="F123" i="5"/>
  <c r="E123" i="5"/>
  <c r="E175" i="5" s="1"/>
  <c r="G123" i="5"/>
  <c r="O14" i="5"/>
  <c r="K47" i="5"/>
  <c r="K49" i="5" s="1"/>
  <c r="C168" i="5" s="1"/>
  <c r="Q32" i="5"/>
  <c r="J53" i="5"/>
  <c r="C129" i="5"/>
  <c r="M47" i="5"/>
  <c r="M49" i="5" s="1"/>
  <c r="E168" i="5" s="1"/>
  <c r="L46" i="5"/>
  <c r="Q46" i="5"/>
  <c r="Q49" i="5" s="1"/>
  <c r="M26" i="5"/>
  <c r="O26" i="5" s="1"/>
  <c r="L17" i="5"/>
  <c r="F42" i="5"/>
  <c r="F3" i="5"/>
  <c r="F13" i="5"/>
  <c r="F27" i="5"/>
  <c r="F37" i="5"/>
  <c r="F5" i="5"/>
  <c r="F15" i="5"/>
  <c r="F17" i="5"/>
  <c r="F24" i="5"/>
  <c r="F39" i="5"/>
  <c r="F41" i="5"/>
  <c r="F46" i="5"/>
  <c r="F50" i="5"/>
  <c r="F66" i="5"/>
  <c r="F67" i="5"/>
  <c r="F69" i="5"/>
  <c r="F71" i="5"/>
  <c r="F76" i="5"/>
  <c r="F4" i="5"/>
  <c r="F6" i="5"/>
  <c r="F8" i="5"/>
  <c r="F10" i="5"/>
  <c r="F11" i="5"/>
  <c r="F14" i="5"/>
  <c r="F16" i="5"/>
  <c r="F19" i="5"/>
  <c r="F23" i="5"/>
  <c r="F25" i="5"/>
  <c r="F28" i="5"/>
  <c r="F29" i="5"/>
  <c r="F31" i="5"/>
  <c r="F34" i="5"/>
  <c r="F35" i="5"/>
  <c r="F40" i="5"/>
  <c r="F43" i="5"/>
  <c r="F49" i="5"/>
  <c r="F51" i="5"/>
  <c r="F53" i="5"/>
  <c r="F54" i="5"/>
  <c r="F56" i="5"/>
  <c r="F60" i="5"/>
  <c r="F61" i="5"/>
  <c r="F73" i="5"/>
  <c r="F74" i="5"/>
  <c r="F79" i="5"/>
  <c r="F80" i="5"/>
  <c r="F9" i="5"/>
  <c r="F12" i="5"/>
  <c r="F20" i="5"/>
  <c r="F21" i="5"/>
  <c r="F26" i="5"/>
  <c r="F32" i="5"/>
  <c r="F38" i="5"/>
  <c r="F45" i="5"/>
  <c r="F44" i="5"/>
  <c r="F47" i="5"/>
  <c r="F52" i="5"/>
  <c r="F57" i="5"/>
  <c r="F58" i="5"/>
  <c r="F63" i="5"/>
  <c r="F64" i="5"/>
  <c r="F75" i="5"/>
  <c r="F18" i="5"/>
  <c r="F22" i="5"/>
  <c r="F30" i="5"/>
  <c r="F33" i="5"/>
  <c r="F36" i="5"/>
  <c r="F48" i="5"/>
  <c r="F55" i="5"/>
  <c r="F59" i="5"/>
  <c r="F62" i="5"/>
  <c r="F65" i="5"/>
  <c r="F68" i="5"/>
  <c r="F70" i="5"/>
  <c r="F72" i="5"/>
  <c r="F77" i="5"/>
  <c r="F78" i="5"/>
  <c r="F81" i="5"/>
  <c r="F7" i="5"/>
  <c r="G7" i="5"/>
  <c r="D82" i="5"/>
  <c r="V42" i="5" s="1"/>
  <c r="G81" i="5"/>
  <c r="G72" i="5"/>
  <c r="G62" i="5"/>
  <c r="G36" i="5"/>
  <c r="G78" i="5"/>
  <c r="G70" i="5"/>
  <c r="G65" i="5"/>
  <c r="G59" i="5"/>
  <c r="G48" i="5"/>
  <c r="G33" i="5"/>
  <c r="G22" i="5"/>
  <c r="G77" i="5"/>
  <c r="G80" i="5"/>
  <c r="G79" i="5"/>
  <c r="G75" i="5"/>
  <c r="G76" i="5"/>
  <c r="G74" i="5"/>
  <c r="G73" i="5"/>
  <c r="G68" i="5"/>
  <c r="G71" i="5"/>
  <c r="G69" i="5"/>
  <c r="G67" i="5"/>
  <c r="G66" i="5"/>
  <c r="G64" i="5"/>
  <c r="G63" i="5"/>
  <c r="G55" i="5"/>
  <c r="G58" i="5"/>
  <c r="G57" i="5"/>
  <c r="G61" i="5"/>
  <c r="G60" i="5"/>
  <c r="G56" i="5"/>
  <c r="G54" i="5"/>
  <c r="G53" i="5"/>
  <c r="G52" i="5"/>
  <c r="G47" i="5"/>
  <c r="G44" i="5"/>
  <c r="G51" i="5"/>
  <c r="G49" i="5"/>
  <c r="G43" i="5"/>
  <c r="G50" i="5"/>
  <c r="G46" i="5"/>
  <c r="G41" i="5"/>
  <c r="G39" i="5"/>
  <c r="G42" i="5"/>
  <c r="G45" i="5"/>
  <c r="G38" i="5"/>
  <c r="G40" i="5"/>
  <c r="G30" i="5"/>
  <c r="G32" i="5"/>
  <c r="G35" i="5"/>
  <c r="G34" i="5"/>
  <c r="G31" i="5"/>
  <c r="G29" i="5"/>
  <c r="G28" i="5"/>
  <c r="G37" i="5"/>
  <c r="G27" i="5"/>
  <c r="G18" i="5"/>
  <c r="G26" i="5"/>
  <c r="G21" i="5"/>
  <c r="G20" i="5"/>
  <c r="G25" i="5"/>
  <c r="G23" i="5"/>
  <c r="G19" i="5"/>
  <c r="G16" i="5"/>
  <c r="G24" i="5"/>
  <c r="G17" i="5"/>
  <c r="G15" i="5"/>
  <c r="G14" i="5"/>
  <c r="G12" i="5"/>
  <c r="G11" i="5"/>
  <c r="G10" i="5"/>
  <c r="G13" i="5"/>
  <c r="G9" i="5"/>
  <c r="G8" i="5"/>
  <c r="G6" i="5"/>
  <c r="G4" i="5"/>
  <c r="G3" i="5"/>
  <c r="G5" i="5"/>
  <c r="R120" i="3"/>
  <c r="P120" i="3"/>
  <c r="Q120" i="3"/>
  <c r="O120" i="3"/>
  <c r="O104" i="3"/>
  <c r="P104" i="3" s="1"/>
  <c r="Q104" i="3" s="1"/>
  <c r="R104" i="3" s="1"/>
  <c r="P94" i="3"/>
  <c r="Q94" i="3"/>
  <c r="R94" i="3"/>
  <c r="O94" i="3"/>
  <c r="O91" i="3"/>
  <c r="O51" i="3"/>
  <c r="P75" i="3"/>
  <c r="Q75" i="3"/>
  <c r="R75" i="3"/>
  <c r="O75" i="3"/>
  <c r="O60" i="3"/>
  <c r="P60" i="3" s="1"/>
  <c r="Q60" i="3" s="1"/>
  <c r="R60" i="3" s="1"/>
  <c r="P131" i="3"/>
  <c r="O131" i="3"/>
  <c r="J131" i="3"/>
  <c r="P57" i="3"/>
  <c r="Q57" i="3"/>
  <c r="R57" i="3"/>
  <c r="P37" i="3"/>
  <c r="Q37" i="3"/>
  <c r="R37" i="3"/>
  <c r="O37" i="3"/>
  <c r="O123" i="3"/>
  <c r="P123" i="3" s="1"/>
  <c r="Q123" i="3" s="1"/>
  <c r="R123" i="3" s="1"/>
  <c r="P15" i="3"/>
  <c r="Q15" i="3"/>
  <c r="R15" i="3"/>
  <c r="O15" i="3"/>
  <c r="I24" i="4"/>
  <c r="H24" i="4"/>
  <c r="J4" i="4"/>
  <c r="K4" i="4" s="1"/>
  <c r="L4" i="4" s="1"/>
  <c r="M4" i="4" s="1"/>
  <c r="I58" i="4"/>
  <c r="H58" i="4"/>
  <c r="H55" i="4"/>
  <c r="I53" i="4"/>
  <c r="I54" i="4" s="1"/>
  <c r="I46" i="4"/>
  <c r="H46" i="4"/>
  <c r="D6" i="4"/>
  <c r="I4" i="4"/>
  <c r="H4" i="4" s="1"/>
  <c r="G4" i="4" s="1"/>
  <c r="F4" i="4" s="1"/>
  <c r="E4" i="4" s="1"/>
  <c r="D4" i="4" s="1"/>
  <c r="J53" i="2"/>
  <c r="I53" i="2"/>
  <c r="H53" i="2"/>
  <c r="K48" i="2"/>
  <c r="Q48" i="2" s="1"/>
  <c r="O90" i="3" s="1"/>
  <c r="H3" i="2"/>
  <c r="I3" i="2"/>
  <c r="O3" i="2" s="1"/>
  <c r="J3" i="2"/>
  <c r="P3" i="2" s="1"/>
  <c r="F102" i="15" s="1"/>
  <c r="G3" i="2"/>
  <c r="G52" i="2" s="1"/>
  <c r="Q2" i="2"/>
  <c r="R2" i="2" s="1"/>
  <c r="S2" i="2" s="1"/>
  <c r="T2" i="2" s="1"/>
  <c r="U2" i="2" s="1"/>
  <c r="F52" i="2"/>
  <c r="E52" i="2"/>
  <c r="D52" i="2"/>
  <c r="C52" i="2"/>
  <c r="B52" i="2"/>
  <c r="N10" i="2"/>
  <c r="I45" i="1"/>
  <c r="J45" i="1"/>
  <c r="H45" i="1"/>
  <c r="H40" i="1"/>
  <c r="I36" i="1"/>
  <c r="J36" i="1"/>
  <c r="H37" i="1"/>
  <c r="H53" i="1" s="1"/>
  <c r="H36" i="1"/>
  <c r="V45" i="1"/>
  <c r="V37" i="1"/>
  <c r="U37" i="1"/>
  <c r="J12" i="1"/>
  <c r="I12" i="1"/>
  <c r="J139" i="3"/>
  <c r="O125" i="3"/>
  <c r="J120" i="3"/>
  <c r="J111" i="3"/>
  <c r="O111" i="3" s="1"/>
  <c r="P111" i="3" s="1"/>
  <c r="Q111" i="3" s="1"/>
  <c r="R111" i="3" s="1"/>
  <c r="J66" i="3"/>
  <c r="J68" i="3" s="1"/>
  <c r="F32" i="15" s="1"/>
  <c r="J51" i="3"/>
  <c r="J45" i="3"/>
  <c r="J109" i="3"/>
  <c r="I104" i="3"/>
  <c r="E25" i="15" s="1"/>
  <c r="I111" i="3"/>
  <c r="I109" i="3"/>
  <c r="J105" i="3"/>
  <c r="F25" i="15" s="1"/>
  <c r="J94" i="3"/>
  <c r="F19" i="15"/>
  <c r="J75" i="3"/>
  <c r="J41" i="3"/>
  <c r="J40" i="3"/>
  <c r="J37" i="3"/>
  <c r="J18" i="3"/>
  <c r="J5" i="3"/>
  <c r="J4" i="3"/>
  <c r="F4" i="15" s="1"/>
  <c r="I139" i="3"/>
  <c r="I131" i="3"/>
  <c r="H131" i="3"/>
  <c r="H126" i="3"/>
  <c r="H82" i="3" s="1"/>
  <c r="G126" i="3"/>
  <c r="G82" i="3" s="1"/>
  <c r="F126" i="3"/>
  <c r="E126" i="3"/>
  <c r="E82" i="3" s="1"/>
  <c r="D126" i="3"/>
  <c r="D82" i="3" s="1"/>
  <c r="I125" i="3"/>
  <c r="I80" i="3" s="1"/>
  <c r="H125" i="3"/>
  <c r="H80" i="3" s="1"/>
  <c r="G125" i="3"/>
  <c r="F125" i="3"/>
  <c r="F80" i="3" s="1"/>
  <c r="E125" i="3"/>
  <c r="E80" i="3" s="1"/>
  <c r="D125" i="3"/>
  <c r="D80" i="3" s="1"/>
  <c r="F123" i="3"/>
  <c r="E123" i="3"/>
  <c r="D123" i="3"/>
  <c r="I120" i="3"/>
  <c r="H120" i="3"/>
  <c r="G120" i="3"/>
  <c r="F120" i="3"/>
  <c r="E120" i="3"/>
  <c r="D120" i="3"/>
  <c r="H111" i="3"/>
  <c r="F111" i="3"/>
  <c r="E111" i="3"/>
  <c r="D111" i="3"/>
  <c r="H109" i="3"/>
  <c r="G109" i="3"/>
  <c r="G113" i="3" s="1"/>
  <c r="C26" i="15" s="1"/>
  <c r="F109" i="3"/>
  <c r="E109" i="3"/>
  <c r="D109" i="3"/>
  <c r="H104" i="3"/>
  <c r="H105" i="3" s="1"/>
  <c r="D25" i="15" s="1"/>
  <c r="F104" i="3"/>
  <c r="E104" i="3"/>
  <c r="D104" i="3"/>
  <c r="I99" i="3"/>
  <c r="G99" i="3"/>
  <c r="F99" i="3"/>
  <c r="E99" i="3"/>
  <c r="D99" i="3"/>
  <c r="H97" i="3"/>
  <c r="F97" i="3"/>
  <c r="F135" i="3" s="1"/>
  <c r="G133" i="3" s="1"/>
  <c r="G135" i="3" s="1"/>
  <c r="H133" i="3" s="1"/>
  <c r="H135" i="3" s="1"/>
  <c r="I133" i="3" s="1"/>
  <c r="E97" i="3"/>
  <c r="D97" i="3"/>
  <c r="H95" i="3"/>
  <c r="G95" i="3"/>
  <c r="G139" i="3" s="1"/>
  <c r="F95" i="3"/>
  <c r="F127" i="3" s="1"/>
  <c r="F96" i="3" s="1"/>
  <c r="E95" i="3"/>
  <c r="D95" i="3"/>
  <c r="I94" i="3"/>
  <c r="H94" i="3"/>
  <c r="G94" i="3"/>
  <c r="F94" i="3"/>
  <c r="E94" i="3"/>
  <c r="D94" i="3"/>
  <c r="F91" i="3"/>
  <c r="E91" i="3"/>
  <c r="D91" i="3"/>
  <c r="I89" i="3"/>
  <c r="I92" i="3" s="1"/>
  <c r="E19" i="15" s="1"/>
  <c r="G89" i="3"/>
  <c r="F88" i="3"/>
  <c r="F89" i="3" s="1"/>
  <c r="H86" i="3"/>
  <c r="F86" i="3"/>
  <c r="E86" i="3"/>
  <c r="D86" i="3"/>
  <c r="G83" i="3"/>
  <c r="F83" i="3"/>
  <c r="F84" i="3" s="1"/>
  <c r="E83" i="3"/>
  <c r="E84" i="3" s="1"/>
  <c r="D83" i="3"/>
  <c r="D84" i="3" s="1"/>
  <c r="H78" i="3"/>
  <c r="I75" i="3"/>
  <c r="H75" i="3"/>
  <c r="G75" i="3"/>
  <c r="F75" i="3"/>
  <c r="E75" i="3"/>
  <c r="D75" i="3"/>
  <c r="H70" i="3"/>
  <c r="H66" i="3"/>
  <c r="H68" i="3" s="1"/>
  <c r="D32" i="15" s="1"/>
  <c r="G66" i="3"/>
  <c r="I62" i="3"/>
  <c r="H60" i="3"/>
  <c r="I60" i="3" s="1"/>
  <c r="I57" i="3"/>
  <c r="H57" i="3"/>
  <c r="H56" i="3"/>
  <c r="D53" i="3"/>
  <c r="I44" i="3"/>
  <c r="I43" i="3"/>
  <c r="H42" i="3"/>
  <c r="G42" i="3"/>
  <c r="F42" i="3"/>
  <c r="E42" i="3"/>
  <c r="D42" i="3"/>
  <c r="I41" i="3"/>
  <c r="H41" i="3"/>
  <c r="F41" i="3"/>
  <c r="E41" i="3"/>
  <c r="D41" i="3"/>
  <c r="I40" i="3"/>
  <c r="H40" i="3"/>
  <c r="G40" i="3"/>
  <c r="I37" i="3"/>
  <c r="H37" i="3"/>
  <c r="G37" i="3"/>
  <c r="F37" i="3"/>
  <c r="E37" i="3"/>
  <c r="D37" i="3"/>
  <c r="G26" i="3"/>
  <c r="F26" i="3"/>
  <c r="E26" i="3"/>
  <c r="D26" i="3"/>
  <c r="I18" i="3"/>
  <c r="H18" i="3"/>
  <c r="G18" i="3"/>
  <c r="F18" i="3"/>
  <c r="E18" i="3"/>
  <c r="D18" i="3"/>
  <c r="D11" i="3"/>
  <c r="H7" i="3"/>
  <c r="G7" i="3"/>
  <c r="F7" i="3"/>
  <c r="F8" i="3" s="1"/>
  <c r="E7" i="3"/>
  <c r="E8" i="3" s="1"/>
  <c r="D7" i="3"/>
  <c r="D8" i="3" s="1"/>
  <c r="I5" i="3"/>
  <c r="I4" i="3"/>
  <c r="E4" i="15" s="1"/>
  <c r="H4" i="3"/>
  <c r="D4" i="15" s="1"/>
  <c r="G4" i="3"/>
  <c r="F4" i="3"/>
  <c r="E4" i="3"/>
  <c r="X28" i="1"/>
  <c r="K73" i="15" s="1"/>
  <c r="W28" i="1"/>
  <c r="J73" i="15" s="1"/>
  <c r="V28" i="1"/>
  <c r="I73" i="15" s="1"/>
  <c r="U28" i="1"/>
  <c r="H73" i="15" s="1"/>
  <c r="X24" i="1"/>
  <c r="K72" i="15" s="1"/>
  <c r="V24" i="1"/>
  <c r="I72" i="15" s="1"/>
  <c r="W24" i="1"/>
  <c r="J72" i="15" s="1"/>
  <c r="U24" i="1"/>
  <c r="H72" i="15" s="1"/>
  <c r="X20" i="1"/>
  <c r="K71" i="15" s="1"/>
  <c r="W20" i="1"/>
  <c r="J71" i="15" s="1"/>
  <c r="V20" i="1"/>
  <c r="I71" i="15" s="1"/>
  <c r="U20" i="1"/>
  <c r="H71" i="15" s="1"/>
  <c r="U16" i="1"/>
  <c r="H70" i="15" s="1"/>
  <c r="W6" i="1"/>
  <c r="J69" i="15" s="1"/>
  <c r="V6" i="1"/>
  <c r="I69" i="15" s="1"/>
  <c r="U6" i="1"/>
  <c r="H69" i="15" s="1"/>
  <c r="H12" i="1"/>
  <c r="X6" i="1"/>
  <c r="K69" i="15" s="1"/>
  <c r="U2" i="1"/>
  <c r="I37" i="1" l="1"/>
  <c r="M126" i="3"/>
  <c r="M127" i="3"/>
  <c r="M96" i="3" s="1"/>
  <c r="J127" i="3"/>
  <c r="J96" i="3" s="1"/>
  <c r="N127" i="3"/>
  <c r="N96" i="3" s="1"/>
  <c r="N126" i="3"/>
  <c r="F94" i="15"/>
  <c r="L49" i="5"/>
  <c r="D168" i="5" s="1"/>
  <c r="C117" i="5"/>
  <c r="B117" i="5"/>
  <c r="I53" i="1"/>
  <c r="I39" i="1"/>
  <c r="V47" i="5"/>
  <c r="C160" i="5"/>
  <c r="C162" i="5" s="1"/>
  <c r="D159" i="5" s="1"/>
  <c r="J7" i="3"/>
  <c r="H83" i="3"/>
  <c r="H170" i="3" s="1"/>
  <c r="D18" i="15"/>
  <c r="D50" i="15" s="1"/>
  <c r="G84" i="3"/>
  <c r="G170" i="3"/>
  <c r="O109" i="3"/>
  <c r="O58" i="3" s="1"/>
  <c r="I134" i="3"/>
  <c r="I135" i="3" s="1"/>
  <c r="J133" i="3" s="1"/>
  <c r="D21" i="15"/>
  <c r="D20" i="15" s="1"/>
  <c r="F51" i="15"/>
  <c r="P91" i="3"/>
  <c r="Q91" i="3" s="1"/>
  <c r="R91" i="3" s="1"/>
  <c r="R52" i="3" s="1"/>
  <c r="G16" i="3"/>
  <c r="C7" i="15" s="1"/>
  <c r="C5" i="15"/>
  <c r="C52" i="15"/>
  <c r="C36" i="15"/>
  <c r="C57" i="15" s="1"/>
  <c r="H8" i="3"/>
  <c r="D5" i="15"/>
  <c r="J52" i="1"/>
  <c r="J4" i="1"/>
  <c r="F99" i="15"/>
  <c r="J46" i="1"/>
  <c r="I46" i="1"/>
  <c r="H52" i="1"/>
  <c r="H46" i="1"/>
  <c r="Q21" i="2"/>
  <c r="Q20" i="2"/>
  <c r="R21" i="2"/>
  <c r="I8" i="1"/>
  <c r="I52" i="1"/>
  <c r="F105" i="15"/>
  <c r="E110" i="5"/>
  <c r="D160" i="5"/>
  <c r="F113" i="5"/>
  <c r="I59" i="4"/>
  <c r="H52" i="2"/>
  <c r="J8" i="1"/>
  <c r="J6" i="1"/>
  <c r="J65" i="5"/>
  <c r="H39" i="1"/>
  <c r="Q99" i="3"/>
  <c r="O80" i="3"/>
  <c r="P125" i="3"/>
  <c r="J80" i="3"/>
  <c r="H43" i="4"/>
  <c r="H48" i="4" s="1"/>
  <c r="H50" i="4" s="1"/>
  <c r="H53" i="4" s="1"/>
  <c r="O52" i="3"/>
  <c r="P112" i="3"/>
  <c r="Q112" i="3" s="1"/>
  <c r="R112" i="3" s="1"/>
  <c r="R51" i="3"/>
  <c r="O64" i="5"/>
  <c r="P64" i="5"/>
  <c r="B175" i="5"/>
  <c r="C131" i="5"/>
  <c r="C130" i="5"/>
  <c r="O25" i="5"/>
  <c r="J67" i="5" s="1"/>
  <c r="J55" i="5"/>
  <c r="J56" i="5" s="1"/>
  <c r="O17" i="5"/>
  <c r="N66" i="5" s="1"/>
  <c r="O47" i="5"/>
  <c r="O49" i="5" s="1"/>
  <c r="V49" i="5" s="1"/>
  <c r="G82" i="5"/>
  <c r="P52" i="3"/>
  <c r="K44" i="2"/>
  <c r="Q44" i="2" s="1"/>
  <c r="R44" i="2" s="1"/>
  <c r="S44" i="2" s="1"/>
  <c r="T44" i="2" s="1"/>
  <c r="U44" i="2" s="1"/>
  <c r="V44" i="2" s="1"/>
  <c r="W44" i="2" s="1"/>
  <c r="X44" i="2" s="1"/>
  <c r="Y44" i="2" s="1"/>
  <c r="Z44" i="2" s="1"/>
  <c r="J7" i="1"/>
  <c r="J5" i="1"/>
  <c r="J40" i="1"/>
  <c r="J41" i="1" s="1"/>
  <c r="I43" i="4"/>
  <c r="I48" i="4" s="1"/>
  <c r="I50" i="4" s="1"/>
  <c r="I51" i="4" s="1"/>
  <c r="P108" i="3"/>
  <c r="Q131" i="3" s="1"/>
  <c r="I51" i="3"/>
  <c r="I53" i="3" s="1"/>
  <c r="J126" i="3"/>
  <c r="O126" i="3" s="1"/>
  <c r="I40" i="1"/>
  <c r="I41" i="1" s="1"/>
  <c r="F5" i="15"/>
  <c r="J37" i="1"/>
  <c r="J53" i="1" s="1"/>
  <c r="J113" i="3"/>
  <c r="J9" i="1"/>
  <c r="J10" i="1"/>
  <c r="R48" i="2"/>
  <c r="S48" i="2" s="1"/>
  <c r="T48" i="2" s="1"/>
  <c r="U48" i="2" s="1"/>
  <c r="V48" i="2" s="1"/>
  <c r="W48" i="2" s="1"/>
  <c r="X48" i="2" s="1"/>
  <c r="Y48" i="2" s="1"/>
  <c r="Z48" i="2" s="1"/>
  <c r="I52" i="2"/>
  <c r="J52" i="2"/>
  <c r="I57" i="4"/>
  <c r="H59" i="4"/>
  <c r="I56" i="4"/>
  <c r="R20" i="2"/>
  <c r="S28" i="2" s="1"/>
  <c r="T28" i="2" s="1"/>
  <c r="S21" i="2"/>
  <c r="Q18" i="2"/>
  <c r="Q6" i="2" s="1"/>
  <c r="S18" i="2"/>
  <c r="S6" i="2" s="1"/>
  <c r="I104" i="15" s="1"/>
  <c r="R18" i="2"/>
  <c r="R6" i="2" s="1"/>
  <c r="H104" i="15" s="1"/>
  <c r="Q19" i="2"/>
  <c r="H41" i="1"/>
  <c r="I6" i="1"/>
  <c r="I10" i="1"/>
  <c r="I14" i="1"/>
  <c r="I7" i="1"/>
  <c r="I9" i="1"/>
  <c r="I4" i="1"/>
  <c r="H16" i="3"/>
  <c r="E113" i="3"/>
  <c r="F128" i="3"/>
  <c r="F113" i="3"/>
  <c r="F92" i="3"/>
  <c r="H51" i="3"/>
  <c r="H52" i="3" s="1"/>
  <c r="F100" i="3"/>
  <c r="F105" i="3" s="1"/>
  <c r="D16" i="3"/>
  <c r="D20" i="3" s="1"/>
  <c r="D21" i="3" s="1"/>
  <c r="F16" i="3"/>
  <c r="E16" i="3"/>
  <c r="E20" i="3" s="1"/>
  <c r="E21" i="3" s="1"/>
  <c r="F82" i="3"/>
  <c r="D100" i="3"/>
  <c r="D105" i="3" s="1"/>
  <c r="D113" i="3"/>
  <c r="H113" i="3"/>
  <c r="G127" i="3"/>
  <c r="G96" i="3" s="1"/>
  <c r="I127" i="3"/>
  <c r="I7" i="3"/>
  <c r="I126" i="3"/>
  <c r="G8" i="3"/>
  <c r="C6" i="15" s="1"/>
  <c r="H99" i="3"/>
  <c r="I45" i="3"/>
  <c r="I42" i="3" s="1"/>
  <c r="H127" i="3"/>
  <c r="H96" i="3" s="1"/>
  <c r="H139" i="3"/>
  <c r="I70" i="3"/>
  <c r="D92" i="3"/>
  <c r="D127" i="3"/>
  <c r="D96" i="3" s="1"/>
  <c r="E92" i="3"/>
  <c r="G80" i="3"/>
  <c r="G100" i="3"/>
  <c r="G105" i="3" s="1"/>
  <c r="E100" i="3"/>
  <c r="E105" i="3" s="1"/>
  <c r="I113" i="3"/>
  <c r="E127" i="3"/>
  <c r="E96" i="3" s="1"/>
  <c r="N2" i="1"/>
  <c r="X16" i="1"/>
  <c r="K70" i="15" s="1"/>
  <c r="W16" i="1"/>
  <c r="J70" i="15" s="1"/>
  <c r="V16" i="1"/>
  <c r="I70" i="15" s="1"/>
  <c r="I5" i="1"/>
  <c r="K52" i="2" l="1"/>
  <c r="O127" i="3"/>
  <c r="P127" i="3" s="1"/>
  <c r="Q127" i="3" s="1"/>
  <c r="N82" i="3"/>
  <c r="N128" i="3"/>
  <c r="M128" i="3"/>
  <c r="M82" i="3"/>
  <c r="G104" i="15"/>
  <c r="K65" i="5"/>
  <c r="L65" i="5" s="1"/>
  <c r="M65" i="5" s="1"/>
  <c r="J68" i="5"/>
  <c r="K56" i="5"/>
  <c r="K59" i="5" s="1"/>
  <c r="J59" i="5"/>
  <c r="B122" i="5"/>
  <c r="B121" i="5"/>
  <c r="B164" i="5"/>
  <c r="O102" i="3" s="1"/>
  <c r="C121" i="5"/>
  <c r="D162" i="5"/>
  <c r="E159" i="5" s="1"/>
  <c r="P109" i="3"/>
  <c r="Q109" i="3" s="1"/>
  <c r="R109" i="3" s="1"/>
  <c r="C34" i="15"/>
  <c r="C55" i="15" s="1"/>
  <c r="G28" i="3"/>
  <c r="G29" i="3" s="1"/>
  <c r="C11" i="15" s="1"/>
  <c r="C42" i="15" s="1"/>
  <c r="C61" i="15" s="1"/>
  <c r="Q52" i="3"/>
  <c r="I115" i="3"/>
  <c r="I117" i="3" s="1"/>
  <c r="E26" i="15"/>
  <c r="J115" i="3"/>
  <c r="J117" i="3" s="1"/>
  <c r="F26" i="15"/>
  <c r="H115" i="3"/>
  <c r="H117" i="3" s="1"/>
  <c r="D26" i="15"/>
  <c r="G92" i="3"/>
  <c r="C19" i="15" s="1"/>
  <c r="D40" i="15"/>
  <c r="D51" i="15"/>
  <c r="D36" i="15"/>
  <c r="D57" i="15" s="1"/>
  <c r="D38" i="15"/>
  <c r="D59" i="15" s="1"/>
  <c r="D24" i="15"/>
  <c r="H43" i="1"/>
  <c r="D6" i="15"/>
  <c r="G17" i="3"/>
  <c r="C8" i="15" s="1"/>
  <c r="I16" i="3"/>
  <c r="E5" i="15"/>
  <c r="H17" i="3"/>
  <c r="D7" i="15"/>
  <c r="G115" i="3"/>
  <c r="C25" i="15"/>
  <c r="C35" i="15" s="1"/>
  <c r="C56" i="15" s="1"/>
  <c r="G20" i="3"/>
  <c r="O2" i="1"/>
  <c r="O34" i="1" s="1"/>
  <c r="N34" i="1"/>
  <c r="Z5" i="2"/>
  <c r="T29" i="2"/>
  <c r="M10" i="1"/>
  <c r="H85" i="15" s="1"/>
  <c r="G85" i="15"/>
  <c r="J39" i="1"/>
  <c r="F93" i="15"/>
  <c r="M6" i="1"/>
  <c r="H81" i="15" s="1"/>
  <c r="G81" i="15"/>
  <c r="M7" i="1"/>
  <c r="N7" i="1" s="1"/>
  <c r="G82" i="15"/>
  <c r="M9" i="1"/>
  <c r="H84" i="15" s="1"/>
  <c r="G84" i="15"/>
  <c r="M8" i="1"/>
  <c r="H83" i="15" s="1"/>
  <c r="G83" i="15"/>
  <c r="M4" i="1"/>
  <c r="H79" i="15" s="1"/>
  <c r="G79" i="15"/>
  <c r="M5" i="1"/>
  <c r="N5" i="1" s="1"/>
  <c r="G80" i="15"/>
  <c r="D117" i="5"/>
  <c r="E160" i="5" s="1"/>
  <c r="F110" i="5"/>
  <c r="B165" i="5"/>
  <c r="O98" i="3" s="1"/>
  <c r="B147" i="5"/>
  <c r="C122" i="5"/>
  <c r="P51" i="3"/>
  <c r="O96" i="3"/>
  <c r="H20" i="3"/>
  <c r="P96" i="3"/>
  <c r="H28" i="3"/>
  <c r="E28" i="3"/>
  <c r="E33" i="3" s="1"/>
  <c r="E34" i="3" s="1"/>
  <c r="P2" i="1"/>
  <c r="R99" i="3"/>
  <c r="R127" i="3"/>
  <c r="R96" i="3" s="1"/>
  <c r="Q96" i="3"/>
  <c r="P126" i="3"/>
  <c r="O82" i="3"/>
  <c r="Q125" i="3"/>
  <c r="P80" i="3"/>
  <c r="P128" i="3"/>
  <c r="Q51" i="3"/>
  <c r="O128" i="3"/>
  <c r="P90" i="3"/>
  <c r="Q90" i="3" s="1"/>
  <c r="R90" i="3" s="1"/>
  <c r="P66" i="5"/>
  <c r="P68" i="5" s="1"/>
  <c r="G146" i="5" s="1"/>
  <c r="K66" i="5"/>
  <c r="L66" i="5" s="1"/>
  <c r="M66" i="5" s="1"/>
  <c r="M68" i="5" s="1"/>
  <c r="D174" i="5" s="1"/>
  <c r="D175" i="5"/>
  <c r="O18" i="5"/>
  <c r="K67" i="5"/>
  <c r="G147" i="5"/>
  <c r="H51" i="4"/>
  <c r="J8" i="3"/>
  <c r="J16" i="3"/>
  <c r="F7" i="15" s="1"/>
  <c r="J128" i="3"/>
  <c r="J82" i="3"/>
  <c r="J135" i="3"/>
  <c r="O133" i="3" s="1"/>
  <c r="Q108" i="3"/>
  <c r="H54" i="4"/>
  <c r="H57" i="4" s="1"/>
  <c r="H56" i="4"/>
  <c r="P10" i="2"/>
  <c r="X37" i="1"/>
  <c r="W37" i="1"/>
  <c r="X45" i="1"/>
  <c r="E115" i="3"/>
  <c r="E117" i="3" s="1"/>
  <c r="D17" i="3"/>
  <c r="G128" i="3"/>
  <c r="F115" i="3"/>
  <c r="F117" i="3" s="1"/>
  <c r="D28" i="3"/>
  <c r="D39" i="3" s="1"/>
  <c r="D47" i="3" s="1"/>
  <c r="D66" i="3" s="1"/>
  <c r="H128" i="3"/>
  <c r="E17" i="3"/>
  <c r="E128" i="3"/>
  <c r="D115" i="3"/>
  <c r="D117" i="3" s="1"/>
  <c r="F28" i="3"/>
  <c r="F20" i="3"/>
  <c r="F21" i="3" s="1"/>
  <c r="F17" i="3"/>
  <c r="G39" i="3"/>
  <c r="G46" i="3" s="1"/>
  <c r="I128" i="3"/>
  <c r="I82" i="3"/>
  <c r="D128" i="3"/>
  <c r="I8" i="3"/>
  <c r="I96" i="3"/>
  <c r="V2" i="1"/>
  <c r="J14" i="1"/>
  <c r="G88" i="15" s="1"/>
  <c r="N10" i="1" l="1"/>
  <c r="O10" i="1" s="1"/>
  <c r="C12" i="15"/>
  <c r="C39" i="15"/>
  <c r="D8" i="15"/>
  <c r="H48" i="1"/>
  <c r="E162" i="5"/>
  <c r="D121" i="5"/>
  <c r="G22" i="15"/>
  <c r="C41" i="15"/>
  <c r="C60" i="15" s="1"/>
  <c r="G33" i="3"/>
  <c r="C15" i="15" s="1"/>
  <c r="C49" i="15" s="1"/>
  <c r="P58" i="3"/>
  <c r="D52" i="15"/>
  <c r="D35" i="15"/>
  <c r="D56" i="15" s="1"/>
  <c r="E52" i="15"/>
  <c r="E36" i="15"/>
  <c r="E57" i="15" s="1"/>
  <c r="E35" i="15"/>
  <c r="E56" i="15" s="1"/>
  <c r="F52" i="15"/>
  <c r="F36" i="15"/>
  <c r="F57" i="15" s="1"/>
  <c r="F35" i="15"/>
  <c r="F56" i="15" s="1"/>
  <c r="G117" i="3"/>
  <c r="H39" i="3"/>
  <c r="H46" i="3" s="1"/>
  <c r="H29" i="3"/>
  <c r="D11" i="15" s="1"/>
  <c r="I20" i="3"/>
  <c r="E9" i="15" s="1"/>
  <c r="E7" i="15"/>
  <c r="J43" i="1"/>
  <c r="F6" i="15"/>
  <c r="F96" i="15" s="1"/>
  <c r="I43" i="1"/>
  <c r="E6" i="15"/>
  <c r="H21" i="3"/>
  <c r="D10" i="15" s="1"/>
  <c r="D9" i="15"/>
  <c r="G21" i="3"/>
  <c r="C10" i="15" s="1"/>
  <c r="C9" i="15"/>
  <c r="W2" i="1"/>
  <c r="X2" i="1"/>
  <c r="P34" i="1"/>
  <c r="N6" i="1"/>
  <c r="O6" i="1" s="1"/>
  <c r="N9" i="1"/>
  <c r="I84" i="15" s="1"/>
  <c r="H82" i="15"/>
  <c r="N4" i="1"/>
  <c r="O4" i="1" s="1"/>
  <c r="N8" i="1"/>
  <c r="O8" i="1" s="1"/>
  <c r="F95" i="15"/>
  <c r="H80" i="15"/>
  <c r="G87" i="15"/>
  <c r="F92" i="15" s="1"/>
  <c r="C164" i="5"/>
  <c r="D122" i="5"/>
  <c r="D165" i="5"/>
  <c r="Q98" i="3" s="1"/>
  <c r="I22" i="15" s="1"/>
  <c r="D147" i="5"/>
  <c r="E117" i="5"/>
  <c r="G110" i="5"/>
  <c r="F117" i="5" s="1"/>
  <c r="F122" i="5" s="1"/>
  <c r="H87" i="15"/>
  <c r="O7" i="1"/>
  <c r="I82" i="15"/>
  <c r="O5" i="1"/>
  <c r="I80" i="15"/>
  <c r="H33" i="3"/>
  <c r="E39" i="3"/>
  <c r="Y5" i="2"/>
  <c r="Y42" i="2" s="1"/>
  <c r="Z42" i="2" s="1"/>
  <c r="C167" i="5"/>
  <c r="B167" i="5"/>
  <c r="O103" i="3" s="1"/>
  <c r="O56" i="3" s="1"/>
  <c r="C147" i="5"/>
  <c r="C165" i="5"/>
  <c r="P98" i="3" s="1"/>
  <c r="H22" i="15" s="1"/>
  <c r="Q126" i="3"/>
  <c r="Q128" i="3" s="1"/>
  <c r="P82" i="3"/>
  <c r="R125" i="3"/>
  <c r="Q80" i="3"/>
  <c r="X5" i="2"/>
  <c r="X3" i="2" s="1"/>
  <c r="O66" i="5"/>
  <c r="O68" i="5" s="1"/>
  <c r="F146" i="5" s="1"/>
  <c r="N68" i="5"/>
  <c r="K68" i="5"/>
  <c r="B146" i="5" s="1"/>
  <c r="D146" i="5"/>
  <c r="L68" i="5"/>
  <c r="C174" i="5" s="1"/>
  <c r="L56" i="5"/>
  <c r="L59" i="5" s="1"/>
  <c r="W5" i="2"/>
  <c r="W3" i="2" s="1"/>
  <c r="V5" i="2"/>
  <c r="V3" i="2" s="1"/>
  <c r="M12" i="1"/>
  <c r="Q58" i="3"/>
  <c r="R131" i="3"/>
  <c r="R108" i="3"/>
  <c r="J28" i="3"/>
  <c r="J17" i="3"/>
  <c r="J20" i="3"/>
  <c r="Z43" i="2"/>
  <c r="AA43" i="2" s="1"/>
  <c r="AB43" i="2" s="1"/>
  <c r="AC43" i="2" s="1"/>
  <c r="AD43" i="2" s="1"/>
  <c r="AE43" i="2" s="1"/>
  <c r="Z3" i="2"/>
  <c r="Q26" i="2"/>
  <c r="R27" i="2"/>
  <c r="D33" i="3"/>
  <c r="D34" i="3" s="1"/>
  <c r="F39" i="3"/>
  <c r="F33" i="3"/>
  <c r="F34" i="3" s="1"/>
  <c r="I17" i="3"/>
  <c r="I28" i="3"/>
  <c r="I85" i="15" l="1"/>
  <c r="F8" i="15"/>
  <c r="F100" i="15" s="1"/>
  <c r="J48" i="1"/>
  <c r="F14" i="15"/>
  <c r="J33" i="3"/>
  <c r="O129" i="3" s="1"/>
  <c r="M14" i="1"/>
  <c r="Q5" i="2"/>
  <c r="H129" i="3"/>
  <c r="E8" i="15"/>
  <c r="I48" i="1"/>
  <c r="I21" i="3"/>
  <c r="E10" i="15" s="1"/>
  <c r="G34" i="3"/>
  <c r="C16" i="15" s="1"/>
  <c r="F147" i="5"/>
  <c r="I129" i="3"/>
  <c r="D15" i="15"/>
  <c r="D49" i="15" s="1"/>
  <c r="C47" i="15"/>
  <c r="C37" i="15"/>
  <c r="C58" i="15" s="1"/>
  <c r="E47" i="15"/>
  <c r="E37" i="15"/>
  <c r="E58" i="15" s="1"/>
  <c r="J21" i="3"/>
  <c r="F10" i="15" s="1"/>
  <c r="F9" i="15"/>
  <c r="D47" i="15"/>
  <c r="D37" i="15"/>
  <c r="D58" i="15" s="1"/>
  <c r="D42" i="15"/>
  <c r="D61" i="15" s="1"/>
  <c r="D12" i="15"/>
  <c r="D41" i="15"/>
  <c r="D60" i="15" s="1"/>
  <c r="D39" i="15"/>
  <c r="O9" i="1"/>
  <c r="O12" i="1" s="1"/>
  <c r="AP5" i="1" s="1"/>
  <c r="I81" i="15"/>
  <c r="N12" i="1"/>
  <c r="N14" i="1" s="1"/>
  <c r="I88" i="15" s="1"/>
  <c r="I79" i="15"/>
  <c r="I83" i="15"/>
  <c r="F98" i="15"/>
  <c r="F107" i="15"/>
  <c r="F108" i="15"/>
  <c r="E122" i="5"/>
  <c r="E165" i="5"/>
  <c r="R98" i="3" s="1"/>
  <c r="J22" i="15" s="1"/>
  <c r="E147" i="5"/>
  <c r="D164" i="5"/>
  <c r="Q102" i="3" s="1"/>
  <c r="E121" i="5"/>
  <c r="P5" i="1"/>
  <c r="K80" i="15" s="1"/>
  <c r="J80" i="15"/>
  <c r="P8" i="1"/>
  <c r="K83" i="15" s="1"/>
  <c r="J83" i="15"/>
  <c r="P10" i="1"/>
  <c r="K85" i="15" s="1"/>
  <c r="J85" i="15"/>
  <c r="P7" i="1"/>
  <c r="K82" i="15" s="1"/>
  <c r="J82" i="15"/>
  <c r="P4" i="1"/>
  <c r="K79" i="15" s="1"/>
  <c r="J79" i="15"/>
  <c r="P6" i="1"/>
  <c r="J81" i="15"/>
  <c r="G23" i="15"/>
  <c r="H34" i="3"/>
  <c r="D16" i="15" s="1"/>
  <c r="Y3" i="2"/>
  <c r="R58" i="3"/>
  <c r="J24" i="4"/>
  <c r="O3" i="3" s="1"/>
  <c r="M37" i="1"/>
  <c r="G93" i="15" s="1"/>
  <c r="D167" i="5"/>
  <c r="B174" i="5"/>
  <c r="E146" i="5"/>
  <c r="E174" i="5"/>
  <c r="P103" i="3"/>
  <c r="P102" i="3"/>
  <c r="R80" i="3"/>
  <c r="R126" i="3"/>
  <c r="R82" i="3" s="1"/>
  <c r="Q82" i="3"/>
  <c r="C146" i="5"/>
  <c r="M56" i="5"/>
  <c r="M59" i="5" s="1"/>
  <c r="H88" i="15"/>
  <c r="M45" i="1"/>
  <c r="J29" i="3"/>
  <c r="AA42" i="2"/>
  <c r="AB42" i="2" s="1"/>
  <c r="AC42" i="2" s="1"/>
  <c r="AD42" i="2" s="1"/>
  <c r="Z10" i="2"/>
  <c r="Z46" i="2" s="1"/>
  <c r="Z49" i="2" s="1"/>
  <c r="S27" i="2"/>
  <c r="R26" i="2"/>
  <c r="I33" i="3"/>
  <c r="J129" i="3" s="1"/>
  <c r="I29" i="3"/>
  <c r="Q11" i="2" l="1"/>
  <c r="Q10" i="2" s="1"/>
  <c r="Q46" i="2" s="1"/>
  <c r="Q49" i="2" s="1"/>
  <c r="Q3" i="2"/>
  <c r="P129" i="3"/>
  <c r="Q129" i="3" s="1"/>
  <c r="R129" i="3" s="1"/>
  <c r="J39" i="3"/>
  <c r="J46" i="3" s="1"/>
  <c r="F11" i="15"/>
  <c r="I39" i="3"/>
  <c r="E11" i="15"/>
  <c r="G3" i="15"/>
  <c r="G46" i="15" s="1"/>
  <c r="F47" i="15"/>
  <c r="F37" i="15"/>
  <c r="F58" i="15" s="1"/>
  <c r="E15" i="15"/>
  <c r="E49" i="15" s="1"/>
  <c r="J34" i="3"/>
  <c r="F16" i="15" s="1"/>
  <c r="F15" i="15"/>
  <c r="F49" i="15" s="1"/>
  <c r="P9" i="1"/>
  <c r="K84" i="15" s="1"/>
  <c r="J84" i="15"/>
  <c r="J87" i="15" s="1"/>
  <c r="AP9" i="1"/>
  <c r="AP10" i="1"/>
  <c r="AP6" i="1"/>
  <c r="AP4" i="1"/>
  <c r="AP8" i="1"/>
  <c r="AP7" i="1"/>
  <c r="N45" i="1"/>
  <c r="K54" i="4" s="1"/>
  <c r="O37" i="1"/>
  <c r="L43" i="4" s="1"/>
  <c r="Q5" i="3" s="1"/>
  <c r="S5" i="2"/>
  <c r="S3" i="2" s="1"/>
  <c r="K24" i="4"/>
  <c r="P3" i="3" s="1"/>
  <c r="P79" i="3" s="1"/>
  <c r="R5" i="2"/>
  <c r="R3" i="2" s="1"/>
  <c r="I87" i="15"/>
  <c r="N37" i="1"/>
  <c r="K43" i="4" s="1"/>
  <c r="P5" i="3" s="1"/>
  <c r="E164" i="5"/>
  <c r="F121" i="5"/>
  <c r="G121" i="5" s="1"/>
  <c r="H23" i="15"/>
  <c r="L24" i="4"/>
  <c r="Q3" i="3" s="1"/>
  <c r="I3" i="15" s="1"/>
  <c r="I46" i="15" s="1"/>
  <c r="O14" i="1"/>
  <c r="J88" i="15" s="1"/>
  <c r="O87" i="3"/>
  <c r="O45" i="1"/>
  <c r="I99" i="15" s="1"/>
  <c r="J54" i="4"/>
  <c r="G99" i="15"/>
  <c r="G98" i="15" s="1"/>
  <c r="G102" i="15"/>
  <c r="G105" i="15" s="1"/>
  <c r="K81" i="15"/>
  <c r="G92" i="15"/>
  <c r="O79" i="3"/>
  <c r="O43" i="3" s="1"/>
  <c r="O4" i="3"/>
  <c r="G4" i="15" s="1"/>
  <c r="E167" i="5"/>
  <c r="P56" i="3"/>
  <c r="R102" i="3"/>
  <c r="Q103" i="3"/>
  <c r="Q56" i="3" s="1"/>
  <c r="R128" i="3"/>
  <c r="N56" i="5"/>
  <c r="N59" i="5" s="1"/>
  <c r="T27" i="2"/>
  <c r="T26" i="2" s="1"/>
  <c r="S26" i="2"/>
  <c r="I34" i="3"/>
  <c r="E16" i="15" s="1"/>
  <c r="E42" i="15" l="1"/>
  <c r="E61" i="15" s="1"/>
  <c r="E39" i="15"/>
  <c r="E12" i="15"/>
  <c r="E41" i="15"/>
  <c r="E60" i="15" s="1"/>
  <c r="L5" i="1"/>
  <c r="L8" i="1"/>
  <c r="L4" i="1"/>
  <c r="L9" i="1"/>
  <c r="L7" i="1"/>
  <c r="L10" i="1"/>
  <c r="L6" i="1"/>
  <c r="F42" i="15"/>
  <c r="F61" i="15" s="1"/>
  <c r="F12" i="15"/>
  <c r="F39" i="15"/>
  <c r="F41" i="15"/>
  <c r="F60" i="15" s="1"/>
  <c r="K87" i="15"/>
  <c r="P12" i="1"/>
  <c r="T5" i="2" s="1"/>
  <c r="T3" i="2" s="1"/>
  <c r="H99" i="15"/>
  <c r="H98" i="15" s="1"/>
  <c r="J57" i="4"/>
  <c r="O10" i="3"/>
  <c r="K57" i="4"/>
  <c r="H3" i="15"/>
  <c r="H46" i="15" s="1"/>
  <c r="I93" i="15"/>
  <c r="I92" i="15" s="1"/>
  <c r="H93" i="15"/>
  <c r="H92" i="15" s="1"/>
  <c r="P4" i="3"/>
  <c r="H4" i="15" s="1"/>
  <c r="H102" i="15"/>
  <c r="H105" i="15" s="1"/>
  <c r="H108" i="15" s="1"/>
  <c r="I102" i="15"/>
  <c r="R12" i="2"/>
  <c r="S12" i="2" s="1"/>
  <c r="P50" i="3"/>
  <c r="H29" i="15" s="1"/>
  <c r="Q79" i="3"/>
  <c r="Q43" i="3" s="1"/>
  <c r="P10" i="3"/>
  <c r="P18" i="3" s="1"/>
  <c r="Q4" i="3"/>
  <c r="I4" i="15" s="1"/>
  <c r="O50" i="3"/>
  <c r="G29" i="15" s="1"/>
  <c r="L54" i="4"/>
  <c r="L57" i="4" s="1"/>
  <c r="Q50" i="3"/>
  <c r="S13" i="2"/>
  <c r="T13" i="2" s="1"/>
  <c r="U13" i="2" s="1"/>
  <c r="V13" i="2" s="1"/>
  <c r="W13" i="2" s="1"/>
  <c r="X13" i="2" s="1"/>
  <c r="G107" i="15"/>
  <c r="G108" i="15"/>
  <c r="R11" i="2"/>
  <c r="O18" i="3"/>
  <c r="I98" i="15"/>
  <c r="I23" i="15"/>
  <c r="P43" i="3"/>
  <c r="R103" i="3"/>
  <c r="R56" i="3" s="1"/>
  <c r="O56" i="5"/>
  <c r="S11" i="2" l="1"/>
  <c r="T11" i="2" s="1"/>
  <c r="U11" i="2" s="1"/>
  <c r="V11" i="2" s="1"/>
  <c r="R10" i="2"/>
  <c r="P14" i="1"/>
  <c r="K88" i="15" s="1"/>
  <c r="P45" i="1"/>
  <c r="J99" i="15" s="1"/>
  <c r="J98" i="15" s="1"/>
  <c r="P37" i="1"/>
  <c r="J93" i="15" s="1"/>
  <c r="M24" i="4"/>
  <c r="R3" i="3" s="1"/>
  <c r="J3" i="15" s="1"/>
  <c r="J46" i="15" s="1"/>
  <c r="H107" i="15"/>
  <c r="I105" i="15"/>
  <c r="I108" i="15" s="1"/>
  <c r="I107" i="15"/>
  <c r="P53" i="3"/>
  <c r="P87" i="3"/>
  <c r="Q87" i="3" s="1"/>
  <c r="O53" i="3"/>
  <c r="J23" i="15"/>
  <c r="Q10" i="3"/>
  <c r="Q18" i="3" s="1"/>
  <c r="Q53" i="3"/>
  <c r="I29" i="15"/>
  <c r="M36" i="1"/>
  <c r="O88" i="3"/>
  <c r="O89" i="3" s="1"/>
  <c r="R50" i="3"/>
  <c r="J29" i="15" s="1"/>
  <c r="J102" i="15"/>
  <c r="J105" i="15" s="1"/>
  <c r="T14" i="2"/>
  <c r="U14" i="2" s="1"/>
  <c r="V14" i="2" s="1"/>
  <c r="W14" i="2" s="1"/>
  <c r="X14" i="2" s="1"/>
  <c r="O59" i="5"/>
  <c r="T12" i="2"/>
  <c r="S10" i="2" l="1"/>
  <c r="S46" i="2" s="1"/>
  <c r="S49" i="2" s="1"/>
  <c r="O36" i="1" s="1"/>
  <c r="M43" i="4"/>
  <c r="R5" i="3" s="1"/>
  <c r="R4" i="3"/>
  <c r="J4" i="15" s="1"/>
  <c r="M54" i="4"/>
  <c r="M57" i="4" s="1"/>
  <c r="R79" i="3"/>
  <c r="R43" i="3" s="1"/>
  <c r="R46" i="2"/>
  <c r="P88" i="3" s="1"/>
  <c r="Y14" i="2"/>
  <c r="Y10" i="2" s="1"/>
  <c r="Y46" i="2" s="1"/>
  <c r="Y49" i="2" s="1"/>
  <c r="X10" i="2"/>
  <c r="X46" i="2" s="1"/>
  <c r="X49" i="2" s="1"/>
  <c r="J92" i="15"/>
  <c r="J107" i="15"/>
  <c r="J108" i="15"/>
  <c r="R53" i="3"/>
  <c r="J46" i="4"/>
  <c r="O6" i="3" s="1"/>
  <c r="G94" i="15"/>
  <c r="G95" i="15" s="1"/>
  <c r="R87" i="3"/>
  <c r="U12" i="2"/>
  <c r="T10" i="2"/>
  <c r="R10" i="3" l="1"/>
  <c r="R18" i="3" s="1"/>
  <c r="Q88" i="3"/>
  <c r="I94" i="15"/>
  <c r="I95" i="15" s="1"/>
  <c r="L46" i="4"/>
  <c r="L48" i="4" s="1"/>
  <c r="L50" i="4" s="1"/>
  <c r="O42" i="1"/>
  <c r="O43" i="1" s="1"/>
  <c r="R49" i="2"/>
  <c r="N36" i="1" s="1"/>
  <c r="T46" i="2"/>
  <c r="T49" i="2" s="1"/>
  <c r="P36" i="1" s="1"/>
  <c r="P89" i="3"/>
  <c r="V12" i="2"/>
  <c r="U10" i="2"/>
  <c r="U46" i="2" s="1"/>
  <c r="U49" i="2" s="1"/>
  <c r="O47" i="1" l="1"/>
  <c r="O48" i="1" s="1"/>
  <c r="R88" i="3"/>
  <c r="R89" i="3" s="1"/>
  <c r="Q6" i="3"/>
  <c r="Q95" i="3" s="1"/>
  <c r="Q89" i="3"/>
  <c r="J94" i="15"/>
  <c r="J95" i="15" s="1"/>
  <c r="P42" i="1"/>
  <c r="P43" i="1" s="1"/>
  <c r="M46" i="4"/>
  <c r="R6" i="3" s="1"/>
  <c r="R95" i="3" s="1"/>
  <c r="H94" i="15"/>
  <c r="H95" i="15" s="1"/>
  <c r="N42" i="1"/>
  <c r="K46" i="4"/>
  <c r="Q7" i="3"/>
  <c r="L58" i="4"/>
  <c r="L59" i="4" s="1"/>
  <c r="L51" i="4"/>
  <c r="W12" i="2"/>
  <c r="W10" i="2" s="1"/>
  <c r="W46" i="2" s="1"/>
  <c r="W49" i="2" s="1"/>
  <c r="V10" i="2"/>
  <c r="V46" i="2" s="1"/>
  <c r="V49" i="2" s="1"/>
  <c r="M48" i="4" l="1"/>
  <c r="M50" i="4" s="1"/>
  <c r="M51" i="4" s="1"/>
  <c r="P47" i="1"/>
  <c r="P48" i="1" s="1"/>
  <c r="Q81" i="3"/>
  <c r="Q139" i="3" s="1"/>
  <c r="P6" i="3"/>
  <c r="K48" i="4"/>
  <c r="K50" i="4" s="1"/>
  <c r="N43" i="1"/>
  <c r="N47" i="1"/>
  <c r="N48" i="1" s="1"/>
  <c r="Q16" i="3"/>
  <c r="I7" i="15" s="1"/>
  <c r="I5" i="15"/>
  <c r="R45" i="3"/>
  <c r="Q8" i="3"/>
  <c r="I6" i="15" s="1"/>
  <c r="I96" i="15" s="1"/>
  <c r="R7" i="3"/>
  <c r="R81" i="3"/>
  <c r="M58" i="4" l="1"/>
  <c r="M59" i="4" s="1"/>
  <c r="K51" i="4"/>
  <c r="K58" i="4"/>
  <c r="K59" i="4" s="1"/>
  <c r="P95" i="3"/>
  <c r="Q45" i="3" s="1"/>
  <c r="P81" i="3"/>
  <c r="P7" i="3"/>
  <c r="Q20" i="3"/>
  <c r="I9" i="15" s="1"/>
  <c r="Q17" i="3"/>
  <c r="I8" i="15" s="1"/>
  <c r="I100" i="15" s="1"/>
  <c r="R16" i="3"/>
  <c r="J7" i="15" s="1"/>
  <c r="J5" i="15"/>
  <c r="R44" i="3"/>
  <c r="R42" i="3" s="1"/>
  <c r="R139" i="3"/>
  <c r="R8" i="3"/>
  <c r="J6" i="15" s="1"/>
  <c r="J96" i="15" s="1"/>
  <c r="P139" i="3" l="1"/>
  <c r="Q44" i="3"/>
  <c r="Q42" i="3" s="1"/>
  <c r="H5" i="15"/>
  <c r="P8" i="3"/>
  <c r="H6" i="15" s="1"/>
  <c r="H96" i="15" s="1"/>
  <c r="P16" i="3"/>
  <c r="Q21" i="3"/>
  <c r="I10" i="15" s="1"/>
  <c r="R17" i="3"/>
  <c r="J8" i="15" s="1"/>
  <c r="J100" i="15" s="1"/>
  <c r="R20" i="3"/>
  <c r="I47" i="15"/>
  <c r="M42" i="1"/>
  <c r="M47" i="1" s="1"/>
  <c r="M48" i="1" s="1"/>
  <c r="J43" i="4"/>
  <c r="O5" i="3" s="1"/>
  <c r="H7" i="15" l="1"/>
  <c r="P17" i="3"/>
  <c r="H8" i="15" s="1"/>
  <c r="H100" i="15" s="1"/>
  <c r="P20" i="3"/>
  <c r="R21" i="3"/>
  <c r="J10" i="15" s="1"/>
  <c r="J9" i="15"/>
  <c r="O7" i="3"/>
  <c r="O81" i="3"/>
  <c r="J48" i="4"/>
  <c r="J50" i="4" s="1"/>
  <c r="J58" i="4" s="1"/>
  <c r="J59" i="4" s="1"/>
  <c r="O95" i="3"/>
  <c r="O45" i="3" s="1"/>
  <c r="M43" i="1"/>
  <c r="I46" i="3"/>
  <c r="I66" i="3"/>
  <c r="I68" i="3" s="1"/>
  <c r="I72" i="3" l="1"/>
  <c r="I78" i="3" s="1"/>
  <c r="E18" i="15" s="1"/>
  <c r="E32" i="15"/>
  <c r="P21" i="3"/>
  <c r="H10" i="15" s="1"/>
  <c r="H9" i="15"/>
  <c r="O16" i="3"/>
  <c r="G5" i="15"/>
  <c r="J47" i="15"/>
  <c r="P45" i="3"/>
  <c r="O139" i="3"/>
  <c r="J51" i="4"/>
  <c r="I83" i="3"/>
  <c r="I170" i="3" s="1"/>
  <c r="J70" i="3"/>
  <c r="J72" i="3" s="1"/>
  <c r="J78" i="3" s="1"/>
  <c r="O70" i="3" l="1"/>
  <c r="O24" i="3"/>
  <c r="F18" i="15"/>
  <c r="E50" i="15"/>
  <c r="E38" i="15"/>
  <c r="E59" i="15" s="1"/>
  <c r="E40" i="15"/>
  <c r="E24" i="15"/>
  <c r="H47" i="15"/>
  <c r="G7" i="15"/>
  <c r="O8" i="3"/>
  <c r="G6" i="15" s="1"/>
  <c r="G96" i="15" s="1"/>
  <c r="O44" i="3"/>
  <c r="O42" i="3" s="1"/>
  <c r="P44" i="3"/>
  <c r="P42" i="3" s="1"/>
  <c r="O20" i="3"/>
  <c r="O17" i="3"/>
  <c r="G8" i="15" s="1"/>
  <c r="G100" i="15" s="1"/>
  <c r="R24" i="3"/>
  <c r="Q24" i="3"/>
  <c r="P24" i="3"/>
  <c r="J83" i="3"/>
  <c r="F50" i="15" l="1"/>
  <c r="F24" i="15"/>
  <c r="F38" i="15"/>
  <c r="F59" i="15" s="1"/>
  <c r="F40" i="15"/>
  <c r="O83" i="3"/>
  <c r="P83" i="3" s="1"/>
  <c r="J170" i="3"/>
  <c r="O21" i="3"/>
  <c r="G10" i="15" s="1"/>
  <c r="G9" i="15"/>
  <c r="G47" i="15" l="1"/>
  <c r="O46" i="3"/>
  <c r="Q83" i="3" l="1"/>
  <c r="Q46" i="3" s="1"/>
  <c r="P46" i="3"/>
  <c r="R83" i="3" l="1"/>
  <c r="R46" i="3" s="1"/>
  <c r="O135" i="3" l="1"/>
  <c r="O57" i="3"/>
  <c r="O64" i="3" s="1"/>
  <c r="G31" i="15" l="1"/>
  <c r="P133" i="3"/>
  <c r="P135" i="3" s="1"/>
  <c r="P97" i="3" s="1"/>
  <c r="O97" i="3"/>
  <c r="O100" i="3" l="1"/>
  <c r="O105" i="3" s="1"/>
  <c r="G25" i="15" s="1"/>
  <c r="B170" i="5"/>
  <c r="B176" i="5" s="1"/>
  <c r="B177" i="5" s="1"/>
  <c r="O23" i="3" s="1"/>
  <c r="G21" i="15"/>
  <c r="G20" i="15" s="1"/>
  <c r="P100" i="3"/>
  <c r="P105" i="3" s="1"/>
  <c r="H25" i="15" s="1"/>
  <c r="C170" i="5"/>
  <c r="C176" i="5" s="1"/>
  <c r="C177" i="5" s="1"/>
  <c r="P23" i="3" s="1"/>
  <c r="H21" i="15"/>
  <c r="H20" i="15" s="1"/>
  <c r="Q133" i="3"/>
  <c r="Q135" i="3" s="1"/>
  <c r="Q97" i="3" s="1"/>
  <c r="H51" i="15" l="1"/>
  <c r="H37" i="15"/>
  <c r="H58" i="15" s="1"/>
  <c r="H13" i="15"/>
  <c r="H48" i="15" s="1"/>
  <c r="P41" i="3"/>
  <c r="P28" i="3"/>
  <c r="Q100" i="3"/>
  <c r="Q105" i="3" s="1"/>
  <c r="I25" i="15" s="1"/>
  <c r="D170" i="5"/>
  <c r="D176" i="5" s="1"/>
  <c r="D177" i="5" s="1"/>
  <c r="Q23" i="3" s="1"/>
  <c r="I21" i="15"/>
  <c r="I20" i="15" s="1"/>
  <c r="G51" i="15"/>
  <c r="G37" i="15"/>
  <c r="G58" i="15" s="1"/>
  <c r="G13" i="15"/>
  <c r="G48" i="15" s="1"/>
  <c r="O41" i="3"/>
  <c r="O28" i="3"/>
  <c r="R133" i="3"/>
  <c r="R135" i="3" s="1"/>
  <c r="I51" i="15" l="1"/>
  <c r="I37" i="15"/>
  <c r="I58" i="15" s="1"/>
  <c r="G14" i="15"/>
  <c r="O29" i="3"/>
  <c r="O31" i="3"/>
  <c r="O40" i="3" s="1"/>
  <c r="I13" i="15"/>
  <c r="I48" i="15" s="1"/>
  <c r="Q41" i="3"/>
  <c r="Q28" i="3"/>
  <c r="H14" i="15"/>
  <c r="P29" i="3"/>
  <c r="P31" i="3"/>
  <c r="P40" i="3" s="1"/>
  <c r="R97" i="3"/>
  <c r="O33" i="3" l="1"/>
  <c r="O110" i="3" s="1"/>
  <c r="P33" i="3"/>
  <c r="P34" i="3" s="1"/>
  <c r="H16" i="15" s="1"/>
  <c r="P39" i="3"/>
  <c r="P47" i="3" s="1"/>
  <c r="H28" i="15" s="1"/>
  <c r="H30" i="15" s="1"/>
  <c r="H11" i="15"/>
  <c r="R100" i="3"/>
  <c r="R105" i="3" s="1"/>
  <c r="J25" i="15" s="1"/>
  <c r="E170" i="5"/>
  <c r="E176" i="5" s="1"/>
  <c r="E177" i="5" s="1"/>
  <c r="R23" i="3" s="1"/>
  <c r="J21" i="15"/>
  <c r="J20" i="15" s="1"/>
  <c r="I14" i="15"/>
  <c r="Q29" i="3"/>
  <c r="Q31" i="3"/>
  <c r="Q40" i="3" s="1"/>
  <c r="O39" i="3"/>
  <c r="O47" i="3" s="1"/>
  <c r="O66" i="3" s="1"/>
  <c r="G11" i="15"/>
  <c r="O113" i="3" l="1"/>
  <c r="O115" i="3" s="1"/>
  <c r="O34" i="3"/>
  <c r="G16" i="15" s="1"/>
  <c r="P61" i="3"/>
  <c r="P64" i="3" s="1"/>
  <c r="H31" i="15" s="1"/>
  <c r="G15" i="15"/>
  <c r="G49" i="15" s="1"/>
  <c r="H15" i="15"/>
  <c r="H49" i="15" s="1"/>
  <c r="Q61" i="3"/>
  <c r="Q64" i="3" s="1"/>
  <c r="I31" i="15" s="1"/>
  <c r="Q33" i="3"/>
  <c r="R61" i="3" s="1"/>
  <c r="R64" i="3" s="1"/>
  <c r="G41" i="15"/>
  <c r="G60" i="15" s="1"/>
  <c r="G12" i="15"/>
  <c r="G42" i="15"/>
  <c r="G61" i="15" s="1"/>
  <c r="G39" i="15"/>
  <c r="J13" i="15"/>
  <c r="J48" i="15" s="1"/>
  <c r="R41" i="3"/>
  <c r="R28" i="3"/>
  <c r="Q39" i="3"/>
  <c r="Q47" i="3" s="1"/>
  <c r="I28" i="15" s="1"/>
  <c r="I30" i="15" s="1"/>
  <c r="I11" i="15"/>
  <c r="H41" i="15"/>
  <c r="H60" i="15" s="1"/>
  <c r="H42" i="15"/>
  <c r="H61" i="15" s="1"/>
  <c r="H12" i="15"/>
  <c r="H39" i="15"/>
  <c r="G28" i="15"/>
  <c r="G30" i="15" s="1"/>
  <c r="O68" i="3"/>
  <c r="O72" i="3" s="1"/>
  <c r="J51" i="15"/>
  <c r="J37" i="15"/>
  <c r="J58" i="15" s="1"/>
  <c r="P110" i="3" l="1"/>
  <c r="P113" i="3" s="1"/>
  <c r="P66" i="3"/>
  <c r="P68" i="3" s="1"/>
  <c r="H32" i="15" s="1"/>
  <c r="Q34" i="3"/>
  <c r="I16" i="15" s="1"/>
  <c r="I15" i="15"/>
  <c r="I49" i="15" s="1"/>
  <c r="J14" i="15"/>
  <c r="R31" i="3"/>
  <c r="R40" i="3" s="1"/>
  <c r="R29" i="3"/>
  <c r="G32" i="15"/>
  <c r="O78" i="3"/>
  <c r="O84" i="3" s="1"/>
  <c r="O92" i="3" s="1"/>
  <c r="Q66" i="3"/>
  <c r="Q68" i="3" s="1"/>
  <c r="I32" i="15" s="1"/>
  <c r="J31" i="15"/>
  <c r="I41" i="15"/>
  <c r="I60" i="15" s="1"/>
  <c r="I42" i="15"/>
  <c r="I61" i="15" s="1"/>
  <c r="I12" i="15"/>
  <c r="I39" i="15"/>
  <c r="G26" i="15"/>
  <c r="Q110" i="3" l="1"/>
  <c r="Q113" i="3" s="1"/>
  <c r="G18" i="15"/>
  <c r="G24" i="15" s="1"/>
  <c r="P70" i="3"/>
  <c r="P72" i="3" s="1"/>
  <c r="P78" i="3" s="1"/>
  <c r="G52" i="15"/>
  <c r="G35" i="15"/>
  <c r="G56" i="15" s="1"/>
  <c r="G36" i="15"/>
  <c r="G57" i="15" s="1"/>
  <c r="R33" i="3"/>
  <c r="H26" i="15"/>
  <c r="P115" i="3"/>
  <c r="R39" i="3"/>
  <c r="R47" i="3" s="1"/>
  <c r="J11" i="15"/>
  <c r="R110" i="3" l="1"/>
  <c r="R113" i="3" s="1"/>
  <c r="R115" i="3" s="1"/>
  <c r="I26" i="15"/>
  <c r="Q115" i="3"/>
  <c r="G34" i="15"/>
  <c r="G55" i="15" s="1"/>
  <c r="H52" i="15"/>
  <c r="H36" i="15"/>
  <c r="H57" i="15" s="1"/>
  <c r="H35" i="15"/>
  <c r="H56" i="15" s="1"/>
  <c r="J41" i="15"/>
  <c r="J60" i="15" s="1"/>
  <c r="J12" i="15"/>
  <c r="J42" i="15"/>
  <c r="J61" i="15" s="1"/>
  <c r="J39" i="15"/>
  <c r="R34" i="3"/>
  <c r="J16" i="15" s="1"/>
  <c r="J15" i="15"/>
  <c r="J49" i="15" s="1"/>
  <c r="H18" i="15"/>
  <c r="P84" i="3"/>
  <c r="Q70" i="3"/>
  <c r="Q72" i="3" s="1"/>
  <c r="Q78" i="3" s="1"/>
  <c r="J28" i="15"/>
  <c r="J30" i="15" s="1"/>
  <c r="R66" i="3"/>
  <c r="R68" i="3" s="1"/>
  <c r="J32" i="15" s="1"/>
  <c r="G50" i="15"/>
  <c r="G40" i="15"/>
  <c r="G38" i="15"/>
  <c r="G59" i="15" s="1"/>
  <c r="J26" i="15" l="1"/>
  <c r="J36" i="15" s="1"/>
  <c r="J57" i="15" s="1"/>
  <c r="H40" i="15"/>
  <c r="H38" i="15"/>
  <c r="H59" i="15" s="1"/>
  <c r="H50" i="15"/>
  <c r="H24" i="15"/>
  <c r="O117" i="3"/>
  <c r="G19" i="15"/>
  <c r="R70" i="3"/>
  <c r="R72" i="3" s="1"/>
  <c r="R78" i="3" s="1"/>
  <c r="I18" i="15"/>
  <c r="Q84" i="3"/>
  <c r="P92" i="3"/>
  <c r="H34" i="15"/>
  <c r="H55" i="15" s="1"/>
  <c r="J52" i="15"/>
  <c r="I52" i="15"/>
  <c r="I35" i="15"/>
  <c r="I56" i="15" s="1"/>
  <c r="I36" i="15"/>
  <c r="I57" i="15" s="1"/>
  <c r="J35" i="15" l="1"/>
  <c r="J56" i="15" s="1"/>
  <c r="I50" i="15"/>
  <c r="I38" i="15"/>
  <c r="I59" i="15" s="1"/>
  <c r="I24" i="15"/>
  <c r="I40" i="15"/>
  <c r="J18" i="15"/>
  <c r="R84" i="3"/>
  <c r="H19" i="15"/>
  <c r="P117" i="3"/>
  <c r="Q92" i="3"/>
  <c r="I34" i="15"/>
  <c r="I55" i="15" s="1"/>
  <c r="R92" i="3" l="1"/>
  <c r="J34" i="15"/>
  <c r="J55" i="15" s="1"/>
  <c r="Q117" i="3"/>
  <c r="I19" i="15"/>
  <c r="J24" i="15"/>
  <c r="J50" i="15"/>
  <c r="J38" i="15"/>
  <c r="J59" i="15" s="1"/>
  <c r="J40" i="15"/>
  <c r="J19" i="15" l="1"/>
  <c r="R117" i="3"/>
</calcChain>
</file>

<file path=xl/comments1.xml><?xml version="1.0" encoding="utf-8"?>
<comments xmlns="http://schemas.openxmlformats.org/spreadsheetml/2006/main">
  <authors>
    <author>fionachenps</author>
  </authors>
  <commentList>
    <comment ref="I148" authorId="0" shapeId="0">
      <text>
        <r>
          <rPr>
            <b/>
            <sz val="9"/>
            <color indexed="81"/>
            <rFont val="Tahoma"/>
            <family val="2"/>
          </rPr>
          <t>fionachenps:</t>
        </r>
        <r>
          <rPr>
            <sz val="9"/>
            <color indexed="81"/>
            <rFont val="Tahoma"/>
            <family val="2"/>
          </rPr>
          <t xml:space="preserve">
Hon Hai is assumed to recognize Sharp's net loss for Nov.'16 and Dec.'16.
</t>
        </r>
      </text>
    </comment>
  </commentList>
</comments>
</file>

<file path=xl/sharedStrings.xml><?xml version="1.0" encoding="utf-8"?>
<sst xmlns="http://schemas.openxmlformats.org/spreadsheetml/2006/main" count="2315" uniqueCount="797">
  <si>
    <t>2015 A</t>
  </si>
  <si>
    <t>2016 A</t>
  </si>
  <si>
    <t>selected case</t>
  </si>
  <si>
    <t>Revenue Mix (by Product)</t>
  </si>
  <si>
    <t>Industry Growth Rate</t>
  </si>
  <si>
    <t>iPhone</t>
  </si>
  <si>
    <t>Premium Phone</t>
  </si>
  <si>
    <t>Smartphone (Android camp)</t>
  </si>
  <si>
    <t>Consumer electronics</t>
  </si>
  <si>
    <t>Android Camp</t>
  </si>
  <si>
    <t>PC</t>
  </si>
  <si>
    <t>iPad</t>
  </si>
  <si>
    <t>Bank Case</t>
  </si>
  <si>
    <t>Server &amp; storage</t>
  </si>
  <si>
    <t>Communications / networking</t>
  </si>
  <si>
    <t>Total Revenue</t>
  </si>
  <si>
    <t>Growth Rate</t>
  </si>
  <si>
    <t>%s of total Revenue</t>
  </si>
  <si>
    <t>bank case</t>
  </si>
  <si>
    <t>Networking</t>
  </si>
  <si>
    <t>2016 YR</t>
  </si>
  <si>
    <t>2017 YR</t>
  </si>
  <si>
    <t>2018 YR</t>
  </si>
  <si>
    <t>2019 YR</t>
  </si>
  <si>
    <t>2020 YR</t>
  </si>
  <si>
    <t>2021 YR</t>
  </si>
  <si>
    <t>Server &amp; Storage</t>
  </si>
  <si>
    <t>2017 A</t>
  </si>
  <si>
    <t>P&amp;L</t>
  </si>
  <si>
    <t>2011 (A)</t>
  </si>
  <si>
    <t>2012 (A)</t>
  </si>
  <si>
    <t>2013 (A)</t>
  </si>
  <si>
    <t>2014 (A)</t>
    <phoneticPr fontId="4" type="noConversion"/>
  </si>
  <si>
    <t>2015 (A)</t>
    <phoneticPr fontId="4" type="noConversion"/>
  </si>
  <si>
    <t>2016(A)</t>
  </si>
  <si>
    <t>2018 (F)</t>
  </si>
  <si>
    <t>2019 (F)</t>
  </si>
  <si>
    <t>2020 (F)</t>
  </si>
  <si>
    <t>NT$ mn</t>
  </si>
  <si>
    <t>Sales</t>
  </si>
  <si>
    <t>growth rate</t>
  </si>
  <si>
    <t>COGS</t>
  </si>
  <si>
    <t>D&amp;A</t>
  </si>
  <si>
    <t>Gross Profit</t>
  </si>
  <si>
    <t>Gross Margin</t>
  </si>
  <si>
    <t>Operating Expenses</t>
  </si>
  <si>
    <t>Total OPEX</t>
  </si>
  <si>
    <t>selling &amp; marketing expenses</t>
  </si>
  <si>
    <t>general &amp; admin expenses</t>
  </si>
  <si>
    <t>R&amp;D</t>
  </si>
  <si>
    <t>Operating Profit</t>
  </si>
  <si>
    <t>Operating Margin</t>
  </si>
  <si>
    <t>OPEX to Sales</t>
  </si>
  <si>
    <t>EBITDA (operating)</t>
  </si>
  <si>
    <t>EBITDA Margin</t>
  </si>
  <si>
    <t>Interest Expenses</t>
  </si>
  <si>
    <t>Interest Incomes</t>
  </si>
  <si>
    <t>Other income / expenses</t>
  </si>
  <si>
    <t>NPBT</t>
    <phoneticPr fontId="4" type="noConversion"/>
  </si>
  <si>
    <t>EBITDA</t>
    <phoneticPr fontId="4" type="noConversion"/>
  </si>
  <si>
    <t>Income Tax</t>
  </si>
  <si>
    <t>Minority Interest</t>
    <phoneticPr fontId="4" type="noConversion"/>
  </si>
  <si>
    <t>Net Income</t>
  </si>
  <si>
    <t>Net Margin</t>
  </si>
  <si>
    <t>Cashflow</t>
  </si>
  <si>
    <t>TAX</t>
    <phoneticPr fontId="4" type="noConversion"/>
  </si>
  <si>
    <t>Interest Expense</t>
    <phoneticPr fontId="4" type="noConversion"/>
  </si>
  <si>
    <t>Change in Working Capital</t>
  </si>
  <si>
    <t>AR</t>
  </si>
  <si>
    <t>Inventory</t>
  </si>
  <si>
    <t>AP</t>
  </si>
  <si>
    <t>Others (changes in other CA &amp; other CL)-&gt;adjustment</t>
    <phoneticPr fontId="4" type="noConversion"/>
  </si>
  <si>
    <t>CF from Operation</t>
  </si>
  <si>
    <t>CAPEX</t>
  </si>
  <si>
    <t>Change in LT investments</t>
  </si>
  <si>
    <t>Other Assets (others non-current assets, &amp; other non-current liabs)</t>
    <phoneticPr fontId="4" type="noConversion"/>
  </si>
  <si>
    <t>CF from Investment</t>
  </si>
  <si>
    <t>Change in Existing LT Loan / CB</t>
    <phoneticPr fontId="4" type="noConversion"/>
  </si>
  <si>
    <t>Change in ST Loan</t>
    <phoneticPr fontId="0" type="noConversion"/>
  </si>
  <si>
    <t>Common Stock (cash change)</t>
    <phoneticPr fontId="0" type="noConversion"/>
  </si>
  <si>
    <t>Preferred Shares</t>
  </si>
  <si>
    <t xml:space="preserve"> Minus: Dividend payout</t>
  </si>
  <si>
    <t>Proposed Term Loans</t>
  </si>
  <si>
    <t>Proposed Bonds</t>
  </si>
  <si>
    <t>CF from Financing</t>
  </si>
  <si>
    <t>Gross Cashflow</t>
  </si>
  <si>
    <t>FX &amp; Others (adjustment)</t>
    <phoneticPr fontId="4" type="noConversion"/>
  </si>
  <si>
    <t>Change in Net Cash</t>
  </si>
  <si>
    <t>Beginning Cash</t>
  </si>
  <si>
    <t>Ending Cash</t>
  </si>
  <si>
    <t>Balance Sheet</t>
  </si>
  <si>
    <t>Assets</t>
  </si>
  <si>
    <t>Cash &amp; Equivalents</t>
  </si>
  <si>
    <t>Accounts Receivables</t>
  </si>
  <si>
    <t>AR Days</t>
  </si>
  <si>
    <t>Inv Days</t>
  </si>
  <si>
    <t>Other current assets</t>
  </si>
  <si>
    <t>Total Current Assets</t>
  </si>
  <si>
    <t>LT Investments</t>
  </si>
  <si>
    <t>Gross Fixed Assets</t>
  </si>
  <si>
    <t>Less: Accumulated Dep</t>
  </si>
  <si>
    <t>Net Fixed Assets</t>
  </si>
  <si>
    <t>Intangibles</t>
  </si>
  <si>
    <t>Other Assets</t>
  </si>
  <si>
    <t>Total Assets</t>
  </si>
  <si>
    <t>Liabilities</t>
  </si>
  <si>
    <t>Accounts Payables</t>
  </si>
  <si>
    <t>AP Days</t>
  </si>
  <si>
    <t>ST Loan &amp; CP</t>
    <phoneticPr fontId="4" type="noConversion"/>
  </si>
  <si>
    <t>Other current liabilities</t>
  </si>
  <si>
    <t>Total Current Liabilities</t>
  </si>
  <si>
    <t>LT Loan</t>
  </si>
  <si>
    <t>Bonds</t>
  </si>
  <si>
    <t>Other LT Liabilities</t>
    <phoneticPr fontId="4" type="noConversion"/>
  </si>
  <si>
    <t>Total Liabilities</t>
  </si>
  <si>
    <t>Shareholders' Equity</t>
  </si>
  <si>
    <t>Capital</t>
  </si>
  <si>
    <t>Reserve</t>
  </si>
  <si>
    <t>Retained earnings</t>
  </si>
  <si>
    <t>Adjustments (Other Equity)</t>
    <phoneticPr fontId="4" type="noConversion"/>
  </si>
  <si>
    <t>Minority</t>
  </si>
  <si>
    <t>Total SE</t>
  </si>
  <si>
    <t>Total Liabilities &amp; SE</t>
  </si>
  <si>
    <t>balance check</t>
  </si>
  <si>
    <t>Other Assumptions</t>
  </si>
  <si>
    <t>ST loan interest rate</t>
  </si>
  <si>
    <t>Liquidity Investment Yield</t>
  </si>
  <si>
    <t>AR days</t>
  </si>
  <si>
    <t>Inventory days</t>
  </si>
  <si>
    <t>AP days</t>
  </si>
  <si>
    <t>Cash cycle days</t>
    <phoneticPr fontId="4" type="noConversion"/>
  </si>
  <si>
    <t>Cash dividend payout ratio</t>
    <phoneticPr fontId="4" type="noConversion"/>
  </si>
  <si>
    <t>Stock dividend per share</t>
    <phoneticPr fontId="4" type="noConversion"/>
  </si>
  <si>
    <t>Stock dividend result in capital increase (Non cash increase)</t>
    <phoneticPr fontId="4" type="noConversion"/>
  </si>
  <si>
    <t>Existing ST Loan &amp;CP</t>
    <phoneticPr fontId="4" type="noConversion"/>
  </si>
  <si>
    <t>Beginning Balance</t>
  </si>
  <si>
    <t>Change in ST loan</t>
  </si>
  <si>
    <t>NTD</t>
  </si>
  <si>
    <t>Ending Balance</t>
  </si>
  <si>
    <t>WC</t>
  </si>
  <si>
    <t>Sharp investment (unit: NT$ mn)</t>
    <phoneticPr fontId="4" type="noConversion"/>
  </si>
  <si>
    <t>Sharp's net profit/loss (unit: JPY mn)</t>
    <phoneticPr fontId="4" type="noConversion"/>
  </si>
  <si>
    <t>HHP's direct shares in Sharp</t>
    <phoneticPr fontId="4" type="noConversion"/>
  </si>
  <si>
    <t xml:space="preserve">Periodical Short Term loan </t>
    <phoneticPr fontId="4" type="noConversion"/>
  </si>
  <si>
    <t>Periodical Interest Expense</t>
    <phoneticPr fontId="4" type="noConversion"/>
  </si>
  <si>
    <t>SHARP (Mgmt guidance)</t>
  </si>
  <si>
    <t>Sales (JPY b)</t>
  </si>
  <si>
    <t>Growth</t>
  </si>
  <si>
    <t>Net Margin_Worst Case</t>
  </si>
  <si>
    <t>HHP owned % in Sharp</t>
  </si>
  <si>
    <t>Investment Income per equity method in HH Book</t>
  </si>
  <si>
    <t>TWD mlln</t>
  </si>
  <si>
    <t>2017(A)</t>
  </si>
  <si>
    <t>Cash Cost</t>
  </si>
  <si>
    <t>Cash Cost / Sales</t>
  </si>
  <si>
    <t>Net FA</t>
  </si>
  <si>
    <t>GPM</t>
  </si>
  <si>
    <t>OPEX</t>
  </si>
  <si>
    <t>OPEX / Sales</t>
  </si>
  <si>
    <t>OPM</t>
  </si>
  <si>
    <t>Histrorical</t>
  </si>
  <si>
    <t>Mkt consensus</t>
  </si>
  <si>
    <t>DBS Case</t>
  </si>
  <si>
    <t>Additional CAPEX</t>
    <phoneticPr fontId="4" type="noConversion"/>
  </si>
  <si>
    <t>&lt;= Factored in LTPS Plan</t>
    <phoneticPr fontId="4" type="noConversion"/>
  </si>
  <si>
    <t>=&gt; US project</t>
  </si>
  <si>
    <t>Dep Schedule</t>
  </si>
  <si>
    <t>Dep Yr</t>
  </si>
  <si>
    <t>SUM 1</t>
  </si>
  <si>
    <r>
      <t xml:space="preserve">2019 </t>
    </r>
    <r>
      <rPr>
        <sz val="11"/>
        <color theme="1"/>
        <rFont val="Calibri"/>
        <family val="2"/>
        <scheme val="minor"/>
      </rPr>
      <t>CAPEX</t>
    </r>
  </si>
  <si>
    <r>
      <t xml:space="preserve">2020 </t>
    </r>
    <r>
      <rPr>
        <sz val="11"/>
        <color theme="1"/>
        <rFont val="Calibri"/>
        <family val="2"/>
        <scheme val="minor"/>
      </rPr>
      <t>CAPEX</t>
    </r>
  </si>
  <si>
    <t>Add. CAPEX (US Invetment)</t>
  </si>
  <si>
    <t>USD</t>
  </si>
  <si>
    <t>will be deployed from 2018 by</t>
  </si>
  <si>
    <t>Land</t>
  </si>
  <si>
    <t>Plant</t>
  </si>
  <si>
    <t>Equipment</t>
  </si>
  <si>
    <t>associated Depreciation Schedule</t>
  </si>
  <si>
    <t>SUM 2</t>
  </si>
  <si>
    <t>Opening (net) PP&amp;E</t>
  </si>
  <si>
    <t>Total Dep</t>
  </si>
  <si>
    <t>Opening Intangible Assets</t>
  </si>
  <si>
    <t>Total D&amp;A</t>
  </si>
  <si>
    <t>CAPEX to Sales</t>
  </si>
  <si>
    <t>FX ( USD - TWD)</t>
  </si>
  <si>
    <t>2021 (F)</t>
  </si>
  <si>
    <t>current year</t>
  </si>
  <si>
    <t>Historical</t>
  </si>
  <si>
    <t>Projection</t>
    <phoneticPr fontId="4" type="noConversion"/>
  </si>
  <si>
    <t>Segment 1</t>
  </si>
  <si>
    <t>ASP ($)</t>
  </si>
  <si>
    <t>Shipments</t>
  </si>
  <si>
    <t>Segment 2</t>
  </si>
  <si>
    <t>Segment 3</t>
  </si>
  <si>
    <t>Segment 4</t>
  </si>
  <si>
    <t>Segment 5</t>
  </si>
  <si>
    <t>Others</t>
  </si>
  <si>
    <t>Total Sales</t>
  </si>
  <si>
    <t>Materials &amp; Components</t>
  </si>
  <si>
    <t>Direct Labor</t>
  </si>
  <si>
    <t>sub total</t>
  </si>
  <si>
    <t>Overhead</t>
  </si>
  <si>
    <t>Total COGS</t>
  </si>
  <si>
    <t>OPEX' to Sales</t>
  </si>
  <si>
    <t>-&gt;1543+1546+1550</t>
  </si>
  <si>
    <t>-&gt;1600</t>
  </si>
  <si>
    <t>-&gt;1780</t>
  </si>
  <si>
    <t>NTD'mn</t>
    <phoneticPr fontId="0" type="noConversion"/>
  </si>
  <si>
    <t>tenor</t>
    <phoneticPr fontId="0" type="noConversion"/>
  </si>
  <si>
    <t>face value</t>
    <phoneticPr fontId="0" type="noConversion"/>
  </si>
  <si>
    <t>coupon rate</t>
    <phoneticPr fontId="0" type="noConversion"/>
  </si>
  <si>
    <t>maturity</t>
    <phoneticPr fontId="0" type="noConversion"/>
  </si>
  <si>
    <t>interest expense</t>
    <phoneticPr fontId="0" type="noConversion"/>
  </si>
  <si>
    <t>total bond</t>
    <phoneticPr fontId="0" type="noConversion"/>
  </si>
  <si>
    <t>*&lt;108 -&gt; CL</t>
  </si>
  <si>
    <t>issue yr</t>
  </si>
  <si>
    <t>issue mon</t>
  </si>
  <si>
    <t>USD'mn</t>
    <phoneticPr fontId="0" type="noConversion"/>
  </si>
  <si>
    <t>JPY'mn</t>
    <phoneticPr fontId="0" type="noConversion"/>
  </si>
  <si>
    <t>total</t>
    <phoneticPr fontId="0" type="noConversion"/>
  </si>
  <si>
    <t>EURO'mn</t>
    <phoneticPr fontId="0" type="noConversion"/>
  </si>
  <si>
    <t>Euribor - 3 months(average)</t>
    <phoneticPr fontId="0" type="noConversion"/>
  </si>
  <si>
    <t>CP(NTD)'mn</t>
    <phoneticPr fontId="0" type="noConversion"/>
  </si>
  <si>
    <t>NTD</t>
    <phoneticPr fontId="0" type="noConversion"/>
  </si>
  <si>
    <t>USD</t>
    <phoneticPr fontId="0" type="noConversion"/>
  </si>
  <si>
    <t>JPY</t>
    <phoneticPr fontId="0" type="noConversion"/>
  </si>
  <si>
    <t>EURO</t>
    <phoneticPr fontId="0" type="noConversion"/>
  </si>
  <si>
    <t>LTB(NTD)'mn</t>
    <phoneticPr fontId="0" type="noConversion"/>
  </si>
  <si>
    <t>FX ( JPY - TWD)</t>
  </si>
  <si>
    <t>FX ( EUR - TWD)</t>
  </si>
  <si>
    <t>Rate</t>
  </si>
  <si>
    <t>Due Date</t>
  </si>
  <si>
    <t>Base Date</t>
  </si>
  <si>
    <t>Days to Expire</t>
  </si>
  <si>
    <t>Yrs to Expire</t>
  </si>
  <si>
    <t>0.55%, due 2020/05/17</t>
    <phoneticPr fontId="0" type="noConversion"/>
  </si>
  <si>
    <t>0.48%, due 2020/11/30</t>
    <phoneticPr fontId="0" type="noConversion"/>
  </si>
  <si>
    <t>1.54%, due 2026/11/30</t>
    <phoneticPr fontId="0" type="noConversion"/>
  </si>
  <si>
    <t>1.79%, due 2020/07/29</t>
    <phoneticPr fontId="0" type="noConversion"/>
  </si>
  <si>
    <t>1.75%, due 2033/09/06</t>
    <phoneticPr fontId="0" type="noConversion"/>
  </si>
  <si>
    <t>1.81%, due 2022/04/09</t>
    <phoneticPr fontId="0" type="noConversion"/>
  </si>
  <si>
    <t>2.10%, due 2028/04/15</t>
    <phoneticPr fontId="0" type="noConversion"/>
  </si>
  <si>
    <t>2.16%, due 2018/08/22</t>
  </si>
  <si>
    <t>4.53%, due 2027/06/15</t>
  </si>
  <si>
    <t>1.05%, due 2020/04/25</t>
  </si>
  <si>
    <t>NT$'mn</t>
    <phoneticPr fontId="0" type="noConversion"/>
  </si>
  <si>
    <t>NEW LTL</t>
    <phoneticPr fontId="0" type="noConversion"/>
  </si>
  <si>
    <t>invest in sharp(JPY)</t>
    <phoneticPr fontId="0" type="noConversion"/>
  </si>
  <si>
    <t>%</t>
    <phoneticPr fontId="0" type="noConversion"/>
  </si>
  <si>
    <t>JPY (mln)</t>
    <phoneticPr fontId="0" type="noConversion"/>
  </si>
  <si>
    <t>internal capital</t>
    <phoneticPr fontId="0" type="noConversion"/>
  </si>
  <si>
    <t>common share</t>
    <phoneticPr fontId="0" type="noConversion"/>
  </si>
  <si>
    <t>external capital</t>
    <phoneticPr fontId="0" type="noConversion"/>
  </si>
  <si>
    <t>class c</t>
    <phoneticPr fontId="0" type="noConversion"/>
  </si>
  <si>
    <t xml:space="preserve">     bond(10yrs,0.9%)</t>
    <phoneticPr fontId="0" type="noConversion"/>
  </si>
  <si>
    <t xml:space="preserve">     syndication(10yrs,0.9%)</t>
    <phoneticPr fontId="0" type="noConversion"/>
  </si>
  <si>
    <t>JPY</t>
    <phoneticPr fontId="0" type="noConversion"/>
  </si>
  <si>
    <t>Bond issue</t>
    <phoneticPr fontId="0" type="noConversion"/>
  </si>
  <si>
    <t>face value</t>
    <phoneticPr fontId="0" type="noConversion"/>
  </si>
  <si>
    <t>interest expense</t>
    <phoneticPr fontId="0" type="noConversion"/>
  </si>
  <si>
    <t>syndication</t>
    <phoneticPr fontId="0" type="noConversion"/>
  </si>
  <si>
    <t>NTD</t>
    <phoneticPr fontId="0" type="noConversion"/>
  </si>
  <si>
    <t>NTD BOND</t>
    <phoneticPr fontId="0" type="noConversion"/>
  </si>
  <si>
    <t>USD BOND</t>
    <phoneticPr fontId="0" type="noConversion"/>
  </si>
  <si>
    <t>JPY BOND</t>
    <phoneticPr fontId="0" type="noConversion"/>
  </si>
  <si>
    <t>EURO BOND</t>
    <phoneticPr fontId="0" type="noConversion"/>
  </si>
  <si>
    <t>Bond</t>
  </si>
  <si>
    <t>USD'mn</t>
  </si>
  <si>
    <t>US_CB</t>
  </si>
  <si>
    <t>put</t>
  </si>
  <si>
    <t>put year</t>
  </si>
  <si>
    <t>coupon rate + YTP</t>
  </si>
  <si>
    <t>Year</t>
  </si>
  <si>
    <t>Region</t>
  </si>
  <si>
    <t>Device Group</t>
  </si>
  <si>
    <t>Device Type</t>
  </si>
  <si>
    <t>Customer Type</t>
  </si>
  <si>
    <t>OS</t>
  </si>
  <si>
    <t>Eastern Europe</t>
  </si>
  <si>
    <t>iOS</t>
  </si>
  <si>
    <t>Emerging Asia/Pacific</t>
  </si>
  <si>
    <t>Latin America</t>
  </si>
  <si>
    <t>Mature Asia/Pacific</t>
  </si>
  <si>
    <t>Middle East and North Africa</t>
  </si>
  <si>
    <t>North America</t>
  </si>
  <si>
    <t>Sub-Saharan Africa</t>
  </si>
  <si>
    <t>Western Europe</t>
  </si>
  <si>
    <t>2015 YR</t>
  </si>
  <si>
    <t>Mac OS</t>
  </si>
  <si>
    <t>Windows</t>
  </si>
  <si>
    <t>Notebook</t>
  </si>
  <si>
    <t>Android</t>
  </si>
  <si>
    <t>Ultramobile Basic</t>
  </si>
  <si>
    <t>Eurasia</t>
  </si>
  <si>
    <t>Greater China</t>
  </si>
  <si>
    <t>Pivot Table for Analysis</t>
  </si>
  <si>
    <t>List of Tables</t>
  </si>
  <si>
    <t>(Front Page)</t>
  </si>
  <si>
    <t>(全部)</t>
  </si>
  <si>
    <t>Country</t>
  </si>
  <si>
    <t>Sum of Units (K)</t>
  </si>
  <si>
    <t>Form Factor</t>
  </si>
  <si>
    <t>Tablet</t>
  </si>
  <si>
    <t>Ultramobile Basic 合計</t>
  </si>
  <si>
    <t>總計</t>
  </si>
  <si>
    <t>5-1</t>
  </si>
  <si>
    <t>Table 5-1</t>
  </si>
  <si>
    <t>Grand Total</t>
  </si>
  <si>
    <t>6-1</t>
  </si>
  <si>
    <t>Table 6-1</t>
  </si>
  <si>
    <t>Desk-based</t>
  </si>
  <si>
    <t>Desk-based 合計</t>
  </si>
  <si>
    <t>Notebook 合計</t>
  </si>
  <si>
    <t>1-1</t>
  </si>
  <si>
    <t>1-2</t>
  </si>
  <si>
    <t>1-3</t>
  </si>
  <si>
    <t>1-4</t>
  </si>
  <si>
    <t>Table 1-1</t>
  </si>
  <si>
    <t>(Top)</t>
  </si>
  <si>
    <t>Segment</t>
  </si>
  <si>
    <t>Table 1-2</t>
  </si>
  <si>
    <t>Table 1-3</t>
  </si>
  <si>
    <t>Table 1-4</t>
  </si>
  <si>
    <t>2014</t>
  </si>
  <si>
    <t>2015</t>
  </si>
  <si>
    <t>2016</t>
  </si>
  <si>
    <t>2017</t>
  </si>
  <si>
    <t>2018</t>
  </si>
  <si>
    <t>2019</t>
  </si>
  <si>
    <t>2020</t>
  </si>
  <si>
    <t>2021</t>
  </si>
  <si>
    <t>Japan</t>
  </si>
  <si>
    <t>Units: 1,000</t>
  </si>
  <si>
    <t>Sum of Shipments</t>
  </si>
  <si>
    <t xml:space="preserve">Year </t>
  </si>
  <si>
    <t xml:space="preserve">CPU Family </t>
  </si>
  <si>
    <t xml:space="preserve">OS </t>
  </si>
  <si>
    <t>IA64</t>
  </si>
  <si>
    <t>Linux</t>
  </si>
  <si>
    <t>Other</t>
  </si>
  <si>
    <t>Unix</t>
  </si>
  <si>
    <t>IA64 Total</t>
  </si>
  <si>
    <t>Other Total</t>
  </si>
  <si>
    <t>RISC</t>
  </si>
  <si>
    <t>RISC Total</t>
  </si>
  <si>
    <t>x86</t>
  </si>
  <si>
    <t>x86 Total</t>
  </si>
  <si>
    <t>Growth — End-User Spending</t>
  </si>
  <si>
    <t>Growth — Vendor Revenue</t>
  </si>
  <si>
    <t>Data</t>
  </si>
  <si>
    <t/>
  </si>
  <si>
    <t>Total Bond + Current Portion of Bond</t>
  </si>
  <si>
    <t>Total Bond (NT$'mn)</t>
  </si>
  <si>
    <t>Interest Payment of Bond</t>
  </si>
  <si>
    <t xml:space="preserve">Interest Payment </t>
  </si>
  <si>
    <t>Interest Payment</t>
  </si>
  <si>
    <t>Current Portion of Bond</t>
  </si>
  <si>
    <t xml:space="preserve">    Total</t>
  </si>
  <si>
    <t>LT Loan   NT$'mn</t>
  </si>
  <si>
    <t>Current Portion of LT Loan</t>
  </si>
  <si>
    <t>Interest Payment of  LT Loan</t>
  </si>
  <si>
    <t>Total LT Loan</t>
  </si>
  <si>
    <t>Current Portion of LT Loan &amp; Bond</t>
  </si>
  <si>
    <t>4-1</t>
  </si>
  <si>
    <t>4-2</t>
  </si>
  <si>
    <t>Table 4-1</t>
  </si>
  <si>
    <t>Segment3</t>
  </si>
  <si>
    <t>Growth — Unit Shipments</t>
  </si>
  <si>
    <t>Table 4-2</t>
  </si>
  <si>
    <t>Small-Business WLAN Aps Unit Shipments (K)</t>
  </si>
  <si>
    <t>Enterprise WLAN Aps Unit Shipments (K)</t>
  </si>
  <si>
    <t>Enterprise WLAN Controllers Unit Shipments (K)</t>
  </si>
  <si>
    <t>Description</t>
  </si>
  <si>
    <t>Ticker</t>
  </si>
  <si>
    <t>Field ID</t>
  </si>
  <si>
    <t>Field Mnemonic</t>
  </si>
  <si>
    <t>Data State</t>
  </si>
  <si>
    <t>2013</t>
  </si>
  <si>
    <t>2012</t>
  </si>
  <si>
    <t>2011</t>
  </si>
  <si>
    <t>2010</t>
  </si>
  <si>
    <t>2009</t>
  </si>
  <si>
    <t>2008</t>
  </si>
  <si>
    <t>2007</t>
  </si>
  <si>
    <t>2006</t>
  </si>
  <si>
    <t>TTM COGS/Sales (%)</t>
  </si>
  <si>
    <t>BREMSODC Index</t>
  </si>
  <si>
    <t>Average</t>
  </si>
  <si>
    <t xml:space="preserve">    Advanced Semiconductor Engineering Inc</t>
  </si>
  <si>
    <t>2311 TT Equity</t>
  </si>
  <si>
    <t>RX620</t>
  </si>
  <si>
    <t>COST_OF_REVENUES_%_SALES</t>
  </si>
  <si>
    <t>Dynamic</t>
  </si>
  <si>
    <t xml:space="preserve">    Arima Communications Corp</t>
  </si>
  <si>
    <t>8101 TT Equity</t>
  </si>
  <si>
    <t xml:space="preserve">    BYD Electronic International Co Ltd</t>
  </si>
  <si>
    <t>285 HK Equity</t>
  </si>
  <si>
    <t xml:space="preserve">    Celestica Inc</t>
  </si>
  <si>
    <t>CLS CN Equity</t>
  </si>
  <si>
    <t xml:space="preserve">    Clevo Co</t>
  </si>
  <si>
    <t>2362 TT Equity</t>
  </si>
  <si>
    <t xml:space="preserve">    Compal Electronics Inc</t>
  </si>
  <si>
    <t>2324 TT Equity</t>
  </si>
  <si>
    <t xml:space="preserve">    CTS Corp</t>
  </si>
  <si>
    <t>CTS US Equity</t>
  </si>
  <si>
    <t xml:space="preserve">    CyberTAN Technology Inc</t>
  </si>
  <si>
    <t>3062 TT Equity</t>
  </si>
  <si>
    <t xml:space="preserve">    Fabrinet</t>
  </si>
  <si>
    <t>FN US Equity</t>
  </si>
  <si>
    <t xml:space="preserve">    FIH Mobile Ltd</t>
  </si>
  <si>
    <t>2038 HK Equity</t>
  </si>
  <si>
    <t xml:space="preserve">    Flex Ltd</t>
  </si>
  <si>
    <t>FLEX US Equity</t>
  </si>
  <si>
    <t xml:space="preserve">    Foxconn Technology Co Ltd</t>
  </si>
  <si>
    <t>2354 TT Equity</t>
  </si>
  <si>
    <t xml:space="preserve">    Getac Technology Corp</t>
  </si>
  <si>
    <t>3005 TT Equity</t>
  </si>
  <si>
    <t xml:space="preserve">    Hon Hai Precision Industry Co Ltd</t>
  </si>
  <si>
    <t>2317 TT Equity</t>
  </si>
  <si>
    <t xml:space="preserve">    Inventec Corp</t>
  </si>
  <si>
    <t>2356 TT Equity</t>
  </si>
  <si>
    <t xml:space="preserve">    Jabil Inc</t>
  </si>
  <si>
    <t>JBL US Equity</t>
  </si>
  <si>
    <t xml:space="preserve">    Lite-On Technology Corp</t>
  </si>
  <si>
    <t>2301 TT Equity</t>
  </si>
  <si>
    <t xml:space="preserve">    Pegatron Corp</t>
  </si>
  <si>
    <t>4938 TT Equity</t>
  </si>
  <si>
    <t xml:space="preserve">    Plexus Corp</t>
  </si>
  <si>
    <t>PLXS US Equity</t>
  </si>
  <si>
    <t xml:space="preserve">    Qisda Corp</t>
  </si>
  <si>
    <t>2352 TT Equity</t>
  </si>
  <si>
    <t xml:space="preserve">    Quanta Computer Inc</t>
  </si>
  <si>
    <t>2382 TT Equity</t>
  </si>
  <si>
    <t xml:space="preserve">    Sanmina Corp</t>
  </si>
  <si>
    <t>SANM US Equity</t>
  </si>
  <si>
    <t xml:space="preserve">    Shenzhen Kaifa Technology Co Ltd</t>
  </si>
  <si>
    <t>000021 CH Equity</t>
  </si>
  <si>
    <t xml:space="preserve">    Shenzhen Zowee Tech Co Ltd</t>
  </si>
  <si>
    <t>002369 CH Equity</t>
  </si>
  <si>
    <t xml:space="preserve">    Siix Corp</t>
  </si>
  <si>
    <t>7613 JP Equity</t>
  </si>
  <si>
    <t xml:space="preserve">    SVI PCL</t>
  </si>
  <si>
    <t>SVI TB Equity</t>
  </si>
  <si>
    <t xml:space="preserve">    Venture Corp Ltd</t>
  </si>
  <si>
    <t>VMS SP Equity</t>
  </si>
  <si>
    <t xml:space="preserve">    VTech Holdings Ltd</t>
  </si>
  <si>
    <t>303 HK Equity</t>
  </si>
  <si>
    <t xml:space="preserve">    Wistron Corp</t>
  </si>
  <si>
    <t>3231 TT Equity</t>
  </si>
  <si>
    <t xml:space="preserve">    Wistron NeWeb Corp</t>
  </si>
  <si>
    <t>6285 TT Equity</t>
  </si>
  <si>
    <t>TTM SG&amp;A/Sales (%)</t>
  </si>
  <si>
    <t>RX663</t>
  </si>
  <si>
    <t>T12M_OPEX_%_SALES</t>
  </si>
  <si>
    <t>TTM R&amp;D/Sales (%)</t>
  </si>
  <si>
    <t>RX664</t>
  </si>
  <si>
    <t>TRAILING_12M_R&amp;D_%_SALES</t>
  </si>
  <si>
    <t>Capex to Sales (%)</t>
  </si>
  <si>
    <t>RR166</t>
  </si>
  <si>
    <t>CAP_EXPEND_TO_SALES</t>
  </si>
  <si>
    <t>Capex to Depreciation (x)</t>
  </si>
  <si>
    <t>RX001</t>
  </si>
  <si>
    <t>CAPEX_TO_DEPR_EXPN_RATIO</t>
  </si>
  <si>
    <t>HHP Cash Cost/Sales</t>
  </si>
  <si>
    <t>TTM Cash Cost/Sales</t>
  </si>
  <si>
    <t>TTM OPEX/Sales</t>
  </si>
  <si>
    <t>HHP OPEX/Sales</t>
  </si>
  <si>
    <t>5yr Avg</t>
  </si>
  <si>
    <t>Global TV</t>
  </si>
  <si>
    <t>Unit</t>
  </si>
  <si>
    <t>EBIT</t>
  </si>
  <si>
    <t>EBITDA</t>
  </si>
  <si>
    <t>2018 F</t>
  </si>
  <si>
    <t>2019 F</t>
  </si>
  <si>
    <t>2020 F</t>
  </si>
  <si>
    <t>2021 F</t>
  </si>
  <si>
    <t>Sales Growth</t>
  </si>
  <si>
    <t>Ops EBITDA</t>
    <phoneticPr fontId="16" type="noConversion"/>
  </si>
  <si>
    <t>Ops EBITDA Margin</t>
    <phoneticPr fontId="16" type="noConversion"/>
  </si>
  <si>
    <t>Total EBITDA</t>
    <phoneticPr fontId="16" type="noConversion"/>
  </si>
  <si>
    <t>Total EBITDA Margin</t>
    <phoneticPr fontId="16" type="noConversion"/>
  </si>
  <si>
    <t>Interest Expense</t>
  </si>
  <si>
    <t>Net Profit</t>
  </si>
  <si>
    <t>Net Margin</t>
    <phoneticPr fontId="16" type="noConversion"/>
  </si>
  <si>
    <t>Cash &amp; Equivalents</t>
    <phoneticPr fontId="16" type="noConversion"/>
  </si>
  <si>
    <t>Total Debt</t>
  </si>
  <si>
    <t>ST Loan</t>
  </si>
  <si>
    <t>CPLTD</t>
  </si>
  <si>
    <t>LT Borrowing</t>
  </si>
  <si>
    <t>Total Liabilities</t>
    <phoneticPr fontId="16" type="noConversion"/>
  </si>
  <si>
    <t>Shareholders Equity</t>
    <phoneticPr fontId="16" type="noConversion"/>
  </si>
  <si>
    <t>Cash Flow</t>
  </si>
  <si>
    <t>FCF for Debt Service</t>
  </si>
  <si>
    <t>Change in Cash</t>
  </si>
  <si>
    <t>Key Ratio</t>
  </si>
  <si>
    <t>Current Ratio</t>
    <phoneticPr fontId="16" type="noConversion"/>
  </si>
  <si>
    <t>Leverage Ratio</t>
    <phoneticPr fontId="16" type="noConversion"/>
  </si>
  <si>
    <t>Gearing Ratio</t>
    <phoneticPr fontId="16" type="noConversion"/>
  </si>
  <si>
    <t>Total Debt / Ops EBITDA</t>
    <phoneticPr fontId="16" type="noConversion"/>
  </si>
  <si>
    <t>Total Debt / Total EBITDA</t>
    <phoneticPr fontId="16" type="noConversion"/>
  </si>
  <si>
    <t>ISCR</t>
  </si>
  <si>
    <t>DSCR</t>
  </si>
  <si>
    <t>Operating Data</t>
  </si>
  <si>
    <t>NPAT</t>
  </si>
  <si>
    <t>Cash &amp; Equiv.</t>
  </si>
  <si>
    <t>Credit Ratios</t>
  </si>
  <si>
    <t>Current Ratio</t>
  </si>
  <si>
    <t>Assumptions - Revenue Mix</t>
  </si>
  <si>
    <t>Andorid Camp</t>
  </si>
  <si>
    <t>Networking Devices</t>
  </si>
  <si>
    <t>Revenues by Product Mix</t>
  </si>
  <si>
    <t>Growth Rates</t>
  </si>
  <si>
    <t>Cash Cost / Revenue</t>
  </si>
  <si>
    <t>Depreciation &amp; Amortization</t>
  </si>
  <si>
    <t>Total Cost (COGS)</t>
  </si>
  <si>
    <t>OPEX / Revenue</t>
  </si>
  <si>
    <t>CAPEX 1</t>
  </si>
  <si>
    <t>Total CAPEX</t>
  </si>
  <si>
    <t>CAPEX 1 / Revenue</t>
  </si>
  <si>
    <t>Total CAPEX / Revenue</t>
  </si>
  <si>
    <t>Sub-segment Growth Rates</t>
  </si>
  <si>
    <t>DBS projected HH will maintain current market share in each sub-segment</t>
  </si>
  <si>
    <t>NTD bonds</t>
    <phoneticPr fontId="0" type="noConversion"/>
  </si>
  <si>
    <t>USD bonds</t>
    <phoneticPr fontId="0" type="noConversion"/>
  </si>
  <si>
    <t>JPY bonds</t>
    <phoneticPr fontId="0" type="noConversion"/>
  </si>
  <si>
    <t>EURO bonds</t>
    <phoneticPr fontId="0" type="noConversion"/>
  </si>
  <si>
    <t>Total Current Portion of Bonds</t>
    <phoneticPr fontId="49" type="noConversion"/>
  </si>
  <si>
    <t>os NTD bonds</t>
    <phoneticPr fontId="49" type="noConversion"/>
  </si>
  <si>
    <t>os USD bonds</t>
    <phoneticPr fontId="49" type="noConversion"/>
  </si>
  <si>
    <t>os USD CB</t>
    <phoneticPr fontId="49" type="noConversion"/>
  </si>
  <si>
    <t>os JPY bond</t>
    <phoneticPr fontId="49" type="noConversion"/>
  </si>
  <si>
    <t>os EUR bond</t>
    <phoneticPr fontId="49" type="noConversion"/>
  </si>
  <si>
    <t>total</t>
    <phoneticPr fontId="49" type="noConversion"/>
  </si>
  <si>
    <t>2018 repayments</t>
    <phoneticPr fontId="49" type="noConversion"/>
  </si>
  <si>
    <t>Interest Expenses - bonds</t>
    <phoneticPr fontId="49" type="noConversion"/>
  </si>
  <si>
    <t>Existing Syn Loans &amp; term loans</t>
    <phoneticPr fontId="49" type="noConversion"/>
  </si>
  <si>
    <t>Mizuho &amp; other 9 banks</t>
    <phoneticPr fontId="49" type="noConversion"/>
  </si>
  <si>
    <t>Citi</t>
    <phoneticPr fontId="49" type="noConversion"/>
  </si>
  <si>
    <t>Mizuho &amp; other 3 banks</t>
    <phoneticPr fontId="49" type="noConversion"/>
  </si>
  <si>
    <t>First Bank</t>
    <phoneticPr fontId="49" type="noConversion"/>
  </si>
  <si>
    <t>ING &amp; another</t>
    <phoneticPr fontId="49" type="noConversion"/>
  </si>
  <si>
    <t>First Bank</t>
    <phoneticPr fontId="49" type="noConversion"/>
  </si>
  <si>
    <t>Shanghai Commercial Saving</t>
    <phoneticPr fontId="49" type="noConversion"/>
  </si>
  <si>
    <t>ABC</t>
    <phoneticPr fontId="49" type="noConversion"/>
  </si>
  <si>
    <t>syndicated CP program</t>
    <phoneticPr fontId="49" type="noConversion"/>
  </si>
  <si>
    <t>repayments (term loans)   NT$'mn</t>
    <phoneticPr fontId="49" type="noConversion"/>
  </si>
  <si>
    <t>Current Portion of LT Loan (&amp; Bond)</t>
    <phoneticPr fontId="49" type="noConversion"/>
  </si>
  <si>
    <t xml:space="preserve">   ST Loan</t>
  </si>
  <si>
    <t>Beginning</t>
  </si>
  <si>
    <t xml:space="preserve">   -repayment</t>
  </si>
  <si>
    <t xml:space="preserve">   +drawdown (new TLs)</t>
  </si>
  <si>
    <t>Ending</t>
  </si>
  <si>
    <t>Syndication Loan</t>
  </si>
  <si>
    <t>Interest Rate of ST Loan</t>
  </si>
  <si>
    <t>Total Revenues - Bank Case</t>
  </si>
  <si>
    <t>%</t>
  </si>
  <si>
    <t>NTD mln</t>
  </si>
  <si>
    <t>Current Portion of Syndication Loan</t>
  </si>
  <si>
    <t>DBS (Bank Case)</t>
  </si>
  <si>
    <t>Credit Suisse</t>
  </si>
  <si>
    <t>Morgan Stanley</t>
  </si>
  <si>
    <t>Macquarie</t>
  </si>
  <si>
    <t>Deutsche Bank</t>
  </si>
  <si>
    <t>HSBC</t>
  </si>
  <si>
    <t>Revenue</t>
  </si>
  <si>
    <t>Gross Profit Margin</t>
  </si>
  <si>
    <t>Operating Profit Margin</t>
  </si>
  <si>
    <t>Time Deposit (longer than 3 months)</t>
    <phoneticPr fontId="49" type="noConversion"/>
  </si>
  <si>
    <t>TD as % of other CA</t>
    <phoneticPr fontId="49" type="noConversion"/>
  </si>
  <si>
    <t>Net Debt^</t>
    <phoneticPr fontId="49" type="noConversion"/>
  </si>
  <si>
    <t>FD (longer than 3 months)</t>
    <phoneticPr fontId="49" type="noConversion"/>
  </si>
  <si>
    <t>Net Debt^ / Ops EBITDA</t>
    <phoneticPr fontId="16" type="noConversion"/>
  </si>
  <si>
    <t>Net Debt^ / Total EBITDA</t>
    <phoneticPr fontId="16" type="noConversion"/>
  </si>
  <si>
    <t>Total Labor Cost</t>
    <phoneticPr fontId="49" type="noConversion"/>
  </si>
  <si>
    <t>total labor cost as % of total sales</t>
    <phoneticPr fontId="49" type="noConversion"/>
  </si>
  <si>
    <t>total labor cost as % of cash cost</t>
    <phoneticPr fontId="49" type="noConversion"/>
  </si>
  <si>
    <t>1. sales growth down to zero [x]%</t>
    <phoneticPr fontId="65" type="noConversion"/>
  </si>
  <si>
    <t>iphone shipment 20% off</t>
    <phoneticPr fontId="65" type="noConversion"/>
  </si>
  <si>
    <t>2. FII spinoff (minority + IPO proceeds + CAPEX)</t>
    <phoneticPr fontId="65" type="noConversion"/>
  </si>
  <si>
    <t>3.5bn</t>
    <phoneticPr fontId="65" type="noConversion"/>
  </si>
  <si>
    <t>3. disposal Sharp's shares (8 installments in 2 years)</t>
    <phoneticPr fontId="65" type="noConversion"/>
  </si>
  <si>
    <t>sales proceed</t>
    <phoneticPr fontId="65" type="noConversion"/>
  </si>
  <si>
    <t>diposal gain</t>
    <phoneticPr fontId="65" type="noConversion"/>
  </si>
  <si>
    <t xml:space="preserve">OPM </t>
    <phoneticPr fontId="65" type="noConversion"/>
  </si>
  <si>
    <t>4Q</t>
    <phoneticPr fontId="65" type="noConversion"/>
  </si>
  <si>
    <t>OK</t>
    <phoneticPr fontId="49" type="noConversion"/>
  </si>
  <si>
    <t>Disposal Sharp's Special shares</t>
    <phoneticPr fontId="49" type="noConversion"/>
  </si>
  <si>
    <t>total disposal proceed</t>
    <phoneticPr fontId="49" type="noConversion"/>
  </si>
  <si>
    <t>50% collect in 2018</t>
    <phoneticPr fontId="49" type="noConversion"/>
  </si>
  <si>
    <t>50% collect in 2019</t>
    <phoneticPr fontId="49" type="noConversion"/>
  </si>
  <si>
    <t>OK</t>
    <phoneticPr fontId="49" type="noConversion"/>
  </si>
  <si>
    <t>FII</t>
    <phoneticPr fontId="49" type="noConversion"/>
  </si>
  <si>
    <t>HH ownership %s in FII</t>
    <phoneticPr fontId="49" type="noConversion"/>
  </si>
  <si>
    <t>Net Income_FII (RMB mln)</t>
    <phoneticPr fontId="49" type="noConversion"/>
  </si>
  <si>
    <t>FX</t>
    <phoneticPr fontId="49" type="noConversion"/>
  </si>
  <si>
    <t>Net Income_FII (NTD mln)</t>
    <phoneticPr fontId="49" type="noConversion"/>
  </si>
  <si>
    <t>Minority Interest</t>
    <phoneticPr fontId="49" type="noConversion"/>
  </si>
  <si>
    <t>IPO proceeds</t>
    <phoneticPr fontId="49" type="noConversion"/>
  </si>
  <si>
    <t>FII CAPEX</t>
    <phoneticPr fontId="49" type="noConversion"/>
  </si>
  <si>
    <r>
      <t>R</t>
    </r>
    <r>
      <rPr>
        <sz val="11"/>
        <color theme="1"/>
        <rFont val="Calibri"/>
        <family val="2"/>
        <scheme val="minor"/>
      </rPr>
      <t>MB</t>
    </r>
    <phoneticPr fontId="49" type="noConversion"/>
  </si>
  <si>
    <r>
      <t>N</t>
    </r>
    <r>
      <rPr>
        <sz val="11"/>
        <color theme="1"/>
        <rFont val="Calibri"/>
        <family val="2"/>
        <scheme val="minor"/>
      </rPr>
      <t>TD</t>
    </r>
    <phoneticPr fontId="49" type="noConversion"/>
  </si>
  <si>
    <t>FX (RMB - TWD)</t>
    <phoneticPr fontId="49" type="noConversion"/>
  </si>
  <si>
    <t>will be deployed from 3Q 2018 by</t>
    <phoneticPr fontId="49" type="noConversion"/>
  </si>
  <si>
    <t>Dep Yr</t>
    <phoneticPr fontId="49" type="noConversion"/>
  </si>
  <si>
    <r>
      <t>S</t>
    </r>
    <r>
      <rPr>
        <sz val="11"/>
        <color theme="1"/>
        <rFont val="Calibri"/>
        <family val="2"/>
        <scheme val="minor"/>
      </rPr>
      <t>UM 3</t>
    </r>
    <phoneticPr fontId="49" type="noConversion"/>
  </si>
  <si>
    <t>=&gt; excluding FII CAPEX plan</t>
    <phoneticPr fontId="49" type="noConversion"/>
  </si>
  <si>
    <t xml:space="preserve">Additional CAPEX </t>
    <phoneticPr fontId="49" type="noConversion"/>
  </si>
  <si>
    <t>=&gt; FII</t>
    <phoneticPr fontId="49" type="noConversion"/>
  </si>
  <si>
    <t>-&gt; 2014-2017 Average + FII minority</t>
    <phoneticPr fontId="49" type="noConversion"/>
  </si>
  <si>
    <t>Investment income (equity method) from Sharp (HHP, unit: JPY 'mn)</t>
    <phoneticPr fontId="49" type="noConversion"/>
  </si>
  <si>
    <t>nvestment income (equity method) from Sharp (HHP, unit: NT 'mn)</t>
    <phoneticPr fontId="49" type="noConversion"/>
  </si>
  <si>
    <t>CAPEX (US investments)</t>
    <phoneticPr fontId="49" type="noConversion"/>
  </si>
  <si>
    <t>CAPEX (FII)</t>
    <phoneticPr fontId="49" type="noConversion"/>
  </si>
  <si>
    <t>Gross Margin</t>
    <phoneticPr fontId="49" type="noConversion"/>
  </si>
  <si>
    <t>Operating Profit Margin</t>
    <phoneticPr fontId="49" type="noConversion"/>
  </si>
  <si>
    <t>Premium Phone</t>
    <phoneticPr fontId="49" type="noConversion"/>
  </si>
  <si>
    <t>iOS</t>
    <phoneticPr fontId="49" type="noConversion"/>
  </si>
  <si>
    <t>Android</t>
    <phoneticPr fontId="49" type="noConversion"/>
  </si>
  <si>
    <t>(All)</t>
  </si>
  <si>
    <t>2022 YR</t>
  </si>
  <si>
    <t>Basic Phone</t>
  </si>
  <si>
    <t>Basic Phone Total</t>
  </si>
  <si>
    <t>Premium Phone Total</t>
  </si>
  <si>
    <t>Utility Phone</t>
  </si>
  <si>
    <t>Utility Phone Total</t>
  </si>
  <si>
    <t>Android</t>
    <phoneticPr fontId="49" type="noConversion"/>
  </si>
  <si>
    <t>iOS</t>
    <phoneticPr fontId="49" type="noConversion"/>
  </si>
  <si>
    <t>YoY</t>
    <phoneticPr fontId="49" type="noConversion"/>
  </si>
  <si>
    <t>JPM revised down iPhone sales %</t>
    <phoneticPr fontId="49" type="noConversion"/>
  </si>
  <si>
    <t>benchmarking peers' average</t>
    <phoneticPr fontId="49" type="noConversion"/>
  </si>
  <si>
    <t>high OPEX (R&amp;D) for 2018 /2019. Then expense control to normalize to historical average point (5 -yr)</t>
    <phoneticPr fontId="49" type="noConversion"/>
  </si>
  <si>
    <t>benchmarking to FLEX</t>
    <phoneticPr fontId="49" type="noConversion"/>
  </si>
  <si>
    <t>Stress Case</t>
    <phoneticPr fontId="49" type="noConversion"/>
  </si>
  <si>
    <t>stress case</t>
    <phoneticPr fontId="49" type="noConversion"/>
  </si>
  <si>
    <t>HH lowest GPM in past 5 years</t>
    <phoneticPr fontId="49" type="noConversion"/>
  </si>
  <si>
    <t>historical highest ratio (5 yr); then improve to historical average point</t>
    <phoneticPr fontId="49" type="noConversion"/>
  </si>
  <si>
    <t>EBT</t>
    <phoneticPr fontId="49" type="noConversion"/>
  </si>
  <si>
    <t>6753 JP Equity</t>
  </si>
  <si>
    <t>601138 CH Equity</t>
  </si>
  <si>
    <t>Source</t>
  </si>
  <si>
    <t>BST</t>
  </si>
  <si>
    <t>Periodicity</t>
  </si>
  <si>
    <t>Annual</t>
  </si>
  <si>
    <t>Consolidation Basis</t>
  </si>
  <si>
    <t>Consolidated</t>
  </si>
  <si>
    <t>Currency</t>
  </si>
  <si>
    <t>JPY</t>
  </si>
  <si>
    <t>CNY</t>
  </si>
  <si>
    <t>FY 2018 Act</t>
  </si>
  <si>
    <t>FY 2019 Est</t>
  </si>
  <si>
    <t>FY 2020 Est</t>
  </si>
  <si>
    <t>FY 2021 Est</t>
  </si>
  <si>
    <t>FY 2022 Est</t>
  </si>
  <si>
    <t>FY 2017 Act</t>
  </si>
  <si>
    <t>FY 2018 Est</t>
  </si>
  <si>
    <t>12 Months Ending</t>
  </si>
  <si>
    <t>03/31/2018</t>
  </si>
  <si>
    <t>03/31/2019</t>
  </si>
  <si>
    <t>#</t>
  </si>
  <si>
    <t>03/31/2020</t>
  </si>
  <si>
    <t>03/31/2021</t>
  </si>
  <si>
    <t>03/31/2022</t>
  </si>
  <si>
    <t>12/31/2017</t>
  </si>
  <si>
    <t>12/31/2018</t>
  </si>
  <si>
    <t>12/31/2019</t>
  </si>
  <si>
    <t>12/31/2020</t>
  </si>
  <si>
    <t>12/31/2021</t>
  </si>
  <si>
    <t>EPS, Adj+</t>
  </si>
  <si>
    <t>EPS, GAAP</t>
  </si>
  <si>
    <t>Gross Margin %</t>
  </si>
  <si>
    <t>Pre-Tax Profit</t>
  </si>
  <si>
    <t>Current Profit</t>
  </si>
  <si>
    <t>Net Income Adj+</t>
  </si>
  <si>
    <t>Net Income, GAAP</t>
  </si>
  <si>
    <t>Net Debt</t>
  </si>
  <si>
    <t>BPS</t>
  </si>
  <si>
    <t>CPS</t>
  </si>
  <si>
    <t>DPS</t>
  </si>
  <si>
    <t>Return on Equity %</t>
  </si>
  <si>
    <t>Return on Assets %</t>
  </si>
  <si>
    <t>Depreciation</t>
  </si>
  <si>
    <t>Free Cash Flow</t>
  </si>
  <si>
    <t>Net Asset Value</t>
  </si>
  <si>
    <t>Net Income in mln, GAAP</t>
  </si>
  <si>
    <t>UBS</t>
  </si>
  <si>
    <t>DBS</t>
    <phoneticPr fontId="57" type="noConversion"/>
  </si>
  <si>
    <t>CS</t>
    <phoneticPr fontId="57" type="noConversion"/>
  </si>
  <si>
    <t>MS</t>
    <phoneticPr fontId="57" type="noConversion"/>
  </si>
  <si>
    <t>Macquarie</t>
    <phoneticPr fontId="57" type="noConversion"/>
  </si>
  <si>
    <t>DB</t>
    <phoneticPr fontId="57" type="noConversion"/>
  </si>
  <si>
    <t>HSBC</t>
    <phoneticPr fontId="57" type="noConversion"/>
  </si>
  <si>
    <t>=&gt;Update to Jul 23 2018 from Bloomberg</t>
  </si>
  <si>
    <t>FX (JPY -  TWD) Jul 23 2018</t>
  </si>
  <si>
    <t>=&gt; HH ownership has been diluted to 84.8% and no further reduce shareholding position</t>
  </si>
  <si>
    <t>Desk-Based, Notebook, Ultramobile and Mobile Phone Units (K), Installed Base, by Region, by OS, 2016-2022</t>
  </si>
  <si>
    <t>Pivot Table: Desk-Based, Notebook, Ultramobile and Mobile Phone Units (K), Installed Base by Region, by OS, 2016-2022</t>
  </si>
  <si>
    <t>Source: Gartner (March 2018)</t>
  </si>
  <si>
    <t>NB/PC</t>
  </si>
  <si>
    <t>=&gt;From Gartner (Q1'18)</t>
  </si>
  <si>
    <t>Ultramobile Units (K) by Country, Form Factor and OS, 2016-2022</t>
  </si>
  <si>
    <t>Pivot Table: Ultramobile Units (K) by Country, Form Factor and OS, 2016-2022</t>
  </si>
  <si>
    <t>Total UM</t>
  </si>
  <si>
    <t>Total Tablet</t>
  </si>
  <si>
    <t>Total Ultramobile</t>
  </si>
  <si>
    <t>=&gt;The growth comes from Gartner (Q1'18), which OS is iOS and form factor is tablet</t>
  </si>
  <si>
    <t>=&gt;no growth from 2018 to 2019</t>
  </si>
  <si>
    <t>Table 4-1</t>
    <phoneticPr fontId="15" type="noConversion"/>
  </si>
  <si>
    <t>(Unit: 1,000)</t>
  </si>
  <si>
    <t>CPU Family</t>
  </si>
  <si>
    <t>Rack-Blade</t>
  </si>
  <si>
    <t>Rack-Optimized</t>
  </si>
  <si>
    <t>Tower/Standalone</t>
  </si>
  <si>
    <t>Rack-Mountable</t>
  </si>
  <si>
    <t>Multi-node</t>
  </si>
  <si>
    <t>Units (K) Share %</t>
  </si>
  <si>
    <t>Units (K) Growth %</t>
  </si>
  <si>
    <t>Total Sum of Units (K)</t>
  </si>
  <si>
    <t>Total Units (K) Share %</t>
  </si>
  <si>
    <t>Total Units (K) Growth %</t>
  </si>
  <si>
    <t>Sum of Vendor Revenue</t>
  </si>
  <si>
    <t>Vendor Revenue Share %</t>
  </si>
  <si>
    <t>Vendor Revenue Growth %</t>
  </si>
  <si>
    <t>Total Sum of Vendor Revenue</t>
  </si>
  <si>
    <t>Total Vendor Revenue Share %</t>
  </si>
  <si>
    <t>Total Vendor Revenue Growth %</t>
  </si>
  <si>
    <t>Total Units</t>
  </si>
  <si>
    <t>Total Units Growth</t>
  </si>
  <si>
    <t>=&gt;From Gartner (Q1'18), deck-based and notebook</t>
  </si>
  <si>
    <t>=&gt;1.5 times better than market average (from Gartner (Q1'18) total server units growth)</t>
  </si>
  <si>
    <t>=&gt;only able to be in line with market growth rates</t>
  </si>
  <si>
    <t>=&gt; no growth in 2018 / 2019 and 50% of bank case growth 2020 onwards after 5G commercial launch</t>
  </si>
  <si>
    <t>=&gt; 20% off for stress test</t>
  </si>
  <si>
    <t>=&gt;1.5 times worse than market average</t>
  </si>
  <si>
    <t>=&gt;cut off 50%</t>
  </si>
  <si>
    <t>2018 Q1 A</t>
  </si>
  <si>
    <t>2017 Q1 (A)</t>
  </si>
  <si>
    <t>2018 Q1 (A)</t>
  </si>
  <si>
    <t>Capital Reduction</t>
  </si>
  <si>
    <t>LT Loan OS (Q1'18)</t>
  </si>
  <si>
    <t>LT Loan OS (FY'17)</t>
  </si>
  <si>
    <t>NTD'mn</t>
  </si>
  <si>
    <t>2017 Q1 A</t>
  </si>
  <si>
    <t>Nomura</t>
  </si>
  <si>
    <t>LCD TV Unit</t>
  </si>
  <si>
    <t>OLED TV Unit</t>
  </si>
  <si>
    <t>Total Unit</t>
  </si>
  <si>
    <t>Nomura (Jun 26 2018)</t>
  </si>
  <si>
    <t>UBS (Jun 14 2018)</t>
  </si>
  <si>
    <t>Technavio (Apr 2018)</t>
  </si>
  <si>
    <t>Average Growth</t>
  </si>
  <si>
    <t>=&gt;Due to the capital reduction, HHP decided to lower their dividend payout ratio in 2018, so we only use the average ratio of 2016 and 2017 to forecast the ratio from 2019 onwards.</t>
  </si>
  <si>
    <t>2016 Q1 (A)</t>
  </si>
  <si>
    <t>RMB'mn</t>
  </si>
  <si>
    <t>After Fee</t>
  </si>
  <si>
    <t>TWD'mn</t>
  </si>
  <si>
    <t xml:space="preserve">    Minus: IPO Fees and Expenses</t>
  </si>
  <si>
    <t>=&gt;In Q1'18 financial report, HHP has increased loan amount with ABC</t>
  </si>
  <si>
    <t>CB (ShunSin's)</t>
  </si>
  <si>
    <t>=&gt;Technavio forecast</t>
  </si>
  <si>
    <t>Update to Apr 26 2018</t>
  </si>
  <si>
    <t>Update to Jul 25 2018</t>
  </si>
  <si>
    <t>Broker</t>
  </si>
  <si>
    <t>Issue Date</t>
  </si>
  <si>
    <t>Version 1</t>
  </si>
  <si>
    <t>Version 2</t>
  </si>
  <si>
    <t>Jul 23 2018</t>
  </si>
  <si>
    <t>Jul 24 2018</t>
  </si>
  <si>
    <t>FX (RMB - TWD)</t>
  </si>
  <si>
    <r>
      <t xml:space="preserve">2018 </t>
    </r>
    <r>
      <rPr>
        <sz val="11"/>
        <color theme="1"/>
        <rFont val="Calibri"/>
        <family val="2"/>
        <scheme val="minor"/>
      </rPr>
      <t>CAPEX</t>
    </r>
  </si>
  <si>
    <r>
      <t xml:space="preserve">2021 </t>
    </r>
    <r>
      <rPr>
        <sz val="11"/>
        <color theme="1"/>
        <rFont val="Calibri"/>
        <family val="2"/>
        <scheme val="minor"/>
      </rPr>
      <t>CAPEX</t>
    </r>
  </si>
  <si>
    <t>3-yr avg. (2015 - 2017)</t>
  </si>
  <si>
    <t>Q1'18(A)</t>
  </si>
  <si>
    <t>Q1'17(A)</t>
  </si>
  <si>
    <t>Q1'16(A)</t>
  </si>
  <si>
    <t>2015 Q1(A)</t>
  </si>
  <si>
    <t>LTM</t>
  </si>
  <si>
    <t>2022</t>
  </si>
  <si>
    <t>Total Port Shipments (K)</t>
  </si>
  <si>
    <t>Forecast: Enterprise Ethernet Switch Market by Region, 2015-2022</t>
  </si>
  <si>
    <t>Enterprise WLAN Controllers</t>
  </si>
  <si>
    <t>Networking Device Unit Shipments Growth</t>
  </si>
  <si>
    <t>^Networking Device Unit Shipments (K)</t>
  </si>
  <si>
    <t>^Networking device: Switch, WLAN and WLAN Controller</t>
  </si>
  <si>
    <t>=&gt;Switch+ WLAN (Small Buisiness + Enterprise + Controller) from Gartner (Q2'18)</t>
  </si>
  <si>
    <t>=&gt; HHP will maintain FD balance at the latest data (Q1'18)</t>
  </si>
  <si>
    <t>=&gt;no growth in 2018 and cut off 50% 2019 onwards</t>
  </si>
  <si>
    <t>Jul 25 2018</t>
  </si>
  <si>
    <t>Jun 25 2018</t>
  </si>
  <si>
    <t>Jun 22 2018</t>
  </si>
  <si>
    <t>Jun 8 2018</t>
  </si>
  <si>
    <t>May 28 2018</t>
  </si>
  <si>
    <t>Jun 4 2018</t>
  </si>
  <si>
    <t>May 14 2018</t>
  </si>
  <si>
    <t>Apr 18 2018</t>
  </si>
  <si>
    <t>Apr 1 2018</t>
  </si>
  <si>
    <t>Apr 2 2018</t>
  </si>
  <si>
    <t>Apr 3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</si>
</sst>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9">
    <numFmt numFmtId="43" formatCode="_(* #,##0.00_);_(* \(#,##0.00\);_(* &quot;-&quot;??_);_(@_)"/>
    <numFmt numFmtId="164" formatCode="_-* #,##0.00_-;\-* #,##0.00_-;_-* &quot;-&quot;??_-;_-@_-"/>
    <numFmt numFmtId="165" formatCode="0&quot;F&quot;"/>
    <numFmt numFmtId="166" formatCode="0.0%"/>
    <numFmt numFmtId="167" formatCode="#,##0_ ;[Red]\-#,##0\ "/>
    <numFmt numFmtId="168" formatCode="_(* #,##0_);_(* \(#,##0\);_(* &quot;-&quot;??_);_(@_)"/>
    <numFmt numFmtId="169" formatCode="_-* #,##0_-;\-* #,##0_-;_-* &quot;-&quot;??_-;_-@_-"/>
    <numFmt numFmtId="170" formatCode="_(* #,##0.0_);_(* \(#,##0.0\);_(* &quot;-&quot;??_);_(@_)"/>
    <numFmt numFmtId="171" formatCode="0.000%"/>
    <numFmt numFmtId="172" formatCode="#,##0_ "/>
    <numFmt numFmtId="173" formatCode="0.0"/>
    <numFmt numFmtId="174" formatCode="0.0000%"/>
    <numFmt numFmtId="175" formatCode="0.0_ "/>
    <numFmt numFmtId="176" formatCode="#,##0.0"/>
    <numFmt numFmtId="177" formatCode="[$$-409]#,##0"/>
    <numFmt numFmtId="178" formatCode="#,##0.0_);\(#,##0.0\)"/>
    <numFmt numFmtId="179" formatCode="#,##0.000"/>
    <numFmt numFmtId="180" formatCode="0.00\x"/>
    <numFmt numFmtId="181" formatCode="0.0000"/>
  </numFmts>
  <fonts count="82">
    <font>
      <sz val="12"/>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b/>
      <sz val="10"/>
      <color theme="1"/>
      <name val="Calibri"/>
      <family val="2"/>
      <scheme val="minor"/>
    </font>
    <font>
      <b/>
      <sz val="9"/>
      <name val="Arial"/>
      <family val="2"/>
    </font>
    <font>
      <sz val="11"/>
      <color theme="0"/>
      <name val="Calibri"/>
      <family val="2"/>
    </font>
    <font>
      <sz val="11"/>
      <color theme="1"/>
      <name val="Calibri"/>
      <family val="2"/>
    </font>
    <font>
      <sz val="9"/>
      <color theme="1"/>
      <name val="Calibri"/>
      <family val="2"/>
    </font>
    <font>
      <b/>
      <sz val="11"/>
      <color theme="1"/>
      <name val="Calibri"/>
      <family val="2"/>
    </font>
    <font>
      <i/>
      <sz val="11"/>
      <color theme="1"/>
      <name val="Calibri"/>
      <family val="2"/>
    </font>
    <font>
      <sz val="11"/>
      <color theme="4"/>
      <name val="Calibri"/>
      <family val="2"/>
    </font>
    <font>
      <sz val="11"/>
      <color theme="0" tint="-0.249977111117893"/>
      <name val="Calibri"/>
      <family val="2"/>
    </font>
    <font>
      <sz val="11"/>
      <color rgb="FFFF0000"/>
      <name val="Calibri"/>
      <family val="2"/>
    </font>
    <font>
      <sz val="11"/>
      <color theme="3"/>
      <name val="Calibri"/>
      <family val="2"/>
    </font>
    <font>
      <i/>
      <sz val="11"/>
      <color rgb="FFFF0000"/>
      <name val="Calibri"/>
      <family val="2"/>
    </font>
    <font>
      <sz val="11"/>
      <color rgb="FF0070C0"/>
      <name val="Calibri"/>
      <family val="2"/>
    </font>
    <font>
      <u/>
      <sz val="11"/>
      <color theme="1"/>
      <name val="Calibri"/>
      <family val="2"/>
    </font>
    <font>
      <sz val="11"/>
      <color theme="0" tint="-0.499984740745262"/>
      <name val="Calibri"/>
      <family val="2"/>
    </font>
    <font>
      <b/>
      <sz val="9"/>
      <color indexed="81"/>
      <name val="Tahoma"/>
      <family val="2"/>
    </font>
    <font>
      <sz val="9"/>
      <color indexed="81"/>
      <name val="Tahoma"/>
      <family val="2"/>
    </font>
    <font>
      <sz val="11"/>
      <color theme="1"/>
      <name val="Calibri"/>
      <family val="2"/>
      <scheme val="minor"/>
    </font>
    <font>
      <sz val="11"/>
      <color theme="0"/>
      <name val="Calibri"/>
      <family val="2"/>
      <scheme val="minor"/>
    </font>
    <font>
      <b/>
      <sz val="11"/>
      <color theme="1"/>
      <name val="Calibri"/>
      <family val="2"/>
      <scheme val="minor"/>
    </font>
    <font>
      <sz val="11"/>
      <name val="Calibri"/>
      <family val="2"/>
      <scheme val="minor"/>
    </font>
    <font>
      <b/>
      <sz val="11"/>
      <color rgb="FF0070C0"/>
      <name val="Calibri"/>
      <family val="1"/>
      <charset val="136"/>
      <scheme val="minor"/>
    </font>
    <font>
      <b/>
      <sz val="11"/>
      <name val="Calibri"/>
      <family val="2"/>
      <scheme val="minor"/>
    </font>
    <font>
      <sz val="11"/>
      <color theme="1"/>
      <name val="Calibri"/>
      <family val="1"/>
      <charset val="136"/>
      <scheme val="minor"/>
    </font>
    <font>
      <b/>
      <sz val="11"/>
      <color rgb="FF0070C0"/>
      <name val="Calibri"/>
      <family val="2"/>
      <scheme val="minor"/>
    </font>
    <font>
      <sz val="11"/>
      <color rgb="FF0070C0"/>
      <name val="Calibri"/>
      <family val="2"/>
      <scheme val="minor"/>
    </font>
    <font>
      <sz val="11"/>
      <color theme="9" tint="-0.249977111117893"/>
      <name val="Calibri"/>
      <family val="2"/>
      <charset val="136"/>
      <scheme val="minor"/>
    </font>
    <font>
      <sz val="11"/>
      <color theme="4"/>
      <name val="Calibri"/>
      <family val="2"/>
      <scheme val="minor"/>
    </font>
    <font>
      <b/>
      <sz val="11"/>
      <color theme="4"/>
      <name val="Calibri"/>
      <family val="2"/>
      <scheme val="minor"/>
    </font>
    <font>
      <u/>
      <sz val="11"/>
      <color theme="1"/>
      <name val="Calibri"/>
      <family val="2"/>
      <scheme val="minor"/>
    </font>
    <font>
      <sz val="11"/>
      <color theme="0"/>
      <name val="Calibri"/>
      <family val="2"/>
      <charset val="136"/>
      <scheme val="minor"/>
    </font>
    <font>
      <i/>
      <sz val="11"/>
      <color theme="1"/>
      <name val="Calibri"/>
      <family val="2"/>
      <scheme val="minor"/>
    </font>
    <font>
      <sz val="11"/>
      <name val="Calibri"/>
      <family val="2"/>
      <charset val="136"/>
      <scheme val="minor"/>
    </font>
    <font>
      <sz val="10"/>
      <color theme="1"/>
      <name val="Arial"/>
      <family val="2"/>
    </font>
    <font>
      <b/>
      <sz val="16"/>
      <color indexed="62"/>
      <name val="Arial"/>
      <family val="2"/>
    </font>
    <font>
      <sz val="9"/>
      <name val="Arial"/>
      <family val="2"/>
    </font>
    <font>
      <u/>
      <sz val="9"/>
      <color indexed="12"/>
      <name val="Arial"/>
      <family val="2"/>
    </font>
    <font>
      <sz val="8"/>
      <name val="Arial"/>
      <family val="2"/>
    </font>
    <font>
      <sz val="10"/>
      <name val="Arial"/>
      <family val="2"/>
    </font>
    <font>
      <b/>
      <sz val="16"/>
      <color rgb="FF000080"/>
      <name val="Arial"/>
      <family val="2"/>
    </font>
    <font>
      <u/>
      <sz val="9"/>
      <color rgb="FF0000FF"/>
      <name val="Arial"/>
      <family val="2"/>
    </font>
    <font>
      <b/>
      <sz val="8"/>
      <name val="Arial"/>
      <family val="2"/>
    </font>
    <font>
      <b/>
      <sz val="16"/>
      <name val="Arial"/>
      <family val="2"/>
    </font>
    <font>
      <b/>
      <sz val="16"/>
      <color rgb="FF333399"/>
      <name val="Arial"/>
      <family val="2"/>
    </font>
    <font>
      <b/>
      <sz val="11"/>
      <color theme="0"/>
      <name val="Calibri"/>
      <family val="2"/>
      <scheme val="minor"/>
    </font>
    <font>
      <sz val="9"/>
      <name val="Calibri"/>
      <family val="3"/>
      <charset val="136"/>
      <scheme val="minor"/>
    </font>
    <font>
      <sz val="12"/>
      <color rgb="FFFF0000"/>
      <name val="Calibri"/>
      <family val="2"/>
      <scheme val="minor"/>
    </font>
    <font>
      <b/>
      <sz val="12"/>
      <color theme="1"/>
      <name val="Calibri"/>
      <family val="1"/>
      <charset val="136"/>
      <scheme val="minor"/>
    </font>
    <font>
      <u/>
      <sz val="12"/>
      <color theme="1"/>
      <name val="Calibri"/>
      <family val="2"/>
      <scheme val="minor"/>
    </font>
    <font>
      <sz val="12"/>
      <color theme="1"/>
      <name val="Calibri"/>
      <family val="2"/>
    </font>
    <font>
      <b/>
      <sz val="14"/>
      <color theme="0"/>
      <name val="Calibri"/>
      <family val="2"/>
    </font>
    <font>
      <sz val="14"/>
      <name val="Calibri"/>
      <family val="2"/>
    </font>
    <font>
      <sz val="14"/>
      <color theme="1"/>
      <name val="Calibri"/>
      <family val="2"/>
    </font>
    <font>
      <sz val="11"/>
      <color rgb="FF000000"/>
      <name val="Calibri"/>
      <family val="2"/>
    </font>
    <font>
      <sz val="10"/>
      <color theme="1"/>
      <name val="Calibri"/>
      <family val="2"/>
    </font>
    <font>
      <b/>
      <sz val="10"/>
      <color theme="0"/>
      <name val="Calibri"/>
      <family val="2"/>
    </font>
    <font>
      <sz val="10"/>
      <color theme="4"/>
      <name val="Calibri"/>
      <family val="2"/>
    </font>
    <font>
      <b/>
      <sz val="10"/>
      <color theme="1"/>
      <name val="Calibri"/>
      <family val="2"/>
    </font>
    <font>
      <sz val="10"/>
      <color rgb="FF000000"/>
      <name val="Calibri"/>
      <family val="2"/>
    </font>
    <font>
      <u/>
      <sz val="10"/>
      <color theme="1"/>
      <name val="Calibri"/>
      <family val="2"/>
    </font>
    <font>
      <sz val="10"/>
      <name val="Calibri"/>
      <family val="2"/>
    </font>
    <font>
      <sz val="9"/>
      <name val="Calibri"/>
      <family val="2"/>
      <charset val="136"/>
      <scheme val="minor"/>
    </font>
    <font>
      <sz val="12"/>
      <color rgb="FF0070C0"/>
      <name val="Calibri"/>
      <family val="2"/>
    </font>
    <font>
      <b/>
      <sz val="12"/>
      <color theme="1"/>
      <name val="Calibri"/>
      <family val="2"/>
    </font>
    <font>
      <sz val="10"/>
      <color rgb="FF0070C0"/>
      <name val="Calibri"/>
      <family val="2"/>
    </font>
    <font>
      <b/>
      <sz val="11"/>
      <color theme="1"/>
      <name val="Calibri"/>
      <family val="1"/>
      <charset val="136"/>
      <scheme val="minor"/>
    </font>
    <font>
      <b/>
      <sz val="11"/>
      <color rgb="FF0070C0"/>
      <name val="Calibri"/>
      <family val="2"/>
    </font>
    <font>
      <sz val="11"/>
      <color theme="0" tint="-0.34998626667073579"/>
      <name val="Calibri"/>
      <family val="2"/>
      <scheme val="minor"/>
    </font>
    <font>
      <sz val="11"/>
      <color theme="0" tint="-0.34998626667073579"/>
      <name val="Calibri"/>
      <family val="2"/>
    </font>
    <font>
      <sz val="10"/>
      <color theme="0" tint="-0.34998626667073579"/>
      <name val="Calibri"/>
      <family val="2"/>
    </font>
    <font>
      <b/>
      <sz val="10"/>
      <color indexed="62"/>
      <name val="Arial"/>
      <family val="2"/>
    </font>
    <font>
      <b/>
      <sz val="10"/>
      <name val="Arial"/>
      <family val="2"/>
    </font>
    <font>
      <u/>
      <sz val="10"/>
      <color indexed="12"/>
      <name val="Arial"/>
      <family val="2"/>
    </font>
    <font>
      <b/>
      <sz val="10"/>
      <color theme="1"/>
      <name val="Arial"/>
      <family val="2"/>
    </font>
    <font>
      <sz val="10"/>
      <color theme="0" tint="-0.34998626667073579"/>
      <name val="Arial"/>
      <family val="2"/>
    </font>
    <font>
      <sz val="10"/>
      <color theme="0" tint="-0.499984740745262"/>
      <name val="Arial"/>
      <family val="2"/>
    </font>
    <font>
      <b/>
      <sz val="11"/>
      <color indexed="9"/>
      <name val="Calibri"/>
      <family val="2"/>
    </font>
    <font>
      <b/>
      <sz val="11"/>
      <color theme="0"/>
      <name val="Calibri"/>
      <family val="2"/>
    </font>
  </fonts>
  <fills count="26">
    <fill>
      <patternFill patternType="none"/>
    </fill>
    <fill>
      <patternFill patternType="gray125"/>
    </fill>
    <fill>
      <patternFill patternType="solid">
        <fgColor rgb="FF00B050"/>
        <bgColor indexed="64"/>
      </patternFill>
    </fill>
    <fill>
      <patternFill patternType="solid">
        <fgColor theme="4"/>
        <bgColor indexed="64"/>
      </patternFill>
    </fill>
    <fill>
      <patternFill patternType="solid">
        <fgColor rgb="FF92D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theme="8"/>
        <bgColor indexed="64"/>
      </patternFill>
    </fill>
    <fill>
      <patternFill patternType="solid">
        <fgColor theme="7"/>
        <bgColor indexed="64"/>
      </patternFill>
    </fill>
    <fill>
      <patternFill patternType="solid">
        <fgColor theme="9" tint="0.79998168889431442"/>
        <bgColor indexed="64"/>
      </patternFill>
    </fill>
    <fill>
      <patternFill patternType="solid">
        <fgColor theme="9"/>
        <bgColor indexed="64"/>
      </patternFill>
    </fill>
    <fill>
      <patternFill patternType="solid">
        <fgColor indexed="9"/>
        <bgColor indexed="64"/>
      </patternFill>
    </fill>
    <fill>
      <patternFill patternType="solid">
        <fgColor rgb="FFCC0000"/>
        <bgColor indexed="64"/>
      </patternFill>
    </fill>
    <fill>
      <patternFill patternType="solid">
        <fgColor theme="5" tint="0.79998168889431442"/>
        <bgColor indexed="64"/>
      </patternFill>
    </fill>
    <fill>
      <patternFill patternType="solid">
        <fgColor rgb="FFC00000"/>
        <bgColor indexed="64"/>
      </patternFill>
    </fill>
    <fill>
      <patternFill patternType="solid">
        <fgColor theme="0" tint="-0.249977111117893"/>
        <bgColor indexed="64"/>
      </patternFill>
    </fill>
    <fill>
      <patternFill patternType="solid">
        <fgColor theme="4" tint="0.79998168889431442"/>
        <bgColor indexed="64"/>
      </patternFill>
    </fill>
    <fill>
      <patternFill patternType="solid">
        <fgColor rgb="FF4F81BD"/>
        <bgColor indexed="64"/>
      </patternFill>
    </fill>
    <fill>
      <patternFill patternType="solid">
        <fgColor theme="0" tint="-0.34998626667073579"/>
        <bgColor indexed="64"/>
      </patternFill>
    </fill>
  </fills>
  <borders count="6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right style="thin">
        <color indexed="64"/>
      </right>
      <top/>
      <bottom/>
      <diagonal/>
    </border>
    <border>
      <left/>
      <right style="thin">
        <color indexed="64"/>
      </right>
      <top style="thin">
        <color indexed="64"/>
      </top>
      <bottom style="thin">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right style="thin">
        <color rgb="FF999999"/>
      </right>
      <top style="thin">
        <color rgb="FF999999"/>
      </top>
      <bottom/>
      <diagonal/>
    </border>
    <border>
      <left style="thin">
        <color rgb="FF999999"/>
      </left>
      <right/>
      <top style="thin">
        <color indexed="65"/>
      </top>
      <bottom/>
      <diagonal/>
    </border>
    <border>
      <left style="thin">
        <color rgb="FF999999"/>
      </left>
      <right/>
      <top/>
      <bottom/>
      <diagonal/>
    </border>
    <border>
      <left/>
      <right style="thin">
        <color rgb="FF999999"/>
      </right>
      <top/>
      <bottom/>
      <diagonal/>
    </border>
    <border>
      <left style="thin">
        <color rgb="FF999999"/>
      </left>
      <right/>
      <top style="thin">
        <color rgb="FF999999"/>
      </top>
      <bottom style="thin">
        <color rgb="FF999999"/>
      </bottom>
      <diagonal/>
    </border>
    <border>
      <left style="thin">
        <color indexed="65"/>
      </left>
      <right/>
      <top style="thin">
        <color rgb="FF999999"/>
      </top>
      <bottom style="thin">
        <color rgb="FF999999"/>
      </bottom>
      <diagonal/>
    </border>
    <border>
      <left style="thin">
        <color indexed="8"/>
      </left>
      <right/>
      <top style="thin">
        <color indexed="8"/>
      </top>
      <bottom/>
      <diagonal/>
    </border>
    <border>
      <left style="thin">
        <color indexed="65"/>
      </left>
      <right/>
      <top style="thin">
        <color indexed="8"/>
      </top>
      <bottom/>
      <diagonal/>
    </border>
    <border>
      <left/>
      <right/>
      <top style="thin">
        <color indexed="8"/>
      </top>
      <bottom/>
      <diagonal/>
    </border>
    <border>
      <left style="thin">
        <color indexed="8"/>
      </left>
      <right/>
      <top style="thin">
        <color indexed="65"/>
      </top>
      <bottom/>
      <diagonal/>
    </border>
    <border>
      <left style="thin">
        <color indexed="8"/>
      </left>
      <right/>
      <top/>
      <bottom/>
      <diagonal/>
    </border>
    <border>
      <left style="thin">
        <color indexed="64"/>
      </left>
      <right/>
      <top style="thin">
        <color indexed="64"/>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right/>
      <top style="thin">
        <color rgb="FFABABAB"/>
      </top>
      <bottom/>
      <diagonal/>
    </border>
    <border>
      <left/>
      <right style="thin">
        <color rgb="FFABABAB"/>
      </right>
      <top style="thin">
        <color rgb="FFABABAB"/>
      </top>
      <bottom/>
      <diagonal/>
    </border>
    <border>
      <left style="thin">
        <color rgb="FFABABAB"/>
      </left>
      <right/>
      <top/>
      <bottom/>
      <diagonal/>
    </border>
    <border>
      <left/>
      <right style="thin">
        <color rgb="FFABABAB"/>
      </right>
      <top/>
      <bottom/>
      <diagonal/>
    </border>
    <border>
      <left style="thin">
        <color rgb="FFABABAB"/>
      </left>
      <right/>
      <top style="thin">
        <color rgb="FFABABAB"/>
      </top>
      <bottom style="thin">
        <color rgb="FFABABAB"/>
      </bottom>
      <diagonal/>
    </border>
    <border>
      <left/>
      <right/>
      <top style="thin">
        <color rgb="FFABABAB"/>
      </top>
      <bottom style="thin">
        <color rgb="FFABABAB"/>
      </bottom>
      <diagonal/>
    </border>
    <border>
      <left/>
      <right style="thin">
        <color rgb="FFABABAB"/>
      </right>
      <top style="thin">
        <color rgb="FFABABAB"/>
      </top>
      <bottom style="thin">
        <color rgb="FFABABAB"/>
      </bottom>
      <diagonal/>
    </border>
    <border>
      <left style="thin">
        <color rgb="FFABABAB"/>
      </left>
      <right/>
      <top style="thin">
        <color indexed="65"/>
      </top>
      <bottom/>
      <diagonal/>
    </border>
    <border>
      <left style="thin">
        <color indexed="65"/>
      </left>
      <right/>
      <top style="thin">
        <color rgb="FFABABAB"/>
      </top>
      <bottom style="thin">
        <color rgb="FFABABAB"/>
      </bottom>
      <diagonal/>
    </border>
    <border>
      <left style="thin">
        <color indexed="64"/>
      </left>
      <right/>
      <top style="thin">
        <color indexed="8"/>
      </top>
      <bottom/>
      <diagonal/>
    </border>
    <border>
      <left style="thin">
        <color indexed="64"/>
      </left>
      <right style="thin">
        <color indexed="64"/>
      </right>
      <top style="thin">
        <color indexed="64"/>
      </top>
      <bottom/>
      <diagonal/>
    </border>
    <border>
      <left style="thin">
        <color indexed="64"/>
      </left>
      <right style="thin">
        <color indexed="64"/>
      </right>
      <top style="thin">
        <color indexed="8"/>
      </top>
      <bottom/>
      <diagonal/>
    </border>
    <border>
      <left style="thin">
        <color indexed="8"/>
      </left>
      <right/>
      <top style="thin">
        <color indexed="64"/>
      </top>
      <bottom style="thin">
        <color indexed="64"/>
      </bottom>
      <diagonal/>
    </border>
    <border>
      <left style="thin">
        <color indexed="64"/>
      </left>
      <right style="thin">
        <color indexed="64"/>
      </right>
      <top/>
      <bottom style="thin">
        <color indexed="64"/>
      </bottom>
      <diagonal/>
    </border>
    <border>
      <left style="dashed">
        <color auto="1"/>
      </left>
      <right/>
      <top/>
      <bottom/>
      <diagonal/>
    </border>
    <border>
      <left/>
      <right style="dashed">
        <color indexed="64"/>
      </right>
      <top style="medium">
        <color indexed="64"/>
      </top>
      <bottom/>
      <diagonal/>
    </border>
    <border>
      <left/>
      <right style="dashed">
        <color indexed="64"/>
      </right>
      <top/>
      <bottom/>
      <diagonal/>
    </border>
    <border>
      <left/>
      <right style="dashed">
        <color indexed="64"/>
      </right>
      <top/>
      <bottom style="medium">
        <color indexed="64"/>
      </bottom>
      <diagonal/>
    </border>
    <border>
      <left/>
      <right style="dashed">
        <color indexed="64"/>
      </right>
      <top style="thin">
        <color indexed="64"/>
      </top>
      <bottom style="thin">
        <color indexed="64"/>
      </bottom>
      <diagonal/>
    </border>
    <border>
      <left/>
      <right style="dashed">
        <color indexed="64"/>
      </right>
      <top style="thin">
        <color indexed="64"/>
      </top>
      <bottom/>
      <diagonal/>
    </border>
    <border>
      <left/>
      <right style="dashed">
        <color indexed="64"/>
      </right>
      <top/>
      <bottom style="thin">
        <color indexed="64"/>
      </bottom>
      <diagonal/>
    </border>
    <border>
      <left style="thin">
        <color rgb="FFABABAB"/>
      </left>
      <right style="thin">
        <color rgb="FFABABAB"/>
      </right>
      <top style="thin">
        <color rgb="FFABABAB"/>
      </top>
      <bottom style="thin">
        <color rgb="FFABABAB"/>
      </bottom>
      <diagonal/>
    </border>
  </borders>
  <cellStyleXfs count="13">
    <xf numFmtId="0" fontId="0" fillId="0" borderId="0"/>
    <xf numFmtId="43" fontId="3" fillId="0" borderId="0" applyFont="0" applyFill="0" applyBorder="0" applyAlignment="0" applyProtection="0"/>
    <xf numFmtId="9" fontId="3" fillId="0" borderId="0" applyFont="0" applyFill="0" applyBorder="0" applyAlignment="0" applyProtection="0"/>
    <xf numFmtId="3" fontId="38" fillId="0" borderId="0"/>
    <xf numFmtId="3" fontId="5" fillId="0" borderId="0" applyNumberFormat="0"/>
    <xf numFmtId="49" fontId="39" fillId="0" borderId="0">
      <alignment horizontal="right"/>
    </xf>
    <xf numFmtId="0" fontId="40" fillId="0" borderId="0" applyNumberFormat="0" applyFill="0" applyBorder="0" applyAlignment="0" applyProtection="0">
      <alignment vertical="top"/>
      <protection locked="0"/>
    </xf>
    <xf numFmtId="3" fontId="41" fillId="0" borderId="0"/>
    <xf numFmtId="0" fontId="5" fillId="0" borderId="3">
      <alignment horizontal="right" wrapText="1"/>
    </xf>
    <xf numFmtId="9" fontId="42" fillId="0" borderId="0" applyFont="0" applyFill="0" applyBorder="0" applyAlignment="0" applyProtection="0"/>
    <xf numFmtId="3" fontId="39" fillId="0" borderId="0"/>
    <xf numFmtId="43" fontId="42" fillId="0" borderId="0" applyFont="0" applyFill="0" applyBorder="0" applyAlignment="0" applyProtection="0"/>
    <xf numFmtId="0" fontId="80" fillId="24" borderId="0"/>
  </cellStyleXfs>
  <cellXfs count="979">
    <xf numFmtId="0" fontId="0" fillId="0" borderId="0" xfId="0"/>
    <xf numFmtId="0" fontId="6" fillId="3" borderId="0" xfId="0" applyFont="1" applyFill="1"/>
    <xf numFmtId="0" fontId="7" fillId="0" borderId="0" xfId="0" applyFont="1"/>
    <xf numFmtId="0" fontId="7" fillId="0" borderId="0" xfId="0" applyFont="1" applyAlignment="1">
      <alignment horizontal="right"/>
    </xf>
    <xf numFmtId="0" fontId="7" fillId="0" borderId="0" xfId="0" applyFont="1" applyBorder="1" applyAlignment="1">
      <alignment horizontal="right"/>
    </xf>
    <xf numFmtId="0" fontId="7" fillId="0" borderId="6" xfId="0" applyFont="1" applyFill="1" applyBorder="1" applyAlignment="1">
      <alignment horizontal="right"/>
    </xf>
    <xf numFmtId="0" fontId="7" fillId="4" borderId="0" xfId="0" applyFont="1" applyFill="1" applyBorder="1" applyAlignment="1">
      <alignment horizontal="right"/>
    </xf>
    <xf numFmtId="0" fontId="8" fillId="0" borderId="0" xfId="0" applyFont="1"/>
    <xf numFmtId="0" fontId="7" fillId="0" borderId="6" xfId="0" applyFont="1" applyBorder="1" applyAlignment="1">
      <alignment horizontal="right"/>
    </xf>
    <xf numFmtId="0" fontId="9" fillId="0" borderId="0" xfId="0" applyFont="1"/>
    <xf numFmtId="167" fontId="7" fillId="0" borderId="0" xfId="0" applyNumberFormat="1" applyFont="1" applyAlignment="1">
      <alignment horizontal="right"/>
    </xf>
    <xf numFmtId="167" fontId="7" fillId="0" borderId="0" xfId="0" applyNumberFormat="1" applyFont="1" applyBorder="1" applyAlignment="1">
      <alignment horizontal="right"/>
    </xf>
    <xf numFmtId="167" fontId="7" fillId="0" borderId="6" xfId="0" applyNumberFormat="1" applyFont="1" applyBorder="1" applyAlignment="1">
      <alignment horizontal="right"/>
    </xf>
    <xf numFmtId="0" fontId="7" fillId="0" borderId="0" xfId="0" applyFont="1" applyAlignment="1">
      <alignment horizontal="left" indent="1"/>
    </xf>
    <xf numFmtId="10" fontId="10" fillId="0" borderId="0" xfId="2" applyNumberFormat="1" applyFont="1" applyAlignment="1">
      <alignment horizontal="right"/>
    </xf>
    <xf numFmtId="10" fontId="10" fillId="0" borderId="0" xfId="2" applyNumberFormat="1" applyFont="1" applyBorder="1" applyAlignment="1">
      <alignment horizontal="right"/>
    </xf>
    <xf numFmtId="10" fontId="10" fillId="0" borderId="6" xfId="2" applyNumberFormat="1" applyFont="1" applyBorder="1" applyAlignment="1">
      <alignment horizontal="right"/>
    </xf>
    <xf numFmtId="167" fontId="7" fillId="0" borderId="3" xfId="0" applyNumberFormat="1" applyFont="1" applyBorder="1" applyAlignment="1">
      <alignment horizontal="right"/>
    </xf>
    <xf numFmtId="167" fontId="7" fillId="0" borderId="7" xfId="0" applyNumberFormat="1" applyFont="1" applyBorder="1" applyAlignment="1">
      <alignment horizontal="right"/>
    </xf>
    <xf numFmtId="167" fontId="7" fillId="0" borderId="0" xfId="1" applyNumberFormat="1" applyFont="1" applyAlignment="1">
      <alignment horizontal="right"/>
    </xf>
    <xf numFmtId="0" fontId="9" fillId="0" borderId="0" xfId="0" applyFont="1" applyAlignment="1">
      <alignment horizontal="left"/>
    </xf>
    <xf numFmtId="0" fontId="7" fillId="5" borderId="0" xfId="0" applyFont="1" applyFill="1"/>
    <xf numFmtId="0" fontId="7" fillId="0" borderId="0" xfId="0" applyFont="1" applyFill="1"/>
    <xf numFmtId="167" fontId="7" fillId="0" borderId="0" xfId="0" applyNumberFormat="1" applyFont="1" applyFill="1" applyAlignment="1">
      <alignment horizontal="right"/>
    </xf>
    <xf numFmtId="167" fontId="7" fillId="0" borderId="0" xfId="0" applyNumberFormat="1" applyFont="1" applyFill="1" applyBorder="1" applyAlignment="1">
      <alignment horizontal="right"/>
    </xf>
    <xf numFmtId="167" fontId="7" fillId="0" borderId="6" xfId="0" applyNumberFormat="1" applyFont="1" applyFill="1" applyBorder="1" applyAlignment="1">
      <alignment horizontal="right"/>
    </xf>
    <xf numFmtId="0" fontId="7" fillId="0" borderId="0" xfId="0" applyFont="1" applyBorder="1"/>
    <xf numFmtId="9" fontId="7" fillId="0" borderId="1" xfId="2" applyFont="1" applyBorder="1"/>
    <xf numFmtId="0" fontId="12" fillId="0" borderId="0" xfId="0" applyFont="1"/>
    <xf numFmtId="167" fontId="7" fillId="0" borderId="8" xfId="0" applyNumberFormat="1" applyFont="1" applyBorder="1" applyAlignment="1">
      <alignment horizontal="right"/>
    </xf>
    <xf numFmtId="167" fontId="7" fillId="0" borderId="9" xfId="0" applyNumberFormat="1" applyFont="1" applyBorder="1" applyAlignment="1">
      <alignment horizontal="right"/>
    </xf>
    <xf numFmtId="0" fontId="13" fillId="0" borderId="0" xfId="0" applyFont="1" applyAlignment="1">
      <alignment horizontal="left" wrapText="1"/>
    </xf>
    <xf numFmtId="167" fontId="7" fillId="5" borderId="0" xfId="0" applyNumberFormat="1" applyFont="1" applyFill="1" applyAlignment="1">
      <alignment horizontal="right"/>
    </xf>
    <xf numFmtId="0" fontId="7" fillId="0" borderId="0" xfId="0" applyFont="1" applyAlignment="1">
      <alignment wrapText="1"/>
    </xf>
    <xf numFmtId="0" fontId="7" fillId="6" borderId="0" xfId="0" applyFont="1" applyFill="1"/>
    <xf numFmtId="167" fontId="7" fillId="6" borderId="0" xfId="0" applyNumberFormat="1" applyFont="1" applyFill="1" applyAlignment="1">
      <alignment horizontal="right"/>
    </xf>
    <xf numFmtId="167" fontId="7" fillId="6" borderId="0" xfId="0" applyNumberFormat="1" applyFont="1" applyFill="1" applyBorder="1" applyAlignment="1">
      <alignment horizontal="right"/>
    </xf>
    <xf numFmtId="0" fontId="9" fillId="0" borderId="0" xfId="0" applyFont="1" applyAlignment="1">
      <alignment horizontal="right"/>
    </xf>
    <xf numFmtId="0" fontId="9" fillId="0" borderId="0" xfId="0" applyFont="1" applyBorder="1" applyAlignment="1">
      <alignment horizontal="right"/>
    </xf>
    <xf numFmtId="0" fontId="9" fillId="0" borderId="6" xfId="0" applyFont="1" applyBorder="1" applyAlignment="1">
      <alignment horizontal="right"/>
    </xf>
    <xf numFmtId="0" fontId="7" fillId="0" borderId="0" xfId="0" applyFont="1" applyAlignment="1">
      <alignment horizontal="left"/>
    </xf>
    <xf numFmtId="3" fontId="7" fillId="0" borderId="0" xfId="0" applyNumberFormat="1" applyFont="1" applyAlignment="1">
      <alignment horizontal="right"/>
    </xf>
    <xf numFmtId="168" fontId="7" fillId="0" borderId="0" xfId="0" applyNumberFormat="1" applyFont="1" applyAlignment="1">
      <alignment horizontal="right"/>
    </xf>
    <xf numFmtId="3" fontId="7" fillId="0" borderId="0" xfId="0" applyNumberFormat="1" applyFont="1" applyFill="1" applyAlignment="1">
      <alignment horizontal="right"/>
    </xf>
    <xf numFmtId="3" fontId="7" fillId="0" borderId="0" xfId="0" applyNumberFormat="1" applyFont="1" applyFill="1" applyBorder="1" applyAlignment="1">
      <alignment horizontal="right"/>
    </xf>
    <xf numFmtId="3" fontId="7" fillId="0" borderId="6" xfId="0" applyNumberFormat="1" applyFont="1" applyFill="1" applyBorder="1" applyAlignment="1">
      <alignment horizontal="right"/>
    </xf>
    <xf numFmtId="3" fontId="7" fillId="0" borderId="0" xfId="0" applyNumberFormat="1" applyFont="1" applyBorder="1" applyAlignment="1">
      <alignment horizontal="right"/>
    </xf>
    <xf numFmtId="3" fontId="7" fillId="0" borderId="6" xfId="0" applyNumberFormat="1" applyFont="1" applyBorder="1" applyAlignment="1">
      <alignment horizontal="right"/>
    </xf>
    <xf numFmtId="3" fontId="10" fillId="0" borderId="0" xfId="0" applyNumberFormat="1" applyFont="1" applyAlignment="1">
      <alignment horizontal="right"/>
    </xf>
    <xf numFmtId="3" fontId="10" fillId="0" borderId="0" xfId="0" applyNumberFormat="1" applyFont="1" applyFill="1" applyBorder="1" applyAlignment="1">
      <alignment horizontal="right"/>
    </xf>
    <xf numFmtId="3" fontId="10" fillId="0" borderId="6" xfId="0" applyNumberFormat="1" applyFont="1" applyFill="1" applyBorder="1" applyAlignment="1">
      <alignment horizontal="right"/>
    </xf>
    <xf numFmtId="168" fontId="7" fillId="0" borderId="0" xfId="0" applyNumberFormat="1" applyFont="1" applyFill="1" applyBorder="1" applyAlignment="1">
      <alignment horizontal="right"/>
    </xf>
    <xf numFmtId="168" fontId="7" fillId="0" borderId="6" xfId="0" applyNumberFormat="1" applyFont="1" applyFill="1" applyBorder="1" applyAlignment="1">
      <alignment horizontal="right"/>
    </xf>
    <xf numFmtId="3" fontId="7" fillId="0" borderId="3" xfId="0" applyNumberFormat="1" applyFont="1" applyBorder="1" applyAlignment="1">
      <alignment horizontal="right"/>
    </xf>
    <xf numFmtId="3" fontId="7" fillId="0" borderId="7" xfId="0" applyNumberFormat="1" applyFont="1" applyBorder="1" applyAlignment="1">
      <alignment horizontal="right"/>
    </xf>
    <xf numFmtId="0" fontId="9" fillId="0" borderId="0" xfId="0" applyFont="1" applyFill="1" applyAlignment="1">
      <alignment horizontal="left"/>
    </xf>
    <xf numFmtId="3" fontId="7" fillId="0" borderId="8" xfId="0" applyNumberFormat="1" applyFont="1" applyFill="1" applyBorder="1" applyAlignment="1">
      <alignment horizontal="right"/>
    </xf>
    <xf numFmtId="3" fontId="7" fillId="0" borderId="9" xfId="0" applyNumberFormat="1" applyFont="1" applyFill="1" applyBorder="1" applyAlignment="1">
      <alignment horizontal="right"/>
    </xf>
    <xf numFmtId="3" fontId="9" fillId="0" borderId="0" xfId="0" applyNumberFormat="1" applyFont="1" applyAlignment="1">
      <alignment horizontal="right"/>
    </xf>
    <xf numFmtId="3" fontId="9" fillId="0" borderId="0" xfId="0" applyNumberFormat="1" applyFont="1" applyBorder="1" applyAlignment="1">
      <alignment horizontal="right"/>
    </xf>
    <xf numFmtId="3" fontId="9" fillId="0" borderId="6" xfId="0" applyNumberFormat="1" applyFont="1" applyBorder="1" applyAlignment="1">
      <alignment horizontal="right"/>
    </xf>
    <xf numFmtId="167" fontId="10" fillId="0" borderId="0" xfId="0" applyNumberFormat="1" applyFont="1" applyAlignment="1">
      <alignment horizontal="right"/>
    </xf>
    <xf numFmtId="167" fontId="10" fillId="0" borderId="0" xfId="0" applyNumberFormat="1" applyFont="1" applyFill="1" applyBorder="1" applyAlignment="1">
      <alignment horizontal="right"/>
    </xf>
    <xf numFmtId="167" fontId="10" fillId="0" borderId="6" xfId="0" applyNumberFormat="1" applyFont="1" applyFill="1" applyBorder="1" applyAlignment="1">
      <alignment horizontal="right"/>
    </xf>
    <xf numFmtId="0" fontId="7" fillId="0" borderId="0" xfId="0" applyFont="1" applyFill="1" applyAlignment="1">
      <alignment horizontal="left"/>
    </xf>
    <xf numFmtId="3" fontId="14" fillId="0" borderId="0" xfId="0" applyNumberFormat="1" applyFont="1" applyAlignment="1">
      <alignment horizontal="right"/>
    </xf>
    <xf numFmtId="3" fontId="14" fillId="0" borderId="0" xfId="0" applyNumberFormat="1" applyFont="1" applyBorder="1" applyAlignment="1">
      <alignment horizontal="right"/>
    </xf>
    <xf numFmtId="0" fontId="15" fillId="0" borderId="0" xfId="0" applyFont="1" applyAlignment="1">
      <alignment horizontal="right"/>
    </xf>
    <xf numFmtId="0" fontId="15" fillId="0" borderId="0" xfId="0" applyFont="1"/>
    <xf numFmtId="3" fontId="15" fillId="0" borderId="0" xfId="0" applyNumberFormat="1" applyFont="1" applyAlignment="1">
      <alignment horizontal="right"/>
    </xf>
    <xf numFmtId="3" fontId="15" fillId="0" borderId="0" xfId="0" applyNumberFormat="1" applyFont="1" applyBorder="1" applyAlignment="1">
      <alignment horizontal="right"/>
    </xf>
    <xf numFmtId="3" fontId="15" fillId="0" borderId="6" xfId="0" applyNumberFormat="1" applyFont="1" applyBorder="1" applyAlignment="1">
      <alignment horizontal="right"/>
    </xf>
    <xf numFmtId="166" fontId="7" fillId="5" borderId="1" xfId="2" applyNumberFormat="1" applyFont="1" applyFill="1" applyBorder="1"/>
    <xf numFmtId="10" fontId="7" fillId="0" borderId="0" xfId="2" applyNumberFormat="1" applyFont="1" applyAlignment="1">
      <alignment horizontal="right"/>
    </xf>
    <xf numFmtId="10" fontId="7" fillId="0" borderId="0" xfId="0" applyNumberFormat="1" applyFont="1" applyAlignment="1">
      <alignment horizontal="right"/>
    </xf>
    <xf numFmtId="10" fontId="7" fillId="0" borderId="0" xfId="0" applyNumberFormat="1" applyFont="1" applyBorder="1" applyAlignment="1">
      <alignment horizontal="right"/>
    </xf>
    <xf numFmtId="1" fontId="7" fillId="0" borderId="0" xfId="0" applyNumberFormat="1" applyFont="1" applyAlignment="1">
      <alignment horizontal="right"/>
    </xf>
    <xf numFmtId="1" fontId="7" fillId="0" borderId="0" xfId="0" applyNumberFormat="1" applyFont="1" applyBorder="1" applyAlignment="1">
      <alignment horizontal="right"/>
    </xf>
    <xf numFmtId="1" fontId="16" fillId="0" borderId="6" xfId="0" applyNumberFormat="1" applyFont="1" applyBorder="1" applyAlignment="1">
      <alignment horizontal="right"/>
    </xf>
    <xf numFmtId="1" fontId="16" fillId="0" borderId="0" xfId="0" applyNumberFormat="1" applyFont="1" applyBorder="1" applyAlignment="1">
      <alignment horizontal="right"/>
    </xf>
    <xf numFmtId="1" fontId="7" fillId="0" borderId="6" xfId="0" applyNumberFormat="1" applyFont="1" applyBorder="1" applyAlignment="1">
      <alignment horizontal="right"/>
    </xf>
    <xf numFmtId="166" fontId="7" fillId="0" borderId="0" xfId="2" applyNumberFormat="1" applyFont="1" applyAlignment="1">
      <alignment horizontal="right"/>
    </xf>
    <xf numFmtId="166" fontId="7" fillId="0" borderId="0" xfId="2" applyNumberFormat="1" applyFont="1" applyBorder="1" applyAlignment="1">
      <alignment horizontal="right"/>
    </xf>
    <xf numFmtId="166" fontId="7" fillId="0" borderId="6" xfId="2" applyNumberFormat="1" applyFont="1" applyBorder="1" applyAlignment="1">
      <alignment horizontal="right"/>
    </xf>
    <xf numFmtId="0" fontId="16" fillId="0" borderId="0" xfId="0" applyFont="1" applyBorder="1" applyAlignment="1">
      <alignment horizontal="right"/>
    </xf>
    <xf numFmtId="169" fontId="7" fillId="0" borderId="0" xfId="1" applyNumberFormat="1" applyFont="1" applyBorder="1" applyAlignment="1">
      <alignment horizontal="right"/>
    </xf>
    <xf numFmtId="169" fontId="7" fillId="0" borderId="6" xfId="1" applyNumberFormat="1" applyFont="1" applyBorder="1" applyAlignment="1">
      <alignment horizontal="right"/>
    </xf>
    <xf numFmtId="0" fontId="9" fillId="0" borderId="0" xfId="0" applyFont="1" applyFill="1"/>
    <xf numFmtId="0" fontId="7" fillId="0" borderId="0" xfId="0" applyFont="1" applyFill="1" applyAlignment="1"/>
    <xf numFmtId="0" fontId="7" fillId="0" borderId="0" xfId="0" applyFont="1" applyFill="1" applyAlignment="1">
      <alignment horizontal="left" indent="1"/>
    </xf>
    <xf numFmtId="167" fontId="11" fillId="0" borderId="2" xfId="0" applyNumberFormat="1" applyFont="1" applyFill="1" applyBorder="1" applyAlignment="1">
      <alignment horizontal="right"/>
    </xf>
    <xf numFmtId="0" fontId="7" fillId="0" borderId="0" xfId="0" applyFont="1" applyFill="1" applyBorder="1" applyAlignment="1">
      <alignment horizontal="right"/>
    </xf>
    <xf numFmtId="167" fontId="11" fillId="0" borderId="0" xfId="0" applyNumberFormat="1" applyFont="1" applyBorder="1" applyAlignment="1">
      <alignment horizontal="right"/>
    </xf>
    <xf numFmtId="0" fontId="0" fillId="0" borderId="6" xfId="0" applyBorder="1"/>
    <xf numFmtId="3" fontId="0" fillId="0" borderId="0" xfId="0" applyNumberFormat="1"/>
    <xf numFmtId="167" fontId="0" fillId="0" borderId="0" xfId="0" applyNumberFormat="1"/>
    <xf numFmtId="167" fontId="7" fillId="0" borderId="2" xfId="0" applyNumberFormat="1" applyFont="1" applyBorder="1" applyAlignment="1">
      <alignment horizontal="right"/>
    </xf>
    <xf numFmtId="0" fontId="7" fillId="9" borderId="0" xfId="0" applyFont="1" applyFill="1"/>
    <xf numFmtId="0" fontId="7" fillId="9" borderId="0" xfId="0" applyFont="1" applyFill="1" applyAlignment="1">
      <alignment horizontal="right"/>
    </xf>
    <xf numFmtId="169" fontId="7" fillId="9" borderId="0" xfId="1" applyNumberFormat="1" applyFont="1" applyFill="1" applyBorder="1" applyAlignment="1">
      <alignment horizontal="right"/>
    </xf>
    <xf numFmtId="0" fontId="7" fillId="9" borderId="0" xfId="0" applyFont="1" applyFill="1" applyBorder="1" applyAlignment="1">
      <alignment horizontal="right"/>
    </xf>
    <xf numFmtId="169" fontId="7" fillId="9" borderId="0" xfId="0" applyNumberFormat="1" applyFont="1" applyFill="1" applyBorder="1" applyAlignment="1">
      <alignment horizontal="right"/>
    </xf>
    <xf numFmtId="0" fontId="17" fillId="9" borderId="0" xfId="0" applyFont="1" applyFill="1"/>
    <xf numFmtId="0" fontId="18" fillId="9" borderId="0" xfId="0" applyFont="1" applyFill="1" applyBorder="1" applyAlignment="1">
      <alignment horizontal="right"/>
    </xf>
    <xf numFmtId="0" fontId="8" fillId="9" borderId="0" xfId="0" applyFont="1" applyFill="1" applyAlignment="1">
      <alignment horizontal="left" indent="1"/>
    </xf>
    <xf numFmtId="0" fontId="8" fillId="9" borderId="0" xfId="0" applyFont="1" applyFill="1"/>
    <xf numFmtId="0" fontId="8" fillId="9" borderId="0" xfId="0" applyFont="1" applyFill="1" applyAlignment="1">
      <alignment horizontal="right"/>
    </xf>
    <xf numFmtId="0" fontId="8" fillId="9" borderId="0" xfId="0" applyFont="1" applyFill="1" applyBorder="1" applyAlignment="1">
      <alignment horizontal="right"/>
    </xf>
    <xf numFmtId="9" fontId="7" fillId="9" borderId="0" xfId="2" applyFont="1" applyFill="1" applyBorder="1" applyAlignment="1">
      <alignment horizontal="right"/>
    </xf>
    <xf numFmtId="0" fontId="21" fillId="0" borderId="0" xfId="0" applyFont="1"/>
    <xf numFmtId="0" fontId="22" fillId="2" borderId="0" xfId="0" applyFont="1" applyFill="1" applyAlignment="1">
      <alignment horizontal="center"/>
    </xf>
    <xf numFmtId="0" fontId="21" fillId="0" borderId="0" xfId="0" applyFont="1" applyAlignment="1">
      <alignment horizontal="center"/>
    </xf>
    <xf numFmtId="0" fontId="23" fillId="0" borderId="0" xfId="0" applyFont="1" applyBorder="1" applyAlignment="1">
      <alignment horizontal="center"/>
    </xf>
    <xf numFmtId="0" fontId="24" fillId="0" borderId="0" xfId="0" applyFont="1" applyBorder="1"/>
    <xf numFmtId="0" fontId="25" fillId="0" borderId="1" xfId="0" applyFont="1" applyBorder="1" applyAlignment="1">
      <alignment horizontal="center"/>
    </xf>
    <xf numFmtId="0" fontId="23" fillId="0" borderId="0" xfId="0" applyFont="1" applyBorder="1"/>
    <xf numFmtId="0" fontId="23" fillId="0" borderId="0" xfId="0" applyFont="1" applyBorder="1" applyAlignment="1">
      <alignment horizontal="right"/>
    </xf>
    <xf numFmtId="165" fontId="23" fillId="0" borderId="0" xfId="0" applyNumberFormat="1" applyFont="1" applyBorder="1"/>
    <xf numFmtId="0" fontId="23" fillId="0" borderId="0" xfId="0" applyFont="1" applyFill="1" applyBorder="1"/>
    <xf numFmtId="0" fontId="26" fillId="0" borderId="0" xfId="1" applyNumberFormat="1" applyFont="1" applyBorder="1" applyAlignment="1">
      <alignment horizontal="left" vertical="top"/>
    </xf>
    <xf numFmtId="167" fontId="24" fillId="0" borderId="0" xfId="0" applyNumberFormat="1" applyFont="1" applyBorder="1"/>
    <xf numFmtId="0" fontId="21" fillId="0" borderId="1" xfId="0" applyFont="1" applyBorder="1" applyAlignment="1">
      <alignment horizontal="center"/>
    </xf>
    <xf numFmtId="167" fontId="21" fillId="0" borderId="2" xfId="0" applyNumberFormat="1" applyFont="1" applyBorder="1"/>
    <xf numFmtId="0" fontId="21" fillId="0" borderId="0" xfId="0" applyFont="1" applyBorder="1" applyAlignment="1">
      <alignment horizontal="center"/>
    </xf>
    <xf numFmtId="167" fontId="21" fillId="0" borderId="0" xfId="1" applyNumberFormat="1" applyFont="1" applyBorder="1"/>
    <xf numFmtId="167" fontId="21" fillId="0" borderId="2" xfId="1" applyNumberFormat="1" applyFont="1" applyBorder="1"/>
    <xf numFmtId="0" fontId="27" fillId="0" borderId="0" xfId="0" applyFont="1" applyBorder="1"/>
    <xf numFmtId="0" fontId="28" fillId="0" borderId="0" xfId="0" applyFont="1" applyBorder="1"/>
    <xf numFmtId="169" fontId="29" fillId="0" borderId="0" xfId="1" applyNumberFormat="1" applyFont="1" applyBorder="1"/>
    <xf numFmtId="169" fontId="21" fillId="0" borderId="0" xfId="0" applyNumberFormat="1" applyFont="1" applyBorder="1"/>
    <xf numFmtId="0" fontId="30" fillId="0" borderId="0" xfId="0" applyFont="1"/>
    <xf numFmtId="0" fontId="31" fillId="0" borderId="0" xfId="0" quotePrefix="1" applyFont="1"/>
    <xf numFmtId="0" fontId="26" fillId="0" borderId="0" xfId="0" applyFont="1" applyBorder="1"/>
    <xf numFmtId="0" fontId="21" fillId="0" borderId="3" xfId="0" applyFont="1" applyBorder="1"/>
    <xf numFmtId="0" fontId="21" fillId="0" borderId="3" xfId="0" applyFont="1" applyBorder="1" applyAlignment="1">
      <alignment horizontal="center"/>
    </xf>
    <xf numFmtId="0" fontId="23" fillId="0" borderId="3" xfId="0" applyFont="1" applyBorder="1" applyAlignment="1">
      <alignment horizontal="center"/>
    </xf>
    <xf numFmtId="169" fontId="21" fillId="0" borderId="3" xfId="0" applyNumberFormat="1" applyFont="1" applyBorder="1"/>
    <xf numFmtId="0" fontId="21" fillId="0" borderId="0" xfId="0" applyFont="1" applyBorder="1"/>
    <xf numFmtId="169" fontId="21" fillId="0" borderId="0" xfId="1" applyNumberFormat="1" applyFont="1" applyBorder="1"/>
    <xf numFmtId="0" fontId="21" fillId="0" borderId="0" xfId="0" applyFont="1" applyFill="1" applyBorder="1"/>
    <xf numFmtId="0" fontId="21" fillId="0" borderId="0" xfId="0" applyFont="1" applyAlignment="1">
      <alignment horizontal="right"/>
    </xf>
    <xf numFmtId="169" fontId="21" fillId="0" borderId="0" xfId="0" applyNumberFormat="1" applyFont="1"/>
    <xf numFmtId="0" fontId="33" fillId="0" borderId="0" xfId="0" applyFont="1"/>
    <xf numFmtId="0" fontId="21" fillId="0" borderId="3" xfId="0" applyFont="1" applyBorder="1" applyAlignment="1">
      <alignment horizontal="right"/>
    </xf>
    <xf numFmtId="3" fontId="21" fillId="0" borderId="0" xfId="0" applyNumberFormat="1" applyFont="1" applyBorder="1"/>
    <xf numFmtId="169" fontId="21" fillId="0" borderId="0" xfId="1" applyNumberFormat="1" applyFont="1" applyFill="1" applyBorder="1"/>
    <xf numFmtId="169" fontId="23" fillId="0" borderId="0" xfId="0" applyNumberFormat="1" applyFont="1" applyBorder="1"/>
    <xf numFmtId="0" fontId="23" fillId="0" borderId="0" xfId="0" applyFont="1"/>
    <xf numFmtId="0" fontId="23" fillId="0" borderId="11" xfId="0" applyFont="1" applyBorder="1"/>
    <xf numFmtId="0" fontId="23" fillId="0" borderId="3" xfId="0" applyFont="1" applyBorder="1"/>
    <xf numFmtId="167" fontId="21" fillId="0" borderId="3" xfId="0" applyNumberFormat="1" applyFont="1" applyBorder="1"/>
    <xf numFmtId="169" fontId="23" fillId="0" borderId="3" xfId="0" applyNumberFormat="1" applyFont="1" applyBorder="1"/>
    <xf numFmtId="170" fontId="24" fillId="0" borderId="0" xfId="1" applyNumberFormat="1" applyFont="1" applyBorder="1" applyAlignment="1">
      <alignment horizontal="left" vertical="center"/>
    </xf>
    <xf numFmtId="10" fontId="21" fillId="0" borderId="0" xfId="2" applyNumberFormat="1" applyFont="1"/>
    <xf numFmtId="10" fontId="21" fillId="10" borderId="1" xfId="2" applyNumberFormat="1" applyFont="1" applyFill="1" applyBorder="1"/>
    <xf numFmtId="3" fontId="21" fillId="0" borderId="0" xfId="0" applyNumberFormat="1" applyFont="1"/>
    <xf numFmtId="10" fontId="23" fillId="0" borderId="0" xfId="0" applyNumberFormat="1" applyFont="1" applyBorder="1" applyAlignment="1">
      <alignment horizontal="center"/>
    </xf>
    <xf numFmtId="0" fontId="21" fillId="0" borderId="0" xfId="0" applyFont="1" applyFill="1"/>
    <xf numFmtId="0" fontId="24" fillId="0" borderId="0" xfId="0" applyFont="1" applyFill="1" applyBorder="1"/>
    <xf numFmtId="10" fontId="0" fillId="0" borderId="0" xfId="0" applyNumberFormat="1"/>
    <xf numFmtId="0" fontId="0" fillId="0" borderId="0" xfId="0" applyFill="1"/>
    <xf numFmtId="0" fontId="34" fillId="3" borderId="0" xfId="0" applyFont="1" applyFill="1"/>
    <xf numFmtId="0" fontId="34" fillId="0" borderId="0" xfId="0" applyFont="1" applyFill="1"/>
    <xf numFmtId="0" fontId="0" fillId="0" borderId="0" xfId="0" applyAlignment="1">
      <alignment horizontal="left" indent="1"/>
    </xf>
    <xf numFmtId="0" fontId="0" fillId="0" borderId="0" xfId="0" applyFill="1" applyAlignment="1">
      <alignment horizontal="left" indent="1"/>
    </xf>
    <xf numFmtId="0" fontId="0" fillId="0" borderId="0" xfId="0" applyAlignment="1">
      <alignment horizontal="left"/>
    </xf>
    <xf numFmtId="0" fontId="0" fillId="0" borderId="0" xfId="0" applyFill="1" applyAlignment="1">
      <alignment horizontal="left"/>
    </xf>
    <xf numFmtId="0" fontId="23" fillId="0" borderId="0" xfId="0" applyFont="1" applyFill="1"/>
    <xf numFmtId="0" fontId="0" fillId="0" borderId="3" xfId="0" applyBorder="1"/>
    <xf numFmtId="167" fontId="0" fillId="0" borderId="3" xfId="0" applyNumberFormat="1" applyBorder="1"/>
    <xf numFmtId="0" fontId="0" fillId="0" borderId="2" xfId="0" applyBorder="1"/>
    <xf numFmtId="0" fontId="0" fillId="0" borderId="0" xfId="0" applyAlignment="1"/>
    <xf numFmtId="0" fontId="0" fillId="0" borderId="0" xfId="0" applyFill="1" applyAlignment="1"/>
    <xf numFmtId="169" fontId="0" fillId="0" borderId="0" xfId="1" applyNumberFormat="1" applyFont="1"/>
    <xf numFmtId="167" fontId="23" fillId="0" borderId="0" xfId="0" applyNumberFormat="1" applyFont="1"/>
    <xf numFmtId="0" fontId="35" fillId="0" borderId="0" xfId="0" applyFont="1" applyAlignment="1">
      <alignment horizontal="left" indent="1"/>
    </xf>
    <xf numFmtId="0" fontId="35" fillId="0" borderId="0" xfId="0" applyFont="1" applyFill="1" applyAlignment="1">
      <alignment horizontal="left" indent="1"/>
    </xf>
    <xf numFmtId="0" fontId="35" fillId="0" borderId="0" xfId="0" applyFont="1"/>
    <xf numFmtId="166" fontId="35" fillId="0" borderId="0" xfId="2" applyNumberFormat="1" applyFont="1"/>
    <xf numFmtId="10" fontId="35" fillId="0" borderId="0" xfId="2" applyNumberFormat="1" applyFont="1"/>
    <xf numFmtId="0" fontId="0" fillId="0" borderId="0" xfId="0" applyBorder="1"/>
    <xf numFmtId="0" fontId="0" fillId="0" borderId="11" xfId="0" applyBorder="1"/>
    <xf numFmtId="0" fontId="0" fillId="0" borderId="7" xfId="0" applyBorder="1"/>
    <xf numFmtId="0" fontId="0" fillId="0" borderId="14" xfId="0" applyBorder="1"/>
    <xf numFmtId="10" fontId="10" fillId="0" borderId="0" xfId="2" applyNumberFormat="1" applyFont="1" applyFill="1" applyBorder="1" applyAlignment="1">
      <alignment horizontal="right"/>
    </xf>
    <xf numFmtId="0" fontId="0" fillId="0" borderId="0" xfId="0" quotePrefix="1"/>
    <xf numFmtId="167" fontId="7" fillId="0" borderId="7" xfId="0" applyNumberFormat="1" applyFont="1" applyFill="1" applyBorder="1" applyAlignment="1">
      <alignment horizontal="right"/>
    </xf>
    <xf numFmtId="0" fontId="0" fillId="6" borderId="6" xfId="0" applyFill="1" applyBorder="1"/>
    <xf numFmtId="166" fontId="0" fillId="0" borderId="0" xfId="0" applyNumberFormat="1"/>
    <xf numFmtId="1" fontId="0" fillId="0" borderId="0" xfId="0" applyNumberFormat="1"/>
    <xf numFmtId="167" fontId="0" fillId="0" borderId="8" xfId="0" applyNumberFormat="1" applyBorder="1"/>
    <xf numFmtId="0" fontId="0" fillId="0" borderId="17" xfId="0" applyBorder="1"/>
    <xf numFmtId="0" fontId="0" fillId="0" borderId="18" xfId="0" applyBorder="1"/>
    <xf numFmtId="10" fontId="0" fillId="0" borderId="18" xfId="2" applyNumberFormat="1" applyFont="1" applyBorder="1"/>
    <xf numFmtId="0" fontId="0" fillId="0" borderId="19" xfId="0" applyBorder="1"/>
    <xf numFmtId="0" fontId="0" fillId="0" borderId="20" xfId="0" applyBorder="1"/>
    <xf numFmtId="10" fontId="0" fillId="0" borderId="0" xfId="2" applyNumberFormat="1" applyFont="1" applyBorder="1"/>
    <xf numFmtId="0" fontId="0" fillId="0" borderId="21" xfId="0" applyBorder="1"/>
    <xf numFmtId="0" fontId="0" fillId="0" borderId="23" xfId="0" applyBorder="1"/>
    <xf numFmtId="0" fontId="0" fillId="0" borderId="22" xfId="0" applyBorder="1"/>
    <xf numFmtId="10" fontId="0" fillId="0" borderId="2" xfId="2" applyNumberFormat="1" applyFont="1" applyBorder="1"/>
    <xf numFmtId="0" fontId="0" fillId="0" borderId="24" xfId="0" applyBorder="1"/>
    <xf numFmtId="0" fontId="0" fillId="0" borderId="25" xfId="0" applyBorder="1"/>
    <xf numFmtId="10" fontId="0" fillId="0" borderId="25" xfId="2" applyNumberFormat="1" applyFont="1" applyBorder="1"/>
    <xf numFmtId="0" fontId="0" fillId="0" borderId="26" xfId="0" applyBorder="1"/>
    <xf numFmtId="0" fontId="0" fillId="0" borderId="0" xfId="0" applyFill="1" applyBorder="1"/>
    <xf numFmtId="0" fontId="0" fillId="0" borderId="20" xfId="0" applyFill="1" applyBorder="1" applyAlignment="1">
      <alignment vertical="center"/>
    </xf>
    <xf numFmtId="0" fontId="0" fillId="0" borderId="0" xfId="0" applyFill="1" applyBorder="1" applyAlignment="1">
      <alignment vertical="center"/>
    </xf>
    <xf numFmtId="10" fontId="0" fillId="0" borderId="0" xfId="0" applyNumberFormat="1" applyFill="1" applyBorder="1" applyAlignment="1">
      <alignment vertical="center"/>
    </xf>
    <xf numFmtId="0" fontId="0" fillId="0" borderId="21" xfId="0" applyFill="1" applyBorder="1"/>
    <xf numFmtId="0" fontId="0" fillId="13" borderId="0" xfId="0" applyFill="1" applyBorder="1" applyAlignment="1">
      <alignment vertical="center"/>
    </xf>
    <xf numFmtId="0" fontId="0" fillId="0" borderId="17" xfId="0" applyFill="1" applyBorder="1"/>
    <xf numFmtId="0" fontId="0" fillId="0" borderId="18" xfId="0" applyFill="1" applyBorder="1"/>
    <xf numFmtId="10" fontId="0" fillId="0" borderId="18" xfId="2" applyNumberFormat="1" applyFont="1" applyFill="1" applyBorder="1"/>
    <xf numFmtId="0" fontId="0" fillId="0" borderId="19" xfId="0" applyFill="1" applyBorder="1"/>
    <xf numFmtId="0" fontId="0" fillId="0" borderId="20" xfId="0" applyFill="1" applyBorder="1"/>
    <xf numFmtId="10" fontId="0" fillId="0" borderId="0" xfId="2" applyNumberFormat="1" applyFont="1" applyFill="1" applyBorder="1"/>
    <xf numFmtId="2" fontId="0" fillId="0" borderId="0" xfId="0" applyNumberFormat="1" applyFill="1" applyBorder="1"/>
    <xf numFmtId="0" fontId="0" fillId="0" borderId="24" xfId="0" applyFill="1" applyBorder="1"/>
    <xf numFmtId="0" fontId="0" fillId="0" borderId="25" xfId="0" applyFill="1" applyBorder="1"/>
    <xf numFmtId="10" fontId="0" fillId="0" borderId="25" xfId="2" applyNumberFormat="1" applyFont="1" applyFill="1" applyBorder="1"/>
    <xf numFmtId="0" fontId="0" fillId="0" borderId="26" xfId="0" applyFill="1" applyBorder="1"/>
    <xf numFmtId="0" fontId="0" fillId="12" borderId="20" xfId="0" applyFill="1" applyBorder="1"/>
    <xf numFmtId="0" fontId="0" fillId="12" borderId="0" xfId="0" applyFill="1" applyBorder="1"/>
    <xf numFmtId="10" fontId="0" fillId="12" borderId="0" xfId="2" applyNumberFormat="1" applyFont="1" applyFill="1" applyBorder="1"/>
    <xf numFmtId="2" fontId="0" fillId="12" borderId="0" xfId="0" applyNumberFormat="1" applyFill="1" applyBorder="1"/>
    <xf numFmtId="0" fontId="0" fillId="12" borderId="21" xfId="0" applyFill="1" applyBorder="1"/>
    <xf numFmtId="0" fontId="0" fillId="6" borderId="20" xfId="0" applyFill="1" applyBorder="1"/>
    <xf numFmtId="0" fontId="0" fillId="6" borderId="0" xfId="0" applyFill="1" applyBorder="1"/>
    <xf numFmtId="2" fontId="0" fillId="6" borderId="0" xfId="0" applyNumberFormat="1" applyFill="1" applyBorder="1"/>
    <xf numFmtId="0" fontId="0" fillId="16" borderId="20" xfId="0" applyFill="1" applyBorder="1"/>
    <xf numFmtId="0" fontId="0" fillId="16" borderId="0" xfId="0" applyFill="1" applyBorder="1"/>
    <xf numFmtId="10" fontId="0" fillId="16" borderId="0" xfId="2" applyNumberFormat="1" applyFont="1" applyFill="1" applyBorder="1"/>
    <xf numFmtId="0" fontId="0" fillId="16" borderId="21" xfId="0" applyFill="1" applyBorder="1"/>
    <xf numFmtId="0" fontId="0" fillId="16" borderId="24" xfId="0" applyFill="1" applyBorder="1"/>
    <xf numFmtId="0" fontId="0" fillId="16" borderId="25" xfId="0" applyFill="1" applyBorder="1"/>
    <xf numFmtId="10" fontId="0" fillId="16" borderId="25" xfId="2" applyNumberFormat="1" applyFont="1" applyFill="1" applyBorder="1"/>
    <xf numFmtId="0" fontId="0" fillId="16" borderId="26" xfId="0" applyFill="1" applyBorder="1"/>
    <xf numFmtId="10" fontId="0" fillId="0" borderId="0" xfId="2" applyNumberFormat="1" applyFont="1"/>
    <xf numFmtId="171" fontId="37" fillId="0" borderId="0" xfId="2" applyNumberFormat="1" applyFont="1" applyFill="1" applyBorder="1" applyAlignment="1">
      <alignment horizontal="center" wrapText="1"/>
    </xf>
    <xf numFmtId="10" fontId="37" fillId="0" borderId="0" xfId="0" applyNumberFormat="1" applyFont="1" applyFill="1" applyBorder="1" applyAlignment="1">
      <alignment horizontal="center" wrapText="1"/>
    </xf>
    <xf numFmtId="0" fontId="0" fillId="8" borderId="17" xfId="0" applyFill="1" applyBorder="1"/>
    <xf numFmtId="0" fontId="0" fillId="8" borderId="18" xfId="2" applyNumberFormat="1" applyFont="1" applyFill="1" applyBorder="1"/>
    <xf numFmtId="0" fontId="0" fillId="8" borderId="18" xfId="0" applyFill="1" applyBorder="1"/>
    <xf numFmtId="0" fontId="0" fillId="8" borderId="19" xfId="0" applyFill="1" applyBorder="1"/>
    <xf numFmtId="2" fontId="0" fillId="0" borderId="25" xfId="0" applyNumberFormat="1" applyFill="1" applyBorder="1"/>
    <xf numFmtId="3" fontId="0" fillId="0" borderId="0" xfId="0" applyNumberFormat="1" applyBorder="1"/>
    <xf numFmtId="169" fontId="0" fillId="0" borderId="0" xfId="0" applyNumberFormat="1" applyBorder="1" applyAlignment="1">
      <alignment horizontal="right"/>
    </xf>
    <xf numFmtId="0" fontId="0" fillId="12" borderId="24" xfId="0" applyFill="1" applyBorder="1"/>
    <xf numFmtId="174" fontId="0" fillId="0" borderId="0" xfId="0" applyNumberFormat="1" applyFill="1" applyBorder="1"/>
    <xf numFmtId="175" fontId="0" fillId="0" borderId="0" xfId="0" applyNumberFormat="1"/>
    <xf numFmtId="10" fontId="0" fillId="0" borderId="14" xfId="2" applyNumberFormat="1" applyFont="1" applyBorder="1"/>
    <xf numFmtId="0" fontId="0" fillId="5" borderId="19" xfId="0" applyFill="1" applyBorder="1"/>
    <xf numFmtId="9" fontId="0" fillId="0" borderId="0" xfId="2" applyFont="1" applyBorder="1"/>
    <xf numFmtId="9" fontId="0" fillId="0" borderId="25" xfId="2" applyFont="1" applyBorder="1"/>
    <xf numFmtId="164" fontId="0" fillId="0" borderId="0" xfId="0" applyNumberFormat="1"/>
    <xf numFmtId="0" fontId="0" fillId="16" borderId="17" xfId="0" applyFill="1" applyBorder="1"/>
    <xf numFmtId="0" fontId="0" fillId="16" borderId="18" xfId="0" applyFill="1" applyBorder="1"/>
    <xf numFmtId="10" fontId="0" fillId="16" borderId="18" xfId="2" applyNumberFormat="1" applyFont="1" applyFill="1" applyBorder="1"/>
    <xf numFmtId="0" fontId="0" fillId="16" borderId="19" xfId="0" applyFill="1" applyBorder="1"/>
    <xf numFmtId="0" fontId="0" fillId="16" borderId="22" xfId="0" applyFill="1" applyBorder="1"/>
    <xf numFmtId="0" fontId="0" fillId="16" borderId="2" xfId="0" applyFill="1" applyBorder="1"/>
    <xf numFmtId="10" fontId="0" fillId="16" borderId="2" xfId="2" applyNumberFormat="1" applyFont="1" applyFill="1" applyBorder="1"/>
    <xf numFmtId="0" fontId="0" fillId="16" borderId="23" xfId="0" applyFill="1" applyBorder="1"/>
    <xf numFmtId="175" fontId="0" fillId="0" borderId="0" xfId="0" applyNumberFormat="1" applyBorder="1"/>
    <xf numFmtId="166" fontId="0" fillId="0" borderId="0" xfId="2" applyNumberFormat="1" applyFont="1"/>
    <xf numFmtId="9" fontId="0" fillId="0" borderId="0" xfId="2" applyFont="1"/>
    <xf numFmtId="0" fontId="7" fillId="11" borderId="0" xfId="0" applyFont="1" applyFill="1"/>
    <xf numFmtId="0" fontId="7" fillId="5" borderId="0" xfId="0" applyFont="1" applyFill="1" applyAlignment="1">
      <alignment horizontal="left"/>
    </xf>
    <xf numFmtId="3" fontId="38" fillId="0" borderId="0" xfId="3"/>
    <xf numFmtId="0" fontId="39" fillId="0" borderId="0" xfId="0" applyFont="1" applyBorder="1"/>
    <xf numFmtId="3" fontId="38" fillId="0" borderId="0" xfId="3" applyAlignment="1"/>
    <xf numFmtId="0" fontId="39" fillId="0" borderId="0" xfId="0" applyFont="1" applyBorder="1" applyAlignment="1">
      <alignment horizontal="right"/>
    </xf>
    <xf numFmtId="0" fontId="39" fillId="0" borderId="0" xfId="0" applyFont="1" applyBorder="1" applyAlignment="1">
      <alignment horizontal="right" wrapText="1"/>
    </xf>
    <xf numFmtId="49" fontId="5" fillId="0" borderId="0" xfId="4" applyNumberFormat="1" applyFont="1" applyAlignment="1">
      <alignment horizontal="left"/>
    </xf>
    <xf numFmtId="49" fontId="0" fillId="0" borderId="0" xfId="5" applyNumberFormat="1" applyFont="1" applyAlignment="1">
      <alignment horizontal="right"/>
    </xf>
    <xf numFmtId="0" fontId="5" fillId="0" borderId="0" xfId="0" applyFont="1" applyFill="1" applyBorder="1"/>
    <xf numFmtId="49" fontId="5" fillId="0" borderId="0" xfId="4" applyNumberFormat="1" applyFont="1" applyBorder="1" applyAlignment="1">
      <alignment horizontal="right"/>
    </xf>
    <xf numFmtId="3" fontId="40" fillId="0" borderId="0" xfId="6" applyNumberFormat="1" applyBorder="1" applyAlignment="1" applyProtection="1">
      <alignment horizontal="right"/>
    </xf>
    <xf numFmtId="0" fontId="5" fillId="0" borderId="0" xfId="4" applyNumberFormat="1" applyFont="1" applyAlignment="1"/>
    <xf numFmtId="0" fontId="5" fillId="0" borderId="0" xfId="0" applyFont="1" applyBorder="1" applyAlignment="1">
      <alignment horizontal="right"/>
    </xf>
    <xf numFmtId="0" fontId="5" fillId="0" borderId="0" xfId="0" applyFont="1" applyBorder="1" applyAlignment="1">
      <alignment horizontal="right" wrapText="1"/>
    </xf>
    <xf numFmtId="3" fontId="5" fillId="0" borderId="0" xfId="4" applyNumberFormat="1" applyFont="1" applyAlignment="1"/>
    <xf numFmtId="0" fontId="5" fillId="0" borderId="0" xfId="0" applyFont="1" applyBorder="1" applyAlignment="1">
      <alignment horizontal="left"/>
    </xf>
    <xf numFmtId="0" fontId="41" fillId="0" borderId="0" xfId="0" applyFont="1" applyBorder="1"/>
    <xf numFmtId="0" fontId="0" fillId="0" borderId="27" xfId="0" applyBorder="1"/>
    <xf numFmtId="0" fontId="0" fillId="0" borderId="0" xfId="0" applyNumberFormat="1"/>
    <xf numFmtId="0" fontId="0" fillId="0" borderId="29" xfId="0" applyBorder="1"/>
    <xf numFmtId="0" fontId="0" fillId="0" borderId="30" xfId="0" applyBorder="1"/>
    <xf numFmtId="0" fontId="0" fillId="0" borderId="28" xfId="0" applyBorder="1"/>
    <xf numFmtId="3" fontId="0" fillId="0" borderId="28" xfId="0" applyNumberFormat="1" applyBorder="1"/>
    <xf numFmtId="3" fontId="0" fillId="0" borderId="31" xfId="0" applyNumberFormat="1" applyBorder="1"/>
    <xf numFmtId="3" fontId="0" fillId="0" borderId="32" xfId="0" applyNumberFormat="1" applyBorder="1"/>
    <xf numFmtId="0" fontId="0" fillId="0" borderId="34" xfId="0" applyBorder="1"/>
    <xf numFmtId="3" fontId="0" fillId="0" borderId="34" xfId="0" applyNumberFormat="1" applyBorder="1"/>
    <xf numFmtId="3" fontId="0" fillId="0" borderId="35" xfId="0" applyNumberFormat="1" applyBorder="1"/>
    <xf numFmtId="3" fontId="0" fillId="0" borderId="0" xfId="0" applyNumberFormat="1" applyFill="1" applyBorder="1"/>
    <xf numFmtId="0" fontId="0" fillId="0" borderId="0" xfId="0" applyFont="1" applyBorder="1" applyAlignment="1">
      <alignment horizontal="right"/>
    </xf>
    <xf numFmtId="0" fontId="0" fillId="0" borderId="0" xfId="0" applyFont="1" applyBorder="1" applyAlignment="1"/>
    <xf numFmtId="0" fontId="0" fillId="0" borderId="28" xfId="0" applyFill="1" applyBorder="1"/>
    <xf numFmtId="0" fontId="0" fillId="0" borderId="29" xfId="0" applyFill="1" applyBorder="1"/>
    <xf numFmtId="0" fontId="0" fillId="0" borderId="33" xfId="0" applyFill="1" applyBorder="1"/>
    <xf numFmtId="0" fontId="0" fillId="0" borderId="30" xfId="0" applyFill="1" applyBorder="1"/>
    <xf numFmtId="0" fontId="0" fillId="0" borderId="0" xfId="0" applyFont="1" applyBorder="1"/>
    <xf numFmtId="3" fontId="5" fillId="0" borderId="0" xfId="4" applyFont="1"/>
    <xf numFmtId="3" fontId="40" fillId="0" borderId="0" xfId="6" applyNumberFormat="1" applyBorder="1" applyAlignment="1" applyProtection="1">
      <alignment horizontal="left"/>
    </xf>
    <xf numFmtId="0" fontId="5" fillId="0" borderId="0" xfId="0" applyFont="1" applyBorder="1"/>
    <xf numFmtId="166" fontId="0" fillId="7" borderId="6" xfId="0" applyNumberFormat="1" applyFont="1" applyFill="1" applyBorder="1"/>
    <xf numFmtId="177" fontId="0" fillId="7" borderId="16" xfId="0" applyNumberFormat="1" applyFont="1" applyFill="1" applyBorder="1"/>
    <xf numFmtId="3" fontId="40" fillId="0" borderId="0" xfId="6" applyNumberFormat="1" applyAlignment="1" applyProtection="1"/>
    <xf numFmtId="3" fontId="43" fillId="0" borderId="0" xfId="3" applyFont="1" applyAlignment="1">
      <alignment horizontal="left"/>
    </xf>
    <xf numFmtId="3" fontId="39" fillId="18" borderId="0" xfId="10" applyFont="1" applyFill="1" applyBorder="1" applyAlignment="1">
      <alignment horizontal="right"/>
    </xf>
    <xf numFmtId="3" fontId="39" fillId="0" borderId="0" xfId="10"/>
    <xf numFmtId="3" fontId="39" fillId="18" borderId="0" xfId="10" applyFont="1" applyFill="1" applyBorder="1" applyAlignment="1">
      <alignment horizontal="left"/>
    </xf>
    <xf numFmtId="3" fontId="5" fillId="18" borderId="0" xfId="10" applyFont="1" applyFill="1" applyBorder="1" applyAlignment="1"/>
    <xf numFmtId="3" fontId="39" fillId="18" borderId="0" xfId="10" quotePrefix="1" applyFont="1" applyFill="1" applyBorder="1" applyAlignment="1">
      <alignment horizontal="right"/>
    </xf>
    <xf numFmtId="0" fontId="5" fillId="0" borderId="0" xfId="4" applyNumberFormat="1" applyFont="1"/>
    <xf numFmtId="0" fontId="40" fillId="18" borderId="0" xfId="6" applyFill="1" applyBorder="1" applyAlignment="1" applyProtection="1">
      <alignment horizontal="left"/>
    </xf>
    <xf numFmtId="3" fontId="45" fillId="0" borderId="0" xfId="7" applyFont="1"/>
    <xf numFmtId="0" fontId="44" fillId="18" borderId="0" xfId="6" applyFont="1" applyFill="1" applyBorder="1" applyAlignment="1" applyProtection="1">
      <alignment horizontal="left"/>
    </xf>
    <xf numFmtId="0" fontId="44" fillId="0" borderId="0" xfId="6" applyFont="1" applyFill="1" applyAlignment="1" applyProtection="1"/>
    <xf numFmtId="0" fontId="39" fillId="0" borderId="44" xfId="0" applyFont="1" applyBorder="1"/>
    <xf numFmtId="0" fontId="0" fillId="0" borderId="45" xfId="0" applyBorder="1"/>
    <xf numFmtId="0" fontId="0" fillId="0" borderId="46" xfId="0" applyBorder="1"/>
    <xf numFmtId="0" fontId="5" fillId="0" borderId="44" xfId="0" applyFont="1" applyBorder="1" applyAlignment="1">
      <alignment horizontal="right"/>
    </xf>
    <xf numFmtId="0" fontId="5" fillId="0" borderId="47" xfId="0" applyFont="1" applyBorder="1" applyAlignment="1">
      <alignment horizontal="right"/>
    </xf>
    <xf numFmtId="0" fontId="5" fillId="0" borderId="48" xfId="0" applyFont="1" applyBorder="1" applyAlignment="1">
      <alignment horizontal="right"/>
    </xf>
    <xf numFmtId="170" fontId="39" fillId="0" borderId="44" xfId="0" applyNumberFormat="1" applyFont="1" applyBorder="1"/>
    <xf numFmtId="170" fontId="39" fillId="0" borderId="47" xfId="0" applyNumberFormat="1" applyFont="1" applyBorder="1"/>
    <xf numFmtId="170" fontId="39" fillId="0" borderId="48" xfId="0" applyNumberFormat="1" applyFont="1" applyBorder="1"/>
    <xf numFmtId="0" fontId="39" fillId="0" borderId="49" xfId="0" applyFont="1" applyBorder="1"/>
    <xf numFmtId="170" fontId="39" fillId="0" borderId="49" xfId="0" applyNumberFormat="1" applyFont="1" applyBorder="1"/>
    <xf numFmtId="170" fontId="39" fillId="0" borderId="0" xfId="0" applyNumberFormat="1" applyFont="1"/>
    <xf numFmtId="170" fontId="39" fillId="0" borderId="50" xfId="0" applyNumberFormat="1" applyFont="1" applyBorder="1"/>
    <xf numFmtId="0" fontId="5" fillId="0" borderId="51" xfId="0" applyFont="1" applyBorder="1"/>
    <xf numFmtId="170" fontId="5" fillId="0" borderId="51" xfId="0" applyNumberFormat="1" applyFont="1" applyBorder="1"/>
    <xf numFmtId="170" fontId="5" fillId="0" borderId="52" xfId="0" applyNumberFormat="1" applyFont="1" applyBorder="1"/>
    <xf numFmtId="170" fontId="5" fillId="0" borderId="53" xfId="0" applyNumberFormat="1" applyFont="1" applyBorder="1"/>
    <xf numFmtId="3" fontId="41" fillId="0" borderId="0" xfId="10" applyFont="1"/>
    <xf numFmtId="0" fontId="39" fillId="0" borderId="1" xfId="0" applyFont="1" applyBorder="1" applyAlignment="1">
      <alignment wrapText="1"/>
    </xf>
    <xf numFmtId="0" fontId="5" fillId="0" borderId="11" xfId="0" applyFont="1" applyBorder="1" applyAlignment="1">
      <alignment horizontal="right"/>
    </xf>
    <xf numFmtId="3" fontId="5" fillId="0" borderId="3" xfId="0" applyNumberFormat="1" applyFont="1" applyBorder="1" applyAlignment="1">
      <alignment horizontal="right"/>
    </xf>
    <xf numFmtId="0" fontId="5" fillId="0" borderId="3" xfId="0" applyFont="1" applyBorder="1" applyAlignment="1">
      <alignment horizontal="right"/>
    </xf>
    <xf numFmtId="0" fontId="5" fillId="0" borderId="1" xfId="0" applyFont="1" applyBorder="1" applyAlignment="1">
      <alignment horizontal="right" wrapText="1"/>
    </xf>
    <xf numFmtId="0" fontId="39" fillId="0" borderId="13" xfId="0" applyFont="1" applyBorder="1" applyAlignment="1">
      <alignment wrapText="1"/>
    </xf>
    <xf numFmtId="166" fontId="39" fillId="0" borderId="13" xfId="0" applyNumberFormat="1" applyFont="1" applyBorder="1"/>
    <xf numFmtId="166" fontId="39" fillId="0" borderId="0" xfId="2" applyNumberFormat="1" applyFont="1" applyBorder="1"/>
    <xf numFmtId="166" fontId="39" fillId="0" borderId="12" xfId="2" applyNumberFormat="1" applyFont="1" applyBorder="1"/>
    <xf numFmtId="0" fontId="5" fillId="0" borderId="11" xfId="0" applyFont="1" applyBorder="1" applyAlignment="1">
      <alignment wrapText="1"/>
    </xf>
    <xf numFmtId="166" fontId="5" fillId="0" borderId="11" xfId="0" applyNumberFormat="1" applyFont="1" applyBorder="1"/>
    <xf numFmtId="166" fontId="5" fillId="0" borderId="3" xfId="2" applyNumberFormat="1" applyFont="1" applyBorder="1"/>
    <xf numFmtId="166" fontId="5" fillId="0" borderId="1" xfId="2" applyNumberFormat="1" applyFont="1" applyBorder="1"/>
    <xf numFmtId="0" fontId="39" fillId="0" borderId="45" xfId="0" applyFont="1" applyBorder="1"/>
    <xf numFmtId="178" fontId="39" fillId="0" borderId="44" xfId="0" applyNumberFormat="1" applyFont="1" applyBorder="1"/>
    <xf numFmtId="178" fontId="39" fillId="0" borderId="47" xfId="0" applyNumberFormat="1" applyFont="1" applyBorder="1"/>
    <xf numFmtId="178" fontId="39" fillId="0" borderId="48" xfId="0" applyNumberFormat="1" applyFont="1" applyBorder="1"/>
    <xf numFmtId="0" fontId="39" fillId="0" borderId="54" xfId="0" applyFont="1" applyBorder="1"/>
    <xf numFmtId="178" fontId="39" fillId="0" borderId="49" xfId="0" applyNumberFormat="1" applyFont="1" applyBorder="1"/>
    <xf numFmtId="178" fontId="39" fillId="0" borderId="0" xfId="0" applyNumberFormat="1" applyFont="1"/>
    <xf numFmtId="178" fontId="39" fillId="0" borderId="50" xfId="0" applyNumberFormat="1" applyFont="1" applyBorder="1"/>
    <xf numFmtId="0" fontId="0" fillId="0" borderId="49" xfId="0" applyBorder="1"/>
    <xf numFmtId="0" fontId="5" fillId="0" borderId="55" xfId="0" applyFont="1" applyBorder="1"/>
    <xf numFmtId="178" fontId="5" fillId="0" borderId="51" xfId="0" applyNumberFormat="1" applyFont="1" applyBorder="1"/>
    <xf numFmtId="178" fontId="5" fillId="0" borderId="52" xfId="0" applyNumberFormat="1" applyFont="1" applyBorder="1"/>
    <xf numFmtId="178" fontId="5" fillId="0" borderId="53" xfId="0" applyNumberFormat="1" applyFont="1" applyBorder="1"/>
    <xf numFmtId="169" fontId="41" fillId="0" borderId="0" xfId="0" applyNumberFormat="1" applyFont="1" applyBorder="1"/>
    <xf numFmtId="0" fontId="39" fillId="0" borderId="56" xfId="0" applyFont="1" applyBorder="1"/>
    <xf numFmtId="0" fontId="5" fillId="0" borderId="38" xfId="0" applyFont="1" applyBorder="1" applyAlignment="1">
      <alignment horizontal="right"/>
    </xf>
    <xf numFmtId="0" fontId="5" fillId="0" borderId="40" xfId="0" applyFont="1" applyBorder="1" applyAlignment="1">
      <alignment horizontal="right"/>
    </xf>
    <xf numFmtId="0" fontId="5" fillId="0" borderId="57" xfId="0" applyFont="1" applyBorder="1" applyAlignment="1">
      <alignment horizontal="right"/>
    </xf>
    <xf numFmtId="0" fontId="39" fillId="0" borderId="38" xfId="0" applyFont="1" applyBorder="1"/>
    <xf numFmtId="166" fontId="39" fillId="0" borderId="38" xfId="0" applyNumberFormat="1" applyFont="1" applyBorder="1"/>
    <xf numFmtId="166" fontId="39" fillId="0" borderId="40" xfId="2" applyNumberFormat="1" applyFont="1" applyBorder="1"/>
    <xf numFmtId="166" fontId="39" fillId="0" borderId="58" xfId="2" applyNumberFormat="1" applyFont="1" applyBorder="1"/>
    <xf numFmtId="0" fontId="39" fillId="0" borderId="41" xfId="0" applyFont="1" applyBorder="1"/>
    <xf numFmtId="0" fontId="39" fillId="0" borderId="42" xfId="0" applyFont="1" applyBorder="1"/>
    <xf numFmtId="166" fontId="39" fillId="0" borderId="42" xfId="0" applyNumberFormat="1" applyFont="1" applyBorder="1"/>
    <xf numFmtId="0" fontId="39" fillId="0" borderId="39" xfId="0" applyFont="1" applyBorder="1"/>
    <xf numFmtId="0" fontId="39" fillId="0" borderId="11" xfId="0" applyFont="1" applyBorder="1"/>
    <xf numFmtId="0" fontId="39" fillId="0" borderId="59" xfId="0" applyFont="1" applyBorder="1"/>
    <xf numFmtId="166" fontId="39" fillId="0" borderId="59" xfId="0" applyNumberFormat="1" applyFont="1" applyBorder="1"/>
    <xf numFmtId="166" fontId="39" fillId="0" borderId="3" xfId="2" applyNumberFormat="1" applyFont="1" applyBorder="1"/>
    <xf numFmtId="166" fontId="39" fillId="0" borderId="1" xfId="2" applyNumberFormat="1" applyFont="1" applyBorder="1"/>
    <xf numFmtId="0" fontId="39" fillId="0" borderId="1" xfId="0" applyFont="1" applyBorder="1"/>
    <xf numFmtId="0" fontId="39" fillId="0" borderId="40" xfId="0" applyFont="1" applyBorder="1"/>
    <xf numFmtId="0" fontId="5" fillId="0" borderId="1" xfId="0" applyFont="1" applyBorder="1"/>
    <xf numFmtId="0" fontId="5" fillId="0" borderId="2" xfId="0" applyFont="1" applyBorder="1"/>
    <xf numFmtId="166" fontId="5" fillId="0" borderId="2" xfId="0" applyNumberFormat="1" applyFont="1" applyBorder="1"/>
    <xf numFmtId="0" fontId="5" fillId="0" borderId="44" xfId="0" pivotButton="1" applyFont="1" applyBorder="1"/>
    <xf numFmtId="0" fontId="0" fillId="0" borderId="44" xfId="0" pivotButton="1" applyBorder="1"/>
    <xf numFmtId="0" fontId="39" fillId="0" borderId="44" xfId="0" pivotButton="1" applyFont="1" applyBorder="1"/>
    <xf numFmtId="3" fontId="38" fillId="7" borderId="0" xfId="3" applyFill="1"/>
    <xf numFmtId="49" fontId="39" fillId="0" borderId="0" xfId="5" quotePrefix="1" applyNumberFormat="1" applyFont="1" applyAlignment="1">
      <alignment horizontal="right"/>
    </xf>
    <xf numFmtId="3" fontId="5" fillId="7" borderId="0" xfId="4" applyFill="1"/>
    <xf numFmtId="177" fontId="40" fillId="7" borderId="0" xfId="6" applyNumberFormat="1" applyFill="1" applyAlignment="1" applyProtection="1"/>
    <xf numFmtId="3" fontId="5" fillId="7" borderId="43" xfId="0" applyNumberFormat="1" applyFont="1" applyFill="1" applyBorder="1"/>
    <xf numFmtId="3" fontId="5" fillId="7" borderId="57" xfId="0" applyNumberFormat="1" applyFont="1" applyFill="1" applyBorder="1"/>
    <xf numFmtId="1" fontId="5" fillId="7" borderId="3" xfId="0" applyNumberFormat="1" applyFont="1" applyFill="1" applyBorder="1" applyAlignment="1">
      <alignment horizontal="right"/>
    </xf>
    <xf numFmtId="3" fontId="0" fillId="7" borderId="43" xfId="0" applyNumberFormat="1" applyFont="1" applyFill="1" applyBorder="1"/>
    <xf numFmtId="3" fontId="0" fillId="7" borderId="57" xfId="0" applyNumberFormat="1" applyFont="1" applyFill="1" applyBorder="1"/>
    <xf numFmtId="176" fontId="0" fillId="7" borderId="43" xfId="0" applyNumberFormat="1" applyFill="1" applyBorder="1"/>
    <xf numFmtId="176" fontId="0" fillId="7" borderId="14" xfId="0" applyNumberFormat="1" applyFill="1" applyBorder="1"/>
    <xf numFmtId="3" fontId="0" fillId="7" borderId="0" xfId="0" applyNumberFormat="1" applyFill="1" applyBorder="1"/>
    <xf numFmtId="3" fontId="0" fillId="7" borderId="13" xfId="0" applyNumberFormat="1" applyFont="1" applyFill="1" applyBorder="1"/>
    <xf numFmtId="3" fontId="0" fillId="7" borderId="12" xfId="0" applyNumberFormat="1" applyFont="1" applyFill="1" applyBorder="1"/>
    <xf numFmtId="176" fontId="0" fillId="7" borderId="13" xfId="0" applyNumberFormat="1" applyFill="1" applyBorder="1"/>
    <xf numFmtId="176" fontId="0" fillId="7" borderId="0" xfId="0" applyNumberFormat="1" applyFill="1" applyBorder="1"/>
    <xf numFmtId="176" fontId="0" fillId="7" borderId="16" xfId="0" applyNumberFormat="1" applyFill="1" applyBorder="1"/>
    <xf numFmtId="176" fontId="0" fillId="7" borderId="2" xfId="0" applyNumberFormat="1" applyFill="1" applyBorder="1"/>
    <xf numFmtId="176" fontId="0" fillId="7" borderId="15" xfId="0" applyNumberFormat="1" applyFill="1" applyBorder="1"/>
    <xf numFmtId="176" fontId="0" fillId="7" borderId="6" xfId="0" applyNumberFormat="1" applyFill="1" applyBorder="1"/>
    <xf numFmtId="3" fontId="5" fillId="7" borderId="16" xfId="0" applyNumberFormat="1" applyFont="1" applyFill="1" applyBorder="1"/>
    <xf numFmtId="3" fontId="0" fillId="7" borderId="60" xfId="0" applyNumberFormat="1" applyFont="1" applyFill="1" applyBorder="1"/>
    <xf numFmtId="176" fontId="0" fillId="7" borderId="10" xfId="0" applyNumberFormat="1" applyFill="1" applyBorder="1"/>
    <xf numFmtId="3" fontId="5" fillId="7" borderId="11" xfId="0" applyNumberFormat="1" applyFont="1" applyFill="1" applyBorder="1"/>
    <xf numFmtId="3" fontId="41" fillId="0" borderId="0" xfId="7" applyAlignment="1"/>
    <xf numFmtId="1" fontId="5" fillId="7" borderId="14" xfId="0" applyNumberFormat="1" applyFont="1" applyFill="1" applyBorder="1" applyAlignment="1">
      <alignment horizontal="right"/>
    </xf>
    <xf numFmtId="166" fontId="0" fillId="7" borderId="12" xfId="0" applyNumberFormat="1" applyFill="1" applyBorder="1"/>
    <xf numFmtId="3" fontId="0" fillId="7" borderId="16" xfId="0" applyNumberFormat="1" applyFont="1" applyFill="1" applyBorder="1"/>
    <xf numFmtId="3" fontId="0" fillId="7" borderId="14" xfId="0" applyNumberFormat="1" applyFont="1" applyFill="1" applyBorder="1"/>
    <xf numFmtId="3" fontId="0" fillId="7" borderId="0" xfId="0" applyNumberFormat="1" applyFont="1" applyFill="1" applyBorder="1"/>
    <xf numFmtId="3" fontId="0" fillId="7" borderId="10" xfId="0" applyNumberFormat="1" applyFont="1" applyFill="1" applyBorder="1"/>
    <xf numFmtId="166" fontId="0" fillId="7" borderId="1" xfId="0" applyNumberFormat="1" applyFill="1" applyBorder="1"/>
    <xf numFmtId="3" fontId="5" fillId="0" borderId="0" xfId="4" applyFont="1" applyBorder="1"/>
    <xf numFmtId="3" fontId="0" fillId="7" borderId="15" xfId="0" applyNumberFormat="1" applyFont="1" applyFill="1" applyBorder="1"/>
    <xf numFmtId="3" fontId="0" fillId="7" borderId="6" xfId="0" applyNumberFormat="1" applyFont="1" applyFill="1" applyBorder="1"/>
    <xf numFmtId="3" fontId="0" fillId="7" borderId="2" xfId="0" applyNumberFormat="1" applyFont="1" applyFill="1" applyBorder="1"/>
    <xf numFmtId="177" fontId="5" fillId="7" borderId="0" xfId="0" applyNumberFormat="1" applyFont="1" applyFill="1" applyBorder="1"/>
    <xf numFmtId="176" fontId="5" fillId="7" borderId="3" xfId="0" applyNumberFormat="1" applyFont="1" applyFill="1" applyBorder="1"/>
    <xf numFmtId="177" fontId="5" fillId="7" borderId="3" xfId="0" applyNumberFormat="1" applyFont="1" applyFill="1" applyBorder="1"/>
    <xf numFmtId="166" fontId="5" fillId="7" borderId="3" xfId="0" applyNumberFormat="1" applyFont="1" applyFill="1" applyBorder="1"/>
    <xf numFmtId="177" fontId="5" fillId="7" borderId="2" xfId="0" applyNumberFormat="1" applyFont="1" applyFill="1" applyBorder="1"/>
    <xf numFmtId="166" fontId="5" fillId="7" borderId="2" xfId="0" applyNumberFormat="1" applyFont="1" applyFill="1" applyBorder="1"/>
    <xf numFmtId="0" fontId="5" fillId="0" borderId="0" xfId="0" applyFont="1"/>
    <xf numFmtId="10" fontId="39" fillId="0" borderId="0" xfId="2" applyNumberFormat="1" applyFont="1" applyBorder="1" applyAlignment="1">
      <alignment horizontal="right"/>
    </xf>
    <xf numFmtId="0" fontId="23" fillId="0" borderId="0" xfId="0" applyFont="1" applyFill="1" applyAlignment="1">
      <alignment horizontal="left"/>
    </xf>
    <xf numFmtId="0" fontId="21" fillId="0" borderId="0" xfId="0" applyFont="1" applyFill="1" applyAlignment="1">
      <alignment horizontal="center"/>
    </xf>
    <xf numFmtId="0" fontId="23" fillId="0" borderId="0" xfId="0" applyFont="1" applyFill="1" applyBorder="1" applyAlignment="1">
      <alignment horizontal="center"/>
    </xf>
    <xf numFmtId="0" fontId="21" fillId="0" borderId="0" xfId="0" applyFont="1" applyFill="1" applyAlignment="1">
      <alignment horizontal="right"/>
    </xf>
    <xf numFmtId="169" fontId="21" fillId="0" borderId="0" xfId="1" applyNumberFormat="1" applyFont="1" applyFill="1"/>
    <xf numFmtId="9" fontId="21" fillId="0" borderId="0" xfId="2" applyFont="1" applyFill="1"/>
    <xf numFmtId="9" fontId="32" fillId="0" borderId="0" xfId="2" applyFont="1" applyFill="1" applyBorder="1" applyAlignment="1">
      <alignment horizontal="center"/>
    </xf>
    <xf numFmtId="0" fontId="0" fillId="0" borderId="18" xfId="2" applyNumberFormat="1" applyFont="1" applyFill="1" applyBorder="1"/>
    <xf numFmtId="175" fontId="0" fillId="15" borderId="0" xfId="0" applyNumberFormat="1" applyFill="1" applyBorder="1"/>
    <xf numFmtId="175" fontId="0" fillId="15" borderId="21" xfId="0" applyNumberFormat="1" applyFill="1" applyBorder="1"/>
    <xf numFmtId="0" fontId="0" fillId="15" borderId="24" xfId="0" applyFill="1" applyBorder="1"/>
    <xf numFmtId="169" fontId="0" fillId="15" borderId="25" xfId="0" applyNumberFormat="1" applyFill="1" applyBorder="1"/>
    <xf numFmtId="169" fontId="0" fillId="15" borderId="26" xfId="0" applyNumberFormat="1" applyFill="1" applyBorder="1"/>
    <xf numFmtId="172" fontId="0" fillId="0" borderId="0" xfId="0" applyNumberFormat="1" applyFill="1"/>
    <xf numFmtId="0" fontId="0" fillId="15" borderId="0" xfId="0" applyFill="1"/>
    <xf numFmtId="174" fontId="0" fillId="17" borderId="20" xfId="0" applyNumberFormat="1" applyFill="1" applyBorder="1"/>
    <xf numFmtId="175" fontId="0" fillId="17" borderId="0" xfId="0" applyNumberFormat="1" applyFill="1" applyBorder="1"/>
    <xf numFmtId="175" fontId="0" fillId="17" borderId="21" xfId="0" applyNumberFormat="1" applyFill="1" applyBorder="1"/>
    <xf numFmtId="174" fontId="0" fillId="17" borderId="24" xfId="0" applyNumberFormat="1" applyFill="1" applyBorder="1"/>
    <xf numFmtId="169" fontId="0" fillId="17" borderId="25" xfId="1" applyNumberFormat="1" applyFont="1" applyFill="1" applyBorder="1"/>
    <xf numFmtId="169" fontId="0" fillId="17" borderId="26" xfId="1" applyNumberFormat="1" applyFont="1" applyFill="1" applyBorder="1"/>
    <xf numFmtId="0" fontId="0" fillId="17" borderId="24" xfId="0" applyFill="1" applyBorder="1"/>
    <xf numFmtId="169" fontId="0" fillId="17" borderId="25" xfId="2" applyNumberFormat="1" applyFont="1" applyFill="1" applyBorder="1" applyAlignment="1">
      <alignment horizontal="right"/>
    </xf>
    <xf numFmtId="169" fontId="0" fillId="17" borderId="26" xfId="2" applyNumberFormat="1" applyFont="1" applyFill="1" applyBorder="1" applyAlignment="1">
      <alignment horizontal="right"/>
    </xf>
    <xf numFmtId="0" fontId="0" fillId="13" borderId="20" xfId="0" applyFill="1" applyBorder="1"/>
    <xf numFmtId="169" fontId="0" fillId="6" borderId="0" xfId="1" applyNumberFormat="1" applyFont="1" applyFill="1" applyBorder="1" applyAlignment="1">
      <alignment horizontal="right"/>
    </xf>
    <xf numFmtId="169" fontId="0" fillId="6" borderId="0" xfId="0" applyNumberFormat="1" applyFill="1" applyBorder="1" applyAlignment="1">
      <alignment horizontal="right"/>
    </xf>
    <xf numFmtId="169" fontId="0" fillId="6" borderId="21" xfId="0" applyNumberFormat="1" applyFill="1" applyBorder="1" applyAlignment="1">
      <alignment horizontal="right"/>
    </xf>
    <xf numFmtId="169" fontId="0" fillId="6" borderId="21" xfId="1" applyNumberFormat="1" applyFont="1" applyFill="1" applyBorder="1" applyAlignment="1">
      <alignment horizontal="right"/>
    </xf>
    <xf numFmtId="14" fontId="0" fillId="6" borderId="0" xfId="0" applyNumberFormat="1" applyFill="1" applyBorder="1"/>
    <xf numFmtId="0" fontId="0" fillId="13" borderId="0" xfId="0" applyFill="1" applyBorder="1"/>
    <xf numFmtId="10" fontId="0" fillId="13" borderId="0" xfId="2" applyNumberFormat="1" applyFont="1" applyFill="1" applyBorder="1"/>
    <xf numFmtId="2" fontId="0" fillId="13" borderId="0" xfId="0" applyNumberFormat="1" applyFill="1" applyBorder="1"/>
    <xf numFmtId="0" fontId="0" fillId="13" borderId="21" xfId="0" applyFill="1" applyBorder="1"/>
    <xf numFmtId="0" fontId="0" fillId="13" borderId="20" xfId="0" applyFill="1" applyBorder="1" applyAlignment="1">
      <alignment vertical="center"/>
    </xf>
    <xf numFmtId="10" fontId="0" fillId="13" borderId="0" xfId="0" applyNumberFormat="1" applyFill="1" applyBorder="1" applyAlignment="1">
      <alignment vertical="center"/>
    </xf>
    <xf numFmtId="0" fontId="36" fillId="13" borderId="20" xfId="0" applyFont="1" applyFill="1" applyBorder="1"/>
    <xf numFmtId="0" fontId="36" fillId="13" borderId="0" xfId="0" applyFont="1" applyFill="1" applyBorder="1"/>
    <xf numFmtId="10" fontId="36" fillId="13" borderId="0" xfId="2" applyNumberFormat="1" applyFont="1" applyFill="1" applyBorder="1"/>
    <xf numFmtId="0" fontId="0" fillId="12" borderId="25" xfId="0" applyFill="1" applyBorder="1"/>
    <xf numFmtId="10" fontId="0" fillId="12" borderId="25" xfId="2" applyNumberFormat="1" applyFont="1" applyFill="1" applyBorder="1"/>
    <xf numFmtId="2" fontId="0" fillId="12" borderId="25" xfId="0" applyNumberFormat="1" applyFill="1" applyBorder="1"/>
    <xf numFmtId="0" fontId="0" fillId="12" borderId="26" xfId="0" applyFill="1" applyBorder="1"/>
    <xf numFmtId="173" fontId="0" fillId="12" borderId="0" xfId="0" applyNumberFormat="1" applyFill="1" applyBorder="1"/>
    <xf numFmtId="173" fontId="0" fillId="12" borderId="21" xfId="0" applyNumberFormat="1" applyFill="1" applyBorder="1"/>
    <xf numFmtId="173" fontId="0" fillId="12" borderId="25" xfId="0" applyNumberFormat="1" applyFill="1" applyBorder="1"/>
    <xf numFmtId="173" fontId="0" fillId="12" borderId="26" xfId="0" applyNumberFormat="1" applyFill="1" applyBorder="1"/>
    <xf numFmtId="0" fontId="0" fillId="14" borderId="24" xfId="0" applyFill="1" applyBorder="1"/>
    <xf numFmtId="3" fontId="0" fillId="14" borderId="25" xfId="0" applyNumberFormat="1" applyFill="1" applyBorder="1"/>
    <xf numFmtId="3" fontId="0" fillId="14" borderId="26" xfId="0" applyNumberFormat="1" applyFill="1" applyBorder="1"/>
    <xf numFmtId="172" fontId="0" fillId="14" borderId="25" xfId="0" applyNumberFormat="1" applyFill="1" applyBorder="1"/>
    <xf numFmtId="172" fontId="0" fillId="14" borderId="26" xfId="0" applyNumberFormat="1" applyFill="1" applyBorder="1"/>
    <xf numFmtId="0" fontId="0" fillId="15" borderId="20" xfId="0" applyFill="1" applyBorder="1"/>
    <xf numFmtId="175" fontId="0" fillId="14" borderId="25" xfId="0" applyNumberFormat="1" applyFill="1" applyBorder="1"/>
    <xf numFmtId="175" fontId="0" fillId="14" borderId="26" xfId="0" applyNumberFormat="1" applyFill="1" applyBorder="1"/>
    <xf numFmtId="175" fontId="0" fillId="12" borderId="0" xfId="2" applyNumberFormat="1" applyFont="1" applyFill="1" applyBorder="1"/>
    <xf numFmtId="175" fontId="0" fillId="12" borderId="0" xfId="0" applyNumberFormat="1" applyFill="1" applyBorder="1"/>
    <xf numFmtId="175" fontId="0" fillId="12" borderId="21" xfId="0" applyNumberFormat="1" applyFill="1" applyBorder="1"/>
    <xf numFmtId="166" fontId="0" fillId="0" borderId="0" xfId="2" applyNumberFormat="1" applyFont="1" applyBorder="1"/>
    <xf numFmtId="0" fontId="46" fillId="0" borderId="0" xfId="0" applyFont="1" applyBorder="1" applyAlignment="1">
      <alignment horizontal="right"/>
    </xf>
    <xf numFmtId="0" fontId="47" fillId="0" borderId="0" xfId="0" applyFont="1" applyBorder="1" applyAlignment="1">
      <alignment horizontal="right"/>
    </xf>
    <xf numFmtId="0" fontId="0" fillId="0" borderId="0" xfId="0" quotePrefix="1" applyBorder="1" applyAlignment="1">
      <alignment horizontal="right"/>
    </xf>
    <xf numFmtId="3" fontId="5" fillId="7" borderId="1" xfId="0" applyNumberFormat="1" applyFont="1" applyFill="1" applyBorder="1"/>
    <xf numFmtId="3" fontId="5" fillId="7" borderId="1" xfId="0" applyNumberFormat="1" applyFont="1" applyFill="1" applyBorder="1" applyAlignment="1">
      <alignment horizontal="right" wrapText="1"/>
    </xf>
    <xf numFmtId="166" fontId="39" fillId="7" borderId="12" xfId="1" applyNumberFormat="1" applyFont="1" applyFill="1" applyBorder="1" applyAlignment="1">
      <alignment horizontal="right"/>
    </xf>
    <xf numFmtId="166" fontId="39" fillId="7" borderId="60" xfId="1" applyNumberFormat="1" applyFont="1" applyFill="1" applyBorder="1" applyAlignment="1">
      <alignment horizontal="right"/>
    </xf>
    <xf numFmtId="166" fontId="39" fillId="7" borderId="57" xfId="1" applyNumberFormat="1" applyFont="1" applyFill="1" applyBorder="1" applyAlignment="1">
      <alignment horizontal="right"/>
    </xf>
    <xf numFmtId="166" fontId="39" fillId="7" borderId="15" xfId="1" applyNumberFormat="1" applyFont="1" applyFill="1" applyBorder="1" applyAlignment="1">
      <alignment horizontal="right"/>
    </xf>
    <xf numFmtId="3" fontId="0" fillId="7" borderId="11" xfId="0" applyNumberFormat="1" applyFont="1" applyFill="1" applyBorder="1"/>
    <xf numFmtId="3" fontId="0" fillId="7" borderId="3" xfId="0" applyNumberFormat="1" applyFont="1" applyFill="1" applyBorder="1"/>
    <xf numFmtId="176" fontId="0" fillId="7" borderId="3" xfId="0" applyNumberFormat="1" applyFill="1" applyBorder="1"/>
    <xf numFmtId="176" fontId="0" fillId="7" borderId="7" xfId="0" applyNumberFormat="1" applyFill="1" applyBorder="1"/>
    <xf numFmtId="166" fontId="39" fillId="7" borderId="7" xfId="1" applyNumberFormat="1" applyFont="1" applyFill="1" applyBorder="1" applyAlignment="1">
      <alignment horizontal="right"/>
    </xf>
    <xf numFmtId="166" fontId="39" fillId="7" borderId="10" xfId="1" applyNumberFormat="1" applyFont="1" applyFill="1" applyBorder="1" applyAlignment="1">
      <alignment horizontal="right"/>
    </xf>
    <xf numFmtId="166" fontId="39" fillId="7" borderId="6" xfId="1" applyNumberFormat="1" applyFont="1" applyFill="1" applyBorder="1" applyAlignment="1">
      <alignment horizontal="right"/>
    </xf>
    <xf numFmtId="176" fontId="0" fillId="7" borderId="2" xfId="0" applyNumberFormat="1" applyFont="1" applyFill="1" applyBorder="1"/>
    <xf numFmtId="176" fontId="0" fillId="7" borderId="10" xfId="0" applyNumberFormat="1" applyFont="1" applyFill="1" applyBorder="1"/>
    <xf numFmtId="166" fontId="39" fillId="7" borderId="1" xfId="1" applyNumberFormat="1" applyFont="1" applyFill="1" applyBorder="1" applyAlignment="1">
      <alignment horizontal="right"/>
    </xf>
    <xf numFmtId="176" fontId="5" fillId="7" borderId="2" xfId="0" applyNumberFormat="1" applyFont="1" applyFill="1" applyBorder="1"/>
    <xf numFmtId="166" fontId="5" fillId="7" borderId="1" xfId="1" applyNumberFormat="1" applyFont="1" applyFill="1" applyBorder="1" applyAlignment="1">
      <alignment horizontal="right"/>
    </xf>
    <xf numFmtId="166" fontId="0" fillId="0" borderId="60" xfId="0" applyNumberFormat="1" applyBorder="1"/>
    <xf numFmtId="3" fontId="41" fillId="0" borderId="0" xfId="7" applyFont="1"/>
    <xf numFmtId="166" fontId="5" fillId="7" borderId="0" xfId="0" applyNumberFormat="1" applyFont="1" applyFill="1" applyBorder="1"/>
    <xf numFmtId="179" fontId="0" fillId="0" borderId="0" xfId="0" applyNumberFormat="1"/>
    <xf numFmtId="176" fontId="3" fillId="0" borderId="0" xfId="1" applyNumberFormat="1"/>
    <xf numFmtId="0" fontId="0" fillId="0" borderId="0" xfId="0" applyFont="1"/>
    <xf numFmtId="177" fontId="0" fillId="7" borderId="57" xfId="0" applyNumberFormat="1" applyFont="1" applyFill="1" applyBorder="1"/>
    <xf numFmtId="176" fontId="0" fillId="7" borderId="43" xfId="0" applyNumberFormat="1" applyFont="1" applyFill="1" applyBorder="1"/>
    <xf numFmtId="176" fontId="0" fillId="7" borderId="14" xfId="0" applyNumberFormat="1" applyFont="1" applyFill="1" applyBorder="1"/>
    <xf numFmtId="176" fontId="0" fillId="7" borderId="15" xfId="0" applyNumberFormat="1" applyFont="1" applyFill="1" applyBorder="1"/>
    <xf numFmtId="177" fontId="0" fillId="7" borderId="12" xfId="0" applyNumberFormat="1" applyFont="1" applyFill="1" applyBorder="1"/>
    <xf numFmtId="176" fontId="0" fillId="7" borderId="13" xfId="0" applyNumberFormat="1" applyFont="1" applyFill="1" applyBorder="1"/>
    <xf numFmtId="176" fontId="0" fillId="7" borderId="0" xfId="0" applyNumberFormat="1" applyFont="1" applyFill="1" applyBorder="1"/>
    <xf numFmtId="176" fontId="0" fillId="7" borderId="6" xfId="0" applyNumberFormat="1" applyFont="1" applyFill="1" applyBorder="1"/>
    <xf numFmtId="176" fontId="0" fillId="7" borderId="16" xfId="0" applyNumberFormat="1" applyFont="1" applyFill="1" applyBorder="1"/>
    <xf numFmtId="166" fontId="0" fillId="7" borderId="57" xfId="0" applyNumberFormat="1" applyFont="1" applyFill="1" applyBorder="1"/>
    <xf numFmtId="166" fontId="0" fillId="7" borderId="12" xfId="0" applyNumberFormat="1" applyFont="1" applyFill="1" applyBorder="1"/>
    <xf numFmtId="177" fontId="0" fillId="7" borderId="60" xfId="0" applyNumberFormat="1" applyFont="1" applyFill="1" applyBorder="1"/>
    <xf numFmtId="177" fontId="0" fillId="7" borderId="13" xfId="0" applyNumberFormat="1" applyFont="1" applyFill="1" applyBorder="1"/>
    <xf numFmtId="177" fontId="0" fillId="7" borderId="11" xfId="0" applyNumberFormat="1" applyFont="1" applyFill="1" applyBorder="1"/>
    <xf numFmtId="177" fontId="0" fillId="7" borderId="43" xfId="0" applyNumberFormat="1" applyFont="1" applyFill="1" applyBorder="1"/>
    <xf numFmtId="166" fontId="0" fillId="7" borderId="1" xfId="0" applyNumberFormat="1" applyFont="1" applyFill="1" applyBorder="1"/>
    <xf numFmtId="173" fontId="0" fillId="7" borderId="16" xfId="0" applyNumberFormat="1" applyFont="1" applyFill="1" applyBorder="1"/>
    <xf numFmtId="173" fontId="0" fillId="7" borderId="2" xfId="0" applyNumberFormat="1" applyFont="1" applyFill="1" applyBorder="1"/>
    <xf numFmtId="173" fontId="0" fillId="7" borderId="3" xfId="0" applyNumberFormat="1" applyFont="1" applyFill="1" applyBorder="1"/>
    <xf numFmtId="3" fontId="0" fillId="7" borderId="0" xfId="2" applyNumberFormat="1" applyFont="1" applyFill="1" applyBorder="1"/>
    <xf numFmtId="0" fontId="0" fillId="7" borderId="16" xfId="0" applyFill="1" applyBorder="1"/>
    <xf numFmtId="0" fontId="0" fillId="7" borderId="13" xfId="0" applyFill="1" applyBorder="1"/>
    <xf numFmtId="0" fontId="0" fillId="7" borderId="13" xfId="0" applyFill="1" applyBorder="1" applyAlignment="1">
      <alignment horizontal="left" indent="1"/>
    </xf>
    <xf numFmtId="3" fontId="0" fillId="7" borderId="6" xfId="2" applyNumberFormat="1" applyFont="1" applyFill="1" applyBorder="1"/>
    <xf numFmtId="0" fontId="0" fillId="7" borderId="13" xfId="0" applyFont="1" applyFill="1" applyBorder="1" applyAlignment="1">
      <alignment horizontal="left"/>
    </xf>
    <xf numFmtId="0" fontId="0" fillId="7" borderId="11" xfId="0" applyFill="1" applyBorder="1"/>
    <xf numFmtId="165" fontId="48" fillId="3" borderId="3" xfId="1" applyNumberFormat="1" applyFont="1" applyFill="1" applyBorder="1"/>
    <xf numFmtId="165" fontId="48" fillId="3" borderId="7" xfId="1" applyNumberFormat="1" applyFont="1" applyFill="1" applyBorder="1"/>
    <xf numFmtId="0" fontId="0" fillId="22" borderId="13" xfId="0" applyFill="1" applyBorder="1"/>
    <xf numFmtId="10" fontId="0" fillId="22" borderId="0" xfId="2" applyNumberFormat="1" applyFont="1" applyFill="1" applyBorder="1"/>
    <xf numFmtId="0" fontId="0" fillId="22" borderId="0" xfId="0" applyFill="1" applyBorder="1"/>
    <xf numFmtId="0" fontId="0" fillId="22" borderId="6" xfId="0" applyFill="1" applyBorder="1"/>
    <xf numFmtId="0" fontId="0" fillId="0" borderId="0" xfId="0" applyAlignment="1">
      <alignment horizontal="right"/>
    </xf>
    <xf numFmtId="38" fontId="0" fillId="0" borderId="0" xfId="0" applyNumberFormat="1"/>
    <xf numFmtId="38" fontId="50" fillId="0" borderId="0" xfId="0" applyNumberFormat="1" applyFont="1"/>
    <xf numFmtId="168" fontId="0" fillId="12" borderId="25" xfId="1" applyNumberFormat="1" applyFont="1" applyFill="1" applyBorder="1"/>
    <xf numFmtId="10" fontId="0" fillId="6" borderId="0" xfId="2" applyNumberFormat="1" applyFont="1" applyFill="1" applyBorder="1"/>
    <xf numFmtId="10" fontId="0" fillId="6" borderId="0" xfId="0" applyNumberFormat="1" applyFill="1" applyBorder="1"/>
    <xf numFmtId="0" fontId="0" fillId="0" borderId="13" xfId="0" applyBorder="1"/>
    <xf numFmtId="169" fontId="0" fillId="6" borderId="6" xfId="1" applyNumberFormat="1" applyFont="1" applyFill="1" applyBorder="1"/>
    <xf numFmtId="0" fontId="0" fillId="0" borderId="16" xfId="0" applyBorder="1"/>
    <xf numFmtId="10" fontId="0" fillId="6" borderId="2" xfId="2" applyNumberFormat="1" applyFont="1" applyFill="1" applyBorder="1"/>
    <xf numFmtId="14" fontId="0" fillId="6" borderId="2" xfId="0" applyNumberFormat="1" applyFill="1" applyBorder="1"/>
    <xf numFmtId="0" fontId="0" fillId="6" borderId="2" xfId="0" applyFill="1" applyBorder="1"/>
    <xf numFmtId="2" fontId="0" fillId="6" borderId="2" xfId="0" applyNumberFormat="1" applyFill="1" applyBorder="1"/>
    <xf numFmtId="169" fontId="0" fillId="6" borderId="10" xfId="1" applyNumberFormat="1" applyFont="1" applyFill="1" applyBorder="1"/>
    <xf numFmtId="0" fontId="0" fillId="0" borderId="14" xfId="0" applyBorder="1" applyAlignment="1">
      <alignment horizontal="center"/>
    </xf>
    <xf numFmtId="0" fontId="0" fillId="0" borderId="15" xfId="0" applyBorder="1" applyAlignment="1">
      <alignment horizontal="center"/>
    </xf>
    <xf numFmtId="0" fontId="51" fillId="0" borderId="43" xfId="0" applyFont="1" applyBorder="1"/>
    <xf numFmtId="0" fontId="52" fillId="7" borderId="13" xfId="0" applyFont="1" applyFill="1" applyBorder="1"/>
    <xf numFmtId="3" fontId="0" fillId="7" borderId="2" xfId="2" applyNumberFormat="1" applyFont="1" applyFill="1" applyBorder="1"/>
    <xf numFmtId="10" fontId="0" fillId="7" borderId="0" xfId="2" applyNumberFormat="1" applyFont="1" applyFill="1" applyBorder="1"/>
    <xf numFmtId="3" fontId="0" fillId="7" borderId="10" xfId="2" applyNumberFormat="1" applyFont="1" applyFill="1" applyBorder="1"/>
    <xf numFmtId="10" fontId="0" fillId="7" borderId="6" xfId="2" applyNumberFormat="1" applyFont="1" applyFill="1" applyBorder="1"/>
    <xf numFmtId="168" fontId="7" fillId="0" borderId="0" xfId="1" applyNumberFormat="1" applyFont="1"/>
    <xf numFmtId="10" fontId="7" fillId="0" borderId="0" xfId="2" applyNumberFormat="1" applyFont="1"/>
    <xf numFmtId="3" fontId="7" fillId="0" borderId="0" xfId="0" applyNumberFormat="1" applyFont="1"/>
    <xf numFmtId="168" fontId="7" fillId="22" borderId="0" xfId="1" applyNumberFormat="1" applyFont="1" applyFill="1"/>
    <xf numFmtId="10" fontId="7" fillId="22" borderId="0" xfId="2" applyNumberFormat="1" applyFont="1" applyFill="1"/>
    <xf numFmtId="3" fontId="7" fillId="22" borderId="0" xfId="0" applyNumberFormat="1" applyFont="1" applyFill="1"/>
    <xf numFmtId="0" fontId="7" fillId="22" borderId="0" xfId="0" applyFont="1" applyFill="1"/>
    <xf numFmtId="0" fontId="7" fillId="0" borderId="0" xfId="0" applyFont="1" applyAlignment="1">
      <alignment horizontal="center"/>
    </xf>
    <xf numFmtId="0" fontId="7" fillId="0" borderId="0" xfId="0" quotePrefix="1" applyFont="1" applyAlignment="1">
      <alignment horizontal="center"/>
    </xf>
    <xf numFmtId="0" fontId="53" fillId="9" borderId="0" xfId="0" applyFont="1" applyFill="1"/>
    <xf numFmtId="166" fontId="7" fillId="9" borderId="0" xfId="2" applyNumberFormat="1" applyFont="1" applyFill="1" applyBorder="1" applyAlignment="1">
      <alignment horizontal="right"/>
    </xf>
    <xf numFmtId="168" fontId="53" fillId="9" borderId="0" xfId="1" applyNumberFormat="1" applyFont="1" applyFill="1"/>
    <xf numFmtId="0" fontId="53" fillId="0" borderId="0" xfId="0" applyFont="1"/>
    <xf numFmtId="0" fontId="53" fillId="0" borderId="0" xfId="0" quotePrefix="1" applyFont="1"/>
    <xf numFmtId="43" fontId="54" fillId="19" borderId="17" xfId="11" applyFont="1" applyFill="1" applyBorder="1" applyAlignment="1">
      <alignment horizontal="left"/>
    </xf>
    <xf numFmtId="0" fontId="54" fillId="19" borderId="18" xfId="0" applyFont="1" applyFill="1" applyBorder="1" applyAlignment="1">
      <alignment horizontal="right"/>
    </xf>
    <xf numFmtId="0" fontId="54" fillId="19" borderId="62" xfId="0" applyFont="1" applyFill="1" applyBorder="1" applyAlignment="1">
      <alignment horizontal="right"/>
    </xf>
    <xf numFmtId="0" fontId="54" fillId="19" borderId="19" xfId="0" applyFont="1" applyFill="1" applyBorder="1" applyAlignment="1">
      <alignment horizontal="right"/>
    </xf>
    <xf numFmtId="43" fontId="55" fillId="7" borderId="20" xfId="11" applyFont="1" applyFill="1" applyBorder="1"/>
    <xf numFmtId="167" fontId="56" fillId="7" borderId="0" xfId="0" applyNumberFormat="1" applyFont="1" applyFill="1" applyBorder="1" applyAlignment="1">
      <alignment horizontal="right"/>
    </xf>
    <xf numFmtId="167" fontId="56" fillId="7" borderId="63" xfId="0" applyNumberFormat="1" applyFont="1" applyFill="1" applyBorder="1" applyAlignment="1">
      <alignment horizontal="right"/>
    </xf>
    <xf numFmtId="167" fontId="56" fillId="7" borderId="21" xfId="0" applyNumberFormat="1" applyFont="1" applyFill="1" applyBorder="1" applyAlignment="1">
      <alignment horizontal="right"/>
    </xf>
    <xf numFmtId="43" fontId="55" fillId="20" borderId="20" xfId="11" applyFont="1" applyFill="1" applyBorder="1" applyAlignment="1">
      <alignment horizontal="left" indent="1"/>
    </xf>
    <xf numFmtId="10" fontId="56" fillId="20" borderId="0" xfId="2" applyNumberFormat="1" applyFont="1" applyFill="1" applyBorder="1" applyAlignment="1">
      <alignment horizontal="right"/>
    </xf>
    <xf numFmtId="10" fontId="56" fillId="20" borderId="63" xfId="2" applyNumberFormat="1" applyFont="1" applyFill="1" applyBorder="1" applyAlignment="1">
      <alignment horizontal="right"/>
    </xf>
    <xf numFmtId="10" fontId="56" fillId="20" borderId="21" xfId="2" applyNumberFormat="1" applyFont="1" applyFill="1" applyBorder="1" applyAlignment="1">
      <alignment horizontal="right"/>
    </xf>
    <xf numFmtId="43" fontId="55" fillId="7" borderId="20" xfId="11" applyFont="1" applyFill="1" applyBorder="1" applyAlignment="1">
      <alignment horizontal="left" indent="1"/>
    </xf>
    <xf numFmtId="167" fontId="56" fillId="7" borderId="0" xfId="2" applyNumberFormat="1" applyFont="1" applyFill="1" applyBorder="1" applyAlignment="1">
      <alignment horizontal="right"/>
    </xf>
    <xf numFmtId="167" fontId="56" fillId="7" borderId="63" xfId="2" applyNumberFormat="1" applyFont="1" applyFill="1" applyBorder="1" applyAlignment="1">
      <alignment horizontal="right"/>
    </xf>
    <xf numFmtId="167" fontId="56" fillId="7" borderId="21" xfId="2" applyNumberFormat="1" applyFont="1" applyFill="1" applyBorder="1" applyAlignment="1">
      <alignment horizontal="right"/>
    </xf>
    <xf numFmtId="43" fontId="54" fillId="19" borderId="20" xfId="11" applyFont="1" applyFill="1" applyBorder="1"/>
    <xf numFmtId="0" fontId="54" fillId="19" borderId="0" xfId="0" applyFont="1" applyFill="1" applyBorder="1" applyAlignment="1">
      <alignment horizontal="right"/>
    </xf>
    <xf numFmtId="0" fontId="54" fillId="19" borderId="63" xfId="0" applyFont="1" applyFill="1" applyBorder="1" applyAlignment="1">
      <alignment horizontal="right"/>
    </xf>
    <xf numFmtId="0" fontId="54" fillId="19" borderId="21" xfId="0" applyFont="1" applyFill="1" applyBorder="1" applyAlignment="1">
      <alignment horizontal="right"/>
    </xf>
    <xf numFmtId="43" fontId="55" fillId="20" borderId="20" xfId="11" applyFont="1" applyFill="1" applyBorder="1"/>
    <xf numFmtId="3" fontId="56" fillId="20" borderId="0" xfId="0" applyNumberFormat="1" applyFont="1" applyFill="1" applyBorder="1" applyAlignment="1">
      <alignment horizontal="right"/>
    </xf>
    <xf numFmtId="3" fontId="56" fillId="20" borderId="63" xfId="0" applyNumberFormat="1" applyFont="1" applyFill="1" applyBorder="1" applyAlignment="1">
      <alignment horizontal="right"/>
    </xf>
    <xf numFmtId="3" fontId="56" fillId="20" borderId="21" xfId="0" applyNumberFormat="1" applyFont="1" applyFill="1" applyBorder="1" applyAlignment="1">
      <alignment horizontal="right"/>
    </xf>
    <xf numFmtId="3" fontId="56" fillId="7" borderId="0" xfId="0" applyNumberFormat="1" applyFont="1" applyFill="1" applyBorder="1" applyAlignment="1">
      <alignment horizontal="right"/>
    </xf>
    <xf numFmtId="3" fontId="56" fillId="7" borderId="63" xfId="0" applyNumberFormat="1" applyFont="1" applyFill="1" applyBorder="1" applyAlignment="1">
      <alignment horizontal="right"/>
    </xf>
    <xf numFmtId="3" fontId="56" fillId="7" borderId="21" xfId="0" applyNumberFormat="1" applyFont="1" applyFill="1" applyBorder="1" applyAlignment="1">
      <alignment horizontal="right"/>
    </xf>
    <xf numFmtId="3" fontId="54" fillId="19" borderId="0" xfId="0" applyNumberFormat="1" applyFont="1" applyFill="1" applyBorder="1" applyAlignment="1">
      <alignment horizontal="right"/>
    </xf>
    <xf numFmtId="3" fontId="54" fillId="19" borderId="63" xfId="0" applyNumberFormat="1" applyFont="1" applyFill="1" applyBorder="1" applyAlignment="1">
      <alignment horizontal="right"/>
    </xf>
    <xf numFmtId="3" fontId="54" fillId="19" borderId="21" xfId="0" applyNumberFormat="1" applyFont="1" applyFill="1" applyBorder="1" applyAlignment="1">
      <alignment horizontal="right"/>
    </xf>
    <xf numFmtId="180" fontId="56" fillId="20" borderId="0" xfId="0" applyNumberFormat="1" applyFont="1" applyFill="1" applyBorder="1" applyAlignment="1">
      <alignment horizontal="right"/>
    </xf>
    <xf numFmtId="180" fontId="56" fillId="20" borderId="63" xfId="0" applyNumberFormat="1" applyFont="1" applyFill="1" applyBorder="1" applyAlignment="1">
      <alignment horizontal="right"/>
    </xf>
    <xf numFmtId="180" fontId="56" fillId="20" borderId="21" xfId="0" applyNumberFormat="1" applyFont="1" applyFill="1" applyBorder="1" applyAlignment="1">
      <alignment horizontal="right"/>
    </xf>
    <xf numFmtId="180" fontId="56" fillId="7" borderId="0" xfId="0" applyNumberFormat="1" applyFont="1" applyFill="1" applyBorder="1" applyAlignment="1">
      <alignment horizontal="right"/>
    </xf>
    <xf numFmtId="180" fontId="56" fillId="7" borderId="63" xfId="0" applyNumberFormat="1" applyFont="1" applyFill="1" applyBorder="1" applyAlignment="1">
      <alignment horizontal="right"/>
    </xf>
    <xf numFmtId="180" fontId="56" fillId="7" borderId="21" xfId="0" applyNumberFormat="1" applyFont="1" applyFill="1" applyBorder="1" applyAlignment="1">
      <alignment horizontal="right"/>
    </xf>
    <xf numFmtId="43" fontId="55" fillId="7" borderId="24" xfId="11" applyFont="1" applyFill="1" applyBorder="1"/>
    <xf numFmtId="180" fontId="56" fillId="7" borderId="25" xfId="0" applyNumberFormat="1" applyFont="1" applyFill="1" applyBorder="1" applyAlignment="1">
      <alignment horizontal="right"/>
    </xf>
    <xf numFmtId="180" fontId="56" fillId="7" borderId="64" xfId="0" applyNumberFormat="1" applyFont="1" applyFill="1" applyBorder="1" applyAlignment="1">
      <alignment horizontal="right"/>
    </xf>
    <xf numFmtId="180" fontId="56" fillId="7" borderId="26" xfId="0" applyNumberFormat="1" applyFont="1" applyFill="1" applyBorder="1" applyAlignment="1">
      <alignment horizontal="right"/>
    </xf>
    <xf numFmtId="0" fontId="6" fillId="21" borderId="0" xfId="0" applyFont="1" applyFill="1" applyBorder="1"/>
    <xf numFmtId="0" fontId="6" fillId="21" borderId="0" xfId="0" applyFont="1" applyFill="1" applyBorder="1" applyAlignment="1">
      <alignment horizontal="right"/>
    </xf>
    <xf numFmtId="0" fontId="6" fillId="21" borderId="61" xfId="0" applyFont="1" applyFill="1" applyBorder="1" applyAlignment="1">
      <alignment horizontal="right"/>
    </xf>
    <xf numFmtId="167" fontId="7" fillId="0" borderId="63" xfId="0" applyNumberFormat="1" applyFont="1" applyBorder="1" applyAlignment="1">
      <alignment horizontal="right"/>
    </xf>
    <xf numFmtId="0" fontId="6" fillId="21" borderId="63" xfId="0" applyFont="1" applyFill="1" applyBorder="1" applyAlignment="1">
      <alignment horizontal="right"/>
    </xf>
    <xf numFmtId="180" fontId="7" fillId="0" borderId="0" xfId="0" applyNumberFormat="1" applyFont="1" applyBorder="1" applyAlignment="1">
      <alignment horizontal="right"/>
    </xf>
    <xf numFmtId="180" fontId="7" fillId="0" borderId="63" xfId="0" applyNumberFormat="1" applyFont="1" applyBorder="1" applyAlignment="1">
      <alignment horizontal="right"/>
    </xf>
    <xf numFmtId="43" fontId="7" fillId="0" borderId="0" xfId="0" applyNumberFormat="1" applyFont="1" applyBorder="1"/>
    <xf numFmtId="0" fontId="6" fillId="21" borderId="43" xfId="0" applyFont="1" applyFill="1" applyBorder="1"/>
    <xf numFmtId="0" fontId="6" fillId="21" borderId="14" xfId="0" applyFont="1" applyFill="1" applyBorder="1" applyAlignment="1">
      <alignment horizontal="right"/>
    </xf>
    <xf numFmtId="0" fontId="6" fillId="21" borderId="66" xfId="0" applyFont="1" applyFill="1" applyBorder="1" applyAlignment="1">
      <alignment horizontal="right"/>
    </xf>
    <xf numFmtId="0" fontId="6" fillId="21" borderId="15" xfId="0" applyFont="1" applyFill="1" applyBorder="1" applyAlignment="1">
      <alignment horizontal="right"/>
    </xf>
    <xf numFmtId="0" fontId="7" fillId="7" borderId="13" xfId="0" applyFont="1" applyFill="1" applyBorder="1"/>
    <xf numFmtId="0" fontId="7" fillId="7" borderId="0" xfId="0" applyFont="1" applyFill="1" applyBorder="1" applyAlignment="1">
      <alignment horizontal="right"/>
    </xf>
    <xf numFmtId="0" fontId="7" fillId="7" borderId="63" xfId="0" applyFont="1" applyFill="1" applyBorder="1" applyAlignment="1">
      <alignment horizontal="right"/>
    </xf>
    <xf numFmtId="0" fontId="7" fillId="7" borderId="0" xfId="0" applyFont="1" applyFill="1" applyBorder="1"/>
    <xf numFmtId="0" fontId="7" fillId="7" borderId="6" xfId="0" applyFont="1" applyFill="1" applyBorder="1"/>
    <xf numFmtId="166" fontId="7" fillId="7" borderId="0" xfId="2" applyNumberFormat="1" applyFont="1" applyFill="1" applyBorder="1"/>
    <xf numFmtId="166" fontId="7" fillId="7" borderId="6" xfId="2" applyNumberFormat="1" applyFont="1" applyFill="1" applyBorder="1"/>
    <xf numFmtId="0" fontId="7" fillId="9" borderId="13" xfId="0" applyFont="1" applyFill="1" applyBorder="1"/>
    <xf numFmtId="0" fontId="7" fillId="9" borderId="63" xfId="0" applyFont="1" applyFill="1" applyBorder="1" applyAlignment="1">
      <alignment horizontal="right"/>
    </xf>
    <xf numFmtId="0" fontId="7" fillId="9" borderId="0" xfId="0" applyFont="1" applyFill="1" applyBorder="1"/>
    <xf numFmtId="0" fontId="7" fillId="9" borderId="6" xfId="0" applyFont="1" applyFill="1" applyBorder="1"/>
    <xf numFmtId="3" fontId="7" fillId="9" borderId="63" xfId="0" applyNumberFormat="1" applyFont="1" applyFill="1" applyBorder="1" applyAlignment="1">
      <alignment horizontal="right"/>
    </xf>
    <xf numFmtId="3" fontId="7" fillId="9" borderId="0" xfId="0" applyNumberFormat="1" applyFont="1" applyFill="1" applyBorder="1" applyAlignment="1">
      <alignment horizontal="right"/>
    </xf>
    <xf numFmtId="3" fontId="7" fillId="9" borderId="6" xfId="0" applyNumberFormat="1" applyFont="1" applyFill="1" applyBorder="1" applyAlignment="1">
      <alignment horizontal="right"/>
    </xf>
    <xf numFmtId="0" fontId="57" fillId="9" borderId="13" xfId="0" applyFont="1" applyFill="1" applyBorder="1" applyAlignment="1">
      <alignment horizontal="left" vertical="center" wrapText="1" indent="1"/>
    </xf>
    <xf numFmtId="0" fontId="57" fillId="9" borderId="13" xfId="0" applyFont="1" applyFill="1" applyBorder="1" applyAlignment="1">
      <alignment horizontal="left" vertical="center" wrapText="1"/>
    </xf>
    <xf numFmtId="3" fontId="7" fillId="7" borderId="63" xfId="0" applyNumberFormat="1" applyFont="1" applyFill="1" applyBorder="1" applyAlignment="1">
      <alignment horizontal="right"/>
    </xf>
    <xf numFmtId="3" fontId="7" fillId="7" borderId="0" xfId="0" applyNumberFormat="1" applyFont="1" applyFill="1" applyBorder="1" applyAlignment="1">
      <alignment horizontal="right"/>
    </xf>
    <xf numFmtId="3" fontId="7" fillId="7" borderId="6" xfId="0" applyNumberFormat="1" applyFont="1" applyFill="1" applyBorder="1" applyAlignment="1">
      <alignment horizontal="right"/>
    </xf>
    <xf numFmtId="0" fontId="7" fillId="7" borderId="16" xfId="0" applyFont="1" applyFill="1" applyBorder="1"/>
    <xf numFmtId="0" fontId="7" fillId="7" borderId="2" xfId="0" applyFont="1" applyFill="1" applyBorder="1" applyAlignment="1">
      <alignment horizontal="right"/>
    </xf>
    <xf numFmtId="166" fontId="7" fillId="7" borderId="67" xfId="2" applyNumberFormat="1" applyFont="1" applyFill="1" applyBorder="1" applyAlignment="1">
      <alignment horizontal="right"/>
    </xf>
    <xf numFmtId="166" fontId="7" fillId="7" borderId="2" xfId="2" applyNumberFormat="1" applyFont="1" applyFill="1" applyBorder="1" applyAlignment="1">
      <alignment horizontal="right"/>
    </xf>
    <xf numFmtId="166" fontId="7" fillId="7" borderId="10" xfId="2" applyNumberFormat="1" applyFont="1" applyFill="1" applyBorder="1" applyAlignment="1">
      <alignment horizontal="right"/>
    </xf>
    <xf numFmtId="0" fontId="7" fillId="7" borderId="11" xfId="0" applyFont="1" applyFill="1" applyBorder="1"/>
    <xf numFmtId="0" fontId="7" fillId="7" borderId="3" xfId="0" applyFont="1" applyFill="1" applyBorder="1" applyAlignment="1">
      <alignment horizontal="right"/>
    </xf>
    <xf numFmtId="0" fontId="7" fillId="7" borderId="65" xfId="0" applyFont="1" applyFill="1" applyBorder="1" applyAlignment="1">
      <alignment horizontal="right"/>
    </xf>
    <xf numFmtId="0" fontId="7" fillId="7" borderId="7" xfId="0" applyFont="1" applyFill="1" applyBorder="1" applyAlignment="1">
      <alignment horizontal="right"/>
    </xf>
    <xf numFmtId="166" fontId="7" fillId="9" borderId="63" xfId="2" applyNumberFormat="1" applyFont="1" applyFill="1" applyBorder="1" applyAlignment="1">
      <alignment horizontal="right"/>
    </xf>
    <xf numFmtId="166" fontId="7" fillId="9" borderId="6" xfId="2" applyNumberFormat="1" applyFont="1" applyFill="1" applyBorder="1" applyAlignment="1">
      <alignment horizontal="right"/>
    </xf>
    <xf numFmtId="166" fontId="7" fillId="7" borderId="63" xfId="2" applyNumberFormat="1" applyFont="1" applyFill="1" applyBorder="1" applyAlignment="1">
      <alignment horizontal="right"/>
    </xf>
    <xf numFmtId="166" fontId="7" fillId="7" borderId="0" xfId="2" applyNumberFormat="1" applyFont="1" applyFill="1" applyBorder="1" applyAlignment="1">
      <alignment horizontal="right"/>
    </xf>
    <xf numFmtId="166" fontId="7" fillId="7" borderId="6" xfId="2" applyNumberFormat="1" applyFont="1" applyFill="1" applyBorder="1" applyAlignment="1">
      <alignment horizontal="right"/>
    </xf>
    <xf numFmtId="3" fontId="7" fillId="9" borderId="63" xfId="0" applyNumberFormat="1" applyFont="1" applyFill="1" applyBorder="1"/>
    <xf numFmtId="3" fontId="7" fillId="9" borderId="0" xfId="0" applyNumberFormat="1" applyFont="1" applyFill="1" applyBorder="1"/>
    <xf numFmtId="3" fontId="7" fillId="9" borderId="6" xfId="0" applyNumberFormat="1" applyFont="1" applyFill="1" applyBorder="1"/>
    <xf numFmtId="3" fontId="53" fillId="0" borderId="0" xfId="0" applyNumberFormat="1" applyFont="1"/>
    <xf numFmtId="168" fontId="53" fillId="12" borderId="0" xfId="1" applyNumberFormat="1" applyFont="1" applyFill="1" applyBorder="1"/>
    <xf numFmtId="168" fontId="53" fillId="12" borderId="0" xfId="1" applyNumberFormat="1" applyFont="1" applyFill="1"/>
    <xf numFmtId="168" fontId="53" fillId="14" borderId="25" xfId="1" applyNumberFormat="1" applyFont="1" applyFill="1" applyBorder="1"/>
    <xf numFmtId="0" fontId="53" fillId="8" borderId="17" xfId="0" applyFont="1" applyFill="1" applyBorder="1"/>
    <xf numFmtId="0" fontId="53" fillId="8" borderId="18" xfId="0" applyFont="1" applyFill="1" applyBorder="1"/>
    <xf numFmtId="0" fontId="53" fillId="8" borderId="18" xfId="2" applyNumberFormat="1" applyFont="1" applyFill="1" applyBorder="1"/>
    <xf numFmtId="0" fontId="53" fillId="8" borderId="19" xfId="0" applyFont="1" applyFill="1" applyBorder="1"/>
    <xf numFmtId="0" fontId="53" fillId="12" borderId="20" xfId="0" applyFont="1" applyFill="1" applyBorder="1"/>
    <xf numFmtId="0" fontId="53" fillId="14" borderId="24" xfId="0" applyFont="1" applyFill="1" applyBorder="1"/>
    <xf numFmtId="38" fontId="53" fillId="12" borderId="0" xfId="0" applyNumberFormat="1" applyFont="1" applyFill="1" applyBorder="1"/>
    <xf numFmtId="38" fontId="53" fillId="12" borderId="21" xfId="0" applyNumberFormat="1" applyFont="1" applyFill="1" applyBorder="1"/>
    <xf numFmtId="38" fontId="53" fillId="14" borderId="25" xfId="0" applyNumberFormat="1" applyFont="1" applyFill="1" applyBorder="1"/>
    <xf numFmtId="38" fontId="53" fillId="14" borderId="26" xfId="0" applyNumberFormat="1" applyFont="1" applyFill="1" applyBorder="1"/>
    <xf numFmtId="14" fontId="7" fillId="0" borderId="0" xfId="0" applyNumberFormat="1" applyFont="1" applyAlignment="1">
      <alignment horizontal="center"/>
    </xf>
    <xf numFmtId="168" fontId="7" fillId="0" borderId="0" xfId="0" applyNumberFormat="1" applyFont="1"/>
    <xf numFmtId="0" fontId="58" fillId="0" borderId="0" xfId="0" applyFont="1"/>
    <xf numFmtId="172" fontId="58" fillId="0" borderId="0" xfId="0" applyNumberFormat="1" applyFont="1"/>
    <xf numFmtId="9" fontId="58" fillId="0" borderId="0" xfId="2" applyFont="1"/>
    <xf numFmtId="166" fontId="58" fillId="0" borderId="0" xfId="2" applyNumberFormat="1" applyFont="1"/>
    <xf numFmtId="10" fontId="58" fillId="0" borderId="0" xfId="2" applyNumberFormat="1" applyFont="1"/>
    <xf numFmtId="0" fontId="58" fillId="0" borderId="0" xfId="0" applyFont="1" applyAlignment="1">
      <alignment vertical="center"/>
    </xf>
    <xf numFmtId="0" fontId="58" fillId="0" borderId="6" xfId="0" applyFont="1" applyBorder="1" applyAlignment="1">
      <alignment vertical="center"/>
    </xf>
    <xf numFmtId="0" fontId="58" fillId="0" borderId="0" xfId="0" applyFont="1" applyFill="1" applyAlignment="1">
      <alignment vertical="center"/>
    </xf>
    <xf numFmtId="0" fontId="53" fillId="0" borderId="0" xfId="0" applyFont="1" applyAlignment="1">
      <alignment vertical="center"/>
    </xf>
    <xf numFmtId="0" fontId="58" fillId="4" borderId="0" xfId="0" applyFont="1" applyFill="1" applyAlignment="1">
      <alignment horizontal="right" vertical="center"/>
    </xf>
    <xf numFmtId="0" fontId="58" fillId="4" borderId="6" xfId="0" applyFont="1" applyFill="1" applyBorder="1" applyAlignment="1">
      <alignment horizontal="right" vertical="center"/>
    </xf>
    <xf numFmtId="165" fontId="59" fillId="3" borderId="0" xfId="0" applyNumberFormat="1" applyFont="1" applyFill="1" applyBorder="1" applyAlignment="1">
      <alignment vertical="center"/>
    </xf>
    <xf numFmtId="0" fontId="58" fillId="0" borderId="0" xfId="0" applyFont="1" applyAlignment="1">
      <alignment horizontal="right" vertical="center"/>
    </xf>
    <xf numFmtId="0" fontId="60" fillId="0" borderId="1" xfId="0" applyFont="1" applyBorder="1" applyAlignment="1">
      <alignment vertical="center"/>
    </xf>
    <xf numFmtId="165" fontId="59" fillId="0" borderId="0" xfId="0" applyNumberFormat="1" applyFont="1" applyFill="1" applyBorder="1" applyAlignment="1">
      <alignment vertical="center"/>
    </xf>
    <xf numFmtId="0" fontId="61" fillId="0" borderId="0" xfId="0" applyFont="1" applyAlignment="1">
      <alignment vertical="center"/>
    </xf>
    <xf numFmtId="0" fontId="62" fillId="0" borderId="0" xfId="0" applyFont="1" applyBorder="1" applyAlignment="1">
      <alignment horizontal="left" vertical="center" wrapText="1"/>
    </xf>
    <xf numFmtId="3" fontId="58" fillId="0" borderId="0" xfId="0" applyNumberFormat="1" applyFont="1" applyAlignment="1">
      <alignment vertical="center"/>
    </xf>
    <xf numFmtId="3" fontId="58" fillId="0" borderId="6" xfId="0" applyNumberFormat="1" applyFont="1" applyBorder="1" applyAlignment="1">
      <alignment vertical="center"/>
    </xf>
    <xf numFmtId="3" fontId="58" fillId="0" borderId="0" xfId="0" applyNumberFormat="1" applyFont="1"/>
    <xf numFmtId="166" fontId="58" fillId="0" borderId="0" xfId="2" applyNumberFormat="1" applyFont="1" applyAlignment="1">
      <alignment vertical="center"/>
    </xf>
    <xf numFmtId="166" fontId="58" fillId="0" borderId="0" xfId="2" applyNumberFormat="1" applyFont="1" applyFill="1" applyAlignment="1">
      <alignment vertical="center"/>
    </xf>
    <xf numFmtId="166" fontId="58" fillId="0" borderId="2" xfId="2" applyNumberFormat="1" applyFont="1" applyBorder="1" applyAlignment="1">
      <alignment vertical="center"/>
    </xf>
    <xf numFmtId="166" fontId="58" fillId="0" borderId="0" xfId="2" applyNumberFormat="1" applyFont="1" applyFill="1" applyBorder="1" applyAlignment="1">
      <alignment vertical="center"/>
    </xf>
    <xf numFmtId="0" fontId="63" fillId="0" borderId="0" xfId="0" applyFont="1" applyAlignment="1">
      <alignment vertical="center"/>
    </xf>
    <xf numFmtId="0" fontId="58" fillId="0" borderId="3" xfId="0" applyFont="1" applyBorder="1" applyAlignment="1">
      <alignment vertical="center"/>
    </xf>
    <xf numFmtId="3" fontId="58" fillId="0" borderId="3" xfId="0" applyNumberFormat="1" applyFont="1" applyBorder="1" applyAlignment="1">
      <alignment vertical="center"/>
    </xf>
    <xf numFmtId="3" fontId="58" fillId="0" borderId="7" xfId="0" applyNumberFormat="1" applyFont="1" applyBorder="1" applyAlignment="1">
      <alignment vertical="center"/>
    </xf>
    <xf numFmtId="166" fontId="58" fillId="0" borderId="0" xfId="0" applyNumberFormat="1" applyFont="1" applyAlignment="1">
      <alignment vertical="center"/>
    </xf>
    <xf numFmtId="166" fontId="58" fillId="0" borderId="0" xfId="0" applyNumberFormat="1" applyFont="1" applyFill="1" applyAlignment="1">
      <alignment vertical="center"/>
    </xf>
    <xf numFmtId="0" fontId="58" fillId="0" borderId="0" xfId="0" quotePrefix="1" applyFont="1" applyAlignment="1">
      <alignment vertical="center"/>
    </xf>
    <xf numFmtId="0" fontId="8" fillId="0" borderId="0" xfId="0" applyFont="1" applyAlignment="1">
      <alignment horizontal="right" vertical="center"/>
    </xf>
    <xf numFmtId="0" fontId="8" fillId="0" borderId="0" xfId="0" applyFont="1" applyAlignment="1">
      <alignment vertical="center"/>
    </xf>
    <xf numFmtId="166" fontId="8" fillId="0" borderId="0" xfId="2" applyNumberFormat="1" applyFont="1" applyAlignment="1">
      <alignment vertical="center"/>
    </xf>
    <xf numFmtId="166" fontId="8" fillId="0" borderId="6" xfId="2" applyNumberFormat="1" applyFont="1" applyBorder="1" applyAlignment="1">
      <alignment vertical="center"/>
    </xf>
    <xf numFmtId="9" fontId="64" fillId="0" borderId="0" xfId="2" applyFont="1" applyAlignment="1">
      <alignment vertical="center"/>
    </xf>
    <xf numFmtId="9" fontId="64" fillId="0" borderId="6" xfId="2" applyFont="1" applyFill="1" applyBorder="1" applyAlignment="1">
      <alignment vertical="center"/>
    </xf>
    <xf numFmtId="166" fontId="58" fillId="0" borderId="0" xfId="2" applyNumberFormat="1" applyFont="1" applyFill="1"/>
    <xf numFmtId="9" fontId="58" fillId="0" borderId="0" xfId="2" applyFont="1" applyFill="1"/>
    <xf numFmtId="0" fontId="58" fillId="0" borderId="6" xfId="0" applyFont="1" applyFill="1" applyBorder="1" applyAlignment="1">
      <alignment vertical="center"/>
    </xf>
    <xf numFmtId="0" fontId="58" fillId="0" borderId="0" xfId="0" quotePrefix="1" applyFont="1" applyFill="1" applyAlignment="1">
      <alignment vertical="center"/>
    </xf>
    <xf numFmtId="166" fontId="58" fillId="0" borderId="0" xfId="0" applyNumberFormat="1" applyFont="1" applyBorder="1" applyAlignment="1">
      <alignment vertical="center"/>
    </xf>
    <xf numFmtId="166" fontId="58" fillId="0" borderId="6" xfId="0" applyNumberFormat="1" applyFont="1" applyBorder="1" applyAlignment="1">
      <alignment vertical="center"/>
    </xf>
    <xf numFmtId="0" fontId="58" fillId="0" borderId="0" xfId="0" applyFont="1" applyBorder="1" applyAlignment="1">
      <alignment vertical="center"/>
    </xf>
    <xf numFmtId="0" fontId="58" fillId="0" borderId="0" xfId="0" quotePrefix="1" applyFont="1"/>
    <xf numFmtId="0" fontId="58" fillId="0" borderId="6" xfId="0" applyFont="1" applyBorder="1"/>
    <xf numFmtId="0" fontId="58" fillId="0" borderId="0" xfId="0" applyFont="1" applyFill="1"/>
    <xf numFmtId="0" fontId="58" fillId="0" borderId="0" xfId="0" applyFont="1" applyAlignment="1">
      <alignment horizontal="left" indent="1"/>
    </xf>
    <xf numFmtId="3" fontId="58" fillId="0" borderId="6" xfId="0" applyNumberFormat="1" applyFont="1" applyBorder="1"/>
    <xf numFmtId="0" fontId="61" fillId="0" borderId="0" xfId="0" applyFont="1"/>
    <xf numFmtId="166" fontId="58" fillId="0" borderId="2" xfId="2" applyNumberFormat="1" applyFont="1" applyBorder="1"/>
    <xf numFmtId="166" fontId="58" fillId="0" borderId="6" xfId="2" applyNumberFormat="1" applyFont="1" applyBorder="1"/>
    <xf numFmtId="166" fontId="53" fillId="0" borderId="0" xfId="2" applyNumberFormat="1" applyFont="1"/>
    <xf numFmtId="9" fontId="58" fillId="0" borderId="6" xfId="2" applyFont="1" applyBorder="1"/>
    <xf numFmtId="0" fontId="8" fillId="0" borderId="0" xfId="0" applyFont="1" applyAlignment="1">
      <alignment horizontal="left" indent="1"/>
    </xf>
    <xf numFmtId="166" fontId="8" fillId="0" borderId="0" xfId="2" applyNumberFormat="1" applyFont="1"/>
    <xf numFmtId="166" fontId="8" fillId="0" borderId="6" xfId="2" applyNumberFormat="1" applyFont="1" applyBorder="1"/>
    <xf numFmtId="0" fontId="0" fillId="0" borderId="0" xfId="0" applyAlignment="1">
      <alignment vertical="center"/>
    </xf>
    <xf numFmtId="9" fontId="0" fillId="0" borderId="0" xfId="0" applyNumberFormat="1" applyAlignment="1">
      <alignment vertical="center"/>
    </xf>
    <xf numFmtId="0" fontId="0" fillId="0" borderId="0" xfId="0" applyAlignment="1">
      <alignment horizontal="right" vertical="center"/>
    </xf>
    <xf numFmtId="169" fontId="0" fillId="0" borderId="0" xfId="1" applyNumberFormat="1" applyFont="1" applyAlignment="1">
      <alignment vertical="center"/>
    </xf>
    <xf numFmtId="0" fontId="66" fillId="0" borderId="0" xfId="0" applyFont="1"/>
    <xf numFmtId="168" fontId="0" fillId="0" borderId="0" xfId="1" applyNumberFormat="1" applyFont="1"/>
    <xf numFmtId="172" fontId="53" fillId="0" borderId="0" xfId="0" applyNumberFormat="1" applyFont="1"/>
    <xf numFmtId="0" fontId="67" fillId="9" borderId="0" xfId="0" applyFont="1" applyFill="1" applyAlignment="1">
      <alignment horizontal="right"/>
    </xf>
    <xf numFmtId="166" fontId="68" fillId="0" borderId="0" xfId="0" applyNumberFormat="1" applyFont="1" applyAlignment="1">
      <alignment vertical="center"/>
    </xf>
    <xf numFmtId="166" fontId="68" fillId="0" borderId="0" xfId="2" applyNumberFormat="1" applyFont="1"/>
    <xf numFmtId="10" fontId="53" fillId="0" borderId="0" xfId="2" applyNumberFormat="1" applyFont="1"/>
    <xf numFmtId="0" fontId="53" fillId="0" borderId="0" xfId="0" applyFont="1" applyAlignment="1">
      <alignment horizontal="right"/>
    </xf>
    <xf numFmtId="9" fontId="53" fillId="0" borderId="0" xfId="0" applyNumberFormat="1" applyFont="1"/>
    <xf numFmtId="9" fontId="66" fillId="0" borderId="0" xfId="0" applyNumberFormat="1" applyFont="1"/>
    <xf numFmtId="0" fontId="69" fillId="0" borderId="0" xfId="0" applyFont="1" applyFill="1" applyBorder="1"/>
    <xf numFmtId="0" fontId="2" fillId="0" borderId="0" xfId="0" applyFont="1" applyFill="1" applyBorder="1" applyAlignment="1">
      <alignment horizontal="right"/>
    </xf>
    <xf numFmtId="0" fontId="2" fillId="0" borderId="0" xfId="0" applyFont="1"/>
    <xf numFmtId="2" fontId="0" fillId="0" borderId="0" xfId="0" applyNumberFormat="1"/>
    <xf numFmtId="172" fontId="21" fillId="0" borderId="0" xfId="0" applyNumberFormat="1" applyFont="1"/>
    <xf numFmtId="9" fontId="21" fillId="0" borderId="0" xfId="0" applyNumberFormat="1" applyFont="1"/>
    <xf numFmtId="9" fontId="0" fillId="0" borderId="0" xfId="0" applyNumberFormat="1"/>
    <xf numFmtId="0" fontId="2" fillId="0" borderId="3" xfId="0" applyFont="1" applyFill="1" applyBorder="1"/>
    <xf numFmtId="0" fontId="2" fillId="0" borderId="0" xfId="0" quotePrefix="1" applyFont="1"/>
    <xf numFmtId="0" fontId="7" fillId="3" borderId="0" xfId="0" applyFont="1" applyFill="1"/>
    <xf numFmtId="165" fontId="9" fillId="0" borderId="0" xfId="0" applyNumberFormat="1" applyFont="1" applyBorder="1"/>
    <xf numFmtId="167" fontId="7" fillId="0" borderId="2" xfId="0" applyNumberFormat="1" applyFont="1" applyBorder="1"/>
    <xf numFmtId="167" fontId="7" fillId="0" borderId="0" xfId="1" applyNumberFormat="1" applyFont="1" applyBorder="1"/>
    <xf numFmtId="167" fontId="7" fillId="0" borderId="2" xfId="1" applyNumberFormat="1" applyFont="1" applyBorder="1"/>
    <xf numFmtId="169" fontId="7" fillId="0" borderId="0" xfId="0" applyNumberFormat="1" applyFont="1" applyBorder="1"/>
    <xf numFmtId="0" fontId="70" fillId="0" borderId="0" xfId="0" applyFont="1" applyBorder="1"/>
    <xf numFmtId="0" fontId="9" fillId="0" borderId="0" xfId="0" applyFont="1" applyBorder="1"/>
    <xf numFmtId="169" fontId="7" fillId="0" borderId="3" xfId="0" applyNumberFormat="1" applyFont="1" applyBorder="1"/>
    <xf numFmtId="169" fontId="7" fillId="0" borderId="0" xfId="1" applyNumberFormat="1" applyFont="1" applyBorder="1"/>
    <xf numFmtId="169" fontId="7" fillId="0" borderId="0" xfId="0" applyNumberFormat="1" applyFont="1" applyFill="1"/>
    <xf numFmtId="3" fontId="7" fillId="0" borderId="3" xfId="0" applyNumberFormat="1" applyFont="1" applyBorder="1"/>
    <xf numFmtId="169" fontId="7" fillId="0" borderId="0" xfId="0" applyNumberFormat="1" applyFont="1"/>
    <xf numFmtId="38" fontId="7" fillId="0" borderId="0" xfId="0" applyNumberFormat="1" applyFont="1"/>
    <xf numFmtId="38" fontId="7" fillId="0" borderId="3" xfId="0" applyNumberFormat="1" applyFont="1" applyBorder="1"/>
    <xf numFmtId="38" fontId="7" fillId="0" borderId="0" xfId="1" applyNumberFormat="1" applyFont="1" applyBorder="1"/>
    <xf numFmtId="169" fontId="7" fillId="0" borderId="0" xfId="1" applyNumberFormat="1" applyFont="1" applyFill="1" applyBorder="1"/>
    <xf numFmtId="169" fontId="9" fillId="0" borderId="0" xfId="0" applyNumberFormat="1" applyFont="1" applyBorder="1"/>
    <xf numFmtId="169" fontId="9" fillId="0" borderId="3" xfId="0" applyNumberFormat="1" applyFont="1" applyBorder="1"/>
    <xf numFmtId="9" fontId="71" fillId="0" borderId="0" xfId="0" applyNumberFormat="1" applyFont="1"/>
    <xf numFmtId="0" fontId="10" fillId="0" borderId="13" xfId="0" applyFont="1" applyFill="1" applyBorder="1"/>
    <xf numFmtId="0" fontId="10" fillId="0" borderId="0" xfId="0" applyFont="1" applyFill="1" applyBorder="1" applyAlignment="1">
      <alignment horizontal="right"/>
    </xf>
    <xf numFmtId="0" fontId="53" fillId="0" borderId="0" xfId="0" applyFont="1" applyFill="1"/>
    <xf numFmtId="169" fontId="72" fillId="0" borderId="0" xfId="0" applyNumberFormat="1" applyFont="1" applyBorder="1"/>
    <xf numFmtId="166" fontId="73" fillId="0" borderId="0" xfId="2" applyNumberFormat="1" applyFont="1"/>
    <xf numFmtId="166" fontId="73" fillId="0" borderId="6" xfId="2" applyNumberFormat="1" applyFont="1" applyBorder="1"/>
    <xf numFmtId="3" fontId="74" fillId="0" borderId="0" xfId="3" applyFont="1"/>
    <xf numFmtId="3" fontId="42" fillId="0" borderId="0" xfId="10" applyFont="1"/>
    <xf numFmtId="3" fontId="42" fillId="0" borderId="0" xfId="10" applyFont="1" applyBorder="1"/>
    <xf numFmtId="3" fontId="74" fillId="0" borderId="0" xfId="3" applyFont="1" applyAlignment="1"/>
    <xf numFmtId="3" fontId="42" fillId="0" borderId="0" xfId="10" applyFont="1" applyBorder="1" applyAlignment="1">
      <alignment horizontal="right"/>
    </xf>
    <xf numFmtId="3" fontId="42" fillId="0" borderId="0" xfId="10" applyFont="1" applyBorder="1" applyAlignment="1">
      <alignment horizontal="right" wrapText="1"/>
    </xf>
    <xf numFmtId="49" fontId="75" fillId="0" borderId="0" xfId="4" applyNumberFormat="1" applyFont="1" applyAlignment="1">
      <alignment horizontal="left"/>
    </xf>
    <xf numFmtId="49" fontId="37" fillId="0" borderId="0" xfId="5" applyNumberFormat="1" applyFont="1" applyAlignment="1">
      <alignment horizontal="right"/>
    </xf>
    <xf numFmtId="49" fontId="75" fillId="0" borderId="0" xfId="4" applyNumberFormat="1" applyFont="1" applyBorder="1" applyAlignment="1">
      <alignment horizontal="right"/>
    </xf>
    <xf numFmtId="3" fontId="76" fillId="0" borderId="0" xfId="6" applyNumberFormat="1" applyFont="1" applyBorder="1" applyAlignment="1" applyProtection="1">
      <alignment horizontal="right"/>
    </xf>
    <xf numFmtId="0" fontId="75" fillId="0" borderId="0" xfId="4" applyNumberFormat="1" applyFont="1" applyAlignment="1"/>
    <xf numFmtId="3" fontId="75" fillId="0" borderId="0" xfId="10" applyFont="1" applyBorder="1" applyAlignment="1">
      <alignment horizontal="right"/>
    </xf>
    <xf numFmtId="3" fontId="75" fillId="0" borderId="0" xfId="10" applyFont="1" applyBorder="1" applyAlignment="1">
      <alignment horizontal="right" wrapText="1"/>
    </xf>
    <xf numFmtId="3" fontId="75" fillId="0" borderId="0" xfId="4" applyNumberFormat="1" applyFont="1" applyAlignment="1"/>
    <xf numFmtId="3" fontId="42" fillId="0" borderId="0" xfId="10" applyFont="1" applyBorder="1" applyAlignment="1"/>
    <xf numFmtId="0" fontId="42" fillId="0" borderId="0" xfId="10" applyNumberFormat="1" applyFont="1"/>
    <xf numFmtId="0" fontId="77" fillId="0" borderId="27" xfId="0" applyFont="1" applyFill="1" applyBorder="1"/>
    <xf numFmtId="0" fontId="37" fillId="0" borderId="27" xfId="0" applyFont="1" applyBorder="1"/>
    <xf numFmtId="0" fontId="77" fillId="0" borderId="28" xfId="0" applyFont="1" applyFill="1" applyBorder="1"/>
    <xf numFmtId="0" fontId="77" fillId="0" borderId="29" xfId="0" applyFont="1" applyFill="1" applyBorder="1"/>
    <xf numFmtId="0" fontId="37" fillId="0" borderId="29" xfId="0" applyFont="1" applyFill="1" applyBorder="1"/>
    <xf numFmtId="0" fontId="37" fillId="0" borderId="30" xfId="0" applyFont="1" applyFill="1" applyBorder="1"/>
    <xf numFmtId="0" fontId="77" fillId="0" borderId="28" xfId="0" applyFont="1" applyFill="1" applyBorder="1" applyAlignment="1">
      <alignment horizontal="right"/>
    </xf>
    <xf numFmtId="0" fontId="77" fillId="0" borderId="31" xfId="0" applyFont="1" applyFill="1" applyBorder="1" applyAlignment="1">
      <alignment horizontal="right"/>
    </xf>
    <xf numFmtId="0" fontId="77" fillId="0" borderId="32" xfId="0" applyFont="1" applyFill="1" applyBorder="1" applyAlignment="1">
      <alignment horizontal="right"/>
    </xf>
    <xf numFmtId="0" fontId="37" fillId="0" borderId="28" xfId="0" applyFont="1" applyFill="1" applyBorder="1"/>
    <xf numFmtId="0" fontId="37" fillId="0" borderId="28" xfId="0" applyFont="1" applyBorder="1"/>
    <xf numFmtId="3" fontId="37" fillId="0" borderId="28" xfId="0" applyNumberFormat="1" applyFont="1" applyBorder="1"/>
    <xf numFmtId="3" fontId="37" fillId="0" borderId="31" xfId="0" applyNumberFormat="1" applyFont="1" applyBorder="1"/>
    <xf numFmtId="3" fontId="37" fillId="0" borderId="32" xfId="0" applyNumberFormat="1" applyFont="1" applyBorder="1"/>
    <xf numFmtId="0" fontId="37" fillId="0" borderId="29" xfId="0" applyFont="1" applyBorder="1"/>
    <xf numFmtId="0" fontId="37" fillId="0" borderId="33" xfId="0" applyFont="1" applyFill="1" applyBorder="1"/>
    <xf numFmtId="0" fontId="37" fillId="0" borderId="34" xfId="0" applyFont="1" applyBorder="1"/>
    <xf numFmtId="3" fontId="37" fillId="0" borderId="34" xfId="0" applyNumberFormat="1" applyFont="1" applyBorder="1"/>
    <xf numFmtId="3" fontId="37" fillId="0" borderId="0" xfId="0" applyNumberFormat="1" applyFont="1"/>
    <xf numFmtId="3" fontId="37" fillId="0" borderId="35" xfId="0" applyNumberFormat="1" applyFont="1" applyBorder="1"/>
    <xf numFmtId="0" fontId="77" fillId="0" borderId="36" xfId="0" applyFont="1" applyBorder="1"/>
    <xf numFmtId="0" fontId="77" fillId="0" borderId="37" xfId="0" applyFont="1" applyBorder="1"/>
    <xf numFmtId="3" fontId="77" fillId="0" borderId="36" xfId="0" applyNumberFormat="1" applyFont="1" applyBorder="1"/>
    <xf numFmtId="3" fontId="77" fillId="0" borderId="4" xfId="0" applyNumberFormat="1" applyFont="1" applyBorder="1"/>
    <xf numFmtId="3" fontId="77" fillId="0" borderId="5" xfId="0" applyNumberFormat="1" applyFont="1" applyBorder="1"/>
    <xf numFmtId="0" fontId="37" fillId="0" borderId="0" xfId="0" applyFont="1"/>
    <xf numFmtId="3" fontId="42" fillId="0" borderId="0" xfId="10" applyNumberFormat="1" applyFont="1" applyBorder="1"/>
    <xf numFmtId="3" fontId="42" fillId="0" borderId="0" xfId="10" applyNumberFormat="1" applyFont="1" applyFill="1" applyBorder="1"/>
    <xf numFmtId="168" fontId="37" fillId="0" borderId="0" xfId="1" applyNumberFormat="1" applyFont="1"/>
    <xf numFmtId="0" fontId="58" fillId="0" borderId="2" xfId="0" applyFont="1" applyBorder="1" applyAlignment="1">
      <alignment vertical="center"/>
    </xf>
    <xf numFmtId="3" fontId="78" fillId="0" borderId="0" xfId="10" applyFont="1"/>
    <xf numFmtId="166" fontId="79" fillId="0" borderId="0" xfId="2" applyNumberFormat="1" applyFont="1"/>
    <xf numFmtId="10" fontId="37" fillId="0" borderId="0" xfId="2" applyNumberFormat="1" applyFont="1"/>
    <xf numFmtId="10" fontId="37" fillId="23" borderId="0" xfId="2" applyNumberFormat="1" applyFont="1" applyFill="1"/>
    <xf numFmtId="1" fontId="23" fillId="0" borderId="0" xfId="0" applyNumberFormat="1" applyFont="1" applyBorder="1" applyAlignment="1">
      <alignment horizontal="center"/>
    </xf>
    <xf numFmtId="166" fontId="53" fillId="0" borderId="0" xfId="2" applyNumberFormat="1" applyFont="1" applyFill="1"/>
    <xf numFmtId="0" fontId="7" fillId="7" borderId="13" xfId="0" applyFont="1" applyFill="1" applyBorder="1" applyAlignment="1">
      <alignment horizontal="left" indent="1"/>
    </xf>
    <xf numFmtId="10" fontId="10" fillId="0" borderId="63" xfId="2" applyNumberFormat="1" applyFont="1" applyFill="1" applyBorder="1" applyAlignment="1">
      <alignment horizontal="right"/>
    </xf>
    <xf numFmtId="10" fontId="10" fillId="0" borderId="6" xfId="2" applyNumberFormat="1" applyFont="1" applyFill="1" applyBorder="1" applyAlignment="1">
      <alignment horizontal="right"/>
    </xf>
    <xf numFmtId="0" fontId="7" fillId="0" borderId="2" xfId="0" applyFont="1" applyBorder="1" applyAlignment="1">
      <alignment horizontal="center"/>
    </xf>
    <xf numFmtId="0" fontId="7" fillId="22" borderId="2" xfId="0" applyFont="1" applyFill="1" applyBorder="1" applyAlignment="1">
      <alignment horizontal="center"/>
    </xf>
    <xf numFmtId="0" fontId="7" fillId="0" borderId="2" xfId="0" applyFont="1" applyBorder="1" applyAlignment="1">
      <alignment horizontal="center"/>
    </xf>
    <xf numFmtId="0" fontId="7" fillId="22" borderId="2" xfId="0" applyFont="1" applyFill="1" applyBorder="1" applyAlignment="1">
      <alignment horizontal="center"/>
    </xf>
    <xf numFmtId="0" fontId="80" fillId="24" borderId="0" xfId="12" applyNumberFormat="1" applyFont="1" applyFill="1" applyBorder="1" applyAlignment="1" applyProtection="1"/>
    <xf numFmtId="0" fontId="5" fillId="0" borderId="29" xfId="0" applyFont="1" applyFill="1" applyBorder="1"/>
    <xf numFmtId="0" fontId="5" fillId="0" borderId="28" xfId="0" applyFont="1" applyFill="1" applyBorder="1" applyAlignment="1">
      <alignment horizontal="right"/>
    </xf>
    <xf numFmtId="0" fontId="5" fillId="0" borderId="31" xfId="0" applyFont="1" applyFill="1" applyBorder="1" applyAlignment="1">
      <alignment horizontal="right"/>
    </xf>
    <xf numFmtId="0" fontId="5" fillId="0" borderId="32" xfId="0" applyFont="1" applyFill="1" applyBorder="1" applyAlignment="1">
      <alignment horizontal="right"/>
    </xf>
    <xf numFmtId="0" fontId="5" fillId="0" borderId="36" xfId="0" applyFont="1" applyBorder="1"/>
    <xf numFmtId="0" fontId="5" fillId="0" borderId="37" xfId="0" applyFont="1" applyBorder="1"/>
    <xf numFmtId="3" fontId="5" fillId="0" borderId="36" xfId="0" applyNumberFormat="1" applyFont="1" applyBorder="1"/>
    <xf numFmtId="3" fontId="5" fillId="0" borderId="4" xfId="0" applyNumberFormat="1" applyFont="1" applyBorder="1"/>
    <xf numFmtId="3" fontId="5" fillId="0" borderId="5" xfId="0" applyNumberFormat="1" applyFont="1" applyBorder="1"/>
    <xf numFmtId="0" fontId="5" fillId="0" borderId="27" xfId="0" pivotButton="1" applyFont="1" applyFill="1" applyBorder="1"/>
    <xf numFmtId="0" fontId="5" fillId="0" borderId="28" xfId="0" pivotButton="1" applyFont="1" applyFill="1" applyBorder="1"/>
    <xf numFmtId="0" fontId="5" fillId="0" borderId="29" xfId="0" applyFont="1" applyBorder="1"/>
    <xf numFmtId="0" fontId="5" fillId="0" borderId="28" xfId="0" applyFont="1" applyBorder="1" applyAlignment="1">
      <alignment horizontal="right"/>
    </xf>
    <xf numFmtId="0" fontId="5" fillId="0" borderId="31" xfId="0" applyFont="1" applyBorder="1" applyAlignment="1">
      <alignment horizontal="right"/>
    </xf>
    <xf numFmtId="0" fontId="5" fillId="0" borderId="32" xfId="0" applyFont="1" applyBorder="1" applyAlignment="1">
      <alignment horizontal="right"/>
    </xf>
    <xf numFmtId="0" fontId="5" fillId="0" borderId="27" xfId="0" pivotButton="1" applyFont="1" applyBorder="1"/>
    <xf numFmtId="0" fontId="5" fillId="0" borderId="28" xfId="0" pivotButton="1" applyFont="1" applyBorder="1"/>
    <xf numFmtId="3" fontId="43" fillId="0" borderId="0" xfId="3" applyFont="1" applyFill="1" applyAlignment="1">
      <alignment horizontal="left"/>
    </xf>
    <xf numFmtId="3" fontId="39" fillId="0" borderId="0" xfId="10" applyFont="1" applyFill="1" applyBorder="1" applyAlignment="1">
      <alignment horizontal="right"/>
    </xf>
    <xf numFmtId="3" fontId="39" fillId="0" borderId="0" xfId="10" applyFill="1"/>
    <xf numFmtId="3" fontId="39" fillId="0" borderId="0" xfId="10" applyFont="1" applyFill="1" applyBorder="1" applyAlignment="1">
      <alignment horizontal="left"/>
    </xf>
    <xf numFmtId="3" fontId="5" fillId="0" borderId="0" xfId="10" applyFont="1" applyFill="1" applyBorder="1" applyAlignment="1"/>
    <xf numFmtId="3" fontId="39" fillId="0" borderId="0" xfId="10" quotePrefix="1" applyFont="1" applyFill="1" applyBorder="1" applyAlignment="1">
      <alignment horizontal="right"/>
    </xf>
    <xf numFmtId="3" fontId="45" fillId="0" borderId="0" xfId="7" applyFont="1" applyFill="1"/>
    <xf numFmtId="0" fontId="5" fillId="0" borderId="0" xfId="4" applyNumberFormat="1" applyFont="1" applyFill="1" applyAlignment="1">
      <alignment wrapText="1"/>
    </xf>
    <xf numFmtId="0" fontId="44" fillId="0" borderId="0" xfId="6" applyFont="1" applyFill="1" applyBorder="1" applyAlignment="1" applyProtection="1"/>
    <xf numFmtId="0" fontId="0" fillId="0" borderId="0" xfId="0" applyFont="1" applyFill="1" applyBorder="1"/>
    <xf numFmtId="3" fontId="5" fillId="0" borderId="0" xfId="4" applyFont="1" applyFill="1"/>
    <xf numFmtId="0" fontId="0" fillId="0" borderId="0" xfId="0" applyFont="1" applyFill="1" applyAlignment="1"/>
    <xf numFmtId="0" fontId="40" fillId="0" borderId="0" xfId="6" applyFont="1" applyFill="1" applyBorder="1" applyAlignment="1" applyProtection="1"/>
    <xf numFmtId="0" fontId="39" fillId="0" borderId="68" xfId="0" applyFont="1" applyFill="1" applyBorder="1"/>
    <xf numFmtId="3" fontId="39" fillId="0" borderId="0" xfId="10" applyFont="1" applyFill="1"/>
    <xf numFmtId="0" fontId="39" fillId="0" borderId="0" xfId="0" applyFont="1" applyFill="1"/>
    <xf numFmtId="0" fontId="39" fillId="0" borderId="44" xfId="0" applyFont="1" applyFill="1" applyBorder="1"/>
    <xf numFmtId="0" fontId="39" fillId="0" borderId="45" xfId="0" applyFont="1" applyFill="1" applyBorder="1"/>
    <xf numFmtId="0" fontId="39" fillId="0" borderId="46" xfId="0" applyFont="1" applyFill="1" applyBorder="1"/>
    <xf numFmtId="0" fontId="39" fillId="0" borderId="44" xfId="0" applyFont="1" applyFill="1" applyBorder="1" applyAlignment="1">
      <alignment horizontal="right"/>
    </xf>
    <xf numFmtId="0" fontId="39" fillId="0" borderId="47" xfId="0" applyFont="1" applyFill="1" applyBorder="1" applyAlignment="1">
      <alignment horizontal="right"/>
    </xf>
    <xf numFmtId="0" fontId="39" fillId="0" borderId="48" xfId="0" applyFont="1" applyFill="1" applyBorder="1" applyAlignment="1">
      <alignment horizontal="right"/>
    </xf>
    <xf numFmtId="168" fontId="39" fillId="0" borderId="44" xfId="0" applyNumberFormat="1" applyFont="1" applyFill="1" applyBorder="1"/>
    <xf numFmtId="168" fontId="39" fillId="0" borderId="47" xfId="0" applyNumberFormat="1" applyFont="1" applyFill="1" applyBorder="1"/>
    <xf numFmtId="168" fontId="39" fillId="0" borderId="48" xfId="0" applyNumberFormat="1" applyFont="1" applyFill="1" applyBorder="1"/>
    <xf numFmtId="0" fontId="39" fillId="0" borderId="54" xfId="0" applyFont="1" applyFill="1" applyBorder="1"/>
    <xf numFmtId="0" fontId="39" fillId="0" borderId="49" xfId="0" applyFont="1" applyFill="1" applyBorder="1"/>
    <xf numFmtId="168" fontId="39" fillId="0" borderId="49" xfId="0" applyNumberFormat="1" applyFont="1" applyFill="1" applyBorder="1"/>
    <xf numFmtId="168" fontId="39" fillId="0" borderId="0" xfId="0" applyNumberFormat="1" applyFont="1" applyFill="1"/>
    <xf numFmtId="168" fontId="39" fillId="0" borderId="50" xfId="0" applyNumberFormat="1" applyFont="1" applyFill="1" applyBorder="1"/>
    <xf numFmtId="10" fontId="39" fillId="0" borderId="44" xfId="0" applyNumberFormat="1" applyFont="1" applyFill="1" applyBorder="1"/>
    <xf numFmtId="10" fontId="39" fillId="0" borderId="47" xfId="0" applyNumberFormat="1" applyFont="1" applyFill="1" applyBorder="1"/>
    <xf numFmtId="10" fontId="39" fillId="0" borderId="48" xfId="0" applyNumberFormat="1" applyFont="1" applyFill="1" applyBorder="1"/>
    <xf numFmtId="10" fontId="39" fillId="0" borderId="49" xfId="0" applyNumberFormat="1" applyFont="1" applyFill="1" applyBorder="1"/>
    <xf numFmtId="10" fontId="39" fillId="0" borderId="0" xfId="0" applyNumberFormat="1" applyFont="1" applyFill="1"/>
    <xf numFmtId="10" fontId="39" fillId="0" borderId="50" xfId="0" applyNumberFormat="1" applyFont="1" applyFill="1" applyBorder="1"/>
    <xf numFmtId="0" fontId="39" fillId="0" borderId="51" xfId="0" applyFont="1" applyFill="1" applyBorder="1"/>
    <xf numFmtId="0" fontId="39" fillId="0" borderId="55" xfId="0" applyFont="1" applyFill="1" applyBorder="1"/>
    <xf numFmtId="10" fontId="39" fillId="0" borderId="51" xfId="0" applyNumberFormat="1" applyFont="1" applyFill="1" applyBorder="1"/>
    <xf numFmtId="10" fontId="39" fillId="0" borderId="52" xfId="0" applyNumberFormat="1" applyFont="1" applyFill="1" applyBorder="1"/>
    <xf numFmtId="10" fontId="39" fillId="0" borderId="53" xfId="0" applyNumberFormat="1" applyFont="1" applyFill="1" applyBorder="1"/>
    <xf numFmtId="3" fontId="41" fillId="0" borderId="0" xfId="10" applyFont="1" applyFill="1"/>
    <xf numFmtId="0" fontId="42" fillId="0" borderId="0" xfId="0" applyFont="1" applyFill="1"/>
    <xf numFmtId="0" fontId="39" fillId="0" borderId="68" xfId="0" pivotButton="1" applyFont="1" applyFill="1" applyBorder="1"/>
    <xf numFmtId="0" fontId="39" fillId="0" borderId="44" xfId="0" pivotButton="1" applyFont="1" applyFill="1" applyBorder="1"/>
    <xf numFmtId="168" fontId="58" fillId="0" borderId="0" xfId="1" applyNumberFormat="1" applyFont="1" applyAlignment="1">
      <alignment vertical="center"/>
    </xf>
    <xf numFmtId="3" fontId="58" fillId="0" borderId="0" xfId="0" applyNumberFormat="1" applyFont="1" applyBorder="1" applyAlignment="1">
      <alignment vertical="center"/>
    </xf>
    <xf numFmtId="0" fontId="58" fillId="4" borderId="0" xfId="0" applyFont="1" applyFill="1" applyBorder="1" applyAlignment="1">
      <alignment horizontal="right" vertical="center"/>
    </xf>
    <xf numFmtId="166" fontId="8" fillId="0" borderId="0" xfId="2" applyNumberFormat="1" applyFont="1" applyBorder="1" applyAlignment="1">
      <alignment vertical="center"/>
    </xf>
    <xf numFmtId="9" fontId="64" fillId="0" borderId="0" xfId="2" applyFont="1" applyFill="1" applyBorder="1" applyAlignment="1">
      <alignment vertical="center"/>
    </xf>
    <xf numFmtId="0" fontId="58" fillId="0" borderId="0" xfId="0" applyFont="1" applyFill="1" applyBorder="1" applyAlignment="1">
      <alignment vertical="center"/>
    </xf>
    <xf numFmtId="0" fontId="58" fillId="0" borderId="0" xfId="0" applyFont="1" applyBorder="1"/>
    <xf numFmtId="3" fontId="58" fillId="0" borderId="0" xfId="0" applyNumberFormat="1" applyFont="1" applyBorder="1"/>
    <xf numFmtId="9" fontId="58" fillId="0" borderId="0" xfId="2" applyFont="1" applyBorder="1"/>
    <xf numFmtId="166" fontId="8" fillId="0" borderId="0" xfId="2" applyNumberFormat="1" applyFont="1" applyBorder="1"/>
    <xf numFmtId="167" fontId="7" fillId="0" borderId="3" xfId="0" applyNumberFormat="1" applyFont="1" applyFill="1" applyBorder="1" applyAlignment="1">
      <alignment horizontal="right"/>
    </xf>
    <xf numFmtId="0" fontId="7" fillId="25" borderId="0" xfId="0" applyFont="1" applyFill="1" applyBorder="1" applyAlignment="1">
      <alignment horizontal="right"/>
    </xf>
    <xf numFmtId="167" fontId="0" fillId="0" borderId="6" xfId="0" applyNumberFormat="1" applyBorder="1"/>
    <xf numFmtId="0" fontId="52" fillId="0" borderId="0" xfId="0" applyFont="1"/>
    <xf numFmtId="1" fontId="16" fillId="11" borderId="0" xfId="0" applyNumberFormat="1" applyFont="1" applyFill="1" applyBorder="1" applyAlignment="1">
      <alignment horizontal="right"/>
    </xf>
    <xf numFmtId="1" fontId="7" fillId="11" borderId="0" xfId="0" applyNumberFormat="1" applyFont="1" applyFill="1" applyBorder="1" applyAlignment="1">
      <alignment horizontal="right"/>
    </xf>
    <xf numFmtId="167" fontId="0" fillId="0" borderId="0" xfId="0" applyNumberFormat="1" applyBorder="1"/>
    <xf numFmtId="0" fontId="7" fillId="0" borderId="0" xfId="0" applyFont="1" applyFill="1" applyAlignment="1">
      <alignment horizontal="right"/>
    </xf>
    <xf numFmtId="172" fontId="53" fillId="0" borderId="0" xfId="0" applyNumberFormat="1" applyFont="1" applyFill="1"/>
    <xf numFmtId="0" fontId="0" fillId="0" borderId="2" xfId="0" applyFont="1" applyFill="1" applyBorder="1"/>
    <xf numFmtId="172" fontId="53" fillId="0" borderId="2" xfId="0" applyNumberFormat="1" applyFont="1" applyFill="1" applyBorder="1"/>
    <xf numFmtId="181" fontId="53" fillId="0" borderId="0" xfId="0" applyNumberFormat="1" applyFont="1" applyFill="1" applyAlignment="1">
      <alignment horizontal="center" vertical="center"/>
    </xf>
    <xf numFmtId="0" fontId="0" fillId="22" borderId="0" xfId="0" applyFill="1"/>
    <xf numFmtId="168" fontId="0" fillId="22" borderId="0" xfId="1" applyNumberFormat="1" applyFont="1" applyFill="1"/>
    <xf numFmtId="168" fontId="0" fillId="6" borderId="0" xfId="1" applyNumberFormat="1" applyFont="1" applyFill="1"/>
    <xf numFmtId="169" fontId="0" fillId="22" borderId="6" xfId="1" applyNumberFormat="1" applyFont="1" applyFill="1" applyBorder="1"/>
    <xf numFmtId="0" fontId="61" fillId="0" borderId="0" xfId="0" applyFont="1" applyFill="1"/>
    <xf numFmtId="0" fontId="61" fillId="0" borderId="0" xfId="0" applyFont="1" applyFill="1" applyAlignment="1">
      <alignment vertical="center"/>
    </xf>
    <xf numFmtId="0" fontId="81" fillId="21" borderId="0" xfId="0" applyFont="1" applyFill="1"/>
    <xf numFmtId="0" fontId="1" fillId="0" borderId="0" xfId="0" applyFont="1"/>
    <xf numFmtId="0" fontId="1" fillId="0" borderId="0" xfId="0" applyFont="1" applyBorder="1"/>
    <xf numFmtId="0" fontId="1" fillId="0" borderId="0" xfId="0" applyFont="1" applyBorder="1" applyAlignment="1">
      <alignment horizontal="right"/>
    </xf>
    <xf numFmtId="10" fontId="56" fillId="20" borderId="1" xfId="2" applyNumberFormat="1" applyFont="1" applyFill="1" applyBorder="1" applyAlignment="1">
      <alignment horizontal="right"/>
    </xf>
    <xf numFmtId="3" fontId="56" fillId="20" borderId="1" xfId="0" applyNumberFormat="1" applyFont="1" applyFill="1" applyBorder="1" applyAlignment="1">
      <alignment horizontal="right"/>
    </xf>
    <xf numFmtId="180" fontId="56" fillId="20" borderId="12" xfId="0" applyNumberFormat="1" applyFont="1" applyFill="1" applyBorder="1" applyAlignment="1">
      <alignment horizontal="right"/>
    </xf>
    <xf numFmtId="180" fontId="56" fillId="7" borderId="60" xfId="0" applyNumberFormat="1" applyFont="1" applyFill="1" applyBorder="1" applyAlignment="1">
      <alignment horizontal="right"/>
    </xf>
    <xf numFmtId="166" fontId="7" fillId="9" borderId="1" xfId="2" applyNumberFormat="1" applyFont="1" applyFill="1" applyBorder="1" applyAlignment="1">
      <alignment horizontal="right"/>
    </xf>
    <xf numFmtId="10" fontId="10" fillId="0" borderId="1" xfId="2" applyNumberFormat="1" applyFont="1" applyFill="1" applyBorder="1" applyAlignment="1">
      <alignment horizontal="right"/>
    </xf>
    <xf numFmtId="180" fontId="56" fillId="15" borderId="57" xfId="0" applyNumberFormat="1" applyFont="1" applyFill="1" applyBorder="1" applyAlignment="1">
      <alignment horizontal="right"/>
    </xf>
    <xf numFmtId="180" fontId="56" fillId="15" borderId="60" xfId="0" applyNumberFormat="1" applyFont="1" applyFill="1" applyBorder="1" applyAlignment="1">
      <alignment horizontal="right"/>
    </xf>
    <xf numFmtId="180" fontId="56" fillId="7" borderId="1" xfId="0" applyNumberFormat="1" applyFont="1" applyFill="1" applyBorder="1" applyAlignment="1">
      <alignment horizontal="right"/>
    </xf>
    <xf numFmtId="166" fontId="39" fillId="0" borderId="0" xfId="2" applyNumberFormat="1" applyFont="1" applyBorder="1" applyAlignment="1">
      <alignment horizontal="right"/>
    </xf>
    <xf numFmtId="3" fontId="7" fillId="7" borderId="63" xfId="0" applyNumberFormat="1" applyFont="1" applyFill="1" applyBorder="1" applyAlignment="1">
      <alignment horizontal="right" vertical="center"/>
    </xf>
    <xf numFmtId="0" fontId="22" fillId="2" borderId="0" xfId="0" applyFont="1" applyFill="1" applyAlignment="1">
      <alignment horizontal="center"/>
    </xf>
    <xf numFmtId="0" fontId="34" fillId="3" borderId="0" xfId="0" applyFont="1" applyFill="1" applyAlignment="1">
      <alignment horizontal="center"/>
    </xf>
    <xf numFmtId="0" fontId="26" fillId="4" borderId="0" xfId="0" applyFont="1" applyFill="1" applyAlignment="1">
      <alignment horizontal="center"/>
    </xf>
    <xf numFmtId="0" fontId="7" fillId="0" borderId="0" xfId="0" applyFont="1" applyAlignment="1">
      <alignment horizontal="center"/>
    </xf>
    <xf numFmtId="0" fontId="7" fillId="22" borderId="2" xfId="0" applyFont="1" applyFill="1" applyBorder="1" applyAlignment="1">
      <alignment horizontal="center"/>
    </xf>
    <xf numFmtId="0" fontId="9" fillId="0" borderId="0" xfId="0" applyFont="1" applyAlignment="1">
      <alignment horizontal="center"/>
    </xf>
    <xf numFmtId="0" fontId="9" fillId="22" borderId="0" xfId="0" applyFont="1" applyFill="1" applyAlignment="1">
      <alignment horizontal="center"/>
    </xf>
    <xf numFmtId="0" fontId="7" fillId="0" borderId="2" xfId="0" applyFont="1" applyBorder="1" applyAlignment="1">
      <alignment horizontal="center"/>
    </xf>
    <xf numFmtId="3" fontId="76" fillId="0" borderId="0" xfId="6" applyNumberFormat="1" applyFont="1" applyAlignment="1" applyProtection="1"/>
    <xf numFmtId="3" fontId="40" fillId="0" borderId="0" xfId="6" applyNumberFormat="1" applyAlignment="1" applyProtection="1"/>
    <xf numFmtId="3" fontId="40" fillId="18" borderId="0" xfId="6" applyNumberFormat="1" applyFill="1" applyAlignment="1" applyProtection="1"/>
    <xf numFmtId="3" fontId="44" fillId="18" borderId="0" xfId="6" applyNumberFormat="1" applyFont="1" applyFill="1" applyAlignment="1" applyProtection="1"/>
    <xf numFmtId="3" fontId="44" fillId="0" borderId="0" xfId="6" applyNumberFormat="1" applyFont="1" applyFill="1" applyAlignment="1" applyProtection="1"/>
    <xf numFmtId="3" fontId="40" fillId="0" borderId="0" xfId="6" applyNumberFormat="1" applyFill="1" applyAlignment="1" applyProtection="1"/>
    <xf numFmtId="0" fontId="44" fillId="0" borderId="0" xfId="6" applyFont="1" applyFill="1" applyAlignment="1" applyProtection="1"/>
  </cellXfs>
  <cellStyles count="13">
    <cellStyle name="blp_column_header" xfId="12"/>
    <cellStyle name="Comma 2" xfId="11"/>
    <cellStyle name="Normal 2" xfId="10"/>
    <cellStyle name="Percent 2" xfId="9"/>
    <cellStyle name="Ref Numbers" xfId="5"/>
    <cellStyle name="Source Line" xfId="7"/>
    <cellStyle name="Table Heading" xfId="4"/>
    <cellStyle name="Title Line" xfId="3"/>
    <cellStyle name="Top Row" xfId="8"/>
    <cellStyle name="一般" xfId="0" builtinId="0"/>
    <cellStyle name="千分位" xfId="1" builtinId="3"/>
    <cellStyle name="百分比" xfId="2" builtinId="5"/>
    <cellStyle name="超連結" xfId="6" builtinId="8"/>
  </cellStyles>
  <dxfs count="145">
    <dxf>
      <alignment horizontal="right" readingOrder="0"/>
    </dxf>
    <dxf>
      <font>
        <sz val="9"/>
      </font>
    </dxf>
    <dxf>
      <font>
        <sz val="9"/>
      </font>
    </dxf>
    <dxf>
      <font>
        <sz val="9"/>
      </font>
    </dxf>
    <dxf>
      <font>
        <sz val="9"/>
      </font>
    </dxf>
    <dxf>
      <font>
        <sz val="9"/>
      </font>
    </dxf>
    <dxf>
      <font>
        <sz val="9"/>
      </font>
    </dxf>
    <dxf>
      <font>
        <b/>
      </font>
    </dxf>
    <dxf>
      <numFmt numFmtId="170" formatCode="_(* #,##0.0_);_(* \(#,##0.0\);_(* &quot;-&quot;??_);_(@_)"/>
    </dxf>
    <dxf>
      <font>
        <b/>
      </font>
    </dxf>
    <dxf>
      <font>
        <b/>
      </font>
    </dxf>
    <dxf>
      <font>
        <b/>
      </font>
    </dxf>
    <dxf>
      <font>
        <b/>
      </font>
    </dxf>
    <dxf>
      <numFmt numFmtId="178" formatCode="#,##0.0_);\(#,##0.0\)"/>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font>
        <b/>
      </font>
    </dxf>
    <dxf>
      <font>
        <b/>
      </font>
    </dxf>
    <dxf>
      <font>
        <b/>
      </font>
    </dxf>
    <dxf>
      <numFmt numFmtId="170" formatCode="_(* #,##0.0_);_(* \(#,##0.0\);_(* &quot;-&quot;??_);_(@_)"/>
    </dxf>
    <dxf>
      <font>
        <b/>
      </font>
    </dxf>
    <dxf>
      <font>
        <b/>
      </font>
    </dxf>
    <dxf>
      <font>
        <b/>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alignment horizontal="right" readingOrder="0"/>
    </dxf>
    <dxf>
      <font>
        <sz val="9"/>
      </font>
    </dxf>
    <dxf>
      <font>
        <b/>
      </font>
    </dxf>
    <dxf>
      <numFmt numFmtId="14" formatCode="0.00%"/>
    </dxf>
    <dxf>
      <numFmt numFmtId="14" formatCode="0.00%"/>
    </dxf>
    <dxf>
      <numFmt numFmtId="168" formatCode="_(* #,##0_);_(* \(#,##0\);_(* &quot;-&quot;??_);_(@_)"/>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9"/>
      </font>
    </dxf>
    <dxf>
      <alignment horizontal="right" readingOrder="0"/>
    </dxf>
    <dxf>
      <font>
        <b/>
      </font>
    </dxf>
    <dxf>
      <numFmt numFmtId="14" formatCode="0.00%"/>
    </dxf>
    <dxf>
      <numFmt numFmtId="14" formatCode="0.00%"/>
    </dxf>
    <dxf>
      <numFmt numFmtId="168" formatCode="_(* #,##0_);_(* \(#,##0\);_(* &quot;-&quot;??_);_(@_)"/>
    </dxf>
    <dxf>
      <font>
        <sz val="10"/>
        <family val="2"/>
      </font>
    </dxf>
    <dxf>
      <font>
        <sz val="10"/>
        <family val="2"/>
      </font>
    </dxf>
    <dxf>
      <font>
        <sz val="10"/>
        <family val="2"/>
      </font>
    </dxf>
    <dxf>
      <font>
        <sz val="10"/>
        <family val="2"/>
      </font>
    </dxf>
    <dxf>
      <font>
        <sz val="10"/>
        <family val="2"/>
      </font>
    </dxf>
    <dxf>
      <font>
        <sz val="10"/>
        <family val="2"/>
      </font>
    </dxf>
    <dxf>
      <font>
        <sz val="10"/>
        <family val="2"/>
      </font>
    </dxf>
    <dxf>
      <font>
        <sz val="10"/>
        <family val="2"/>
      </font>
    </dxf>
    <dxf>
      <font>
        <sz val="10"/>
        <family val="2"/>
      </font>
    </dxf>
    <dxf>
      <font>
        <sz val="10"/>
        <family val="2"/>
      </font>
    </dxf>
    <dxf>
      <font>
        <sz val="10"/>
        <family val="2"/>
      </font>
    </dxf>
    <dxf>
      <font>
        <sz val="10"/>
        <family val="2"/>
      </font>
    </dxf>
    <dxf>
      <font>
        <sz val="10"/>
        <family val="2"/>
      </font>
    </dxf>
    <dxf>
      <font>
        <sz val="10"/>
        <family val="2"/>
      </font>
    </dxf>
    <dxf>
      <font>
        <sz val="9"/>
        <family val="2"/>
      </font>
    </dxf>
    <dxf>
      <font>
        <sz val="9"/>
        <family val="2"/>
      </font>
    </dxf>
    <dxf>
      <font>
        <sz val="9"/>
        <family val="2"/>
      </font>
    </dxf>
    <dxf>
      <font>
        <sz val="9"/>
        <family val="2"/>
      </font>
    </dxf>
    <dxf>
      <font>
        <sz val="9"/>
        <family val="2"/>
      </font>
    </dxf>
    <dxf>
      <font>
        <sz val="9"/>
        <family val="2"/>
      </font>
    </dxf>
    <dxf>
      <font>
        <sz val="9"/>
        <family val="2"/>
      </font>
    </dxf>
    <dxf>
      <font>
        <sz val="9"/>
        <family val="2"/>
      </font>
    </dxf>
    <dxf>
      <font>
        <sz val="9"/>
        <family val="2"/>
      </font>
    </dxf>
    <dxf>
      <font>
        <sz val="9"/>
        <family val="2"/>
      </font>
    </dxf>
    <dxf>
      <font>
        <sz val="9"/>
        <family val="2"/>
      </font>
    </dxf>
    <dxf>
      <font>
        <sz val="9"/>
        <family val="2"/>
      </font>
    </dxf>
    <dxf>
      <font>
        <sz val="9"/>
        <family val="2"/>
      </font>
    </dxf>
    <dxf>
      <font>
        <sz val="9"/>
        <family val="2"/>
      </font>
    </dxf>
    <dxf>
      <font>
        <sz val="8"/>
        <family val="2"/>
      </font>
    </dxf>
    <dxf>
      <font>
        <sz val="8"/>
        <family val="2"/>
      </font>
    </dxf>
    <dxf>
      <font>
        <sz val="8"/>
        <family val="2"/>
      </font>
    </dxf>
    <dxf>
      <font>
        <sz val="8"/>
        <family val="2"/>
      </font>
    </dxf>
    <dxf>
      <font>
        <sz val="8"/>
        <family val="2"/>
      </font>
    </dxf>
    <dxf>
      <font>
        <sz val="8"/>
        <family val="2"/>
      </font>
    </dxf>
    <dxf>
      <font>
        <sz val="8"/>
        <family val="2"/>
      </font>
    </dxf>
    <dxf>
      <font>
        <sz val="8"/>
        <family val="2"/>
      </font>
    </dxf>
    <dxf>
      <font>
        <sz val="8"/>
        <family val="2"/>
      </font>
    </dxf>
    <dxf>
      <font>
        <sz val="8"/>
        <family val="2"/>
      </font>
    </dxf>
    <dxf>
      <font>
        <sz val="8"/>
        <family val="2"/>
      </font>
    </dxf>
    <dxf>
      <font>
        <sz val="8"/>
        <family val="2"/>
      </font>
    </dxf>
    <dxf>
      <font>
        <sz val="8"/>
        <family val="2"/>
      </font>
    </dxf>
    <dxf>
      <font>
        <sz val="8"/>
        <family val="2"/>
      </font>
    </dxf>
    <dxf>
      <font>
        <name val="Arial"/>
        <family val="2"/>
        <scheme val="none"/>
      </font>
    </dxf>
    <dxf>
      <font>
        <name val="Arial"/>
        <family val="2"/>
        <scheme val="none"/>
      </font>
    </dxf>
    <dxf>
      <font>
        <name val="Arial"/>
        <family val="2"/>
        <scheme val="none"/>
      </font>
    </dxf>
    <dxf>
      <font>
        <name val="Arial"/>
        <family val="2"/>
        <scheme val="none"/>
      </font>
    </dxf>
    <dxf>
      <font>
        <name val="Arial"/>
        <family val="2"/>
        <scheme val="none"/>
      </font>
    </dxf>
    <dxf>
      <font>
        <name val="Arial"/>
        <family val="2"/>
        <scheme val="none"/>
      </font>
    </dxf>
    <dxf>
      <font>
        <name val="Arial"/>
        <family val="2"/>
        <scheme val="none"/>
      </font>
    </dxf>
    <dxf>
      <font>
        <name val="Arial"/>
        <family val="2"/>
        <scheme val="none"/>
      </font>
    </dxf>
    <dxf>
      <font>
        <name val="Arial"/>
        <family val="2"/>
        <scheme val="none"/>
      </font>
    </dxf>
    <dxf>
      <font>
        <name val="Arial"/>
        <family val="2"/>
        <scheme val="none"/>
      </font>
    </dxf>
    <dxf>
      <font>
        <name val="Arial"/>
        <family val="2"/>
        <scheme val="none"/>
      </font>
    </dxf>
    <dxf>
      <font>
        <name val="Arial"/>
        <family val="2"/>
        <scheme val="none"/>
      </font>
    </dxf>
    <dxf>
      <font>
        <name val="Arial"/>
        <family val="2"/>
        <scheme val="none"/>
      </font>
    </dxf>
    <dxf>
      <font>
        <name val="Arial"/>
        <family val="2"/>
        <scheme val="none"/>
      </font>
    </dxf>
    <dxf>
      <font>
        <b/>
      </font>
    </dxf>
    <dxf>
      <font>
        <b/>
      </font>
    </dxf>
    <dxf>
      <font>
        <b/>
      </font>
    </dxf>
    <dxf>
      <font>
        <b/>
      </font>
    </dxf>
    <dxf>
      <font>
        <b/>
      </font>
    </dxf>
    <dxf>
      <font>
        <b/>
      </font>
    </dxf>
    <dxf>
      <font>
        <b/>
      </font>
    </dxf>
    <dxf>
      <font>
        <b/>
      </font>
    </dxf>
    <dxf>
      <font>
        <b/>
      </font>
    </dxf>
    <dxf>
      <font>
        <b/>
      </font>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alignment horizontal="right" readingOrder="0"/>
    </dxf>
  </dxfs>
  <tableStyles count="0" defaultTableStyle="TableStyleMedium2" defaultPivotStyle="PivotStyleLight16"/>
  <colors>
    <mruColors>
      <color rgb="FF009644"/>
      <color rgb="FF00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externalLink" Target="externalLinks/externalLink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2.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'Other Houses'!$BN$5</c:f>
              <c:strCache>
                <c:ptCount val="1"/>
              </c:strCache>
            </c:strRef>
          </c:tx>
          <c:spPr>
            <a:solidFill>
              <a:schemeClr val="accent1"/>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5-DF93-4B4C-BE43-B50E0D561437}"/>
              </c:ext>
            </c:extLst>
          </c:dPt>
          <c:dPt>
            <c:idx val="6"/>
            <c:invertIfNegative val="0"/>
            <c:bubble3D val="0"/>
            <c:spPr>
              <a:solidFill>
                <a:srgbClr val="C00000"/>
              </a:solidFill>
              <a:ln>
                <a:noFill/>
              </a:ln>
              <a:effectLst/>
            </c:spPr>
            <c:extLst>
              <c:ext xmlns:c16="http://schemas.microsoft.com/office/drawing/2014/chart" uri="{C3380CC4-5D6E-409C-BE32-E72D297353CC}">
                <c16:uniqueId val="{00000009-DF93-4B4C-BE43-B50E0D561437}"/>
              </c:ext>
            </c:extLst>
          </c:dPt>
          <c:dPt>
            <c:idx val="12"/>
            <c:invertIfNegative val="0"/>
            <c:bubble3D val="0"/>
            <c:spPr>
              <a:solidFill>
                <a:srgbClr val="C00000"/>
              </a:solidFill>
              <a:ln>
                <a:noFill/>
              </a:ln>
              <a:effectLst/>
            </c:spPr>
            <c:extLst>
              <c:ext xmlns:c16="http://schemas.microsoft.com/office/drawing/2014/chart" uri="{C3380CC4-5D6E-409C-BE32-E72D297353CC}">
                <c16:uniqueId val="{0000000D-DF93-4B4C-BE43-B50E0D56143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'Other Houses'!$BO$5:$CF$5</c:f>
              <c:numCache>
                <c:formatCode>General</c:formatCode>
                <c:ptCount val="18"/>
              </c:numCache>
            </c:numRef>
          </c:val>
          <c:extLst>
            <c:ext xmlns:c15="http://schemas.microsoft.com/office/drawing/2012/chart" uri="{02D57815-91ED-43cb-92C2-25804820EDAC}">
              <c15:filteredCategoryTitle>
                <c15:cat>
                  <c:multiLvlStrRef>
                    <c:extLst>
                      <c:ext uri="{02D57815-91ED-43cb-92C2-25804820EDAC}">
                        <c15:formulaRef>
                          <c15:sqref>'Other Houses'!$BO$3:$CF$4</c15:sqref>
                        </c15:formulaRef>
                      </c:ext>
                    </c:extLst>
                  </c:multiLvlStrRef>
                </c15:cat>
              </c15:filteredCategoryTitle>
            </c:ext>
            <c:ext xmlns:c16="http://schemas.microsoft.com/office/drawing/2014/chart" uri="{C3380CC4-5D6E-409C-BE32-E72D297353CC}">
              <c16:uniqueId val="{00000000-DF93-4B4C-BE43-B50E0D561437}"/>
            </c:ext>
          </c:extLst>
        </c:ser>
        <c:dLbls>
          <c:dLblPos val="outEnd"/>
          <c:showLegendKey val="0"/>
          <c:showVal val="1"/>
          <c:showCatName val="0"/>
          <c:showSerName val="0"/>
          <c:showPercent val="0"/>
          <c:showBubbleSize val="0"/>
        </c:dLbls>
        <c:gapWidth val="182"/>
        <c:axId val="1799644927"/>
        <c:axId val="2019254623"/>
      </c:barChart>
      <c:catAx>
        <c:axId val="1799644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254623"/>
        <c:crosses val="autoZero"/>
        <c:auto val="1"/>
        <c:lblAlgn val="ctr"/>
        <c:lblOffset val="100"/>
        <c:noMultiLvlLbl val="0"/>
      </c:catAx>
      <c:valAx>
        <c:axId val="2019254623"/>
        <c:scaling>
          <c:orientation val="minMax"/>
        </c:scaling>
        <c:delete val="0"/>
        <c:axPos val="b"/>
        <c:majorGridlines>
          <c:spPr>
            <a:ln w="9525" cap="flat" cmpd="sng" algn="ctr">
              <a:no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964492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4"/>
          <c:order val="4"/>
          <c:tx>
            <c:strRef>
              <c:f>'Other Houses'!$BN$9</c:f>
              <c:strCache>
                <c:ptCount val="1"/>
              </c:strCache>
            </c:strRef>
          </c:tx>
          <c:spPr>
            <a:solidFill>
              <a:schemeClr val="accent5"/>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F-1588-41E8-B3C2-045A17908E77}"/>
              </c:ext>
            </c:extLst>
          </c:dPt>
          <c:dPt>
            <c:idx val="6"/>
            <c:invertIfNegative val="0"/>
            <c:bubble3D val="0"/>
            <c:spPr>
              <a:solidFill>
                <a:srgbClr val="C00000"/>
              </a:solidFill>
              <a:ln>
                <a:noFill/>
              </a:ln>
              <a:effectLst/>
            </c:spPr>
            <c:extLst>
              <c:ext xmlns:c16="http://schemas.microsoft.com/office/drawing/2014/chart" uri="{C3380CC4-5D6E-409C-BE32-E72D297353CC}">
                <c16:uniqueId val="{0000000B-1588-41E8-B3C2-045A17908E77}"/>
              </c:ext>
            </c:extLst>
          </c:dPt>
          <c:dPt>
            <c:idx val="12"/>
            <c:invertIfNegative val="0"/>
            <c:bubble3D val="0"/>
            <c:spPr>
              <a:solidFill>
                <a:srgbClr val="C00000"/>
              </a:solidFill>
              <a:ln>
                <a:noFill/>
              </a:ln>
              <a:effectLst/>
            </c:spPr>
            <c:extLst>
              <c:ext xmlns:c16="http://schemas.microsoft.com/office/drawing/2014/chart" uri="{C3380CC4-5D6E-409C-BE32-E72D297353CC}">
                <c16:uniqueId val="{00000008-1588-41E8-B3C2-045A17908E7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'Other Houses'!$BO$9:$CF$9</c:f>
              <c:numCache>
                <c:formatCode>General</c:formatCode>
                <c:ptCount val="18"/>
              </c:numCache>
            </c:numRef>
          </c:val>
          <c:extLst>
            <c:ext xmlns:c15="http://schemas.microsoft.com/office/drawing/2012/chart" uri="{02D57815-91ED-43cb-92C2-25804820EDAC}">
              <c15:filteredCategoryTitle>
                <c15:cat>
                  <c:multiLvlStrRef>
                    <c:extLst>
                      <c:ext uri="{02D57815-91ED-43cb-92C2-25804820EDAC}">
                        <c15:formulaRef>
                          <c15:sqref>'Other Houses'!$BO$3:$CF$4</c15:sqref>
                        </c15:formulaRef>
                      </c:ext>
                    </c:extLst>
                  </c:multiLvlStrRef>
                </c15:cat>
              </c15:filteredCategoryTitle>
            </c:ext>
            <c:ext xmlns:c16="http://schemas.microsoft.com/office/drawing/2014/chart" uri="{C3380CC4-5D6E-409C-BE32-E72D297353CC}">
              <c16:uniqueId val="{00000004-1588-41E8-B3C2-045A17908E77}"/>
            </c:ext>
          </c:extLst>
        </c:ser>
        <c:dLbls>
          <c:dLblPos val="outEnd"/>
          <c:showLegendKey val="0"/>
          <c:showVal val="1"/>
          <c:showCatName val="0"/>
          <c:showSerName val="0"/>
          <c:showPercent val="0"/>
          <c:showBubbleSize val="0"/>
        </c:dLbls>
        <c:gapWidth val="182"/>
        <c:axId val="85206927"/>
        <c:axId val="2013676031"/>
        <c:extLst>
          <c:ext xmlns:c15="http://schemas.microsoft.com/office/drawing/2012/chart" uri="{02D57815-91ED-43cb-92C2-25804820EDAC}">
            <c15:filteredBarSeries>
              <c15:ser>
                <c:idx val="0"/>
                <c:order val="0"/>
                <c:tx>
                  <c:strRef>
                    <c:extLst>
                      <c:ext uri="{02D57815-91ED-43cb-92C2-25804820EDAC}">
                        <c15:formulaRef>
                          <c15:sqref>'Other Houses'!$BN$5</c15:sqref>
                        </c15:formulaRef>
                      </c:ext>
                    </c:extLst>
                    <c:strCache>
                      <c:ptCount val="1"/>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val>
                  <c:numRef>
                    <c:extLst>
                      <c:ext uri="{02D57815-91ED-43cb-92C2-25804820EDAC}">
                        <c15:formulaRef>
                          <c15:sqref>'Other Houses'!$BO$5:$CF$5</c15:sqref>
                        </c15:formulaRef>
                      </c:ext>
                    </c:extLst>
                    <c:numCache>
                      <c:formatCode>General</c:formatCode>
                      <c:ptCount val="18"/>
                    </c:numCache>
                  </c:numRef>
                </c:val>
                <c:extLst>
                  <c:ext uri="{02D57815-91ED-43cb-92C2-25804820EDAC}">
                    <c15:filteredCategoryTitle>
                      <c15:cat>
                        <c:multiLvlStrRef>
                          <c:extLst>
                            <c:ext uri="{02D57815-91ED-43cb-92C2-25804820EDAC}">
                              <c15:formulaRef>
                                <c15:sqref>'Other Houses'!$BO$3:$CF$4</c15:sqref>
                              </c15:formulaRef>
                            </c:ext>
                          </c:extLst>
                        </c:multiLvlStrRef>
                      </c15:cat>
                    </c15:filteredCategoryTitle>
                  </c:ext>
                  <c:ext xmlns:c16="http://schemas.microsoft.com/office/drawing/2014/chart" uri="{C3380CC4-5D6E-409C-BE32-E72D297353CC}">
                    <c16:uniqueId val="{00000000-1588-41E8-B3C2-045A17908E77}"/>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'Other Houses'!$BN$6</c15:sqref>
                        </c15:formulaRef>
                      </c:ext>
                    </c:extLst>
                    <c:strCache>
                      <c:ptCount val="1"/>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extLst xmlns:c15="http://schemas.microsoft.com/office/drawing/2012/chart">
                      <c:ext xmlns:c15="http://schemas.microsoft.com/office/drawing/2012/chart" uri="{02D57815-91ED-43cb-92C2-25804820EDAC}">
                        <c15:formulaRef>
                          <c15:sqref>'Other Houses'!$BO$6:$CF$6</c15:sqref>
                        </c15:formulaRef>
                      </c:ext>
                    </c:extLst>
                    <c:numCache>
                      <c:formatCode>General</c:formatCode>
                      <c:ptCount val="18"/>
                    </c:numCache>
                  </c:numRef>
                </c:val>
                <c:extLst xmlns:c15="http://schemas.microsoft.com/office/drawing/2012/chart">
                  <c:ext xmlns:c15="http://schemas.microsoft.com/office/drawing/2012/chart" uri="{02D57815-91ED-43cb-92C2-25804820EDAC}">
                    <c15:filteredCategoryTitle>
                      <c15:cat>
                        <c:multiLvlStrRef>
                          <c:extLst>
                            <c:ext uri="{02D57815-91ED-43cb-92C2-25804820EDAC}">
                              <c15:formulaRef>
                                <c15:sqref>'Other Houses'!$BO$3:$CF$4</c15:sqref>
                              </c15:formulaRef>
                            </c:ext>
                          </c:extLst>
                        </c:multiLvlStrRef>
                      </c15:cat>
                    </c15:filteredCategoryTitle>
                  </c:ext>
                  <c:ext xmlns:c16="http://schemas.microsoft.com/office/drawing/2014/chart" uri="{C3380CC4-5D6E-409C-BE32-E72D297353CC}">
                    <c16:uniqueId val="{00000001-1588-41E8-B3C2-045A17908E77}"/>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'Other Houses'!$BN$7</c15:sqref>
                        </c15:formulaRef>
                      </c:ext>
                    </c:extLst>
                    <c:strCache>
                      <c:ptCount val="1"/>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extLst xmlns:c15="http://schemas.microsoft.com/office/drawing/2012/chart">
                      <c:ext xmlns:c15="http://schemas.microsoft.com/office/drawing/2012/chart" uri="{02D57815-91ED-43cb-92C2-25804820EDAC}">
                        <c15:formulaRef>
                          <c15:sqref>'Other Houses'!$BO$7:$CF$7</c15:sqref>
                        </c15:formulaRef>
                      </c:ext>
                    </c:extLst>
                    <c:numCache>
                      <c:formatCode>General</c:formatCode>
                      <c:ptCount val="18"/>
                    </c:numCache>
                  </c:numRef>
                </c:val>
                <c:extLst xmlns:c15="http://schemas.microsoft.com/office/drawing/2012/chart">
                  <c:ext xmlns:c15="http://schemas.microsoft.com/office/drawing/2012/chart" uri="{02D57815-91ED-43cb-92C2-25804820EDAC}">
                    <c15:filteredCategoryTitle>
                      <c15:cat>
                        <c:multiLvlStrRef>
                          <c:extLst>
                            <c:ext uri="{02D57815-91ED-43cb-92C2-25804820EDAC}">
                              <c15:formulaRef>
                                <c15:sqref>'Other Houses'!$BO$3:$CF$4</c15:sqref>
                              </c15:formulaRef>
                            </c:ext>
                          </c:extLst>
                        </c:multiLvlStrRef>
                      </c15:cat>
                    </c15:filteredCategoryTitle>
                  </c:ext>
                  <c:ext xmlns:c16="http://schemas.microsoft.com/office/drawing/2014/chart" uri="{C3380CC4-5D6E-409C-BE32-E72D297353CC}">
                    <c16:uniqueId val="{00000002-1588-41E8-B3C2-045A17908E77}"/>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'Other Houses'!$BN$8</c15:sqref>
                        </c15:formulaRef>
                      </c:ext>
                    </c:extLst>
                    <c:strCache>
                      <c:ptCount val="1"/>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extLst xmlns:c15="http://schemas.microsoft.com/office/drawing/2012/chart">
                      <c:ext xmlns:c15="http://schemas.microsoft.com/office/drawing/2012/chart" uri="{02D57815-91ED-43cb-92C2-25804820EDAC}">
                        <c15:formulaRef>
                          <c15:sqref>'Other Houses'!$BO$8:$CF$8</c15:sqref>
                        </c15:formulaRef>
                      </c:ext>
                    </c:extLst>
                    <c:numCache>
                      <c:formatCode>General</c:formatCode>
                      <c:ptCount val="18"/>
                    </c:numCache>
                  </c:numRef>
                </c:val>
                <c:extLst xmlns:c15="http://schemas.microsoft.com/office/drawing/2012/chart">
                  <c:ext xmlns:c15="http://schemas.microsoft.com/office/drawing/2012/chart" uri="{02D57815-91ED-43cb-92C2-25804820EDAC}">
                    <c15:filteredCategoryTitle>
                      <c15:cat>
                        <c:multiLvlStrRef>
                          <c:extLst>
                            <c:ext uri="{02D57815-91ED-43cb-92C2-25804820EDAC}">
                              <c15:formulaRef>
                                <c15:sqref>'Other Houses'!$BO$3:$CF$4</c15:sqref>
                              </c15:formulaRef>
                            </c:ext>
                          </c:extLst>
                        </c:multiLvlStrRef>
                      </c15:cat>
                    </c15:filteredCategoryTitle>
                  </c:ext>
                  <c:ext xmlns:c16="http://schemas.microsoft.com/office/drawing/2014/chart" uri="{C3380CC4-5D6E-409C-BE32-E72D297353CC}">
                    <c16:uniqueId val="{00000003-1588-41E8-B3C2-045A17908E77}"/>
                  </c:ext>
                </c:extLst>
              </c15:ser>
            </c15:filteredBarSeries>
          </c:ext>
        </c:extLst>
      </c:barChart>
      <c:catAx>
        <c:axId val="85206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676031"/>
        <c:crosses val="autoZero"/>
        <c:auto val="1"/>
        <c:lblAlgn val="ctr"/>
        <c:lblOffset val="100"/>
        <c:noMultiLvlLbl val="0"/>
      </c:catAx>
      <c:valAx>
        <c:axId val="2013676031"/>
        <c:scaling>
          <c:orientation val="minMax"/>
        </c:scaling>
        <c:delete val="0"/>
        <c:axPos val="b"/>
        <c:majorGridlines>
          <c:spPr>
            <a:ln w="9525" cap="flat" cmpd="sng" algn="ctr">
              <a:no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0692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3"/>
          <c:order val="3"/>
          <c:tx>
            <c:strRef>
              <c:f>'Other Houses'!$BN$8</c:f>
              <c:strCache>
                <c:ptCount val="1"/>
              </c:strCache>
            </c:strRef>
          </c:tx>
          <c:spPr>
            <a:solidFill>
              <a:schemeClr val="accent1"/>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11-445C-4C18-8F69-40034DF5E941}"/>
              </c:ext>
            </c:extLst>
          </c:dPt>
          <c:dPt>
            <c:idx val="6"/>
            <c:invertIfNegative val="0"/>
            <c:bubble3D val="0"/>
            <c:spPr>
              <a:solidFill>
                <a:srgbClr val="C00000"/>
              </a:solidFill>
              <a:ln>
                <a:noFill/>
              </a:ln>
              <a:effectLst/>
            </c:spPr>
            <c:extLst>
              <c:ext xmlns:c16="http://schemas.microsoft.com/office/drawing/2014/chart" uri="{C3380CC4-5D6E-409C-BE32-E72D297353CC}">
                <c16:uniqueId val="{0000000D-445C-4C18-8F69-40034DF5E941}"/>
              </c:ext>
            </c:extLst>
          </c:dPt>
          <c:dPt>
            <c:idx val="12"/>
            <c:invertIfNegative val="0"/>
            <c:bubble3D val="0"/>
            <c:spPr>
              <a:solidFill>
                <a:srgbClr val="C00000"/>
              </a:solidFill>
              <a:ln>
                <a:noFill/>
              </a:ln>
              <a:effectLst/>
            </c:spPr>
            <c:extLst>
              <c:ext xmlns:c16="http://schemas.microsoft.com/office/drawing/2014/chart" uri="{C3380CC4-5D6E-409C-BE32-E72D297353CC}">
                <c16:uniqueId val="{00000009-445C-4C18-8F69-40034DF5E94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'Other Houses'!$BO$8:$CF$8</c:f>
              <c:numCache>
                <c:formatCode>General</c:formatCode>
                <c:ptCount val="18"/>
              </c:numCache>
            </c:numRef>
          </c:val>
          <c:extLst>
            <c:ext xmlns:c15="http://schemas.microsoft.com/office/drawing/2012/chart" uri="{02D57815-91ED-43cb-92C2-25804820EDAC}">
              <c15:filteredCategoryTitle>
                <c15:cat>
                  <c:multiLvlStrRef>
                    <c:extLst>
                      <c:ext uri="{02D57815-91ED-43cb-92C2-25804820EDAC}">
                        <c15:formulaRef>
                          <c15:sqref>'Other Houses'!$BO$3:$CF$4</c15:sqref>
                        </c15:formulaRef>
                      </c:ext>
                    </c:extLst>
                  </c:multiLvlStrRef>
                </c15:cat>
              </c15:filteredCategoryTitle>
            </c:ext>
            <c:ext xmlns:c16="http://schemas.microsoft.com/office/drawing/2014/chart" uri="{C3380CC4-5D6E-409C-BE32-E72D297353CC}">
              <c16:uniqueId val="{00000003-445C-4C18-8F69-40034DF5E941}"/>
            </c:ext>
          </c:extLst>
        </c:ser>
        <c:dLbls>
          <c:dLblPos val="outEnd"/>
          <c:showLegendKey val="0"/>
          <c:showVal val="1"/>
          <c:showCatName val="0"/>
          <c:showSerName val="0"/>
          <c:showPercent val="0"/>
          <c:showBubbleSize val="0"/>
        </c:dLbls>
        <c:gapWidth val="182"/>
        <c:axId val="1799646591"/>
        <c:axId val="1721918767"/>
        <c:extLst>
          <c:ext xmlns:c15="http://schemas.microsoft.com/office/drawing/2012/chart" uri="{02D57815-91ED-43cb-92C2-25804820EDAC}">
            <c15:filteredBarSeries>
              <c15:ser>
                <c:idx val="0"/>
                <c:order val="0"/>
                <c:tx>
                  <c:strRef>
                    <c:extLst>
                      <c:ext uri="{02D57815-91ED-43cb-92C2-25804820EDAC}">
                        <c15:formulaRef>
                          <c15:sqref>'Other Houses'!$BN$5</c15:sqref>
                        </c15:formulaRef>
                      </c:ext>
                    </c:extLst>
                    <c:strCache>
                      <c:ptCount val="1"/>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val>
                  <c:numRef>
                    <c:extLst>
                      <c:ext uri="{02D57815-91ED-43cb-92C2-25804820EDAC}">
                        <c15:formulaRef>
                          <c15:sqref>'Other Houses'!$BO$5:$CF$5</c15:sqref>
                        </c15:formulaRef>
                      </c:ext>
                    </c:extLst>
                    <c:numCache>
                      <c:formatCode>General</c:formatCode>
                      <c:ptCount val="18"/>
                    </c:numCache>
                  </c:numRef>
                </c:val>
                <c:extLst>
                  <c:ext uri="{02D57815-91ED-43cb-92C2-25804820EDAC}">
                    <c15:filteredCategoryTitle>
                      <c15:cat>
                        <c:multiLvlStrRef>
                          <c:extLst>
                            <c:ext uri="{02D57815-91ED-43cb-92C2-25804820EDAC}">
                              <c15:formulaRef>
                                <c15:sqref>'Other Houses'!$BO$3:$CF$4</c15:sqref>
                              </c15:formulaRef>
                            </c:ext>
                          </c:extLst>
                        </c:multiLvlStrRef>
                      </c15:cat>
                    </c15:filteredCategoryTitle>
                  </c:ext>
                  <c:ext xmlns:c16="http://schemas.microsoft.com/office/drawing/2014/chart" uri="{C3380CC4-5D6E-409C-BE32-E72D297353CC}">
                    <c16:uniqueId val="{00000000-445C-4C18-8F69-40034DF5E941}"/>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'Other Houses'!$BN$6</c15:sqref>
                        </c15:formulaRef>
                      </c:ext>
                    </c:extLst>
                    <c:strCache>
                      <c:ptCount val="1"/>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extLst xmlns:c15="http://schemas.microsoft.com/office/drawing/2012/chart">
                      <c:ext xmlns:c15="http://schemas.microsoft.com/office/drawing/2012/chart" uri="{02D57815-91ED-43cb-92C2-25804820EDAC}">
                        <c15:formulaRef>
                          <c15:sqref>'Other Houses'!$BO$6:$CF$6</c15:sqref>
                        </c15:formulaRef>
                      </c:ext>
                    </c:extLst>
                    <c:numCache>
                      <c:formatCode>General</c:formatCode>
                      <c:ptCount val="18"/>
                    </c:numCache>
                  </c:numRef>
                </c:val>
                <c:extLst xmlns:c15="http://schemas.microsoft.com/office/drawing/2012/chart">
                  <c:ext xmlns:c15="http://schemas.microsoft.com/office/drawing/2012/chart" uri="{02D57815-91ED-43cb-92C2-25804820EDAC}">
                    <c15:filteredCategoryTitle>
                      <c15:cat>
                        <c:multiLvlStrRef>
                          <c:extLst>
                            <c:ext uri="{02D57815-91ED-43cb-92C2-25804820EDAC}">
                              <c15:formulaRef>
                                <c15:sqref>'Other Houses'!$BO$3:$CF$4</c15:sqref>
                              </c15:formulaRef>
                            </c:ext>
                          </c:extLst>
                        </c:multiLvlStrRef>
                      </c15:cat>
                    </c15:filteredCategoryTitle>
                  </c:ext>
                  <c:ext xmlns:c16="http://schemas.microsoft.com/office/drawing/2014/chart" uri="{C3380CC4-5D6E-409C-BE32-E72D297353CC}">
                    <c16:uniqueId val="{00000001-445C-4C18-8F69-40034DF5E941}"/>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'Other Houses'!$BN$7</c15:sqref>
                        </c15:formulaRef>
                      </c:ext>
                    </c:extLst>
                    <c:strCache>
                      <c:ptCount val="1"/>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extLst xmlns:c15="http://schemas.microsoft.com/office/drawing/2012/chart">
                      <c:ext xmlns:c15="http://schemas.microsoft.com/office/drawing/2012/chart" uri="{02D57815-91ED-43cb-92C2-25804820EDAC}">
                        <c15:formulaRef>
                          <c15:sqref>'Other Houses'!$BO$7:$CF$7</c15:sqref>
                        </c15:formulaRef>
                      </c:ext>
                    </c:extLst>
                    <c:numCache>
                      <c:formatCode>General</c:formatCode>
                      <c:ptCount val="18"/>
                    </c:numCache>
                  </c:numRef>
                </c:val>
                <c:extLst xmlns:c15="http://schemas.microsoft.com/office/drawing/2012/chart">
                  <c:ext xmlns:c15="http://schemas.microsoft.com/office/drawing/2012/chart" uri="{02D57815-91ED-43cb-92C2-25804820EDAC}">
                    <c15:filteredCategoryTitle>
                      <c15:cat>
                        <c:multiLvlStrRef>
                          <c:extLst>
                            <c:ext uri="{02D57815-91ED-43cb-92C2-25804820EDAC}">
                              <c15:formulaRef>
                                <c15:sqref>'Other Houses'!$BO$3:$CF$4</c15:sqref>
                              </c15:formulaRef>
                            </c:ext>
                          </c:extLst>
                        </c:multiLvlStrRef>
                      </c15:cat>
                    </c15:filteredCategoryTitle>
                  </c:ext>
                  <c:ext xmlns:c16="http://schemas.microsoft.com/office/drawing/2014/chart" uri="{C3380CC4-5D6E-409C-BE32-E72D297353CC}">
                    <c16:uniqueId val="{00000002-445C-4C18-8F69-40034DF5E941}"/>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'Other Houses'!$BN$9</c15:sqref>
                        </c15:formulaRef>
                      </c:ext>
                    </c:extLst>
                    <c:strCache>
                      <c:ptCount val="1"/>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extLst xmlns:c15="http://schemas.microsoft.com/office/drawing/2012/chart">
                      <c:ext xmlns:c15="http://schemas.microsoft.com/office/drawing/2012/chart" uri="{02D57815-91ED-43cb-92C2-25804820EDAC}">
                        <c15:formulaRef>
                          <c15:sqref>'Other Houses'!$BO$9:$CF$9</c15:sqref>
                        </c15:formulaRef>
                      </c:ext>
                    </c:extLst>
                    <c:numCache>
                      <c:formatCode>General</c:formatCode>
                      <c:ptCount val="18"/>
                    </c:numCache>
                  </c:numRef>
                </c:val>
                <c:extLst xmlns:c15="http://schemas.microsoft.com/office/drawing/2012/chart">
                  <c:ext xmlns:c15="http://schemas.microsoft.com/office/drawing/2012/chart" uri="{02D57815-91ED-43cb-92C2-25804820EDAC}">
                    <c15:filteredCategoryTitle>
                      <c15:cat>
                        <c:multiLvlStrRef>
                          <c:extLst>
                            <c:ext uri="{02D57815-91ED-43cb-92C2-25804820EDAC}">
                              <c15:formulaRef>
                                <c15:sqref>'Other Houses'!$BO$3:$CF$4</c15:sqref>
                              </c15:formulaRef>
                            </c:ext>
                          </c:extLst>
                        </c:multiLvlStrRef>
                      </c15:cat>
                    </c15:filteredCategoryTitle>
                  </c:ext>
                  <c:ext xmlns:c16="http://schemas.microsoft.com/office/drawing/2014/chart" uri="{C3380CC4-5D6E-409C-BE32-E72D297353CC}">
                    <c16:uniqueId val="{00000004-445C-4C18-8F69-40034DF5E941}"/>
                  </c:ext>
                </c:extLst>
              </c15:ser>
            </c15:filteredBarSeries>
          </c:ext>
        </c:extLst>
      </c:barChart>
      <c:catAx>
        <c:axId val="1799646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918767"/>
        <c:crosses val="autoZero"/>
        <c:auto val="1"/>
        <c:lblAlgn val="ctr"/>
        <c:lblOffset val="100"/>
        <c:noMultiLvlLbl val="0"/>
      </c:catAx>
      <c:valAx>
        <c:axId val="1721918767"/>
        <c:scaling>
          <c:orientation val="minMax"/>
        </c:scaling>
        <c:delete val="0"/>
        <c:axPos val="b"/>
        <c:majorGridlines>
          <c:spPr>
            <a:ln w="9525" cap="flat" cmpd="sng" algn="ctr">
              <a:no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96465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TW"/>
              <a:t>Gross Margin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'Other Houses'!$CH$15</c:f>
              <c:strCache>
                <c:ptCount val="1"/>
              </c:strCache>
            </c:strRef>
          </c:tx>
          <c:spPr>
            <a:ln w="28575" cap="rnd">
              <a:solidFill>
                <a:srgbClr val="C00000"/>
              </a:solidFill>
              <a:round/>
            </a:ln>
            <a:effectLst/>
          </c:spPr>
          <c:marker>
            <c:symbol val="none"/>
          </c:marker>
          <c:cat>
            <c:numRef>
              <c:f>'Other Houses'!$CI$14:$CK$14</c:f>
              <c:numCache>
                <c:formatCode>General</c:formatCode>
                <c:ptCount val="3"/>
              </c:numCache>
            </c:numRef>
          </c:cat>
          <c:val>
            <c:numRef>
              <c:f>'Other Houses'!$CI$15:$CK$15</c:f>
              <c:numCache>
                <c:formatCode>General</c:formatCode>
                <c:ptCount val="3"/>
              </c:numCache>
            </c:numRef>
          </c:val>
          <c:smooth val="0"/>
          <c:extLst>
            <c:ext xmlns:c16="http://schemas.microsoft.com/office/drawing/2014/chart" uri="{C3380CC4-5D6E-409C-BE32-E72D297353CC}">
              <c16:uniqueId val="{00000000-503D-46A6-94FA-FB27358B5D8C}"/>
            </c:ext>
          </c:extLst>
        </c:ser>
        <c:ser>
          <c:idx val="1"/>
          <c:order val="1"/>
          <c:tx>
            <c:strRef>
              <c:f>'Other Houses'!$CH$16</c:f>
              <c:strCache>
                <c:ptCount val="1"/>
              </c:strCache>
            </c:strRef>
          </c:tx>
          <c:spPr>
            <a:ln w="28575" cap="rnd">
              <a:solidFill>
                <a:schemeClr val="accent2"/>
              </a:solidFill>
              <a:round/>
            </a:ln>
            <a:effectLst/>
          </c:spPr>
          <c:marker>
            <c:symbol val="none"/>
          </c:marker>
          <c:cat>
            <c:numRef>
              <c:f>'Other Houses'!$CI$14:$CK$14</c:f>
              <c:numCache>
                <c:formatCode>General</c:formatCode>
                <c:ptCount val="3"/>
              </c:numCache>
            </c:numRef>
          </c:cat>
          <c:val>
            <c:numRef>
              <c:f>'Other Houses'!$CI$16:$CK$16</c:f>
              <c:numCache>
                <c:formatCode>General</c:formatCode>
                <c:ptCount val="3"/>
              </c:numCache>
            </c:numRef>
          </c:val>
          <c:smooth val="0"/>
          <c:extLst>
            <c:ext xmlns:c16="http://schemas.microsoft.com/office/drawing/2014/chart" uri="{C3380CC4-5D6E-409C-BE32-E72D297353CC}">
              <c16:uniqueId val="{00000001-503D-46A6-94FA-FB27358B5D8C}"/>
            </c:ext>
          </c:extLst>
        </c:ser>
        <c:ser>
          <c:idx val="2"/>
          <c:order val="2"/>
          <c:tx>
            <c:strRef>
              <c:f>'Other Houses'!$CH$17</c:f>
              <c:strCache>
                <c:ptCount val="1"/>
              </c:strCache>
            </c:strRef>
          </c:tx>
          <c:spPr>
            <a:ln w="28575" cap="rnd">
              <a:solidFill>
                <a:schemeClr val="accent3"/>
              </a:solidFill>
              <a:round/>
            </a:ln>
            <a:effectLst/>
          </c:spPr>
          <c:marker>
            <c:symbol val="none"/>
          </c:marker>
          <c:cat>
            <c:numRef>
              <c:f>'Other Houses'!$CI$14:$CK$14</c:f>
              <c:numCache>
                <c:formatCode>General</c:formatCode>
                <c:ptCount val="3"/>
              </c:numCache>
            </c:numRef>
          </c:cat>
          <c:val>
            <c:numRef>
              <c:f>'Other Houses'!$CI$17:$CK$17</c:f>
              <c:numCache>
                <c:formatCode>General</c:formatCode>
                <c:ptCount val="3"/>
              </c:numCache>
            </c:numRef>
          </c:val>
          <c:smooth val="0"/>
          <c:extLst>
            <c:ext xmlns:c16="http://schemas.microsoft.com/office/drawing/2014/chart" uri="{C3380CC4-5D6E-409C-BE32-E72D297353CC}">
              <c16:uniqueId val="{00000002-503D-46A6-94FA-FB27358B5D8C}"/>
            </c:ext>
          </c:extLst>
        </c:ser>
        <c:ser>
          <c:idx val="3"/>
          <c:order val="3"/>
          <c:tx>
            <c:strRef>
              <c:f>'Other Houses'!$CH$18</c:f>
              <c:strCache>
                <c:ptCount val="1"/>
              </c:strCache>
            </c:strRef>
          </c:tx>
          <c:spPr>
            <a:ln w="28575" cap="rnd">
              <a:solidFill>
                <a:schemeClr val="accent4"/>
              </a:solidFill>
              <a:round/>
            </a:ln>
            <a:effectLst/>
          </c:spPr>
          <c:marker>
            <c:symbol val="none"/>
          </c:marker>
          <c:cat>
            <c:numRef>
              <c:f>'Other Houses'!$CI$14:$CK$14</c:f>
              <c:numCache>
                <c:formatCode>General</c:formatCode>
                <c:ptCount val="3"/>
              </c:numCache>
            </c:numRef>
          </c:cat>
          <c:val>
            <c:numRef>
              <c:f>'Other Houses'!$CI$18:$CK$18</c:f>
              <c:numCache>
                <c:formatCode>General</c:formatCode>
                <c:ptCount val="3"/>
              </c:numCache>
            </c:numRef>
          </c:val>
          <c:smooth val="0"/>
          <c:extLst>
            <c:ext xmlns:c16="http://schemas.microsoft.com/office/drawing/2014/chart" uri="{C3380CC4-5D6E-409C-BE32-E72D297353CC}">
              <c16:uniqueId val="{00000003-503D-46A6-94FA-FB27358B5D8C}"/>
            </c:ext>
          </c:extLst>
        </c:ser>
        <c:ser>
          <c:idx val="4"/>
          <c:order val="4"/>
          <c:tx>
            <c:strRef>
              <c:f>'Other Houses'!$CH$19</c:f>
              <c:strCache>
                <c:ptCount val="1"/>
              </c:strCache>
            </c:strRef>
          </c:tx>
          <c:spPr>
            <a:ln w="28575" cap="rnd">
              <a:solidFill>
                <a:schemeClr val="accent5"/>
              </a:solidFill>
              <a:round/>
            </a:ln>
            <a:effectLst/>
          </c:spPr>
          <c:marker>
            <c:symbol val="none"/>
          </c:marker>
          <c:cat>
            <c:numRef>
              <c:f>'Other Houses'!$CI$14:$CK$14</c:f>
              <c:numCache>
                <c:formatCode>General</c:formatCode>
                <c:ptCount val="3"/>
              </c:numCache>
            </c:numRef>
          </c:cat>
          <c:val>
            <c:numRef>
              <c:f>'Other Houses'!$CI$19:$CK$19</c:f>
              <c:numCache>
                <c:formatCode>General</c:formatCode>
                <c:ptCount val="3"/>
              </c:numCache>
            </c:numRef>
          </c:val>
          <c:smooth val="0"/>
          <c:extLst>
            <c:ext xmlns:c16="http://schemas.microsoft.com/office/drawing/2014/chart" uri="{C3380CC4-5D6E-409C-BE32-E72D297353CC}">
              <c16:uniqueId val="{00000004-503D-46A6-94FA-FB27358B5D8C}"/>
            </c:ext>
          </c:extLst>
        </c:ser>
        <c:ser>
          <c:idx val="5"/>
          <c:order val="5"/>
          <c:tx>
            <c:strRef>
              <c:f>'Other Houses'!$CH$20</c:f>
              <c:strCache>
                <c:ptCount val="1"/>
              </c:strCache>
            </c:strRef>
          </c:tx>
          <c:spPr>
            <a:ln w="28575" cap="rnd">
              <a:solidFill>
                <a:schemeClr val="accent6"/>
              </a:solidFill>
              <a:round/>
            </a:ln>
            <a:effectLst/>
          </c:spPr>
          <c:marker>
            <c:symbol val="none"/>
          </c:marker>
          <c:cat>
            <c:numRef>
              <c:f>'Other Houses'!$CI$14:$CK$14</c:f>
              <c:numCache>
                <c:formatCode>General</c:formatCode>
                <c:ptCount val="3"/>
              </c:numCache>
            </c:numRef>
          </c:cat>
          <c:val>
            <c:numRef>
              <c:f>'Other Houses'!$CI$20:$CK$20</c:f>
              <c:numCache>
                <c:formatCode>General</c:formatCode>
                <c:ptCount val="3"/>
              </c:numCache>
            </c:numRef>
          </c:val>
          <c:smooth val="0"/>
          <c:extLst>
            <c:ext xmlns:c16="http://schemas.microsoft.com/office/drawing/2014/chart" uri="{C3380CC4-5D6E-409C-BE32-E72D297353CC}">
              <c16:uniqueId val="{00000005-503D-46A6-94FA-FB27358B5D8C}"/>
            </c:ext>
          </c:extLst>
        </c:ser>
        <c:dLbls>
          <c:showLegendKey val="0"/>
          <c:showVal val="0"/>
          <c:showCatName val="0"/>
          <c:showSerName val="0"/>
          <c:showPercent val="0"/>
          <c:showBubbleSize val="0"/>
        </c:dLbls>
        <c:smooth val="0"/>
        <c:axId val="81577311"/>
        <c:axId val="2017993999"/>
      </c:lineChart>
      <c:catAx>
        <c:axId val="81577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7993999"/>
        <c:crosses val="autoZero"/>
        <c:auto val="1"/>
        <c:lblAlgn val="ctr"/>
        <c:lblOffset val="100"/>
        <c:noMultiLvlLbl val="0"/>
      </c:catAx>
      <c:valAx>
        <c:axId val="2017993999"/>
        <c:scaling>
          <c:orientation val="minMax"/>
          <c:min val="5.000000000000001E-2"/>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77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TW"/>
              <a:t>Operating</a:t>
            </a:r>
            <a:r>
              <a:rPr lang="en-US" altLang="zh-TW" baseline="0"/>
              <a:t> Margin</a:t>
            </a:r>
            <a:endParaRPr lang="en-US" altLang="zh-TW"/>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'Other Houses'!$CH$23</c:f>
              <c:strCache>
                <c:ptCount val="1"/>
              </c:strCache>
            </c:strRef>
          </c:tx>
          <c:spPr>
            <a:ln w="28575" cap="rnd">
              <a:solidFill>
                <a:srgbClr val="C00000"/>
              </a:solidFill>
              <a:round/>
            </a:ln>
            <a:effectLst/>
          </c:spPr>
          <c:marker>
            <c:symbol val="none"/>
          </c:marker>
          <c:cat>
            <c:numRef>
              <c:f>'Other Houses'!$CI$22:$CK$22</c:f>
              <c:numCache>
                <c:formatCode>General</c:formatCode>
                <c:ptCount val="3"/>
              </c:numCache>
            </c:numRef>
          </c:cat>
          <c:val>
            <c:numRef>
              <c:f>'Other Houses'!$CI$23:$CK$23</c:f>
              <c:numCache>
                <c:formatCode>General</c:formatCode>
                <c:ptCount val="3"/>
              </c:numCache>
            </c:numRef>
          </c:val>
          <c:smooth val="0"/>
          <c:extLst>
            <c:ext xmlns:c16="http://schemas.microsoft.com/office/drawing/2014/chart" uri="{C3380CC4-5D6E-409C-BE32-E72D297353CC}">
              <c16:uniqueId val="{00000000-F857-4EFD-AFF4-3867B2AA112A}"/>
            </c:ext>
          </c:extLst>
        </c:ser>
        <c:ser>
          <c:idx val="1"/>
          <c:order val="1"/>
          <c:tx>
            <c:strRef>
              <c:f>'Other Houses'!$CH$24</c:f>
              <c:strCache>
                <c:ptCount val="1"/>
              </c:strCache>
            </c:strRef>
          </c:tx>
          <c:spPr>
            <a:ln w="28575" cap="rnd">
              <a:solidFill>
                <a:schemeClr val="accent2"/>
              </a:solidFill>
              <a:round/>
            </a:ln>
            <a:effectLst/>
          </c:spPr>
          <c:marker>
            <c:symbol val="none"/>
          </c:marker>
          <c:cat>
            <c:numRef>
              <c:f>'Other Houses'!$CI$22:$CK$22</c:f>
              <c:numCache>
                <c:formatCode>General</c:formatCode>
                <c:ptCount val="3"/>
              </c:numCache>
            </c:numRef>
          </c:cat>
          <c:val>
            <c:numRef>
              <c:f>'Other Houses'!$CI$24:$CK$24</c:f>
              <c:numCache>
                <c:formatCode>General</c:formatCode>
                <c:ptCount val="3"/>
              </c:numCache>
            </c:numRef>
          </c:val>
          <c:smooth val="0"/>
          <c:extLst>
            <c:ext xmlns:c16="http://schemas.microsoft.com/office/drawing/2014/chart" uri="{C3380CC4-5D6E-409C-BE32-E72D297353CC}">
              <c16:uniqueId val="{00000001-F857-4EFD-AFF4-3867B2AA112A}"/>
            </c:ext>
          </c:extLst>
        </c:ser>
        <c:ser>
          <c:idx val="2"/>
          <c:order val="2"/>
          <c:tx>
            <c:strRef>
              <c:f>'Other Houses'!$CH$25</c:f>
              <c:strCache>
                <c:ptCount val="1"/>
              </c:strCache>
            </c:strRef>
          </c:tx>
          <c:spPr>
            <a:ln w="28575" cap="rnd">
              <a:solidFill>
                <a:schemeClr val="accent3"/>
              </a:solidFill>
              <a:round/>
            </a:ln>
            <a:effectLst/>
          </c:spPr>
          <c:marker>
            <c:symbol val="none"/>
          </c:marker>
          <c:cat>
            <c:numRef>
              <c:f>'Other Houses'!$CI$22:$CK$22</c:f>
              <c:numCache>
                <c:formatCode>General</c:formatCode>
                <c:ptCount val="3"/>
              </c:numCache>
            </c:numRef>
          </c:cat>
          <c:val>
            <c:numRef>
              <c:f>'Other Houses'!$CI$25:$CK$25</c:f>
              <c:numCache>
                <c:formatCode>General</c:formatCode>
                <c:ptCount val="3"/>
              </c:numCache>
            </c:numRef>
          </c:val>
          <c:smooth val="0"/>
          <c:extLst>
            <c:ext xmlns:c16="http://schemas.microsoft.com/office/drawing/2014/chart" uri="{C3380CC4-5D6E-409C-BE32-E72D297353CC}">
              <c16:uniqueId val="{00000002-F857-4EFD-AFF4-3867B2AA112A}"/>
            </c:ext>
          </c:extLst>
        </c:ser>
        <c:ser>
          <c:idx val="3"/>
          <c:order val="3"/>
          <c:tx>
            <c:strRef>
              <c:f>'Other Houses'!$CH$26</c:f>
              <c:strCache>
                <c:ptCount val="1"/>
              </c:strCache>
            </c:strRef>
          </c:tx>
          <c:spPr>
            <a:ln w="28575" cap="rnd">
              <a:solidFill>
                <a:schemeClr val="accent4"/>
              </a:solidFill>
              <a:round/>
            </a:ln>
            <a:effectLst/>
          </c:spPr>
          <c:marker>
            <c:symbol val="none"/>
          </c:marker>
          <c:cat>
            <c:numRef>
              <c:f>'Other Houses'!$CI$22:$CK$22</c:f>
              <c:numCache>
                <c:formatCode>General</c:formatCode>
                <c:ptCount val="3"/>
              </c:numCache>
            </c:numRef>
          </c:cat>
          <c:val>
            <c:numRef>
              <c:f>'Other Houses'!$CI$26:$CK$26</c:f>
              <c:numCache>
                <c:formatCode>General</c:formatCode>
                <c:ptCount val="3"/>
              </c:numCache>
            </c:numRef>
          </c:val>
          <c:smooth val="0"/>
          <c:extLst>
            <c:ext xmlns:c16="http://schemas.microsoft.com/office/drawing/2014/chart" uri="{C3380CC4-5D6E-409C-BE32-E72D297353CC}">
              <c16:uniqueId val="{00000003-F857-4EFD-AFF4-3867B2AA112A}"/>
            </c:ext>
          </c:extLst>
        </c:ser>
        <c:ser>
          <c:idx val="4"/>
          <c:order val="4"/>
          <c:tx>
            <c:strRef>
              <c:f>'Other Houses'!$CH$27</c:f>
              <c:strCache>
                <c:ptCount val="1"/>
              </c:strCache>
            </c:strRef>
          </c:tx>
          <c:spPr>
            <a:ln w="28575" cap="rnd">
              <a:solidFill>
                <a:schemeClr val="accent5"/>
              </a:solidFill>
              <a:round/>
            </a:ln>
            <a:effectLst/>
          </c:spPr>
          <c:marker>
            <c:symbol val="none"/>
          </c:marker>
          <c:cat>
            <c:numRef>
              <c:f>'Other Houses'!$CI$22:$CK$22</c:f>
              <c:numCache>
                <c:formatCode>General</c:formatCode>
                <c:ptCount val="3"/>
              </c:numCache>
            </c:numRef>
          </c:cat>
          <c:val>
            <c:numRef>
              <c:f>'Other Houses'!$CI$27:$CK$27</c:f>
              <c:numCache>
                <c:formatCode>General</c:formatCode>
                <c:ptCount val="3"/>
              </c:numCache>
            </c:numRef>
          </c:val>
          <c:smooth val="0"/>
          <c:extLst>
            <c:ext xmlns:c16="http://schemas.microsoft.com/office/drawing/2014/chart" uri="{C3380CC4-5D6E-409C-BE32-E72D297353CC}">
              <c16:uniqueId val="{00000004-F857-4EFD-AFF4-3867B2AA112A}"/>
            </c:ext>
          </c:extLst>
        </c:ser>
        <c:ser>
          <c:idx val="5"/>
          <c:order val="5"/>
          <c:tx>
            <c:strRef>
              <c:f>'Other Houses'!$CH$28</c:f>
              <c:strCache>
                <c:ptCount val="1"/>
              </c:strCache>
            </c:strRef>
          </c:tx>
          <c:spPr>
            <a:ln w="28575" cap="rnd">
              <a:solidFill>
                <a:schemeClr val="accent6"/>
              </a:solidFill>
              <a:round/>
            </a:ln>
            <a:effectLst/>
          </c:spPr>
          <c:marker>
            <c:symbol val="none"/>
          </c:marker>
          <c:cat>
            <c:numRef>
              <c:f>'Other Houses'!$CI$22:$CK$22</c:f>
              <c:numCache>
                <c:formatCode>General</c:formatCode>
                <c:ptCount val="3"/>
              </c:numCache>
            </c:numRef>
          </c:cat>
          <c:val>
            <c:numRef>
              <c:f>'Other Houses'!$CI$28:$CK$28</c:f>
              <c:numCache>
                <c:formatCode>General</c:formatCode>
                <c:ptCount val="3"/>
              </c:numCache>
            </c:numRef>
          </c:val>
          <c:smooth val="0"/>
          <c:extLst>
            <c:ext xmlns:c16="http://schemas.microsoft.com/office/drawing/2014/chart" uri="{C3380CC4-5D6E-409C-BE32-E72D297353CC}">
              <c16:uniqueId val="{00000005-F857-4EFD-AFF4-3867B2AA112A}"/>
            </c:ext>
          </c:extLst>
        </c:ser>
        <c:dLbls>
          <c:showLegendKey val="0"/>
          <c:showVal val="0"/>
          <c:showCatName val="0"/>
          <c:showSerName val="0"/>
          <c:showPercent val="0"/>
          <c:showBubbleSize val="0"/>
        </c:dLbls>
        <c:smooth val="0"/>
        <c:axId val="88774127"/>
        <c:axId val="126592383"/>
      </c:lineChart>
      <c:catAx>
        <c:axId val="88774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592383"/>
        <c:crosses val="autoZero"/>
        <c:auto val="1"/>
        <c:lblAlgn val="ctr"/>
        <c:lblOffset val="100"/>
        <c:noMultiLvlLbl val="0"/>
      </c:catAx>
      <c:valAx>
        <c:axId val="126592383"/>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741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1"/>
          <c:order val="1"/>
          <c:tx>
            <c:strRef>
              <c:f>'Other Houses'!$BN$6</c:f>
              <c:strCache>
                <c:ptCount val="1"/>
              </c:strCache>
            </c:strRef>
          </c:tx>
          <c:spPr>
            <a:solidFill>
              <a:schemeClr val="accent1"/>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12-E3C4-4F7C-9623-667BD05634F9}"/>
              </c:ext>
            </c:extLst>
          </c:dPt>
          <c:dPt>
            <c:idx val="6"/>
            <c:invertIfNegative val="0"/>
            <c:bubble3D val="0"/>
            <c:spPr>
              <a:solidFill>
                <a:srgbClr val="C00000"/>
              </a:solidFill>
              <a:ln>
                <a:noFill/>
              </a:ln>
              <a:effectLst/>
            </c:spPr>
            <c:extLst>
              <c:ext xmlns:c16="http://schemas.microsoft.com/office/drawing/2014/chart" uri="{C3380CC4-5D6E-409C-BE32-E72D297353CC}">
                <c16:uniqueId val="{0000000D-E3C4-4F7C-9623-667BD05634F9}"/>
              </c:ext>
            </c:extLst>
          </c:dPt>
          <c:dPt>
            <c:idx val="12"/>
            <c:invertIfNegative val="0"/>
            <c:bubble3D val="0"/>
            <c:spPr>
              <a:solidFill>
                <a:srgbClr val="C00000"/>
              </a:solidFill>
              <a:ln>
                <a:noFill/>
              </a:ln>
              <a:effectLst/>
            </c:spPr>
            <c:extLst>
              <c:ext xmlns:c16="http://schemas.microsoft.com/office/drawing/2014/chart" uri="{C3380CC4-5D6E-409C-BE32-E72D297353CC}">
                <c16:uniqueId val="{00000008-E3C4-4F7C-9623-667BD05634F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'Other Houses'!$BO$6:$CF$6</c:f>
              <c:numCache>
                <c:formatCode>General</c:formatCode>
                <c:ptCount val="18"/>
              </c:numCache>
            </c:numRef>
          </c:val>
          <c:extLst>
            <c:ext xmlns:c15="http://schemas.microsoft.com/office/drawing/2012/chart" uri="{02D57815-91ED-43cb-92C2-25804820EDAC}">
              <c15:filteredCategoryTitle>
                <c15:cat>
                  <c:multiLvlStrRef>
                    <c:extLst>
                      <c:ext uri="{02D57815-91ED-43cb-92C2-25804820EDAC}">
                        <c15:formulaRef>
                          <c15:sqref>'Other Houses'!$BO$3:$CF$4</c15:sqref>
                        </c15:formulaRef>
                      </c:ext>
                    </c:extLst>
                  </c:multiLvlStrRef>
                </c15:cat>
              </c15:filteredCategoryTitle>
            </c:ext>
            <c:ext xmlns:c16="http://schemas.microsoft.com/office/drawing/2014/chart" uri="{C3380CC4-5D6E-409C-BE32-E72D297353CC}">
              <c16:uniqueId val="{00000001-E3C4-4F7C-9623-667BD05634F9}"/>
            </c:ext>
          </c:extLst>
        </c:ser>
        <c:dLbls>
          <c:dLblPos val="outEnd"/>
          <c:showLegendKey val="0"/>
          <c:showVal val="1"/>
          <c:showCatName val="0"/>
          <c:showSerName val="0"/>
          <c:showPercent val="0"/>
          <c:showBubbleSize val="0"/>
        </c:dLbls>
        <c:gapWidth val="182"/>
        <c:axId val="236493551"/>
        <c:axId val="434232687"/>
        <c:extLst>
          <c:ext xmlns:c15="http://schemas.microsoft.com/office/drawing/2012/chart" uri="{02D57815-91ED-43cb-92C2-25804820EDAC}">
            <c15:filteredBarSeries>
              <c15:ser>
                <c:idx val="0"/>
                <c:order val="0"/>
                <c:tx>
                  <c:strRef>
                    <c:extLst>
                      <c:ext uri="{02D57815-91ED-43cb-92C2-25804820EDAC}">
                        <c15:formulaRef>
                          <c15:sqref>'Other Houses'!$BN$5</c15:sqref>
                        </c15:formulaRef>
                      </c:ext>
                    </c:extLst>
                    <c:strCache>
                      <c:ptCount val="1"/>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val>
                  <c:numRef>
                    <c:extLst>
                      <c:ext uri="{02D57815-91ED-43cb-92C2-25804820EDAC}">
                        <c15:formulaRef>
                          <c15:sqref>'Other Houses'!$BO$5:$CF$5</c15:sqref>
                        </c15:formulaRef>
                      </c:ext>
                    </c:extLst>
                    <c:numCache>
                      <c:formatCode>General</c:formatCode>
                      <c:ptCount val="18"/>
                    </c:numCache>
                  </c:numRef>
                </c:val>
                <c:extLst>
                  <c:ext uri="{02D57815-91ED-43cb-92C2-25804820EDAC}">
                    <c15:filteredCategoryTitle>
                      <c15:cat>
                        <c:multiLvlStrRef>
                          <c:extLst>
                            <c:ext uri="{02D57815-91ED-43cb-92C2-25804820EDAC}">
                              <c15:formulaRef>
                                <c15:sqref>'Other Houses'!$BO$3:$CF$4</c15:sqref>
                              </c15:formulaRef>
                            </c:ext>
                          </c:extLst>
                        </c:multiLvlStrRef>
                      </c15:cat>
                    </c15:filteredCategoryTitle>
                  </c:ext>
                  <c:ext xmlns:c16="http://schemas.microsoft.com/office/drawing/2014/chart" uri="{C3380CC4-5D6E-409C-BE32-E72D297353CC}">
                    <c16:uniqueId val="{00000000-E3C4-4F7C-9623-667BD05634F9}"/>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'Other Houses'!$BN$7</c15:sqref>
                        </c15:formulaRef>
                      </c:ext>
                    </c:extLst>
                    <c:strCache>
                      <c:ptCount val="1"/>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extLst xmlns:c15="http://schemas.microsoft.com/office/drawing/2012/chart">
                      <c:ext xmlns:c15="http://schemas.microsoft.com/office/drawing/2012/chart" uri="{02D57815-91ED-43cb-92C2-25804820EDAC}">
                        <c15:formulaRef>
                          <c15:sqref>'Other Houses'!$BO$7:$CF$7</c15:sqref>
                        </c15:formulaRef>
                      </c:ext>
                    </c:extLst>
                    <c:numCache>
                      <c:formatCode>General</c:formatCode>
                      <c:ptCount val="18"/>
                    </c:numCache>
                  </c:numRef>
                </c:val>
                <c:extLst xmlns:c15="http://schemas.microsoft.com/office/drawing/2012/chart">
                  <c:ext xmlns:c15="http://schemas.microsoft.com/office/drawing/2012/chart" uri="{02D57815-91ED-43cb-92C2-25804820EDAC}">
                    <c15:filteredCategoryTitle>
                      <c15:cat>
                        <c:multiLvlStrRef>
                          <c:extLst>
                            <c:ext uri="{02D57815-91ED-43cb-92C2-25804820EDAC}">
                              <c15:formulaRef>
                                <c15:sqref>'Other Houses'!$BO$3:$CF$4</c15:sqref>
                              </c15:formulaRef>
                            </c:ext>
                          </c:extLst>
                        </c:multiLvlStrRef>
                      </c15:cat>
                    </c15:filteredCategoryTitle>
                  </c:ext>
                  <c:ext xmlns:c16="http://schemas.microsoft.com/office/drawing/2014/chart" uri="{C3380CC4-5D6E-409C-BE32-E72D297353CC}">
                    <c16:uniqueId val="{00000002-E3C4-4F7C-9623-667BD05634F9}"/>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'Other Houses'!$BN$8</c15:sqref>
                        </c15:formulaRef>
                      </c:ext>
                    </c:extLst>
                    <c:strCache>
                      <c:ptCount val="1"/>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extLst xmlns:c15="http://schemas.microsoft.com/office/drawing/2012/chart">
                      <c:ext xmlns:c15="http://schemas.microsoft.com/office/drawing/2012/chart" uri="{02D57815-91ED-43cb-92C2-25804820EDAC}">
                        <c15:formulaRef>
                          <c15:sqref>'Other Houses'!$BO$8:$CF$8</c15:sqref>
                        </c15:formulaRef>
                      </c:ext>
                    </c:extLst>
                    <c:numCache>
                      <c:formatCode>General</c:formatCode>
                      <c:ptCount val="18"/>
                    </c:numCache>
                  </c:numRef>
                </c:val>
                <c:extLst xmlns:c15="http://schemas.microsoft.com/office/drawing/2012/chart">
                  <c:ext xmlns:c15="http://schemas.microsoft.com/office/drawing/2012/chart" uri="{02D57815-91ED-43cb-92C2-25804820EDAC}">
                    <c15:filteredCategoryTitle>
                      <c15:cat>
                        <c:multiLvlStrRef>
                          <c:extLst>
                            <c:ext uri="{02D57815-91ED-43cb-92C2-25804820EDAC}">
                              <c15:formulaRef>
                                <c15:sqref>'Other Houses'!$BO$3:$CF$4</c15:sqref>
                              </c15:formulaRef>
                            </c:ext>
                          </c:extLst>
                        </c:multiLvlStrRef>
                      </c15:cat>
                    </c15:filteredCategoryTitle>
                  </c:ext>
                  <c:ext xmlns:c16="http://schemas.microsoft.com/office/drawing/2014/chart" uri="{C3380CC4-5D6E-409C-BE32-E72D297353CC}">
                    <c16:uniqueId val="{00000003-E3C4-4F7C-9623-667BD05634F9}"/>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'Other Houses'!$BN$9</c15:sqref>
                        </c15:formulaRef>
                      </c:ext>
                    </c:extLst>
                    <c:strCache>
                      <c:ptCount val="1"/>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extLst xmlns:c15="http://schemas.microsoft.com/office/drawing/2012/chart">
                      <c:ext xmlns:c15="http://schemas.microsoft.com/office/drawing/2012/chart" uri="{02D57815-91ED-43cb-92C2-25804820EDAC}">
                        <c15:formulaRef>
                          <c15:sqref>'Other Houses'!$BO$9:$CF$9</c15:sqref>
                        </c15:formulaRef>
                      </c:ext>
                    </c:extLst>
                    <c:numCache>
                      <c:formatCode>General</c:formatCode>
                      <c:ptCount val="18"/>
                    </c:numCache>
                  </c:numRef>
                </c:val>
                <c:extLst xmlns:c15="http://schemas.microsoft.com/office/drawing/2012/chart">
                  <c:ext xmlns:c15="http://schemas.microsoft.com/office/drawing/2012/chart" uri="{02D57815-91ED-43cb-92C2-25804820EDAC}">
                    <c15:filteredCategoryTitle>
                      <c15:cat>
                        <c:multiLvlStrRef>
                          <c:extLst>
                            <c:ext uri="{02D57815-91ED-43cb-92C2-25804820EDAC}">
                              <c15:formulaRef>
                                <c15:sqref>'Other Houses'!$BO$3:$CF$4</c15:sqref>
                              </c15:formulaRef>
                            </c:ext>
                          </c:extLst>
                        </c:multiLvlStrRef>
                      </c15:cat>
                    </c15:filteredCategoryTitle>
                  </c:ext>
                  <c:ext xmlns:c16="http://schemas.microsoft.com/office/drawing/2014/chart" uri="{C3380CC4-5D6E-409C-BE32-E72D297353CC}">
                    <c16:uniqueId val="{00000004-E3C4-4F7C-9623-667BD05634F9}"/>
                  </c:ext>
                </c:extLst>
              </c15:ser>
            </c15:filteredBarSeries>
          </c:ext>
        </c:extLst>
      </c:barChart>
      <c:catAx>
        <c:axId val="236493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4232687"/>
        <c:crosses val="autoZero"/>
        <c:auto val="1"/>
        <c:lblAlgn val="ctr"/>
        <c:lblOffset val="100"/>
        <c:noMultiLvlLbl val="0"/>
      </c:catAx>
      <c:valAx>
        <c:axId val="434232687"/>
        <c:scaling>
          <c:orientation val="minMax"/>
        </c:scaling>
        <c:delete val="1"/>
        <c:axPos val="b"/>
        <c:majorGridlines>
          <c:spPr>
            <a:ln w="9525" cap="flat" cmpd="sng" algn="ctr">
              <a:noFill/>
              <a:round/>
            </a:ln>
            <a:effectLst/>
          </c:spPr>
        </c:majorGridlines>
        <c:numFmt formatCode="General" sourceLinked="1"/>
        <c:majorTickMark val="none"/>
        <c:minorTickMark val="none"/>
        <c:tickLblPos val="nextTo"/>
        <c:crossAx val="2364935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image" Target="../media/image2.JPG"/><Relationship Id="rId2" Type="http://schemas.openxmlformats.org/officeDocument/2006/relationships/image" Target="cid:image001.png@01D3D239.0ABC7C90" TargetMode="External"/><Relationship Id="rId1" Type="http://schemas.openxmlformats.org/officeDocument/2006/relationships/image" Target="../media/image1.png"/><Relationship Id="rId5" Type="http://schemas.openxmlformats.org/officeDocument/2006/relationships/image" Target="../media/image4.JPG"/><Relationship Id="rId4" Type="http://schemas.openxmlformats.org/officeDocument/2006/relationships/image" Target="../media/image3.JPG"/></Relationships>
</file>

<file path=xl/drawings/drawing1.xml><?xml version="1.0" encoding="utf-8"?>
<xdr:wsDr xmlns:xdr="http://schemas.openxmlformats.org/drawingml/2006/spreadsheetDrawing" xmlns:a="http://schemas.openxmlformats.org/drawingml/2006/main">
  <xdr:twoCellAnchor>
    <xdr:from>
      <xdr:col>67</xdr:col>
      <xdr:colOff>301058</xdr:colOff>
      <xdr:row>14</xdr:row>
      <xdr:rowOff>112266</xdr:rowOff>
    </xdr:from>
    <xdr:to>
      <xdr:col>76</xdr:col>
      <xdr:colOff>181996</xdr:colOff>
      <xdr:row>37</xdr:row>
      <xdr:rowOff>180293</xdr:rowOff>
    </xdr:to>
    <xdr:graphicFrame macro="">
      <xdr:nvGraphicFramePr>
        <xdr:cNvPr id="2" name="Chart 1">
          <a:extLst>
            <a:ext uri="{FF2B5EF4-FFF2-40B4-BE49-F238E27FC236}">
              <a16:creationId xmlns:a16="http://schemas.microsoft.com/office/drawing/2014/main" id="{5D6C23B5-940A-4909-B1D2-B8A4A51376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65</xdr:col>
      <xdr:colOff>27214</xdr:colOff>
      <xdr:row>38</xdr:row>
      <xdr:rowOff>122463</xdr:rowOff>
    </xdr:from>
    <xdr:to>
      <xdr:col>73</xdr:col>
      <xdr:colOff>598714</xdr:colOff>
      <xdr:row>62</xdr:row>
      <xdr:rowOff>176893</xdr:rowOff>
    </xdr:to>
    <xdr:graphicFrame macro="">
      <xdr:nvGraphicFramePr>
        <xdr:cNvPr id="3" name="Chart 2">
          <a:extLst>
            <a:ext uri="{FF2B5EF4-FFF2-40B4-BE49-F238E27FC236}">
              <a16:creationId xmlns:a16="http://schemas.microsoft.com/office/drawing/2014/main" id="{CA81A087-F542-441B-A359-7582E58970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74</xdr:col>
      <xdr:colOff>81642</xdr:colOff>
      <xdr:row>38</xdr:row>
      <xdr:rowOff>136080</xdr:rowOff>
    </xdr:from>
    <xdr:to>
      <xdr:col>84</xdr:col>
      <xdr:colOff>13607</xdr:colOff>
      <xdr:row>62</xdr:row>
      <xdr:rowOff>122464</xdr:rowOff>
    </xdr:to>
    <xdr:graphicFrame macro="">
      <xdr:nvGraphicFramePr>
        <xdr:cNvPr id="4" name="Chart 3">
          <a:extLst>
            <a:ext uri="{FF2B5EF4-FFF2-40B4-BE49-F238E27FC236}">
              <a16:creationId xmlns:a16="http://schemas.microsoft.com/office/drawing/2014/main" id="{3650DBF1-136A-4BB4-86F3-BF25C88B9C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89</xdr:col>
      <xdr:colOff>408215</xdr:colOff>
      <xdr:row>13</xdr:row>
      <xdr:rowOff>152399</xdr:rowOff>
    </xdr:from>
    <xdr:to>
      <xdr:col>98</xdr:col>
      <xdr:colOff>408214</xdr:colOff>
      <xdr:row>29</xdr:row>
      <xdr:rowOff>27214</xdr:rowOff>
    </xdr:to>
    <xdr:graphicFrame macro="">
      <xdr:nvGraphicFramePr>
        <xdr:cNvPr id="7" name="Chart 6">
          <a:extLst>
            <a:ext uri="{FF2B5EF4-FFF2-40B4-BE49-F238E27FC236}">
              <a16:creationId xmlns:a16="http://schemas.microsoft.com/office/drawing/2014/main" id="{76403B11-F3E5-451C-ACAA-08E95D2924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89</xdr:col>
      <xdr:colOff>394608</xdr:colOff>
      <xdr:row>29</xdr:row>
      <xdr:rowOff>176894</xdr:rowOff>
    </xdr:from>
    <xdr:to>
      <xdr:col>98</xdr:col>
      <xdr:colOff>421821</xdr:colOff>
      <xdr:row>47</xdr:row>
      <xdr:rowOff>68036</xdr:rowOff>
    </xdr:to>
    <xdr:graphicFrame macro="">
      <xdr:nvGraphicFramePr>
        <xdr:cNvPr id="8" name="Chart 7">
          <a:extLst>
            <a:ext uri="{FF2B5EF4-FFF2-40B4-BE49-F238E27FC236}">
              <a16:creationId xmlns:a16="http://schemas.microsoft.com/office/drawing/2014/main" id="{068A1C0B-E262-42D9-A1B6-F39DCBF98B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74</xdr:col>
      <xdr:colOff>258536</xdr:colOff>
      <xdr:row>14</xdr:row>
      <xdr:rowOff>27222</xdr:rowOff>
    </xdr:from>
    <xdr:to>
      <xdr:col>83</xdr:col>
      <xdr:colOff>625928</xdr:colOff>
      <xdr:row>37</xdr:row>
      <xdr:rowOff>163285</xdr:rowOff>
    </xdr:to>
    <xdr:graphicFrame macro="">
      <xdr:nvGraphicFramePr>
        <xdr:cNvPr id="5" name="Chart 4">
          <a:extLst>
            <a:ext uri="{FF2B5EF4-FFF2-40B4-BE49-F238E27FC236}">
              <a16:creationId xmlns:a16="http://schemas.microsoft.com/office/drawing/2014/main" id="{334171DF-CF54-4557-B668-60FCF0769D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28575</xdr:colOff>
      <xdr:row>1</xdr:row>
      <xdr:rowOff>76200</xdr:rowOff>
    </xdr:from>
    <xdr:to>
      <xdr:col>8</xdr:col>
      <xdr:colOff>809625</xdr:colOff>
      <xdr:row>1</xdr:row>
      <xdr:rowOff>76200</xdr:rowOff>
    </xdr:to>
    <xdr:sp macro="" textlink="">
      <xdr:nvSpPr>
        <xdr:cNvPr id="2" name="Line 9">
          <a:extLst>
            <a:ext uri="{FF2B5EF4-FFF2-40B4-BE49-F238E27FC236}">
              <a16:creationId xmlns:a16="http://schemas.microsoft.com/office/drawing/2014/main" id="{00000000-0008-0000-0C00-000002000000}"/>
            </a:ext>
          </a:extLst>
        </xdr:cNvPr>
        <xdr:cNvSpPr>
          <a:spLocks noChangeShapeType="1"/>
        </xdr:cNvSpPr>
      </xdr:nvSpPr>
      <xdr:spPr bwMode="auto">
        <a:xfrm>
          <a:off x="1704975" y="333375"/>
          <a:ext cx="6515100" cy="0"/>
        </a:xfrm>
        <a:prstGeom prst="line">
          <a:avLst/>
        </a:prstGeom>
        <a:noFill/>
        <a:ln w="19050">
          <a:solidFill>
            <a:srgbClr val="000080"/>
          </a:solidFill>
          <a:round/>
          <a:headEnd/>
          <a:tailEnd/>
        </a:ln>
      </xdr:spPr>
    </xdr:sp>
    <xdr:clientData/>
  </xdr:twoCellAnchor>
  <xdr:twoCellAnchor>
    <xdr:from>
      <xdr:col>0</xdr:col>
      <xdr:colOff>1755884</xdr:colOff>
      <xdr:row>1</xdr:row>
      <xdr:rowOff>76200</xdr:rowOff>
    </xdr:from>
    <xdr:to>
      <xdr:col>9</xdr:col>
      <xdr:colOff>643102</xdr:colOff>
      <xdr:row>1</xdr:row>
      <xdr:rowOff>95250</xdr:rowOff>
    </xdr:to>
    <xdr:sp macro="" textlink="">
      <xdr:nvSpPr>
        <xdr:cNvPr id="3" name="Line 9"/>
        <xdr:cNvSpPr>
          <a:spLocks noChangeShapeType="1"/>
        </xdr:cNvSpPr>
      </xdr:nvSpPr>
      <xdr:spPr bwMode="auto">
        <a:xfrm flipV="1">
          <a:off x="1755884" y="333375"/>
          <a:ext cx="8555093" cy="19050"/>
        </a:xfrm>
        <a:prstGeom prst="line">
          <a:avLst/>
        </a:prstGeom>
        <a:noFill/>
        <a:ln w="19050">
          <a:solidFill>
            <a:srgbClr val="000080"/>
          </a:solidFill>
          <a:round/>
          <a:headEnd/>
          <a:tailEnd/>
        </a:ln>
      </xdr:spPr>
    </xdr:sp>
    <xdr:clientData/>
  </xdr:twoCellAnchor>
  <xdr:twoCellAnchor>
    <xdr:from>
      <xdr:col>1</xdr:col>
      <xdr:colOff>28575</xdr:colOff>
      <xdr:row>71</xdr:row>
      <xdr:rowOff>76200</xdr:rowOff>
    </xdr:from>
    <xdr:to>
      <xdr:col>8</xdr:col>
      <xdr:colOff>809625</xdr:colOff>
      <xdr:row>71</xdr:row>
      <xdr:rowOff>76200</xdr:rowOff>
    </xdr:to>
    <xdr:sp macro="" textlink="">
      <xdr:nvSpPr>
        <xdr:cNvPr id="4" name="Line 9"/>
        <xdr:cNvSpPr>
          <a:spLocks noChangeShapeType="1"/>
        </xdr:cNvSpPr>
      </xdr:nvSpPr>
      <xdr:spPr bwMode="auto">
        <a:xfrm>
          <a:off x="1704975" y="333375"/>
          <a:ext cx="6515100" cy="0"/>
        </a:xfrm>
        <a:prstGeom prst="line">
          <a:avLst/>
        </a:prstGeom>
        <a:noFill/>
        <a:ln w="19050">
          <a:solidFill>
            <a:srgbClr val="00008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400050</xdr:colOff>
      <xdr:row>15</xdr:row>
      <xdr:rowOff>104775</xdr:rowOff>
    </xdr:to>
    <xdr:pic>
      <xdr:nvPicPr>
        <xdr:cNvPr id="2" name="Picture 1" descr="cid:image001.png@01D3D239.0ABC7C90">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0" y="0"/>
          <a:ext cx="5200650" cy="3105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0</xdr:row>
      <xdr:rowOff>0</xdr:rowOff>
    </xdr:from>
    <xdr:to>
      <xdr:col>25</xdr:col>
      <xdr:colOff>597353</xdr:colOff>
      <xdr:row>29</xdr:row>
      <xdr:rowOff>24493</xdr:rowOff>
    </xdr:to>
    <xdr:pic>
      <xdr:nvPicPr>
        <xdr:cNvPr id="3" name="圖片 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701893" y="0"/>
          <a:ext cx="7400925" cy="5943600"/>
        </a:xfrm>
        <a:prstGeom prst="rect">
          <a:avLst/>
        </a:prstGeom>
      </xdr:spPr>
    </xdr:pic>
    <xdr:clientData/>
  </xdr:twoCellAnchor>
  <xdr:twoCellAnchor editAs="oneCell">
    <xdr:from>
      <xdr:col>0</xdr:col>
      <xdr:colOff>0</xdr:colOff>
      <xdr:row>22</xdr:row>
      <xdr:rowOff>142870</xdr:rowOff>
    </xdr:from>
    <xdr:to>
      <xdr:col>10</xdr:col>
      <xdr:colOff>408894</xdr:colOff>
      <xdr:row>47</xdr:row>
      <xdr:rowOff>71093</xdr:rowOff>
    </xdr:to>
    <xdr:pic>
      <xdr:nvPicPr>
        <xdr:cNvPr id="4" name="圖片 3"/>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4595808"/>
          <a:ext cx="8064613" cy="4988379"/>
        </a:xfrm>
        <a:prstGeom prst="rect">
          <a:avLst/>
        </a:prstGeom>
      </xdr:spPr>
    </xdr:pic>
    <xdr:clientData/>
  </xdr:twoCellAnchor>
  <xdr:twoCellAnchor editAs="oneCell">
    <xdr:from>
      <xdr:col>0</xdr:col>
      <xdr:colOff>0</xdr:colOff>
      <xdr:row>44</xdr:row>
      <xdr:rowOff>0</xdr:rowOff>
    </xdr:from>
    <xdr:to>
      <xdr:col>10</xdr:col>
      <xdr:colOff>342219</xdr:colOff>
      <xdr:row>66</xdr:row>
      <xdr:rowOff>110218</xdr:rowOff>
    </xdr:to>
    <xdr:pic>
      <xdr:nvPicPr>
        <xdr:cNvPr id="5" name="圖片 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8980714"/>
          <a:ext cx="7924800" cy="460057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AVIDT~1/AppData/Local/Temp/7zO0FD7880F/Tablets_and_PCs_Combined_2018Q1.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ackaljenchieh1/AppData/Local/Temp/Temp1_Tablets_and_PCs_Combined_2017Q4%20-%20Dec%202017.zip/Tablets_and_PCs_Combined_2017Q4.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jackaljenchieh1/AppData/Local/Temp/Temp1_Tablets_and_PCs_Combined_2018Q1%20-%20Mar%202018.zip/Tablets_and_PCs_Combined_2018Q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jackaljenchieh1/AppData/Local/Temp/Temp1_Forecast_Telecom_Enterprise%20Network%20Equipment_4Q17%20-%20Dec%202017.zip/Telecom_ENE_forecast_2017Q4.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D/Portfolio/Hon%20Hai%20Group/01%20Projections%20-%20HHP/HHP%20Financial%20Projection%20Sep%2018%202017%20(Worst%20cas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S_Combined_Table"/>
      <sheetName val="OS_Combo_Country_Table"/>
      <sheetName val="UM_F_OS_Table"/>
      <sheetName val="Computing_Table"/>
      <sheetName val="Combined_Table"/>
      <sheetName val="Contents"/>
      <sheetName val="Combined Devices Units"/>
      <sheetName val="Computing Devices Revenue"/>
      <sheetName val="Traditional Tablets"/>
      <sheetName val="UM by Form Factor by OS"/>
      <sheetName val="Smartphones"/>
      <sheetName val="OS Combined Devices"/>
      <sheetName val="OS Combined Devices By Country"/>
      <sheetName val="Data_Structure"/>
      <sheetName val="Exchange_Rates"/>
      <sheetName val="Pivot_Table_Tips"/>
      <sheetName val="Currenci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ow r="1">
          <cell r="E1">
            <v>2016</v>
          </cell>
        </row>
        <row r="2">
          <cell r="E2">
            <v>2022</v>
          </cell>
        </row>
        <row r="3">
          <cell r="E3" t="str">
            <v>1Q18</v>
          </cell>
        </row>
        <row r="4">
          <cell r="E4" t="str">
            <v>March 2018</v>
          </cell>
        </row>
        <row r="5">
          <cell r="J5" t="str">
            <v>2015 YR</v>
          </cell>
        </row>
        <row r="7">
          <cell r="F7" t="str">
            <v>Exchange Rate</v>
          </cell>
        </row>
        <row r="9">
          <cell r="E9" t="str">
            <v>Argentinian Peso</v>
          </cell>
        </row>
        <row r="10">
          <cell r="E10" t="str">
            <v>Australian Dollar</v>
          </cell>
        </row>
        <row r="11">
          <cell r="E11" t="str">
            <v>Brazilian Real</v>
          </cell>
        </row>
        <row r="12">
          <cell r="E12" t="str">
            <v>British Pound</v>
          </cell>
        </row>
        <row r="13">
          <cell r="E13" t="str">
            <v>Canadian Dollar</v>
          </cell>
        </row>
        <row r="14">
          <cell r="E14" t="str">
            <v>Chilean Peso</v>
          </cell>
        </row>
        <row r="15">
          <cell r="E15" t="str">
            <v>Chinese Renminbi</v>
          </cell>
        </row>
        <row r="16">
          <cell r="E16" t="str">
            <v>Colombian Peso</v>
          </cell>
        </row>
        <row r="17">
          <cell r="E17" t="str">
            <v>Czech Koruna</v>
          </cell>
        </row>
        <row r="18">
          <cell r="E18" t="str">
            <v>Denmark Krone</v>
          </cell>
        </row>
        <row r="19">
          <cell r="E19" t="str">
            <v>Euro</v>
          </cell>
        </row>
        <row r="20">
          <cell r="E20" t="str">
            <v>Hong Kong Dollar</v>
          </cell>
        </row>
        <row r="21">
          <cell r="E21" t="str">
            <v>Hungarian Forint</v>
          </cell>
        </row>
        <row r="22">
          <cell r="E22" t="str">
            <v>Indian Rupee</v>
          </cell>
        </row>
        <row r="23">
          <cell r="E23" t="str">
            <v>Indonesian Rupiah</v>
          </cell>
        </row>
        <row r="24">
          <cell r="E24" t="str">
            <v>Israeli New Shekel</v>
          </cell>
        </row>
        <row r="25">
          <cell r="E25" t="str">
            <v>Japanese Yen</v>
          </cell>
        </row>
        <row r="26">
          <cell r="E26" t="str">
            <v>Malaysian Ringgit</v>
          </cell>
        </row>
        <row r="27">
          <cell r="E27" t="str">
            <v>Mexican Peso</v>
          </cell>
        </row>
        <row r="28">
          <cell r="E28" t="str">
            <v>New Zealand Dollar</v>
          </cell>
        </row>
        <row r="29">
          <cell r="E29" t="str">
            <v>Norway Krone</v>
          </cell>
        </row>
        <row r="30">
          <cell r="E30" t="str">
            <v>Polish Zloty</v>
          </cell>
        </row>
        <row r="31">
          <cell r="E31" t="str">
            <v>Russian Ruble</v>
          </cell>
        </row>
        <row r="32">
          <cell r="E32" t="str">
            <v>Saudi Arabia Riyal</v>
          </cell>
        </row>
        <row r="33">
          <cell r="E33" t="str">
            <v>Singapore Dollar</v>
          </cell>
        </row>
        <row r="34">
          <cell r="E34" t="str">
            <v>South Africa Rand</v>
          </cell>
        </row>
        <row r="35">
          <cell r="E35" t="str">
            <v>South Korea Won</v>
          </cell>
        </row>
        <row r="36">
          <cell r="E36" t="str">
            <v>Swedish Krona</v>
          </cell>
        </row>
        <row r="37">
          <cell r="E37" t="str">
            <v>Swiss Franc</v>
          </cell>
        </row>
        <row r="38">
          <cell r="E38" t="str">
            <v>Taiwan Dollar</v>
          </cell>
        </row>
        <row r="39">
          <cell r="E39" t="str">
            <v>Thai Baht</v>
          </cell>
        </row>
        <row r="40">
          <cell r="E40" t="str">
            <v>Turkish New Lira</v>
          </cell>
        </row>
        <row r="41">
          <cell r="E41" t="str">
            <v>US Dollar</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S_Combined_Table"/>
      <sheetName val="OS_Combo_Country_Table"/>
      <sheetName val="UM_F_OS_Table"/>
      <sheetName val="Computing_Table"/>
      <sheetName val="Combined_Table"/>
      <sheetName val="Contents"/>
      <sheetName val="Combined Devices Units"/>
      <sheetName val="Computing Devices Revenue"/>
      <sheetName val="Traditional Tablets"/>
      <sheetName val="UM by Form Factor by OS"/>
      <sheetName val="Smartphones"/>
      <sheetName val="OS Combined Devices"/>
      <sheetName val="OS Combined Devices By Country"/>
      <sheetName val="Data_Structure"/>
      <sheetName val="Exchange_Rates"/>
      <sheetName val="Pivot_Table_Tips"/>
      <sheetName val="Currenci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1">
          <cell r="E1">
            <v>2015</v>
          </cell>
        </row>
        <row r="2">
          <cell r="E2">
            <v>2021</v>
          </cell>
        </row>
        <row r="4">
          <cell r="E4" t="str">
            <v>December 2017</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S_Combined_Table"/>
      <sheetName val="OS_Combo_Country_Table"/>
      <sheetName val="UM_F_OS_Table"/>
      <sheetName val="Computing_Table"/>
      <sheetName val="Combined_Table"/>
      <sheetName val="Contents"/>
      <sheetName val="Combined Devices Units"/>
      <sheetName val="Computing Devices Revenue"/>
      <sheetName val="Traditional Tablets"/>
      <sheetName val="UM by Form Factor by OS"/>
      <sheetName val="Smartphones"/>
      <sheetName val="OS Combined Devices"/>
      <sheetName val="OS Combined Devices By Country"/>
      <sheetName val="Data_Structure"/>
      <sheetName val="Exchange_Rates"/>
      <sheetName val="Pivot_Table_Tips"/>
      <sheetName val="Currenci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1">
          <cell r="E1">
            <v>2016</v>
          </cell>
        </row>
        <row r="2">
          <cell r="E2">
            <v>2022</v>
          </cell>
        </row>
        <row r="4">
          <cell r="E4" t="str">
            <v>March 2018</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Summary_Tables"/>
      <sheetName val="Helper_Data"/>
      <sheetName val="Helper_Data2_Table"/>
      <sheetName val="Helper_Data(2)"/>
      <sheetName val="Geography"/>
      <sheetName val="Switches"/>
      <sheetName val="Sheet3_Switches"/>
      <sheetName val="WLAN"/>
      <sheetName val="Sheet6_WLAN"/>
      <sheetName val="Application Acceleration"/>
      <sheetName val="Network Security"/>
      <sheetName val="Sheet1_AA"/>
      <sheetName val="Sheet2_AA"/>
      <sheetName val="Sheet7_WAN"/>
      <sheetName val="Sheet7_WAN_Table"/>
      <sheetName val="Sheet5_WLAN_Table"/>
      <sheetName val="Sheet4_Sw_Table"/>
      <sheetName val="Sheet3_Sw_Table"/>
      <sheetName val="Helper_Data_Table"/>
      <sheetName val="Geography_Table"/>
      <sheetName val="Sheet2_AA_Table"/>
      <sheetName val="Sheet1_AA_Table"/>
      <sheetName val="Sheet6_WLAN_Table"/>
      <sheetName val="Sheet4_Switches"/>
      <sheetName val="Sheet8_WAN"/>
      <sheetName val="Sheet8_WAN_Table"/>
      <sheetName val="Sheet5_WLAN"/>
      <sheetName val="WAN Edge"/>
      <sheetName val="Segmentation"/>
      <sheetName val="Definitions"/>
      <sheetName val="Exchange_Rates"/>
      <sheetName val="Pivot_Table_Tips"/>
      <sheetName val="Currencies"/>
    </sheetNames>
    <sheetDataSet>
      <sheetData sheetId="0" refreshError="1"/>
      <sheetData sheetId="1" refreshError="1"/>
      <sheetData sheetId="2">
        <row r="19">
          <cell r="E19" t="str">
            <v>Segment2</v>
          </cell>
        </row>
        <row r="185">
          <cell r="E185" t="str">
            <v>Segment2</v>
          </cell>
        </row>
      </sheetData>
      <sheetData sheetId="3" refreshError="1"/>
      <sheetData sheetId="4">
        <row r="26">
          <cell r="E26" t="str">
            <v>Region</v>
          </cell>
        </row>
        <row r="71">
          <cell r="E71" t="str">
            <v>Region</v>
          </cell>
        </row>
      </sheetData>
      <sheetData sheetId="5" refreshError="1"/>
      <sheetData sheetId="6" refreshError="1"/>
      <sheetData sheetId="7">
        <row r="21">
          <cell r="A21" t="str">
            <v>Segment4</v>
          </cell>
        </row>
        <row r="22">
          <cell r="U22" t="str">
            <v>Segment4</v>
          </cell>
        </row>
      </sheetData>
      <sheetData sheetId="8" refreshError="1"/>
      <sheetData sheetId="9">
        <row r="22">
          <cell r="A22" t="str">
            <v>Region</v>
          </cell>
          <cell r="D22" t="str">
            <v>Data</v>
          </cell>
          <cell r="E22" t="str">
            <v>2014 YR</v>
          </cell>
          <cell r="F22" t="str">
            <v>2015 YR</v>
          </cell>
          <cell r="G22" t="str">
            <v>2016 YR</v>
          </cell>
          <cell r="H22" t="str">
            <v>2017 YR</v>
          </cell>
          <cell r="I22" t="str">
            <v>2018 YR</v>
          </cell>
          <cell r="J22" t="str">
            <v>2019 YR</v>
          </cell>
          <cell r="K22" t="str">
            <v>2020 YR</v>
          </cell>
          <cell r="L22" t="str">
            <v>2021 YR</v>
          </cell>
        </row>
        <row r="23">
          <cell r="A23" t="str">
            <v>Asia/Pacific</v>
          </cell>
          <cell r="B23" t="str">
            <v>Small-Business WLAN APs</v>
          </cell>
          <cell r="D23" t="str">
            <v>End-User Spending ($M)</v>
          </cell>
        </row>
        <row r="24">
          <cell r="D24" t="str">
            <v>Vendor Revenue ($M)</v>
          </cell>
        </row>
        <row r="25">
          <cell r="D25" t="str">
            <v>Unit Shipments (K)</v>
          </cell>
        </row>
        <row r="26">
          <cell r="B26" t="str">
            <v>Enterprise WLAN APs</v>
          </cell>
          <cell r="D26" t="str">
            <v>End-User Spending ($M)</v>
          </cell>
        </row>
        <row r="27">
          <cell r="D27" t="str">
            <v>Vendor Revenue ($M)</v>
          </cell>
        </row>
        <row r="28">
          <cell r="D28" t="str">
            <v>Unit Shipments (K)</v>
          </cell>
        </row>
        <row r="29">
          <cell r="B29" t="str">
            <v>Enterprise WLAN Other</v>
          </cell>
          <cell r="C29" t="str">
            <v>Enterprise WLAN Controllers</v>
          </cell>
          <cell r="D29" t="str">
            <v>End-User Spending ($M)</v>
          </cell>
        </row>
        <row r="30">
          <cell r="D30" t="str">
            <v>Vendor Revenue ($M)</v>
          </cell>
        </row>
        <row r="31">
          <cell r="D31" t="str">
            <v>Unit Shipments (K)</v>
          </cell>
        </row>
        <row r="32">
          <cell r="C32" t="str">
            <v xml:space="preserve">Enterprise WLAN Enhancement Products </v>
          </cell>
          <cell r="D32" t="str">
            <v>End-User Spending ($M)</v>
          </cell>
        </row>
        <row r="33">
          <cell r="D33" t="str">
            <v>Vendor Revenue ($M)</v>
          </cell>
        </row>
        <row r="34">
          <cell r="D34" t="str">
            <v>Unit Shipments (K)</v>
          </cell>
        </row>
        <row r="35">
          <cell r="A35" t="str">
            <v>Asia/Pacific End-User Spending ($M)</v>
          </cell>
        </row>
        <row r="36">
          <cell r="A36" t="str">
            <v>Asia/Pacific Vendor Revenue ($M)</v>
          </cell>
        </row>
        <row r="37">
          <cell r="A37" t="str">
            <v>Asia/Pacific Unit Shipments (K)</v>
          </cell>
        </row>
        <row r="38">
          <cell r="A38" t="str">
            <v>Eastern Europe</v>
          </cell>
          <cell r="B38" t="str">
            <v>Small-Business WLAN APs</v>
          </cell>
          <cell r="D38" t="str">
            <v>End-User Spending ($M)</v>
          </cell>
        </row>
        <row r="39">
          <cell r="D39" t="str">
            <v>Vendor Revenue ($M)</v>
          </cell>
        </row>
        <row r="40">
          <cell r="D40" t="str">
            <v>Unit Shipments (K)</v>
          </cell>
        </row>
        <row r="41">
          <cell r="B41" t="str">
            <v>Enterprise WLAN APs</v>
          </cell>
          <cell r="D41" t="str">
            <v>End-User Spending ($M)</v>
          </cell>
        </row>
        <row r="42">
          <cell r="D42" t="str">
            <v>Vendor Revenue ($M)</v>
          </cell>
        </row>
        <row r="43">
          <cell r="D43" t="str">
            <v>Unit Shipments (K)</v>
          </cell>
        </row>
        <row r="44">
          <cell r="B44" t="str">
            <v>Enterprise WLAN Other</v>
          </cell>
          <cell r="C44" t="str">
            <v>Enterprise WLAN Controllers</v>
          </cell>
          <cell r="D44" t="str">
            <v>End-User Spending ($M)</v>
          </cell>
        </row>
        <row r="45">
          <cell r="D45" t="str">
            <v>Vendor Revenue ($M)</v>
          </cell>
        </row>
        <row r="46">
          <cell r="D46" t="str">
            <v>Unit Shipments (K)</v>
          </cell>
        </row>
        <row r="47">
          <cell r="C47" t="str">
            <v xml:space="preserve">Enterprise WLAN Enhancement Products </v>
          </cell>
          <cell r="D47" t="str">
            <v>End-User Spending ($M)</v>
          </cell>
        </row>
        <row r="48">
          <cell r="D48" t="str">
            <v>Vendor Revenue ($M)</v>
          </cell>
        </row>
        <row r="49">
          <cell r="D49" t="str">
            <v>Unit Shipments (K)</v>
          </cell>
        </row>
        <row r="50">
          <cell r="A50" t="str">
            <v>Eastern Europe End-User Spending ($M)</v>
          </cell>
        </row>
        <row r="51">
          <cell r="A51" t="str">
            <v>Eastern Europe Vendor Revenue ($M)</v>
          </cell>
        </row>
        <row r="52">
          <cell r="A52" t="str">
            <v>Eastern Europe Unit Shipments (K)</v>
          </cell>
        </row>
        <row r="53">
          <cell r="A53" t="str">
            <v>Japan</v>
          </cell>
          <cell r="B53" t="str">
            <v>Small-Business WLAN APs</v>
          </cell>
          <cell r="D53" t="str">
            <v>End-User Spending ($M)</v>
          </cell>
        </row>
        <row r="54">
          <cell r="D54" t="str">
            <v>Vendor Revenue ($M)</v>
          </cell>
        </row>
        <row r="55">
          <cell r="D55" t="str">
            <v>Unit Shipments (K)</v>
          </cell>
        </row>
        <row r="56">
          <cell r="B56" t="str">
            <v>Enterprise WLAN APs</v>
          </cell>
          <cell r="D56" t="str">
            <v>End-User Spending ($M)</v>
          </cell>
        </row>
        <row r="57">
          <cell r="D57" t="str">
            <v>Vendor Revenue ($M)</v>
          </cell>
        </row>
        <row r="58">
          <cell r="D58" t="str">
            <v>Unit Shipments (K)</v>
          </cell>
        </row>
        <row r="59">
          <cell r="B59" t="str">
            <v>Enterprise WLAN Other</v>
          </cell>
          <cell r="C59" t="str">
            <v>Enterprise WLAN Controllers</v>
          </cell>
          <cell r="D59" t="str">
            <v>End-User Spending ($M)</v>
          </cell>
        </row>
        <row r="60">
          <cell r="D60" t="str">
            <v>Vendor Revenue ($M)</v>
          </cell>
        </row>
        <row r="61">
          <cell r="D61" t="str">
            <v>Unit Shipments (K)</v>
          </cell>
        </row>
        <row r="62">
          <cell r="C62" t="str">
            <v xml:space="preserve">Enterprise WLAN Enhancement Products </v>
          </cell>
          <cell r="D62" t="str">
            <v>End-User Spending ($M)</v>
          </cell>
        </row>
        <row r="63">
          <cell r="D63" t="str">
            <v>Vendor Revenue ($M)</v>
          </cell>
        </row>
        <row r="64">
          <cell r="D64" t="str">
            <v>Unit Shipments (K)</v>
          </cell>
        </row>
        <row r="65">
          <cell r="A65" t="str">
            <v>Japan End-User Spending ($M)</v>
          </cell>
        </row>
        <row r="66">
          <cell r="A66" t="str">
            <v>Japan Vendor Revenue ($M)</v>
          </cell>
        </row>
        <row r="67">
          <cell r="A67" t="str">
            <v>Japan Unit Shipments (K)</v>
          </cell>
        </row>
        <row r="68">
          <cell r="A68" t="str">
            <v>Latin America</v>
          </cell>
          <cell r="B68" t="str">
            <v>Small-Business WLAN APs</v>
          </cell>
          <cell r="D68" t="str">
            <v>End-User Spending ($M)</v>
          </cell>
        </row>
        <row r="69">
          <cell r="D69" t="str">
            <v>Vendor Revenue ($M)</v>
          </cell>
        </row>
        <row r="70">
          <cell r="D70" t="str">
            <v>Unit Shipments (K)</v>
          </cell>
        </row>
        <row r="71">
          <cell r="B71" t="str">
            <v>Enterprise WLAN APs</v>
          </cell>
          <cell r="D71" t="str">
            <v>End-User Spending ($M)</v>
          </cell>
        </row>
        <row r="72">
          <cell r="D72" t="str">
            <v>Vendor Revenue ($M)</v>
          </cell>
        </row>
        <row r="73">
          <cell r="D73" t="str">
            <v>Unit Shipments (K)</v>
          </cell>
        </row>
        <row r="74">
          <cell r="B74" t="str">
            <v>Enterprise WLAN Other</v>
          </cell>
          <cell r="C74" t="str">
            <v>Enterprise WLAN Controllers</v>
          </cell>
          <cell r="D74" t="str">
            <v>End-User Spending ($M)</v>
          </cell>
        </row>
        <row r="75">
          <cell r="D75" t="str">
            <v>Vendor Revenue ($M)</v>
          </cell>
        </row>
        <row r="76">
          <cell r="D76" t="str">
            <v>Unit Shipments (K)</v>
          </cell>
        </row>
        <row r="77">
          <cell r="C77" t="str">
            <v xml:space="preserve">Enterprise WLAN Enhancement Products </v>
          </cell>
          <cell r="D77" t="str">
            <v>End-User Spending ($M)</v>
          </cell>
        </row>
        <row r="78">
          <cell r="D78" t="str">
            <v>Vendor Revenue ($M)</v>
          </cell>
        </row>
        <row r="79">
          <cell r="D79" t="str">
            <v>Unit Shipments (K)</v>
          </cell>
        </row>
        <row r="80">
          <cell r="A80" t="str">
            <v>Latin America End-User Spending ($M)</v>
          </cell>
        </row>
        <row r="81">
          <cell r="A81" t="str">
            <v>Latin America Vendor Revenue ($M)</v>
          </cell>
        </row>
        <row r="82">
          <cell r="A82" t="str">
            <v>Latin America Unit Shipments (K)</v>
          </cell>
        </row>
        <row r="83">
          <cell r="A83" t="str">
            <v>Middle East &amp; Africa</v>
          </cell>
          <cell r="B83" t="str">
            <v>Small-Business WLAN APs</v>
          </cell>
          <cell r="D83" t="str">
            <v>End-User Spending ($M)</v>
          </cell>
        </row>
        <row r="84">
          <cell r="D84" t="str">
            <v>Vendor Revenue ($M)</v>
          </cell>
        </row>
        <row r="85">
          <cell r="D85" t="str">
            <v>Unit Shipments (K)</v>
          </cell>
        </row>
        <row r="86">
          <cell r="B86" t="str">
            <v>Enterprise WLAN APs</v>
          </cell>
          <cell r="D86" t="str">
            <v>End-User Spending ($M)</v>
          </cell>
        </row>
        <row r="87">
          <cell r="D87" t="str">
            <v>Vendor Revenue ($M)</v>
          </cell>
        </row>
        <row r="88">
          <cell r="D88" t="str">
            <v>Unit Shipments (K)</v>
          </cell>
        </row>
        <row r="89">
          <cell r="B89" t="str">
            <v>Enterprise WLAN Other</v>
          </cell>
          <cell r="C89" t="str">
            <v>Enterprise WLAN Controllers</v>
          </cell>
          <cell r="D89" t="str">
            <v>End-User Spending ($M)</v>
          </cell>
        </row>
        <row r="90">
          <cell r="D90" t="str">
            <v>Vendor Revenue ($M)</v>
          </cell>
        </row>
        <row r="91">
          <cell r="D91" t="str">
            <v>Unit Shipments (K)</v>
          </cell>
        </row>
        <row r="92">
          <cell r="C92" t="str">
            <v xml:space="preserve">Enterprise WLAN Enhancement Products </v>
          </cell>
          <cell r="D92" t="str">
            <v>End-User Spending ($M)</v>
          </cell>
        </row>
        <row r="93">
          <cell r="D93" t="str">
            <v>Vendor Revenue ($M)</v>
          </cell>
        </row>
        <row r="94">
          <cell r="D94" t="str">
            <v>Unit Shipments (K)</v>
          </cell>
        </row>
        <row r="95">
          <cell r="A95" t="str">
            <v>Middle East &amp; Africa End-User Spending ($M)</v>
          </cell>
        </row>
        <row r="96">
          <cell r="A96" t="str">
            <v>Middle East &amp; Africa Vendor Revenue ($M)</v>
          </cell>
        </row>
        <row r="97">
          <cell r="A97" t="str">
            <v>Middle East &amp; Africa Unit Shipments (K)</v>
          </cell>
        </row>
        <row r="98">
          <cell r="A98" t="str">
            <v>North America</v>
          </cell>
          <cell r="B98" t="str">
            <v>Small-Business WLAN APs</v>
          </cell>
          <cell r="D98" t="str">
            <v>End-User Spending ($M)</v>
          </cell>
        </row>
        <row r="99">
          <cell r="D99" t="str">
            <v>Vendor Revenue ($M)</v>
          </cell>
        </row>
        <row r="100">
          <cell r="D100" t="str">
            <v>Unit Shipments (K)</v>
          </cell>
        </row>
        <row r="101">
          <cell r="B101" t="str">
            <v>Enterprise WLAN APs</v>
          </cell>
          <cell r="D101" t="str">
            <v>End-User Spending ($M)</v>
          </cell>
        </row>
        <row r="102">
          <cell r="D102" t="str">
            <v>Vendor Revenue ($M)</v>
          </cell>
        </row>
        <row r="103">
          <cell r="D103" t="str">
            <v>Unit Shipments (K)</v>
          </cell>
        </row>
        <row r="104">
          <cell r="B104" t="str">
            <v>Enterprise WLAN Other</v>
          </cell>
          <cell r="C104" t="str">
            <v>Enterprise WLAN Controllers</v>
          </cell>
          <cell r="D104" t="str">
            <v>End-User Spending ($M)</v>
          </cell>
        </row>
        <row r="105">
          <cell r="D105" t="str">
            <v>Vendor Revenue ($M)</v>
          </cell>
        </row>
        <row r="106">
          <cell r="D106" t="str">
            <v>Unit Shipments (K)</v>
          </cell>
        </row>
        <row r="107">
          <cell r="C107" t="str">
            <v xml:space="preserve">Enterprise WLAN Enhancement Products </v>
          </cell>
          <cell r="D107" t="str">
            <v>End-User Spending ($M)</v>
          </cell>
        </row>
        <row r="108">
          <cell r="D108" t="str">
            <v>Vendor Revenue ($M)</v>
          </cell>
        </row>
        <row r="109">
          <cell r="D109" t="str">
            <v>Unit Shipments (K)</v>
          </cell>
        </row>
        <row r="110">
          <cell r="A110" t="str">
            <v>North America End-User Spending ($M)</v>
          </cell>
        </row>
        <row r="111">
          <cell r="A111" t="str">
            <v>North America Vendor Revenue ($M)</v>
          </cell>
        </row>
        <row r="112">
          <cell r="A112" t="str">
            <v>North America Unit Shipments (K)</v>
          </cell>
        </row>
        <row r="113">
          <cell r="A113" t="str">
            <v>Western Europe</v>
          </cell>
          <cell r="B113" t="str">
            <v>Small-Business WLAN APs</v>
          </cell>
          <cell r="D113" t="str">
            <v>End-User Spending ($M)</v>
          </cell>
        </row>
        <row r="114">
          <cell r="D114" t="str">
            <v>Vendor Revenue ($M)</v>
          </cell>
        </row>
        <row r="115">
          <cell r="D115" t="str">
            <v>Unit Shipments (K)</v>
          </cell>
        </row>
        <row r="116">
          <cell r="B116" t="str">
            <v>Enterprise WLAN APs</v>
          </cell>
          <cell r="D116" t="str">
            <v>End-User Spending ($M)</v>
          </cell>
        </row>
        <row r="117">
          <cell r="D117" t="str">
            <v>Vendor Revenue ($M)</v>
          </cell>
        </row>
        <row r="118">
          <cell r="D118" t="str">
            <v>Unit Shipments (K)</v>
          </cell>
        </row>
        <row r="119">
          <cell r="B119" t="str">
            <v>Enterprise WLAN Other</v>
          </cell>
          <cell r="C119" t="str">
            <v>Enterprise WLAN Controllers</v>
          </cell>
          <cell r="D119" t="str">
            <v>End-User Spending ($M)</v>
          </cell>
        </row>
        <row r="120">
          <cell r="D120" t="str">
            <v>Vendor Revenue ($M)</v>
          </cell>
        </row>
        <row r="121">
          <cell r="D121" t="str">
            <v>Unit Shipments (K)</v>
          </cell>
        </row>
        <row r="122">
          <cell r="C122" t="str">
            <v xml:space="preserve">Enterprise WLAN Enhancement Products </v>
          </cell>
          <cell r="D122" t="str">
            <v>End-User Spending ($M)</v>
          </cell>
        </row>
        <row r="123">
          <cell r="D123" t="str">
            <v>Vendor Revenue ($M)</v>
          </cell>
        </row>
        <row r="124">
          <cell r="D124" t="str">
            <v>Unit Shipments (K)</v>
          </cell>
        </row>
        <row r="125">
          <cell r="A125" t="str">
            <v>Western Europe End-User Spending ($M)</v>
          </cell>
        </row>
        <row r="126">
          <cell r="A126" t="str">
            <v>Western Europe Vendor Revenue ($M)</v>
          </cell>
        </row>
        <row r="127">
          <cell r="A127" t="str">
            <v>Western Europe Unit Shipments (K)</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21">
          <cell r="A21" t="str">
            <v>Region</v>
          </cell>
        </row>
        <row r="83">
          <cell r="A83" t="str">
            <v>Region</v>
          </cell>
        </row>
        <row r="119">
          <cell r="A119" t="str">
            <v>Region</v>
          </cell>
        </row>
      </sheetData>
      <sheetData sheetId="25" refreshError="1"/>
      <sheetData sheetId="26" refreshError="1"/>
      <sheetData sheetId="27">
        <row r="21">
          <cell r="A21" t="str">
            <v>Segment4_2</v>
          </cell>
          <cell r="B21" t="str">
            <v>Segment4</v>
          </cell>
          <cell r="C21" t="str">
            <v>Data</v>
          </cell>
          <cell r="D21" t="str">
            <v>2014 YR</v>
          </cell>
          <cell r="E21" t="str">
            <v>2015 YR</v>
          </cell>
          <cell r="F21" t="str">
            <v>2016 YR</v>
          </cell>
          <cell r="G21" t="str">
            <v>2017 YR</v>
          </cell>
          <cell r="H21" t="str">
            <v>2018 YR</v>
          </cell>
          <cell r="I21" t="str">
            <v>2019 YR</v>
          </cell>
          <cell r="J21" t="str">
            <v>2020 YR</v>
          </cell>
          <cell r="K21" t="str">
            <v>2021 YR</v>
          </cell>
        </row>
        <row r="22">
          <cell r="A22" t="str">
            <v>Small-Business WLAN Aps</v>
          </cell>
          <cell r="B22" t="str">
            <v>Small-Business WLAN APs, 802.11ac</v>
          </cell>
          <cell r="C22" t="str">
            <v>End-User Spending ($M)</v>
          </cell>
        </row>
        <row r="23">
          <cell r="C23" t="str">
            <v>Vendor Revenue ($M)</v>
          </cell>
        </row>
        <row r="24">
          <cell r="C24" t="str">
            <v>Unit Shipments (K)</v>
          </cell>
        </row>
        <row r="25">
          <cell r="B25" t="str">
            <v>Small-Business WLAN APs, 802.11g</v>
          </cell>
          <cell r="C25" t="str">
            <v>End-User Spending ($M)</v>
          </cell>
        </row>
        <row r="26">
          <cell r="C26" t="str">
            <v>Vendor Revenue ($M)</v>
          </cell>
        </row>
        <row r="27">
          <cell r="C27" t="str">
            <v>Unit Shipments (K)</v>
          </cell>
        </row>
        <row r="28">
          <cell r="B28" t="str">
            <v>Small-Business WLAN APs, 802.11n</v>
          </cell>
          <cell r="C28" t="str">
            <v>End-User Spending ($M)</v>
          </cell>
        </row>
        <row r="29">
          <cell r="C29" t="str">
            <v>Vendor Revenue ($M)</v>
          </cell>
        </row>
        <row r="30">
          <cell r="C30" t="str">
            <v>Unit Shipments (K)</v>
          </cell>
        </row>
        <row r="31">
          <cell r="B31" t="str">
            <v>Small-Business WLAN APs, 802.11a/g</v>
          </cell>
          <cell r="C31" t="str">
            <v>End-User Spending ($M)</v>
          </cell>
        </row>
        <row r="32">
          <cell r="C32" t="str">
            <v>Vendor Revenue ($M)</v>
          </cell>
        </row>
        <row r="33">
          <cell r="C33" t="str">
            <v>Unit Shipments (K)</v>
          </cell>
        </row>
        <row r="34">
          <cell r="A34" t="str">
            <v>Small-Business WLAN Aps End-User Spending ($M)</v>
          </cell>
        </row>
        <row r="35">
          <cell r="A35" t="str">
            <v>Small-Business WLAN Aps Vendor Revenue ($M)</v>
          </cell>
        </row>
        <row r="36">
          <cell r="A36" t="str">
            <v>Small-Business WLAN Aps Unit Shipments (K)</v>
          </cell>
        </row>
        <row r="37">
          <cell r="A37" t="str">
            <v>Enterprise WLAN Aps</v>
          </cell>
          <cell r="B37" t="str">
            <v>Enterprise WLAN APs, 802.11a/g</v>
          </cell>
          <cell r="C37" t="str">
            <v>End-User Spending ($M)</v>
          </cell>
        </row>
        <row r="38">
          <cell r="C38" t="str">
            <v>Vendor Revenue ($M)</v>
          </cell>
        </row>
        <row r="39">
          <cell r="C39" t="str">
            <v>Unit Shipments (K)</v>
          </cell>
        </row>
        <row r="40">
          <cell r="B40" t="str">
            <v>Enterprise WLAN APs, 802.11ac</v>
          </cell>
          <cell r="C40" t="str">
            <v>End-User Spending ($M)</v>
          </cell>
        </row>
        <row r="41">
          <cell r="C41" t="str">
            <v>Vendor Revenue ($M)</v>
          </cell>
        </row>
        <row r="42">
          <cell r="C42" t="str">
            <v>Unit Shipments (K)</v>
          </cell>
        </row>
        <row r="43">
          <cell r="B43" t="str">
            <v>Enterprise WLAN APs, 802.11n</v>
          </cell>
          <cell r="C43" t="str">
            <v>End-User Spending ($M)</v>
          </cell>
        </row>
        <row r="44">
          <cell r="C44" t="str">
            <v>Vendor Revenue ($M)</v>
          </cell>
        </row>
        <row r="45">
          <cell r="C45" t="str">
            <v>Unit Shipments (K)</v>
          </cell>
        </row>
        <row r="46">
          <cell r="A46" t="str">
            <v>Enterprise WLAN Aps End-User Spending ($M)</v>
          </cell>
        </row>
        <row r="47">
          <cell r="A47" t="str">
            <v>Enterprise WLAN Aps Vendor Revenue ($M)</v>
          </cell>
        </row>
        <row r="48">
          <cell r="A48" t="str">
            <v>Enterprise WLAN Aps Unit Shipments (K)</v>
          </cell>
        </row>
        <row r="49">
          <cell r="A49" t="str">
            <v>WLAN Other</v>
          </cell>
          <cell r="B49" t="str">
            <v>Enterprise WLAN Controllers</v>
          </cell>
          <cell r="C49" t="str">
            <v>End-User Spending ($M)</v>
          </cell>
        </row>
        <row r="50">
          <cell r="C50" t="str">
            <v>Vendor Revenue ($M)</v>
          </cell>
        </row>
        <row r="51">
          <cell r="C51" t="str">
            <v>Unit Shipments (K)</v>
          </cell>
        </row>
        <row r="52">
          <cell r="B52" t="str">
            <v xml:space="preserve">Enterprise WLAN Enhancement Products </v>
          </cell>
          <cell r="C52" t="str">
            <v>End-User Spending ($M)</v>
          </cell>
        </row>
        <row r="53">
          <cell r="C53" t="str">
            <v>Vendor Revenue ($M)</v>
          </cell>
        </row>
        <row r="55">
          <cell r="A55" t="str">
            <v>WLAN Other End-User Spending ($M)</v>
          </cell>
        </row>
        <row r="56">
          <cell r="A56" t="str">
            <v>WLAN Other Vendor Revenue ($M)</v>
          </cell>
        </row>
        <row r="58">
          <cell r="A58" t="str">
            <v>Total End-User Spending ($M)</v>
          </cell>
        </row>
        <row r="59">
          <cell r="A59" t="str">
            <v>Total Vendor Revenue ($M)</v>
          </cell>
        </row>
      </sheetData>
      <sheetData sheetId="28" refreshError="1"/>
      <sheetData sheetId="29" refreshError="1"/>
      <sheetData sheetId="30" refreshError="1"/>
      <sheetData sheetId="31" refreshError="1"/>
      <sheetData sheetId="32" refreshError="1"/>
      <sheetData sheetId="33">
        <row r="1">
          <cell r="E1">
            <v>2014</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entation"/>
      <sheetName val="FS"/>
      <sheetName val="P&amp;L Drivers"/>
      <sheetName val="CAPEX"/>
      <sheetName val="Debt profile"/>
      <sheetName val="P&amp;L Assumptions"/>
      <sheetName val="Assumption Summary"/>
      <sheetName val="Revenue Drivers"/>
      <sheetName val="Debt"/>
      <sheetName val="value by products"/>
      <sheetName val="Top Down"/>
      <sheetName val="Bottom Up"/>
      <sheetName val="Product Mix 2015"/>
    </sheetNames>
    <sheetDataSet>
      <sheetData sheetId="0"/>
      <sheetData sheetId="1">
        <row r="3">
          <cell r="H3">
            <v>4482146</v>
          </cell>
        </row>
        <row r="6">
          <cell r="I6">
            <v>63287</v>
          </cell>
        </row>
        <row r="10">
          <cell r="I10">
            <v>146645.47899999999</v>
          </cell>
        </row>
        <row r="16">
          <cell r="I16">
            <v>174939.50099999999</v>
          </cell>
        </row>
      </sheetData>
      <sheetData sheetId="2"/>
      <sheetData sheetId="3"/>
      <sheetData sheetId="4"/>
      <sheetData sheetId="5"/>
      <sheetData sheetId="6"/>
      <sheetData sheetId="7">
        <row r="48">
          <cell r="P48">
            <v>235526</v>
          </cell>
        </row>
        <row r="49">
          <cell r="P49">
            <v>71257</v>
          </cell>
        </row>
        <row r="51">
          <cell r="P51">
            <v>71257</v>
          </cell>
        </row>
      </sheetData>
      <sheetData sheetId="8">
        <row r="15">
          <cell r="F15">
            <v>0</v>
          </cell>
        </row>
        <row r="122">
          <cell r="E122">
            <v>0</v>
          </cell>
        </row>
      </sheetData>
      <sheetData sheetId="9"/>
      <sheetData sheetId="10"/>
      <sheetData sheetId="11"/>
      <sheetData sheetId="12"/>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DAVIDT~1/AppData/Local/Temp/7zO0FD7880F/Tablets_and_PCs_Combined_2018Q1.XLSM"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jackaljenchieh1/AppData/Local/Temp/Temp1_Servers_Forecast_WW_by_Country_2018Q1%20-%20April%202018.zip/Servers_Forecast_WW_by_Country_2018Q1.xlsm"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Users/jackaljenchieh1/AppData/Local/Temp/Temp1_Servers_Forecast_WW_by_Country_2018Q1%20-%20April%202018.zip/Servers_Forecast_WW_by_Country_2018Q1.xlsm"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dqdmswcf" refreshedDate="43182.405932754627" createdVersion="3" refreshedVersion="3" minRefreshableVersion="3" recordCount="4520">
  <cacheSource type="worksheet">
    <worksheetSource name="DataTable5" r:id="rId2"/>
  </cacheSource>
  <cacheFields count="8">
    <cacheField name="Year" numFmtId="3">
      <sharedItems count="8">
        <s v="2015 YR"/>
        <s v="2016 YR"/>
        <s v="2017 YR"/>
        <s v="2018 YR"/>
        <s v="2019 YR"/>
        <s v="2020 YR"/>
        <s v="2021 YR"/>
        <s v="2022 YR"/>
      </sharedItems>
    </cacheField>
    <cacheField name="Region" numFmtId="3">
      <sharedItems count="11">
        <s v="Eastern Europe"/>
        <s v="Emerging Asia/Pacific"/>
        <s v="Eurasia"/>
        <s v="Greater China"/>
        <s v="Japan (Region)"/>
        <s v="Latin America"/>
        <s v="Mature Asia/Pacific"/>
        <s v="Middle East and North Africa"/>
        <s v="North America"/>
        <s v="Sub-Saharan Africa"/>
        <s v="Western Europe"/>
      </sharedItems>
    </cacheField>
    <cacheField name="DeviceType1" numFmtId="3">
      <sharedItems count="3">
        <s v="PC"/>
        <s v="Phone"/>
        <s v="UMT"/>
      </sharedItems>
    </cacheField>
    <cacheField name="DeviceType2" numFmtId="3">
      <sharedItems count="8">
        <s v="Deskbased"/>
        <s v="Notebook"/>
        <s v="Basic Phone"/>
        <s v="Premium Phone"/>
        <s v="Utility Phone"/>
        <s v="Ultramobile Basic"/>
        <s v="Ultramobile Premium"/>
        <s v="Ultramobile Utility"/>
      </sharedItems>
    </cacheField>
    <cacheField name="OS" numFmtId="3">
      <sharedItems count="10">
        <s v="Mac OS"/>
        <s v="Windows"/>
        <s v="Android"/>
        <s v="Blackberry"/>
        <s v="Firefox OS"/>
        <s v="Others"/>
        <s v="Proprietary"/>
        <s v="iOS"/>
        <s v="Chrome"/>
        <s v="Windows RT"/>
      </sharedItems>
    </cacheField>
    <cacheField name="Customer Type" numFmtId="3">
      <sharedItems count="2">
        <s v="Business"/>
        <s v="Consumer"/>
      </sharedItems>
    </cacheField>
    <cacheField name="Installed Base" numFmtId="3">
      <sharedItems containsSemiMixedTypes="0" containsString="0" containsNumber="1" minValue="-1.1163614990000001E-4" maxValue="613047.08986127202"/>
    </cacheField>
    <cacheField name="Units (K)" numFmtId="3">
      <sharedItems containsString="0" containsBlank="1" containsNumber="1" minValue="0" maxValue="233232.90289818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Sannanarappar,Chandra" refreshedDate="43189.437124421296" createdVersion="3" refreshedVersion="5" minRefreshableVersion="3" recordCount="19970">
  <cacheSource type="worksheet">
    <worksheetSource name="getformfactordata2" r:id="rId2"/>
  </cacheSource>
  <cacheFields count="10">
    <cacheField name="Year" numFmtId="0">
      <sharedItems count="13">
        <s v="2010 YR"/>
        <s v="2011 YR"/>
        <s v="2012 YR"/>
        <s v="2013 YR"/>
        <s v="2014 YR"/>
        <s v="2015 YR"/>
        <s v="2016 YR"/>
        <s v="2017 YR"/>
        <s v="2018 YR"/>
        <s v="2019 YR"/>
        <s v="2020 YR"/>
        <s v="2021 YR"/>
        <s v="2022 YR"/>
      </sharedItems>
    </cacheField>
    <cacheField name="Region" numFmtId="0">
      <sharedItems count="11">
        <s v="Latin America"/>
        <s v="Mature Asia Pacific"/>
        <s v="Western Europe"/>
        <s v="North America"/>
        <s v="Greater China"/>
        <s v="Eastern Europe"/>
        <s v="Emerging Asia Pacific"/>
        <s v="Middle East and North Africa"/>
        <s v="Japan"/>
        <s v="Eurasia"/>
        <s v="Sub-Saharan Africa"/>
      </sharedItems>
    </cacheField>
    <cacheField name="Country" numFmtId="0">
      <sharedItems count="50">
        <s v="Argentina"/>
        <s v="Australia"/>
        <s v="Austria"/>
        <s v="Belgium"/>
        <s v="Brazil"/>
        <s v="Canada"/>
        <s v="Chile"/>
        <s v="China"/>
        <s v="Colombia"/>
        <s v="Czech Republic"/>
        <s v="Denmark"/>
        <s v="Finland"/>
        <s v="France"/>
        <s v="Germany"/>
        <s v="Greece"/>
        <s v="Hong Kong"/>
        <s v="Hungary"/>
        <s v="India"/>
        <s v="Indonesia"/>
        <s v="Ireland"/>
        <s v="Israel"/>
        <s v="Italy"/>
        <s v="Japan"/>
        <s v="Malaysia"/>
        <s v="Mexico"/>
        <s v="Netherlands"/>
        <s v="New Zealand"/>
        <s v="Norway"/>
        <s v="Poland"/>
        <s v="Portugal"/>
        <s v="Rest of Eastern Europe"/>
        <s v="Rest of Emerging Asia Pacific"/>
        <s v="Rest of Eurasia"/>
        <s v="Rest of Latin America"/>
        <s v="Rest of Middle East and North Africa"/>
        <s v="Rest of Sub-Saharan Africa"/>
        <s v="Rest of Western Europe"/>
        <s v="Russia"/>
        <s v="Saudi Arabia"/>
        <s v="Singapore"/>
        <s v="South Africa"/>
        <s v="South Korea"/>
        <s v="Spain"/>
        <s v="Sweden"/>
        <s v="Switzerland"/>
        <s v="Taiwan"/>
        <s v="Thailand"/>
        <s v="Turkey"/>
        <s v="United Kingdom"/>
        <s v="United States"/>
      </sharedItems>
    </cacheField>
    <cacheField name="Form Factor" numFmtId="0">
      <sharedItems count="5">
        <s v="Rack-Mountable"/>
        <s v="Rack-Optimized"/>
        <s v="Tower/Standalone"/>
        <s v="Multi-node"/>
        <s v="Rack-Blade"/>
      </sharedItems>
    </cacheField>
    <cacheField name="Max Sockets" numFmtId="49">
      <sharedItems containsMixedTypes="1" containsNumber="1" containsInteger="1" minValue="1" maxValue="8" count="5">
        <n v="1"/>
        <n v="4"/>
        <n v="8"/>
        <s v="Over 8 Sockets"/>
        <n v="2"/>
      </sharedItems>
    </cacheField>
    <cacheField name="CPU Family" numFmtId="0">
      <sharedItems count="4">
        <s v="x86"/>
        <s v="RISC"/>
        <s v="IA64"/>
        <s v="Other"/>
      </sharedItems>
    </cacheField>
    <cacheField name="End User Spending" numFmtId="0">
      <sharedItems containsSemiMixedTypes="0" containsString="0" containsNumber="1" minValue="0" maxValue="8421.67"/>
    </cacheField>
    <cacheField name="End User Spending Constant Currency" numFmtId="0">
      <sharedItems containsSemiMixedTypes="0" containsString="0" containsNumber="1" minValue="0" maxValue="8771.11"/>
    </cacheField>
    <cacheField name="Units" numFmtId="0">
      <sharedItems containsSemiMixedTypes="0" containsString="0" containsNumber="1" minValue="0" maxValue="2437.7600000000002"/>
    </cacheField>
    <cacheField name="Vendor Revenue" numFmtId="0">
      <sharedItems containsSemiMixedTypes="0" containsString="0" containsNumber="1" minValue="0" maxValue="8099.92"/>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Sannanarappar,Chandra" refreshedDate="43189.438390740739" createdVersion="3" refreshedVersion="5" minRefreshableVersion="3" recordCount="5128">
  <cacheSource type="worksheet">
    <worksheetSource name="GetOSData2" r:id="rId2"/>
  </cacheSource>
  <cacheFields count="9">
    <cacheField name="Year " numFmtId="0">
      <sharedItems count="10">
        <s v="2013 YR"/>
        <s v="2014 YR"/>
        <s v="2015 YR"/>
        <s v="2016 YR"/>
        <s v="2017 YR"/>
        <s v="2018 YR"/>
        <s v="2019 YR"/>
        <s v="2020 YR"/>
        <s v="2021 YR"/>
        <s v="2022 YR"/>
      </sharedItems>
    </cacheField>
    <cacheField name="CPU Family " numFmtId="0">
      <sharedItems count="4">
        <s v="RISC"/>
        <s v="x86"/>
        <s v="IA64"/>
        <s v="Other"/>
      </sharedItems>
    </cacheField>
    <cacheField name="OS " numFmtId="0">
      <sharedItems count="4">
        <s v="Other"/>
        <s v="Windows"/>
        <s v="Unix"/>
        <s v="Linux"/>
      </sharedItems>
    </cacheField>
    <cacheField name="Region" numFmtId="0">
      <sharedItems count="11">
        <s v="Latin America"/>
        <s v="Mature Asia Pacific"/>
        <s v="Western Europe"/>
        <s v="North America"/>
        <s v="Greater China"/>
        <s v="Eastern Europe"/>
        <s v="Emerging Asia Pacific"/>
        <s v="Middle East and North Africa"/>
        <s v="Japan"/>
        <s v="Eurasia"/>
        <s v="Sub-Saharan Africa"/>
      </sharedItems>
    </cacheField>
    <cacheField name="Country" numFmtId="0">
      <sharedItems count="50">
        <s v="Argentina"/>
        <s v="Australia"/>
        <s v="Austria"/>
        <s v="Belgium"/>
        <s v="Brazil"/>
        <s v="Canada"/>
        <s v="Chile"/>
        <s v="China"/>
        <s v="Colombia"/>
        <s v="Czech Republic"/>
        <s v="Denmark"/>
        <s v="Finland"/>
        <s v="France"/>
        <s v="Germany"/>
        <s v="Greece"/>
        <s v="Hong Kong"/>
        <s v="Hungary"/>
        <s v="India"/>
        <s v="Indonesia"/>
        <s v="Ireland"/>
        <s v="Israel"/>
        <s v="Italy"/>
        <s v="Japan"/>
        <s v="Malaysia"/>
        <s v="Mexico"/>
        <s v="Netherlands"/>
        <s v="New Zealand"/>
        <s v="Norway"/>
        <s v="Poland"/>
        <s v="Portugal"/>
        <s v="Rest of Eastern Europe"/>
        <s v="Rest of Emerging Asia Pacific"/>
        <s v="Rest of Eurasia"/>
        <s v="Rest of Latin America"/>
        <s v="Rest of Middle East and North Africa"/>
        <s v="Rest of Sub-Saharan Africa"/>
        <s v="Rest of Western Europe"/>
        <s v="Russia"/>
        <s v="Saudi Arabia"/>
        <s v="Singapore"/>
        <s v="South Africa"/>
        <s v="South Korea"/>
        <s v="Spain"/>
        <s v="Sweden"/>
        <s v="Switzerland"/>
        <s v="Taiwan"/>
        <s v="Thailand"/>
        <s v="Turkey"/>
        <s v="United Kingdom"/>
        <s v="United States"/>
      </sharedItems>
    </cacheField>
    <cacheField name="End User Spending" numFmtId="0">
      <sharedItems containsSemiMixedTypes="0" containsString="0" containsNumber="1" minValue="1.73208E-4" maxValue="11610.66404"/>
    </cacheField>
    <cacheField name="End User Spending Constant Currency" numFmtId="0">
      <sharedItems containsSemiMixedTypes="0" containsString="0" containsNumber="1" minValue="1.9727699999999999E-4" maxValue="11610.66404"/>
    </cacheField>
    <cacheField name="Shipments" numFmtId="0">
      <sharedItems containsSemiMixedTypes="0" containsString="0" containsNumber="1" minValue="9.3500000000000003E-6" maxValue="2867.2822139999998"/>
    </cacheField>
    <cacheField name="Vendor Revenue " numFmtId="0">
      <sharedItems containsSemiMixedTypes="0" containsString="0" containsNumber="1" minValue="1.4736099999999999E-4" maxValue="11178.6471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520">
  <r>
    <x v="0"/>
    <x v="0"/>
    <x v="0"/>
    <x v="0"/>
    <x v="0"/>
    <x v="0"/>
    <n v="23.1288281223447"/>
    <n v="4.6778358617995996"/>
  </r>
  <r>
    <x v="0"/>
    <x v="0"/>
    <x v="0"/>
    <x v="0"/>
    <x v="0"/>
    <x v="1"/>
    <n v="130.08121242336421"/>
    <n v="33.982164134899598"/>
  </r>
  <r>
    <x v="0"/>
    <x v="0"/>
    <x v="0"/>
    <x v="0"/>
    <x v="1"/>
    <x v="0"/>
    <n v="11913.987372246864"/>
    <n v="2212.4653839787961"/>
  </r>
  <r>
    <x v="0"/>
    <x v="0"/>
    <x v="0"/>
    <x v="0"/>
    <x v="1"/>
    <x v="1"/>
    <n v="4016.881911360143"/>
    <n v="744.27012240229567"/>
  </r>
  <r>
    <x v="0"/>
    <x v="0"/>
    <x v="0"/>
    <x v="1"/>
    <x v="0"/>
    <x v="0"/>
    <n v="52.342734804670698"/>
    <n v="14.315104568999301"/>
  </r>
  <r>
    <x v="0"/>
    <x v="0"/>
    <x v="0"/>
    <x v="1"/>
    <x v="0"/>
    <x v="1"/>
    <n v="114.2123518875005"/>
    <n v="25.988393427599298"/>
  </r>
  <r>
    <x v="0"/>
    <x v="0"/>
    <x v="0"/>
    <x v="1"/>
    <x v="1"/>
    <x v="0"/>
    <n v="8081.2241162158689"/>
    <n v="2199.1720756011928"/>
  </r>
  <r>
    <x v="0"/>
    <x v="0"/>
    <x v="0"/>
    <x v="1"/>
    <x v="1"/>
    <x v="1"/>
    <n v="10302.658714708203"/>
    <n v="2663.6225446669978"/>
  </r>
  <r>
    <x v="0"/>
    <x v="0"/>
    <x v="1"/>
    <x v="2"/>
    <x v="2"/>
    <x v="0"/>
    <n v="2688.375407438758"/>
    <n v="1808.8777515171971"/>
  </r>
  <r>
    <x v="0"/>
    <x v="0"/>
    <x v="1"/>
    <x v="2"/>
    <x v="2"/>
    <x v="1"/>
    <n v="18282.62659211997"/>
    <n v="12878.615621559198"/>
  </r>
  <r>
    <x v="0"/>
    <x v="0"/>
    <x v="1"/>
    <x v="2"/>
    <x v="3"/>
    <x v="1"/>
    <n v="40.945880853687498"/>
    <n v="37"/>
  </r>
  <r>
    <x v="0"/>
    <x v="0"/>
    <x v="1"/>
    <x v="2"/>
    <x v="4"/>
    <x v="0"/>
    <n v="2.1019313470857002"/>
    <m/>
  </r>
  <r>
    <x v="0"/>
    <x v="0"/>
    <x v="1"/>
    <x v="2"/>
    <x v="4"/>
    <x v="1"/>
    <n v="83.473632826111796"/>
    <n v="59"/>
  </r>
  <r>
    <x v="0"/>
    <x v="0"/>
    <x v="1"/>
    <x v="2"/>
    <x v="5"/>
    <x v="0"/>
    <n v="164.32410260955521"/>
    <m/>
  </r>
  <r>
    <x v="0"/>
    <x v="0"/>
    <x v="1"/>
    <x v="2"/>
    <x v="5"/>
    <x v="1"/>
    <n v="396.84566596307531"/>
    <m/>
  </r>
  <r>
    <x v="0"/>
    <x v="0"/>
    <x v="1"/>
    <x v="2"/>
    <x v="6"/>
    <x v="0"/>
    <n v="3685.114229475229"/>
    <n v="60.445293351099401"/>
  </r>
  <r>
    <x v="0"/>
    <x v="0"/>
    <x v="1"/>
    <x v="2"/>
    <x v="6"/>
    <x v="1"/>
    <n v="8477.0092086432378"/>
    <n v="1148.4605826497998"/>
  </r>
  <r>
    <x v="0"/>
    <x v="0"/>
    <x v="1"/>
    <x v="2"/>
    <x v="1"/>
    <x v="0"/>
    <n v="312.63262679618941"/>
    <n v="191.38158418489971"/>
  </r>
  <r>
    <x v="0"/>
    <x v="0"/>
    <x v="1"/>
    <x v="2"/>
    <x v="1"/>
    <x v="1"/>
    <n v="1249.7311105923225"/>
    <n v="846.72837581829936"/>
  </r>
  <r>
    <x v="0"/>
    <x v="0"/>
    <x v="1"/>
    <x v="3"/>
    <x v="2"/>
    <x v="0"/>
    <n v="6533.9781832677909"/>
    <n v="3134.6742907751968"/>
  </r>
  <r>
    <x v="0"/>
    <x v="0"/>
    <x v="1"/>
    <x v="3"/>
    <x v="2"/>
    <x v="1"/>
    <n v="29533.242701832591"/>
    <n v="15871.668018353897"/>
  </r>
  <r>
    <x v="0"/>
    <x v="0"/>
    <x v="1"/>
    <x v="3"/>
    <x v="3"/>
    <x v="0"/>
    <n v="45.398177766437001"/>
    <m/>
  </r>
  <r>
    <x v="0"/>
    <x v="0"/>
    <x v="1"/>
    <x v="3"/>
    <x v="3"/>
    <x v="1"/>
    <n v="122.0992180991169"/>
    <m/>
  </r>
  <r>
    <x v="0"/>
    <x v="0"/>
    <x v="1"/>
    <x v="3"/>
    <x v="7"/>
    <x v="0"/>
    <n v="914.74917450236615"/>
    <n v="290.19449999999938"/>
  </r>
  <r>
    <x v="0"/>
    <x v="0"/>
    <x v="1"/>
    <x v="3"/>
    <x v="7"/>
    <x v="1"/>
    <n v="3412.7146800136202"/>
    <n v="1665.3054999999999"/>
  </r>
  <r>
    <x v="0"/>
    <x v="0"/>
    <x v="1"/>
    <x v="3"/>
    <x v="5"/>
    <x v="0"/>
    <n v="724.69500367383739"/>
    <m/>
  </r>
  <r>
    <x v="0"/>
    <x v="0"/>
    <x v="1"/>
    <x v="3"/>
    <x v="5"/>
    <x v="1"/>
    <n v="1873.1087508633259"/>
    <m/>
  </r>
  <r>
    <x v="0"/>
    <x v="0"/>
    <x v="1"/>
    <x v="3"/>
    <x v="6"/>
    <x v="0"/>
    <n v="256.96036176512553"/>
    <m/>
  </r>
  <r>
    <x v="0"/>
    <x v="0"/>
    <x v="1"/>
    <x v="3"/>
    <x v="6"/>
    <x v="1"/>
    <n v="699.64298968173216"/>
    <m/>
  </r>
  <r>
    <x v="0"/>
    <x v="0"/>
    <x v="1"/>
    <x v="3"/>
    <x v="1"/>
    <x v="0"/>
    <n v="536.27702375506635"/>
    <n v="96.555595030898601"/>
  </r>
  <r>
    <x v="0"/>
    <x v="0"/>
    <x v="1"/>
    <x v="3"/>
    <x v="1"/>
    <x v="1"/>
    <n v="1634.661070381577"/>
    <n v="427.4909449633987"/>
  </r>
  <r>
    <x v="0"/>
    <x v="0"/>
    <x v="1"/>
    <x v="4"/>
    <x v="2"/>
    <x v="1"/>
    <n v="7203.9711600383589"/>
    <n v="5912.8143177525981"/>
  </r>
  <r>
    <x v="0"/>
    <x v="0"/>
    <x v="1"/>
    <x v="4"/>
    <x v="6"/>
    <x v="1"/>
    <n v="22096.726509044736"/>
    <n v="16380.094125"/>
  </r>
  <r>
    <x v="0"/>
    <x v="0"/>
    <x v="1"/>
    <x v="4"/>
    <x v="1"/>
    <x v="1"/>
    <n v="0.23561107235369999"/>
    <n v="0.19350000000000001"/>
  </r>
  <r>
    <x v="0"/>
    <x v="0"/>
    <x v="2"/>
    <x v="5"/>
    <x v="2"/>
    <x v="0"/>
    <n v="1556.3065285274399"/>
    <n v="673.15074912099806"/>
  </r>
  <r>
    <x v="0"/>
    <x v="0"/>
    <x v="2"/>
    <x v="5"/>
    <x v="2"/>
    <x v="1"/>
    <n v="6287.9835193545023"/>
    <n v="3648.254912440198"/>
  </r>
  <r>
    <x v="0"/>
    <x v="0"/>
    <x v="2"/>
    <x v="5"/>
    <x v="3"/>
    <x v="0"/>
    <n v="1.3609074471133999"/>
    <m/>
  </r>
  <r>
    <x v="0"/>
    <x v="0"/>
    <x v="2"/>
    <x v="5"/>
    <x v="8"/>
    <x v="0"/>
    <n v="0.95593778731680001"/>
    <n v="0.92377161220000004"/>
  </r>
  <r>
    <x v="0"/>
    <x v="0"/>
    <x v="2"/>
    <x v="5"/>
    <x v="8"/>
    <x v="1"/>
    <n v="0.43154585666900003"/>
    <n v="0.46423163210000001"/>
  </r>
  <r>
    <x v="0"/>
    <x v="0"/>
    <x v="2"/>
    <x v="5"/>
    <x v="7"/>
    <x v="0"/>
    <n v="155.4074159431166"/>
    <n v="55.601661248899298"/>
  </r>
  <r>
    <x v="0"/>
    <x v="0"/>
    <x v="2"/>
    <x v="5"/>
    <x v="7"/>
    <x v="1"/>
    <n v="778.78274343234102"/>
    <n v="355.92833877589948"/>
  </r>
  <r>
    <x v="0"/>
    <x v="0"/>
    <x v="2"/>
    <x v="5"/>
    <x v="1"/>
    <x v="0"/>
    <n v="19.300731793301502"/>
    <n v="14.898274940099"/>
  </r>
  <r>
    <x v="0"/>
    <x v="0"/>
    <x v="2"/>
    <x v="5"/>
    <x v="1"/>
    <x v="1"/>
    <n v="61.147358799851098"/>
    <n v="47.523434514297897"/>
  </r>
  <r>
    <x v="0"/>
    <x v="0"/>
    <x v="2"/>
    <x v="5"/>
    <x v="9"/>
    <x v="0"/>
    <n v="1.4713807400012"/>
    <m/>
  </r>
  <r>
    <x v="0"/>
    <x v="0"/>
    <x v="2"/>
    <x v="5"/>
    <x v="9"/>
    <x v="1"/>
    <n v="6.3888818113778001"/>
    <m/>
  </r>
  <r>
    <x v="0"/>
    <x v="0"/>
    <x v="2"/>
    <x v="6"/>
    <x v="0"/>
    <x v="0"/>
    <n v="56.881333289695299"/>
    <n v="13.4836092920995"/>
  </r>
  <r>
    <x v="0"/>
    <x v="0"/>
    <x v="2"/>
    <x v="6"/>
    <x v="0"/>
    <x v="1"/>
    <n v="270.09336749752231"/>
    <n v="119.0088921861993"/>
  </r>
  <r>
    <x v="0"/>
    <x v="0"/>
    <x v="2"/>
    <x v="6"/>
    <x v="1"/>
    <x v="0"/>
    <n v="731.17539605551553"/>
    <n v="211.58299884469631"/>
  </r>
  <r>
    <x v="0"/>
    <x v="0"/>
    <x v="2"/>
    <x v="6"/>
    <x v="1"/>
    <x v="1"/>
    <n v="968.05172002524716"/>
    <n v="437.5698901760959"/>
  </r>
  <r>
    <x v="0"/>
    <x v="0"/>
    <x v="2"/>
    <x v="7"/>
    <x v="2"/>
    <x v="1"/>
    <n v="5518.9192832812141"/>
    <n v="2207.3200000330999"/>
  </r>
  <r>
    <x v="0"/>
    <x v="1"/>
    <x v="0"/>
    <x v="0"/>
    <x v="0"/>
    <x v="0"/>
    <n v="224.73473405837291"/>
    <n v="52.710869870099103"/>
  </r>
  <r>
    <x v="0"/>
    <x v="1"/>
    <x v="0"/>
    <x v="0"/>
    <x v="0"/>
    <x v="1"/>
    <n v="156.57060684257399"/>
    <n v="34.203130131699602"/>
  </r>
  <r>
    <x v="0"/>
    <x v="1"/>
    <x v="0"/>
    <x v="0"/>
    <x v="1"/>
    <x v="0"/>
    <n v="32884.378655853659"/>
    <n v="7284.6453407881972"/>
  </r>
  <r>
    <x v="0"/>
    <x v="1"/>
    <x v="0"/>
    <x v="0"/>
    <x v="1"/>
    <x v="1"/>
    <n v="20909.87719962273"/>
    <n v="4170.189715145897"/>
  </r>
  <r>
    <x v="0"/>
    <x v="1"/>
    <x v="0"/>
    <x v="1"/>
    <x v="0"/>
    <x v="0"/>
    <n v="476.91778280163231"/>
    <n v="71.196823829699298"/>
  </r>
  <r>
    <x v="0"/>
    <x v="1"/>
    <x v="0"/>
    <x v="1"/>
    <x v="0"/>
    <x v="1"/>
    <n v="261.7850706023649"/>
    <n v="35.739414806098999"/>
  </r>
  <r>
    <x v="0"/>
    <x v="1"/>
    <x v="0"/>
    <x v="1"/>
    <x v="1"/>
    <x v="0"/>
    <n v="24704.470924767669"/>
    <n v="5054.077521682696"/>
  </r>
  <r>
    <x v="0"/>
    <x v="1"/>
    <x v="0"/>
    <x v="1"/>
    <x v="1"/>
    <x v="1"/>
    <n v="34684.210491833881"/>
    <n v="7243.872432664698"/>
  </r>
  <r>
    <x v="0"/>
    <x v="1"/>
    <x v="1"/>
    <x v="2"/>
    <x v="2"/>
    <x v="0"/>
    <n v="20994.082945567861"/>
    <n v="13225.924877230695"/>
  </r>
  <r>
    <x v="0"/>
    <x v="1"/>
    <x v="1"/>
    <x v="2"/>
    <x v="2"/>
    <x v="1"/>
    <n v="147310.34244642788"/>
    <n v="93928.464360275306"/>
  </r>
  <r>
    <x v="0"/>
    <x v="1"/>
    <x v="1"/>
    <x v="2"/>
    <x v="3"/>
    <x v="0"/>
    <n v="324.33824737044642"/>
    <n v="166.10499999999931"/>
  </r>
  <r>
    <x v="0"/>
    <x v="1"/>
    <x v="1"/>
    <x v="2"/>
    <x v="3"/>
    <x v="1"/>
    <n v="521.29096292736563"/>
    <n v="266.19499999999971"/>
  </r>
  <r>
    <x v="0"/>
    <x v="1"/>
    <x v="1"/>
    <x v="2"/>
    <x v="5"/>
    <x v="0"/>
    <n v="879.36077160123409"/>
    <m/>
  </r>
  <r>
    <x v="0"/>
    <x v="1"/>
    <x v="1"/>
    <x v="2"/>
    <x v="5"/>
    <x v="1"/>
    <n v="4685.4707465232204"/>
    <m/>
  </r>
  <r>
    <x v="0"/>
    <x v="1"/>
    <x v="1"/>
    <x v="2"/>
    <x v="6"/>
    <x v="0"/>
    <n v="20038.240806259641"/>
    <n v="3596.656813869095"/>
  </r>
  <r>
    <x v="0"/>
    <x v="1"/>
    <x v="1"/>
    <x v="2"/>
    <x v="6"/>
    <x v="1"/>
    <n v="127540.84413103449"/>
    <n v="28620.840286948598"/>
  </r>
  <r>
    <x v="0"/>
    <x v="1"/>
    <x v="1"/>
    <x v="2"/>
    <x v="1"/>
    <x v="0"/>
    <n v="1005.0135836834429"/>
    <n v="474.64698119939959"/>
  </r>
  <r>
    <x v="0"/>
    <x v="1"/>
    <x v="1"/>
    <x v="2"/>
    <x v="1"/>
    <x v="1"/>
    <n v="5753.4190664074958"/>
    <n v="2648.6882467808996"/>
  </r>
  <r>
    <x v="0"/>
    <x v="1"/>
    <x v="1"/>
    <x v="3"/>
    <x v="2"/>
    <x v="0"/>
    <n v="9492.2902735384996"/>
    <n v="4530.5486790116929"/>
  </r>
  <r>
    <x v="0"/>
    <x v="1"/>
    <x v="1"/>
    <x v="3"/>
    <x v="2"/>
    <x v="1"/>
    <n v="48397.46444464261"/>
    <n v="20490.2183396418"/>
  </r>
  <r>
    <x v="0"/>
    <x v="1"/>
    <x v="1"/>
    <x v="3"/>
    <x v="3"/>
    <x v="0"/>
    <n v="1353.3871607337451"/>
    <m/>
  </r>
  <r>
    <x v="0"/>
    <x v="1"/>
    <x v="1"/>
    <x v="3"/>
    <x v="3"/>
    <x v="1"/>
    <n v="6958.6981763065014"/>
    <m/>
  </r>
  <r>
    <x v="0"/>
    <x v="1"/>
    <x v="1"/>
    <x v="3"/>
    <x v="7"/>
    <x v="0"/>
    <n v="3678.2447552557342"/>
    <n v="1095.7749999999999"/>
  </r>
  <r>
    <x v="0"/>
    <x v="1"/>
    <x v="1"/>
    <x v="3"/>
    <x v="7"/>
    <x v="1"/>
    <n v="17203.252550527839"/>
    <n v="4495.8249999999998"/>
  </r>
  <r>
    <x v="0"/>
    <x v="1"/>
    <x v="1"/>
    <x v="3"/>
    <x v="5"/>
    <x v="0"/>
    <n v="430.98895156676917"/>
    <m/>
  </r>
  <r>
    <x v="0"/>
    <x v="1"/>
    <x v="1"/>
    <x v="3"/>
    <x v="5"/>
    <x v="1"/>
    <n v="2152.7046904223462"/>
    <m/>
  </r>
  <r>
    <x v="0"/>
    <x v="1"/>
    <x v="1"/>
    <x v="3"/>
    <x v="6"/>
    <x v="0"/>
    <n v="364.53375853362871"/>
    <m/>
  </r>
  <r>
    <x v="0"/>
    <x v="1"/>
    <x v="1"/>
    <x v="3"/>
    <x v="6"/>
    <x v="1"/>
    <n v="1779.7855354512501"/>
    <m/>
  </r>
  <r>
    <x v="0"/>
    <x v="1"/>
    <x v="1"/>
    <x v="3"/>
    <x v="1"/>
    <x v="0"/>
    <n v="878.9203152771056"/>
    <n v="233.43386425579959"/>
  </r>
  <r>
    <x v="0"/>
    <x v="1"/>
    <x v="1"/>
    <x v="3"/>
    <x v="1"/>
    <x v="1"/>
    <n v="4482.2012577691958"/>
    <n v="1187.4309077700998"/>
  </r>
  <r>
    <x v="0"/>
    <x v="1"/>
    <x v="1"/>
    <x v="4"/>
    <x v="2"/>
    <x v="0"/>
    <n v="923.03866903617654"/>
    <n v="935.87350008169949"/>
  </r>
  <r>
    <x v="0"/>
    <x v="1"/>
    <x v="1"/>
    <x v="4"/>
    <x v="2"/>
    <x v="1"/>
    <n v="111744.68965668717"/>
    <n v="75290.238009392095"/>
  </r>
  <r>
    <x v="0"/>
    <x v="1"/>
    <x v="1"/>
    <x v="4"/>
    <x v="4"/>
    <x v="1"/>
    <n v="209.09257268039011"/>
    <n v="211.9999999997988"/>
  </r>
  <r>
    <x v="0"/>
    <x v="1"/>
    <x v="1"/>
    <x v="4"/>
    <x v="5"/>
    <x v="1"/>
    <n v="1028.4001204436299"/>
    <n v="1042.7"/>
  </r>
  <r>
    <x v="0"/>
    <x v="1"/>
    <x v="1"/>
    <x v="4"/>
    <x v="6"/>
    <x v="1"/>
    <n v="613047.08986127202"/>
    <n v="233232.902898181"/>
  </r>
  <r>
    <x v="0"/>
    <x v="1"/>
    <x v="2"/>
    <x v="5"/>
    <x v="2"/>
    <x v="0"/>
    <n v="1017.017330660213"/>
    <n v="523.32268821459616"/>
  </r>
  <r>
    <x v="0"/>
    <x v="1"/>
    <x v="2"/>
    <x v="5"/>
    <x v="2"/>
    <x v="1"/>
    <n v="17106.71261468207"/>
    <n v="5039.0270408691977"/>
  </r>
  <r>
    <x v="0"/>
    <x v="1"/>
    <x v="2"/>
    <x v="5"/>
    <x v="8"/>
    <x v="0"/>
    <n v="79.365517035070297"/>
    <n v="5.5681006418998997"/>
  </r>
  <r>
    <x v="0"/>
    <x v="1"/>
    <x v="2"/>
    <x v="5"/>
    <x v="8"/>
    <x v="1"/>
    <n v="6.7244444932142002"/>
    <n v="1.0158990000000001"/>
  </r>
  <r>
    <x v="0"/>
    <x v="1"/>
    <x v="2"/>
    <x v="5"/>
    <x v="7"/>
    <x v="0"/>
    <n v="704.71531919762924"/>
    <n v="387.7165911219991"/>
  </r>
  <r>
    <x v="0"/>
    <x v="1"/>
    <x v="2"/>
    <x v="5"/>
    <x v="7"/>
    <x v="1"/>
    <n v="2533.3076459041431"/>
    <n v="922.05040880369961"/>
  </r>
  <r>
    <x v="0"/>
    <x v="1"/>
    <x v="2"/>
    <x v="5"/>
    <x v="1"/>
    <x v="0"/>
    <n v="13.6425386022811"/>
    <n v="8.6824535706995007"/>
  </r>
  <r>
    <x v="0"/>
    <x v="1"/>
    <x v="2"/>
    <x v="5"/>
    <x v="1"/>
    <x v="1"/>
    <n v="41.717675094021899"/>
    <n v="33.269445245199698"/>
  </r>
  <r>
    <x v="0"/>
    <x v="1"/>
    <x v="2"/>
    <x v="5"/>
    <x v="9"/>
    <x v="0"/>
    <n v="0.2442498180862"/>
    <m/>
  </r>
  <r>
    <x v="0"/>
    <x v="1"/>
    <x v="2"/>
    <x v="5"/>
    <x v="9"/>
    <x v="1"/>
    <n v="4.7539695809458999"/>
    <m/>
  </r>
  <r>
    <x v="0"/>
    <x v="1"/>
    <x v="2"/>
    <x v="6"/>
    <x v="0"/>
    <x v="0"/>
    <n v="464.1983294428457"/>
    <n v="176.68768184859951"/>
  </r>
  <r>
    <x v="0"/>
    <x v="1"/>
    <x v="2"/>
    <x v="6"/>
    <x v="0"/>
    <x v="1"/>
    <n v="1174.7481119816041"/>
    <n v="244.40507956159939"/>
  </r>
  <r>
    <x v="0"/>
    <x v="1"/>
    <x v="2"/>
    <x v="6"/>
    <x v="1"/>
    <x v="0"/>
    <n v="1908.2543008910541"/>
    <n v="626.52232276609368"/>
  </r>
  <r>
    <x v="0"/>
    <x v="1"/>
    <x v="2"/>
    <x v="6"/>
    <x v="1"/>
    <x v="1"/>
    <n v="4840.4621063526592"/>
    <n v="1332.6105740283961"/>
  </r>
  <r>
    <x v="0"/>
    <x v="1"/>
    <x v="2"/>
    <x v="7"/>
    <x v="2"/>
    <x v="1"/>
    <n v="31452.166844679301"/>
    <n v="12752.7799999697"/>
  </r>
  <r>
    <x v="0"/>
    <x v="2"/>
    <x v="0"/>
    <x v="0"/>
    <x v="0"/>
    <x v="0"/>
    <n v="64.444012155351103"/>
    <n v="3.8822796413998999"/>
  </r>
  <r>
    <x v="0"/>
    <x v="2"/>
    <x v="0"/>
    <x v="0"/>
    <x v="0"/>
    <x v="1"/>
    <n v="344.7917698487181"/>
    <n v="25.5077203578998"/>
  </r>
  <r>
    <x v="0"/>
    <x v="2"/>
    <x v="0"/>
    <x v="0"/>
    <x v="1"/>
    <x v="0"/>
    <n v="23681.28541987839"/>
    <n v="1668.1949124722989"/>
  </r>
  <r>
    <x v="0"/>
    <x v="2"/>
    <x v="0"/>
    <x v="0"/>
    <x v="1"/>
    <x v="1"/>
    <n v="7823.8740931953798"/>
    <n v="718.83925934349702"/>
  </r>
  <r>
    <x v="0"/>
    <x v="2"/>
    <x v="0"/>
    <x v="1"/>
    <x v="0"/>
    <x v="0"/>
    <n v="138.83154687938099"/>
    <n v="6.9333763293999002"/>
  </r>
  <r>
    <x v="0"/>
    <x v="2"/>
    <x v="0"/>
    <x v="1"/>
    <x v="0"/>
    <x v="1"/>
    <n v="333.24459163512938"/>
    <n v="16.4908708052"/>
  </r>
  <r>
    <x v="0"/>
    <x v="2"/>
    <x v="0"/>
    <x v="1"/>
    <x v="1"/>
    <x v="0"/>
    <n v="19437.40785517625"/>
    <n v="1507.8729007666991"/>
  </r>
  <r>
    <x v="0"/>
    <x v="2"/>
    <x v="0"/>
    <x v="1"/>
    <x v="1"/>
    <x v="1"/>
    <n v="22053.47695952309"/>
    <n v="1905.8110016940991"/>
  </r>
  <r>
    <x v="0"/>
    <x v="2"/>
    <x v="1"/>
    <x v="2"/>
    <x v="2"/>
    <x v="0"/>
    <n v="1499.5714023614739"/>
    <n v="948.14431299729699"/>
  </r>
  <r>
    <x v="0"/>
    <x v="2"/>
    <x v="1"/>
    <x v="2"/>
    <x v="2"/>
    <x v="1"/>
    <n v="30513.7667047164"/>
    <n v="20360.238120308099"/>
  </r>
  <r>
    <x v="0"/>
    <x v="2"/>
    <x v="1"/>
    <x v="2"/>
    <x v="4"/>
    <x v="0"/>
    <n v="0.97413759209270001"/>
    <m/>
  </r>
  <r>
    <x v="0"/>
    <x v="2"/>
    <x v="1"/>
    <x v="2"/>
    <x v="4"/>
    <x v="1"/>
    <n v="3.1959275835758998"/>
    <m/>
  </r>
  <r>
    <x v="0"/>
    <x v="2"/>
    <x v="1"/>
    <x v="2"/>
    <x v="5"/>
    <x v="0"/>
    <n v="188.93311698110969"/>
    <m/>
  </r>
  <r>
    <x v="0"/>
    <x v="2"/>
    <x v="1"/>
    <x v="2"/>
    <x v="5"/>
    <x v="1"/>
    <n v="543.70424690567404"/>
    <n v="12.0000000001"/>
  </r>
  <r>
    <x v="0"/>
    <x v="2"/>
    <x v="1"/>
    <x v="2"/>
    <x v="6"/>
    <x v="0"/>
    <n v="4064.9184276204201"/>
    <n v="93.951170353299801"/>
  </r>
  <r>
    <x v="0"/>
    <x v="2"/>
    <x v="1"/>
    <x v="2"/>
    <x v="6"/>
    <x v="1"/>
    <n v="14503.41479247005"/>
    <n v="2905.4350846018001"/>
  </r>
  <r>
    <x v="0"/>
    <x v="2"/>
    <x v="1"/>
    <x v="2"/>
    <x v="1"/>
    <x v="0"/>
    <n v="182.71713171714521"/>
    <n v="95.785739994999702"/>
  </r>
  <r>
    <x v="0"/>
    <x v="2"/>
    <x v="1"/>
    <x v="2"/>
    <x v="1"/>
    <x v="1"/>
    <n v="1707.9601563179449"/>
    <n v="1095.308260005"/>
  </r>
  <r>
    <x v="0"/>
    <x v="2"/>
    <x v="1"/>
    <x v="3"/>
    <x v="2"/>
    <x v="0"/>
    <n v="3317.7205054993501"/>
    <n v="579.599618770098"/>
  </r>
  <r>
    <x v="0"/>
    <x v="2"/>
    <x v="1"/>
    <x v="3"/>
    <x v="2"/>
    <x v="1"/>
    <n v="28610.943151894899"/>
    <n v="9300.7746984305995"/>
  </r>
  <r>
    <x v="0"/>
    <x v="2"/>
    <x v="1"/>
    <x v="3"/>
    <x v="3"/>
    <x v="0"/>
    <n v="63.596756785378602"/>
    <m/>
  </r>
  <r>
    <x v="0"/>
    <x v="2"/>
    <x v="1"/>
    <x v="3"/>
    <x v="3"/>
    <x v="1"/>
    <n v="168.3388501373679"/>
    <m/>
  </r>
  <r>
    <x v="0"/>
    <x v="2"/>
    <x v="1"/>
    <x v="3"/>
    <x v="7"/>
    <x v="0"/>
    <n v="1432.4990727965539"/>
    <n v="299.75999999999988"/>
  </r>
  <r>
    <x v="0"/>
    <x v="2"/>
    <x v="1"/>
    <x v="3"/>
    <x v="7"/>
    <x v="1"/>
    <n v="5168.5687832321437"/>
    <n v="1711.4399999999998"/>
  </r>
  <r>
    <x v="0"/>
    <x v="2"/>
    <x v="1"/>
    <x v="3"/>
    <x v="5"/>
    <x v="0"/>
    <n v="1306.8171971386951"/>
    <m/>
  </r>
  <r>
    <x v="0"/>
    <x v="2"/>
    <x v="1"/>
    <x v="3"/>
    <x v="5"/>
    <x v="1"/>
    <n v="3177.7350716400751"/>
    <n v="23"/>
  </r>
  <r>
    <x v="0"/>
    <x v="2"/>
    <x v="1"/>
    <x v="3"/>
    <x v="6"/>
    <x v="0"/>
    <n v="427.84378767809989"/>
    <m/>
  </r>
  <r>
    <x v="0"/>
    <x v="2"/>
    <x v="1"/>
    <x v="3"/>
    <x v="6"/>
    <x v="1"/>
    <n v="1128.9458419984071"/>
    <m/>
  </r>
  <r>
    <x v="0"/>
    <x v="2"/>
    <x v="1"/>
    <x v="3"/>
    <x v="1"/>
    <x v="0"/>
    <n v="539.03420960909705"/>
    <n v="32.504261019599298"/>
  </r>
  <r>
    <x v="0"/>
    <x v="2"/>
    <x v="1"/>
    <x v="3"/>
    <x v="1"/>
    <x v="1"/>
    <n v="2296.3235582079151"/>
    <n v="391.40173897749997"/>
  </r>
  <r>
    <x v="0"/>
    <x v="2"/>
    <x v="1"/>
    <x v="4"/>
    <x v="2"/>
    <x v="1"/>
    <n v="10748.47702422666"/>
    <n v="8013.7432494986997"/>
  </r>
  <r>
    <x v="0"/>
    <x v="2"/>
    <x v="1"/>
    <x v="4"/>
    <x v="5"/>
    <x v="0"/>
    <n v="6.005614655534"/>
    <n v="6"/>
  </r>
  <r>
    <x v="0"/>
    <x v="2"/>
    <x v="1"/>
    <x v="4"/>
    <x v="5"/>
    <x v="1"/>
    <n v="6.005614655534"/>
    <n v="6"/>
  </r>
  <r>
    <x v="0"/>
    <x v="2"/>
    <x v="1"/>
    <x v="4"/>
    <x v="6"/>
    <x v="1"/>
    <n v="32160.806398673802"/>
    <n v="18870.6137460422"/>
  </r>
  <r>
    <x v="0"/>
    <x v="2"/>
    <x v="2"/>
    <x v="5"/>
    <x v="2"/>
    <x v="0"/>
    <n v="1227.483367266153"/>
    <n v="370.21742767139898"/>
  </r>
  <r>
    <x v="0"/>
    <x v="2"/>
    <x v="2"/>
    <x v="5"/>
    <x v="2"/>
    <x v="1"/>
    <n v="9989.6035016233709"/>
    <n v="3316.4199704723992"/>
  </r>
  <r>
    <x v="0"/>
    <x v="2"/>
    <x v="2"/>
    <x v="5"/>
    <x v="3"/>
    <x v="0"/>
    <n v="1.8056078180541999"/>
    <m/>
  </r>
  <r>
    <x v="0"/>
    <x v="2"/>
    <x v="2"/>
    <x v="5"/>
    <x v="8"/>
    <x v="0"/>
    <n v="0.1679227666118"/>
    <n v="3.7520241400000001E-2"/>
  </r>
  <r>
    <x v="0"/>
    <x v="2"/>
    <x v="2"/>
    <x v="5"/>
    <x v="8"/>
    <x v="1"/>
    <n v="0.40046500408680002"/>
    <n v="1.56775751E-2"/>
  </r>
  <r>
    <x v="0"/>
    <x v="2"/>
    <x v="2"/>
    <x v="5"/>
    <x v="7"/>
    <x v="0"/>
    <n v="376.30370068360878"/>
    <n v="49.251668936499698"/>
  </r>
  <r>
    <x v="0"/>
    <x v="2"/>
    <x v="2"/>
    <x v="5"/>
    <x v="7"/>
    <x v="1"/>
    <n v="1931.8132044171259"/>
    <n v="141.98133106809999"/>
  </r>
  <r>
    <x v="0"/>
    <x v="2"/>
    <x v="2"/>
    <x v="5"/>
    <x v="1"/>
    <x v="0"/>
    <n v="4.2116353487160998"/>
    <n v="3.0232245435998002"/>
  </r>
  <r>
    <x v="0"/>
    <x v="2"/>
    <x v="2"/>
    <x v="5"/>
    <x v="1"/>
    <x v="1"/>
    <n v="49.555190188022799"/>
    <n v="33.051880657999099"/>
  </r>
  <r>
    <x v="0"/>
    <x v="2"/>
    <x v="2"/>
    <x v="5"/>
    <x v="9"/>
    <x v="0"/>
    <n v="6.0553616090954003"/>
    <m/>
  </r>
  <r>
    <x v="0"/>
    <x v="2"/>
    <x v="2"/>
    <x v="5"/>
    <x v="9"/>
    <x v="1"/>
    <n v="29.8116530126877"/>
    <m/>
  </r>
  <r>
    <x v="0"/>
    <x v="2"/>
    <x v="2"/>
    <x v="6"/>
    <x v="0"/>
    <x v="0"/>
    <n v="100.2635033045495"/>
    <n v="13.1870909610998"/>
  </r>
  <r>
    <x v="0"/>
    <x v="2"/>
    <x v="2"/>
    <x v="6"/>
    <x v="0"/>
    <x v="1"/>
    <n v="443.76499888107139"/>
    <n v="65.232661908699797"/>
  </r>
  <r>
    <x v="0"/>
    <x v="2"/>
    <x v="2"/>
    <x v="6"/>
    <x v="1"/>
    <x v="0"/>
    <n v="1386.5628974337531"/>
    <n v="191.26099641919831"/>
  </r>
  <r>
    <x v="0"/>
    <x v="2"/>
    <x v="2"/>
    <x v="6"/>
    <x v="1"/>
    <x v="1"/>
    <n v="1142.229581724019"/>
    <n v="213.02830065369821"/>
  </r>
  <r>
    <x v="0"/>
    <x v="2"/>
    <x v="2"/>
    <x v="7"/>
    <x v="2"/>
    <x v="1"/>
    <n v="6449.9665987960498"/>
    <n v="2784.5700000440002"/>
  </r>
  <r>
    <x v="0"/>
    <x v="3"/>
    <x v="0"/>
    <x v="0"/>
    <x v="0"/>
    <x v="0"/>
    <n v="999.73881111973981"/>
    <n v="249.0015633912995"/>
  </r>
  <r>
    <x v="0"/>
    <x v="3"/>
    <x v="0"/>
    <x v="0"/>
    <x v="0"/>
    <x v="1"/>
    <n v="622.24132796382582"/>
    <n v="206.70043661309961"/>
  </r>
  <r>
    <x v="0"/>
    <x v="3"/>
    <x v="0"/>
    <x v="0"/>
    <x v="1"/>
    <x v="0"/>
    <n v="106481.61165525619"/>
    <n v="23438.163687345797"/>
  </r>
  <r>
    <x v="0"/>
    <x v="3"/>
    <x v="0"/>
    <x v="0"/>
    <x v="1"/>
    <x v="1"/>
    <n v="81412.123177714602"/>
    <n v="15692.023401642198"/>
  </r>
  <r>
    <x v="0"/>
    <x v="3"/>
    <x v="0"/>
    <x v="1"/>
    <x v="0"/>
    <x v="0"/>
    <n v="1966.0028209622403"/>
    <n v="339.23298338509983"/>
  </r>
  <r>
    <x v="0"/>
    <x v="3"/>
    <x v="0"/>
    <x v="1"/>
    <x v="0"/>
    <x v="1"/>
    <n v="1485.99845983455"/>
    <n v="370.70227277409992"/>
  </r>
  <r>
    <x v="0"/>
    <x v="3"/>
    <x v="0"/>
    <x v="1"/>
    <x v="1"/>
    <x v="0"/>
    <n v="56294.475806990427"/>
    <n v="8574.7367821100997"/>
  </r>
  <r>
    <x v="0"/>
    <x v="3"/>
    <x v="0"/>
    <x v="1"/>
    <x v="1"/>
    <x v="1"/>
    <n v="50799.649402551011"/>
    <n v="9413.839766760997"/>
  </r>
  <r>
    <x v="0"/>
    <x v="3"/>
    <x v="1"/>
    <x v="2"/>
    <x v="2"/>
    <x v="0"/>
    <n v="66676.035093744344"/>
    <n v="29121.476063643699"/>
  </r>
  <r>
    <x v="0"/>
    <x v="3"/>
    <x v="1"/>
    <x v="2"/>
    <x v="2"/>
    <x v="1"/>
    <n v="363105.18947554461"/>
    <n v="143228.2290273876"/>
  </r>
  <r>
    <x v="0"/>
    <x v="3"/>
    <x v="1"/>
    <x v="2"/>
    <x v="3"/>
    <x v="0"/>
    <n v="36.854108947395702"/>
    <n v="22.049999999999699"/>
  </r>
  <r>
    <x v="0"/>
    <x v="3"/>
    <x v="1"/>
    <x v="2"/>
    <x v="3"/>
    <x v="1"/>
    <n v="36.854108947395801"/>
    <n v="22.049999999999699"/>
  </r>
  <r>
    <x v="0"/>
    <x v="3"/>
    <x v="1"/>
    <x v="2"/>
    <x v="5"/>
    <x v="0"/>
    <n v="1560.5792432016069"/>
    <n v="1.9350000000000001"/>
  </r>
  <r>
    <x v="0"/>
    <x v="3"/>
    <x v="1"/>
    <x v="2"/>
    <x v="5"/>
    <x v="1"/>
    <n v="7755.4383778278916"/>
    <n v="10.9650000003"/>
  </r>
  <r>
    <x v="0"/>
    <x v="3"/>
    <x v="1"/>
    <x v="2"/>
    <x v="6"/>
    <x v="0"/>
    <n v="14791.227277426518"/>
    <n v="53.068301539198899"/>
  </r>
  <r>
    <x v="0"/>
    <x v="3"/>
    <x v="1"/>
    <x v="2"/>
    <x v="6"/>
    <x v="1"/>
    <n v="76665.254862666639"/>
    <n v="1912.8666484909993"/>
  </r>
  <r>
    <x v="0"/>
    <x v="3"/>
    <x v="1"/>
    <x v="2"/>
    <x v="1"/>
    <x v="0"/>
    <n v="566.36477449328675"/>
    <n v="91.386799546599505"/>
  </r>
  <r>
    <x v="0"/>
    <x v="3"/>
    <x v="1"/>
    <x v="2"/>
    <x v="1"/>
    <x v="1"/>
    <n v="2663.6224418390011"/>
    <n v="402.17320045329961"/>
  </r>
  <r>
    <x v="0"/>
    <x v="3"/>
    <x v="1"/>
    <x v="3"/>
    <x v="2"/>
    <x v="0"/>
    <n v="10550.389358802067"/>
    <n v="3706.1430560743979"/>
  </r>
  <r>
    <x v="0"/>
    <x v="3"/>
    <x v="1"/>
    <x v="3"/>
    <x v="2"/>
    <x v="1"/>
    <n v="94563.378892837994"/>
    <n v="44723.911958396602"/>
  </r>
  <r>
    <x v="0"/>
    <x v="3"/>
    <x v="1"/>
    <x v="3"/>
    <x v="3"/>
    <x v="0"/>
    <n v="147.70670275075321"/>
    <m/>
  </r>
  <r>
    <x v="0"/>
    <x v="3"/>
    <x v="1"/>
    <x v="3"/>
    <x v="3"/>
    <x v="1"/>
    <n v="748.13061939445731"/>
    <m/>
  </r>
  <r>
    <x v="0"/>
    <x v="3"/>
    <x v="1"/>
    <x v="3"/>
    <x v="7"/>
    <x v="0"/>
    <n v="22917.850595100281"/>
    <n v="13099.718000000001"/>
  </r>
  <r>
    <x v="0"/>
    <x v="3"/>
    <x v="1"/>
    <x v="3"/>
    <x v="7"/>
    <x v="1"/>
    <n v="100731.02213001634"/>
    <n v="59322.682000000001"/>
  </r>
  <r>
    <x v="0"/>
    <x v="3"/>
    <x v="1"/>
    <x v="3"/>
    <x v="5"/>
    <x v="0"/>
    <n v="445.02665923477173"/>
    <m/>
  </r>
  <r>
    <x v="0"/>
    <x v="3"/>
    <x v="1"/>
    <x v="3"/>
    <x v="5"/>
    <x v="1"/>
    <n v="2364.9932816440082"/>
    <m/>
  </r>
  <r>
    <x v="0"/>
    <x v="3"/>
    <x v="1"/>
    <x v="3"/>
    <x v="6"/>
    <x v="0"/>
    <n v="743.08087822283687"/>
    <m/>
  </r>
  <r>
    <x v="0"/>
    <x v="3"/>
    <x v="1"/>
    <x v="3"/>
    <x v="6"/>
    <x v="1"/>
    <n v="3762.3188261857249"/>
    <m/>
  </r>
  <r>
    <x v="0"/>
    <x v="3"/>
    <x v="1"/>
    <x v="3"/>
    <x v="1"/>
    <x v="0"/>
    <n v="462.59359468936373"/>
    <n v="12.914000003099799"/>
  </r>
  <r>
    <x v="0"/>
    <x v="3"/>
    <x v="1"/>
    <x v="3"/>
    <x v="1"/>
    <x v="1"/>
    <n v="2694.438817362467"/>
    <n v="116.2259999973993"/>
  </r>
  <r>
    <x v="0"/>
    <x v="3"/>
    <x v="1"/>
    <x v="4"/>
    <x v="2"/>
    <x v="0"/>
    <n v="2579.9422939132696"/>
    <n v="1546.7382499601988"/>
  </r>
  <r>
    <x v="0"/>
    <x v="3"/>
    <x v="1"/>
    <x v="4"/>
    <x v="2"/>
    <x v="1"/>
    <n v="254079.97463188798"/>
    <n v="151671.80164439921"/>
  </r>
  <r>
    <x v="0"/>
    <x v="3"/>
    <x v="1"/>
    <x v="4"/>
    <x v="6"/>
    <x v="0"/>
    <n v="1099.2216969443041"/>
    <n v="363.11564615619739"/>
  </r>
  <r>
    <x v="0"/>
    <x v="3"/>
    <x v="1"/>
    <x v="4"/>
    <x v="6"/>
    <x v="1"/>
    <n v="122468.91488478082"/>
    <n v="24225.849353818699"/>
  </r>
  <r>
    <x v="0"/>
    <x v="3"/>
    <x v="2"/>
    <x v="5"/>
    <x v="2"/>
    <x v="0"/>
    <n v="2282.0275393648235"/>
    <n v="1882.8608499515988"/>
  </r>
  <r>
    <x v="0"/>
    <x v="3"/>
    <x v="2"/>
    <x v="5"/>
    <x v="2"/>
    <x v="1"/>
    <n v="17031.33043021394"/>
    <n v="5773.3840622710977"/>
  </r>
  <r>
    <x v="0"/>
    <x v="3"/>
    <x v="2"/>
    <x v="5"/>
    <x v="3"/>
    <x v="0"/>
    <n v="0.14521020119399999"/>
    <m/>
  </r>
  <r>
    <x v="0"/>
    <x v="3"/>
    <x v="2"/>
    <x v="5"/>
    <x v="3"/>
    <x v="1"/>
    <n v="3.6933725725233999"/>
    <m/>
  </r>
  <r>
    <x v="0"/>
    <x v="3"/>
    <x v="2"/>
    <x v="5"/>
    <x v="8"/>
    <x v="0"/>
    <n v="2.8480913514287001"/>
    <n v="3.2645"/>
  </r>
  <r>
    <x v="0"/>
    <x v="3"/>
    <x v="2"/>
    <x v="5"/>
    <x v="8"/>
    <x v="1"/>
    <n v="2.1877168701900001"/>
    <n v="2.2345000000000002"/>
  </r>
  <r>
    <x v="0"/>
    <x v="3"/>
    <x v="2"/>
    <x v="5"/>
    <x v="7"/>
    <x v="0"/>
    <n v="3267.294990282629"/>
    <n v="2367.2451099897999"/>
  </r>
  <r>
    <x v="0"/>
    <x v="3"/>
    <x v="2"/>
    <x v="5"/>
    <x v="7"/>
    <x v="1"/>
    <n v="34910.928787772697"/>
    <n v="11880.489890082699"/>
  </r>
  <r>
    <x v="0"/>
    <x v="3"/>
    <x v="2"/>
    <x v="5"/>
    <x v="1"/>
    <x v="0"/>
    <n v="20.025135117177001"/>
    <n v="9.2050536112997001"/>
  </r>
  <r>
    <x v="0"/>
    <x v="3"/>
    <x v="2"/>
    <x v="5"/>
    <x v="1"/>
    <x v="1"/>
    <n v="46.261271510331397"/>
    <n v="11.547850543299599"/>
  </r>
  <r>
    <x v="0"/>
    <x v="3"/>
    <x v="2"/>
    <x v="5"/>
    <x v="9"/>
    <x v="0"/>
    <n v="1.5479187843357001"/>
    <m/>
  </r>
  <r>
    <x v="0"/>
    <x v="3"/>
    <x v="2"/>
    <x v="5"/>
    <x v="9"/>
    <x v="1"/>
    <n v="27.0355951031929"/>
    <m/>
  </r>
  <r>
    <x v="0"/>
    <x v="3"/>
    <x v="2"/>
    <x v="6"/>
    <x v="0"/>
    <x v="0"/>
    <n v="1233.7192836138654"/>
    <n v="551.22305977539975"/>
  </r>
  <r>
    <x v="0"/>
    <x v="3"/>
    <x v="2"/>
    <x v="6"/>
    <x v="0"/>
    <x v="1"/>
    <n v="2562.6009485998479"/>
    <n v="1138.1566842049999"/>
  </r>
  <r>
    <x v="0"/>
    <x v="3"/>
    <x v="2"/>
    <x v="6"/>
    <x v="1"/>
    <x v="0"/>
    <n v="3981.312876900633"/>
    <n v="2122.6052010572976"/>
  </r>
  <r>
    <x v="0"/>
    <x v="3"/>
    <x v="2"/>
    <x v="6"/>
    <x v="1"/>
    <x v="1"/>
    <n v="4753.060558416375"/>
    <n v="2276.0103700607979"/>
  </r>
  <r>
    <x v="0"/>
    <x v="3"/>
    <x v="2"/>
    <x v="7"/>
    <x v="2"/>
    <x v="1"/>
    <n v="25701.959737116835"/>
    <n v="7769.0500000366001"/>
  </r>
  <r>
    <x v="0"/>
    <x v="4"/>
    <x v="0"/>
    <x v="0"/>
    <x v="0"/>
    <x v="0"/>
    <n v="223.58013400933601"/>
    <n v="45.775770111900002"/>
  </r>
  <r>
    <x v="0"/>
    <x v="4"/>
    <x v="0"/>
    <x v="0"/>
    <x v="0"/>
    <x v="1"/>
    <n v="1014.98265575419"/>
    <n v="128.26722988099999"/>
  </r>
  <r>
    <x v="0"/>
    <x v="4"/>
    <x v="0"/>
    <x v="0"/>
    <x v="1"/>
    <x v="0"/>
    <n v="16198.488956343101"/>
    <n v="2578.7204083064998"/>
  </r>
  <r>
    <x v="0"/>
    <x v="4"/>
    <x v="0"/>
    <x v="0"/>
    <x v="1"/>
    <x v="1"/>
    <n v="10239.952848087099"/>
    <n v="856.67355053779897"/>
  </r>
  <r>
    <x v="0"/>
    <x v="4"/>
    <x v="0"/>
    <x v="1"/>
    <x v="0"/>
    <x v="0"/>
    <n v="417.50513670545803"/>
    <n v="35.832539462499902"/>
  </r>
  <r>
    <x v="0"/>
    <x v="4"/>
    <x v="0"/>
    <x v="1"/>
    <x v="0"/>
    <x v="1"/>
    <n v="763.88174165210398"/>
    <n v="97.880295733599695"/>
  </r>
  <r>
    <x v="0"/>
    <x v="4"/>
    <x v="0"/>
    <x v="1"/>
    <x v="1"/>
    <x v="0"/>
    <n v="24169.190274905501"/>
    <n v="2502.9571242635998"/>
  </r>
  <r>
    <x v="0"/>
    <x v="4"/>
    <x v="0"/>
    <x v="1"/>
    <x v="1"/>
    <x v="1"/>
    <n v="15494.891202594499"/>
    <n v="2259.3704152444998"/>
  </r>
  <r>
    <x v="0"/>
    <x v="4"/>
    <x v="1"/>
    <x v="2"/>
    <x v="2"/>
    <x v="0"/>
    <n v="73.477274192683595"/>
    <n v="67.877667579999596"/>
  </r>
  <r>
    <x v="0"/>
    <x v="4"/>
    <x v="1"/>
    <x v="2"/>
    <x v="2"/>
    <x v="1"/>
    <n v="3044.4348081222302"/>
    <n v="2767.7704324195001"/>
  </r>
  <r>
    <x v="0"/>
    <x v="4"/>
    <x v="1"/>
    <x v="2"/>
    <x v="3"/>
    <x v="0"/>
    <n v="9.4337766079800003E-2"/>
    <n v="0.10002999999999999"/>
  </r>
  <r>
    <x v="0"/>
    <x v="4"/>
    <x v="1"/>
    <x v="2"/>
    <x v="3"/>
    <x v="1"/>
    <n v="0.56582854658500004"/>
    <n v="0.59997"/>
  </r>
  <r>
    <x v="0"/>
    <x v="4"/>
    <x v="1"/>
    <x v="2"/>
    <x v="4"/>
    <x v="0"/>
    <n v="0.31655746958800002"/>
    <m/>
  </r>
  <r>
    <x v="0"/>
    <x v="4"/>
    <x v="1"/>
    <x v="2"/>
    <x v="4"/>
    <x v="1"/>
    <n v="12.7990369868571"/>
    <n v="12.9"/>
  </r>
  <r>
    <x v="0"/>
    <x v="4"/>
    <x v="1"/>
    <x v="2"/>
    <x v="5"/>
    <x v="0"/>
    <n v="825.03684583644701"/>
    <n v="671.30996999989998"/>
  </r>
  <r>
    <x v="0"/>
    <x v="4"/>
    <x v="1"/>
    <x v="2"/>
    <x v="5"/>
    <x v="1"/>
    <n v="5426.12677567425"/>
    <n v="1886.8900300007001"/>
  </r>
  <r>
    <x v="0"/>
    <x v="4"/>
    <x v="1"/>
    <x v="2"/>
    <x v="6"/>
    <x v="0"/>
    <n v="1236.8736440305599"/>
    <n v="1073.0365559316999"/>
  </r>
  <r>
    <x v="0"/>
    <x v="4"/>
    <x v="1"/>
    <x v="2"/>
    <x v="6"/>
    <x v="1"/>
    <n v="4871.4699908695802"/>
    <n v="2043.6564440336001"/>
  </r>
  <r>
    <x v="0"/>
    <x v="4"/>
    <x v="1"/>
    <x v="2"/>
    <x v="1"/>
    <x v="0"/>
    <n v="0.56585683801230002"/>
    <n v="0.59999999849999996"/>
  </r>
  <r>
    <x v="0"/>
    <x v="4"/>
    <x v="1"/>
    <x v="2"/>
    <x v="1"/>
    <x v="1"/>
    <n v="6.7902820731242999"/>
    <n v="7.2"/>
  </r>
  <r>
    <x v="0"/>
    <x v="4"/>
    <x v="1"/>
    <x v="3"/>
    <x v="2"/>
    <x v="0"/>
    <n v="2942.2878543357401"/>
    <n v="536.07734816999903"/>
  </r>
  <r>
    <x v="0"/>
    <x v="4"/>
    <x v="1"/>
    <x v="3"/>
    <x v="2"/>
    <x v="1"/>
    <n v="33843.100879686797"/>
    <n v="9096.2445518297009"/>
  </r>
  <r>
    <x v="0"/>
    <x v="4"/>
    <x v="1"/>
    <x v="3"/>
    <x v="3"/>
    <x v="0"/>
    <n v="5.4591193681245"/>
    <m/>
  </r>
  <r>
    <x v="0"/>
    <x v="4"/>
    <x v="1"/>
    <x v="3"/>
    <x v="3"/>
    <x v="1"/>
    <n v="46.192347636620902"/>
    <m/>
  </r>
  <r>
    <x v="0"/>
    <x v="4"/>
    <x v="1"/>
    <x v="3"/>
    <x v="7"/>
    <x v="0"/>
    <n v="3848.42733721485"/>
    <n v="1523.7739200000001"/>
  </r>
  <r>
    <x v="0"/>
    <x v="4"/>
    <x v="1"/>
    <x v="3"/>
    <x v="7"/>
    <x v="1"/>
    <n v="32621.808277510001"/>
    <n v="12878.62608"/>
  </r>
  <r>
    <x v="0"/>
    <x v="4"/>
    <x v="1"/>
    <x v="3"/>
    <x v="5"/>
    <x v="0"/>
    <n v="1279.4056906457799"/>
    <m/>
  </r>
  <r>
    <x v="0"/>
    <x v="4"/>
    <x v="1"/>
    <x v="3"/>
    <x v="5"/>
    <x v="1"/>
    <n v="8431.1127412717706"/>
    <m/>
  </r>
  <r>
    <x v="0"/>
    <x v="4"/>
    <x v="1"/>
    <x v="3"/>
    <x v="6"/>
    <x v="0"/>
    <n v="1380.0154949539699"/>
    <m/>
  </r>
  <r>
    <x v="0"/>
    <x v="4"/>
    <x v="1"/>
    <x v="3"/>
    <x v="6"/>
    <x v="1"/>
    <n v="9465.8144128717195"/>
    <m/>
  </r>
  <r>
    <x v="0"/>
    <x v="4"/>
    <x v="1"/>
    <x v="3"/>
    <x v="1"/>
    <x v="0"/>
    <n v="6.8400614330972997"/>
    <m/>
  </r>
  <r>
    <x v="0"/>
    <x v="4"/>
    <x v="1"/>
    <x v="3"/>
    <x v="1"/>
    <x v="1"/>
    <n v="50.486929675223202"/>
    <m/>
  </r>
  <r>
    <x v="0"/>
    <x v="4"/>
    <x v="1"/>
    <x v="4"/>
    <x v="2"/>
    <x v="1"/>
    <n v="121.483714534237"/>
    <n v="87.029999998899797"/>
  </r>
  <r>
    <x v="0"/>
    <x v="4"/>
    <x v="1"/>
    <x v="4"/>
    <x v="6"/>
    <x v="1"/>
    <n v="1752.6868556284801"/>
    <n v="983.30699999959904"/>
  </r>
  <r>
    <x v="0"/>
    <x v="4"/>
    <x v="2"/>
    <x v="5"/>
    <x v="2"/>
    <x v="0"/>
    <n v="670.98338849213803"/>
    <n v="228.974309789599"/>
  </r>
  <r>
    <x v="0"/>
    <x v="4"/>
    <x v="2"/>
    <x v="5"/>
    <x v="2"/>
    <x v="1"/>
    <n v="5883.4294164683997"/>
    <n v="3219.6480116092998"/>
  </r>
  <r>
    <x v="0"/>
    <x v="4"/>
    <x v="2"/>
    <x v="5"/>
    <x v="8"/>
    <x v="0"/>
    <n v="8.0078387490032998"/>
    <n v="3.7217712694998002"/>
  </r>
  <r>
    <x v="0"/>
    <x v="4"/>
    <x v="2"/>
    <x v="5"/>
    <x v="8"/>
    <x v="1"/>
    <n v="10.748995788261301"/>
    <n v="9.1936366623996992"/>
  </r>
  <r>
    <x v="0"/>
    <x v="4"/>
    <x v="2"/>
    <x v="5"/>
    <x v="7"/>
    <x v="0"/>
    <n v="1109.6291385166801"/>
    <n v="487.13855197880002"/>
  </r>
  <r>
    <x v="0"/>
    <x v="4"/>
    <x v="2"/>
    <x v="5"/>
    <x v="7"/>
    <x v="1"/>
    <n v="5824.1567122440401"/>
    <n v="2973.4274480029999"/>
  </r>
  <r>
    <x v="0"/>
    <x v="4"/>
    <x v="2"/>
    <x v="5"/>
    <x v="1"/>
    <x v="0"/>
    <n v="48.527356997203697"/>
    <n v="32.664590177299203"/>
  </r>
  <r>
    <x v="0"/>
    <x v="4"/>
    <x v="2"/>
    <x v="5"/>
    <x v="1"/>
    <x v="1"/>
    <n v="271.34910921336802"/>
    <n v="164.713676169699"/>
  </r>
  <r>
    <x v="0"/>
    <x v="4"/>
    <x v="2"/>
    <x v="5"/>
    <x v="9"/>
    <x v="0"/>
    <n v="28.4836598897752"/>
    <n v="0.13100049"/>
  </r>
  <r>
    <x v="0"/>
    <x v="4"/>
    <x v="2"/>
    <x v="5"/>
    <x v="9"/>
    <x v="1"/>
    <n v="73.848938939733898"/>
    <n v="3.3089995099999001"/>
  </r>
  <r>
    <x v="0"/>
    <x v="4"/>
    <x v="2"/>
    <x v="6"/>
    <x v="0"/>
    <x v="0"/>
    <n v="182.24092131094301"/>
    <n v="73.494989392399702"/>
  </r>
  <r>
    <x v="0"/>
    <x v="4"/>
    <x v="2"/>
    <x v="6"/>
    <x v="0"/>
    <x v="1"/>
    <n v="1647.1628021582701"/>
    <n v="348.27817485449998"/>
  </r>
  <r>
    <x v="0"/>
    <x v="4"/>
    <x v="2"/>
    <x v="6"/>
    <x v="1"/>
    <x v="0"/>
    <n v="2390.1957519275102"/>
    <n v="1028.9840546118"/>
  </r>
  <r>
    <x v="0"/>
    <x v="4"/>
    <x v="2"/>
    <x v="6"/>
    <x v="1"/>
    <x v="1"/>
    <n v="3448.0598585671601"/>
    <n v="1232.8864240294999"/>
  </r>
  <r>
    <x v="0"/>
    <x v="4"/>
    <x v="2"/>
    <x v="7"/>
    <x v="2"/>
    <x v="1"/>
    <n v="514.43333708556895"/>
    <n v="408.58000001469998"/>
  </r>
  <r>
    <x v="0"/>
    <x v="5"/>
    <x v="0"/>
    <x v="0"/>
    <x v="0"/>
    <x v="0"/>
    <n v="162.36747191834041"/>
    <n v="36.716901591899401"/>
  </r>
  <r>
    <x v="0"/>
    <x v="5"/>
    <x v="0"/>
    <x v="0"/>
    <x v="0"/>
    <x v="1"/>
    <n v="619.66717945361825"/>
    <n v="98.029098419699196"/>
  </r>
  <r>
    <x v="0"/>
    <x v="5"/>
    <x v="0"/>
    <x v="0"/>
    <x v="1"/>
    <x v="0"/>
    <n v="36210.250568902251"/>
    <n v="5242.5073866379953"/>
  </r>
  <r>
    <x v="0"/>
    <x v="5"/>
    <x v="0"/>
    <x v="0"/>
    <x v="1"/>
    <x v="1"/>
    <n v="27791.702073289365"/>
    <n v="3013.8096222641962"/>
  </r>
  <r>
    <x v="0"/>
    <x v="5"/>
    <x v="0"/>
    <x v="1"/>
    <x v="0"/>
    <x v="0"/>
    <n v="544.65543918271396"/>
    <n v="69.887362008899203"/>
  </r>
  <r>
    <x v="0"/>
    <x v="5"/>
    <x v="0"/>
    <x v="1"/>
    <x v="0"/>
    <x v="1"/>
    <n v="830.59323575747624"/>
    <n v="112.6278481327996"/>
  </r>
  <r>
    <x v="0"/>
    <x v="5"/>
    <x v="0"/>
    <x v="1"/>
    <x v="1"/>
    <x v="0"/>
    <n v="33345.384733612023"/>
    <n v="4496.4629747711933"/>
  </r>
  <r>
    <x v="0"/>
    <x v="5"/>
    <x v="0"/>
    <x v="1"/>
    <x v="1"/>
    <x v="1"/>
    <n v="66884.111355901958"/>
    <n v="9373.9304338244983"/>
  </r>
  <r>
    <x v="0"/>
    <x v="5"/>
    <x v="1"/>
    <x v="2"/>
    <x v="2"/>
    <x v="0"/>
    <n v="12294.621134187009"/>
    <n v="5529.1810171359957"/>
  </r>
  <r>
    <x v="0"/>
    <x v="5"/>
    <x v="1"/>
    <x v="2"/>
    <x v="2"/>
    <x v="1"/>
    <n v="153396.57485028665"/>
    <n v="92554.854111430104"/>
  </r>
  <r>
    <x v="0"/>
    <x v="5"/>
    <x v="1"/>
    <x v="2"/>
    <x v="3"/>
    <x v="0"/>
    <n v="444.10581619713668"/>
    <n v="218.52579704019919"/>
  </r>
  <r>
    <x v="0"/>
    <x v="5"/>
    <x v="1"/>
    <x v="2"/>
    <x v="3"/>
    <x v="1"/>
    <n v="347.08578108155371"/>
    <n v="163.84106479009901"/>
  </r>
  <r>
    <x v="0"/>
    <x v="5"/>
    <x v="1"/>
    <x v="2"/>
    <x v="4"/>
    <x v="0"/>
    <n v="164.65035065259841"/>
    <n v="19.482737267798601"/>
  </r>
  <r>
    <x v="0"/>
    <x v="5"/>
    <x v="1"/>
    <x v="2"/>
    <x v="4"/>
    <x v="1"/>
    <n v="1920.3026379732062"/>
    <n v="647.08309575029637"/>
  </r>
  <r>
    <x v="0"/>
    <x v="5"/>
    <x v="1"/>
    <x v="2"/>
    <x v="5"/>
    <x v="0"/>
    <n v="786.12557243528011"/>
    <m/>
  </r>
  <r>
    <x v="0"/>
    <x v="5"/>
    <x v="1"/>
    <x v="2"/>
    <x v="5"/>
    <x v="1"/>
    <n v="2054.4258973319452"/>
    <m/>
  </r>
  <r>
    <x v="0"/>
    <x v="5"/>
    <x v="1"/>
    <x v="2"/>
    <x v="6"/>
    <x v="0"/>
    <n v="28912.668307123669"/>
    <n v="1371.1583556086941"/>
  </r>
  <r>
    <x v="0"/>
    <x v="5"/>
    <x v="1"/>
    <x v="2"/>
    <x v="6"/>
    <x v="1"/>
    <n v="118303.26813948383"/>
    <n v="16648.173999628198"/>
  </r>
  <r>
    <x v="0"/>
    <x v="5"/>
    <x v="1"/>
    <x v="2"/>
    <x v="1"/>
    <x v="0"/>
    <n v="424.46832866245262"/>
    <n v="222.88900567989879"/>
  </r>
  <r>
    <x v="0"/>
    <x v="5"/>
    <x v="1"/>
    <x v="2"/>
    <x v="1"/>
    <x v="1"/>
    <n v="4128.3207666777234"/>
    <n v="2166.877266266798"/>
  </r>
  <r>
    <x v="0"/>
    <x v="5"/>
    <x v="1"/>
    <x v="3"/>
    <x v="2"/>
    <x v="0"/>
    <n v="8700.0002173657631"/>
    <n v="3466.2663917304958"/>
  </r>
  <r>
    <x v="0"/>
    <x v="5"/>
    <x v="1"/>
    <x v="3"/>
    <x v="2"/>
    <x v="1"/>
    <n v="71467.904421665284"/>
    <n v="32991.772143539201"/>
  </r>
  <r>
    <x v="0"/>
    <x v="5"/>
    <x v="1"/>
    <x v="3"/>
    <x v="3"/>
    <x v="0"/>
    <n v="2343.9798103383168"/>
    <m/>
  </r>
  <r>
    <x v="0"/>
    <x v="5"/>
    <x v="1"/>
    <x v="3"/>
    <x v="3"/>
    <x v="1"/>
    <n v="4711.2363375006425"/>
    <m/>
  </r>
  <r>
    <x v="0"/>
    <x v="5"/>
    <x v="1"/>
    <x v="3"/>
    <x v="7"/>
    <x v="0"/>
    <n v="6719.7257909723776"/>
    <n v="2953.77"/>
  </r>
  <r>
    <x v="0"/>
    <x v="5"/>
    <x v="1"/>
    <x v="3"/>
    <x v="7"/>
    <x v="1"/>
    <n v="8581.9182645908058"/>
    <n v="3805.51"/>
  </r>
  <r>
    <x v="0"/>
    <x v="5"/>
    <x v="1"/>
    <x v="3"/>
    <x v="5"/>
    <x v="0"/>
    <n v="309.72318327544889"/>
    <m/>
  </r>
  <r>
    <x v="0"/>
    <x v="5"/>
    <x v="1"/>
    <x v="3"/>
    <x v="5"/>
    <x v="1"/>
    <n v="797.77606632007326"/>
    <m/>
  </r>
  <r>
    <x v="0"/>
    <x v="5"/>
    <x v="1"/>
    <x v="3"/>
    <x v="6"/>
    <x v="0"/>
    <n v="475.539891807728"/>
    <m/>
  </r>
  <r>
    <x v="0"/>
    <x v="5"/>
    <x v="1"/>
    <x v="3"/>
    <x v="6"/>
    <x v="1"/>
    <n v="1231.265099052795"/>
    <m/>
  </r>
  <r>
    <x v="0"/>
    <x v="5"/>
    <x v="1"/>
    <x v="3"/>
    <x v="1"/>
    <x v="0"/>
    <n v="1120.627796998187"/>
    <n v="414.27690103689952"/>
  </r>
  <r>
    <x v="0"/>
    <x v="5"/>
    <x v="1"/>
    <x v="3"/>
    <x v="1"/>
    <x v="1"/>
    <n v="8359.4409271296099"/>
    <n v="2947.5411981683997"/>
  </r>
  <r>
    <x v="0"/>
    <x v="5"/>
    <x v="1"/>
    <x v="4"/>
    <x v="2"/>
    <x v="1"/>
    <n v="13848.103618797741"/>
    <n v="4733.7367937623003"/>
  </r>
  <r>
    <x v="0"/>
    <x v="5"/>
    <x v="1"/>
    <x v="4"/>
    <x v="4"/>
    <x v="1"/>
    <n v="477.74559216104058"/>
    <n v="16.519014754898201"/>
  </r>
  <r>
    <x v="0"/>
    <x v="5"/>
    <x v="1"/>
    <x v="4"/>
    <x v="6"/>
    <x v="0"/>
    <n v="19.6554544317951"/>
    <n v="19.4114509246"/>
  </r>
  <r>
    <x v="0"/>
    <x v="5"/>
    <x v="1"/>
    <x v="4"/>
    <x v="6"/>
    <x v="1"/>
    <n v="82997.76036625421"/>
    <n v="9214.9560081181953"/>
  </r>
  <r>
    <x v="0"/>
    <x v="5"/>
    <x v="1"/>
    <x v="4"/>
    <x v="1"/>
    <x v="1"/>
    <n v="18.2220803713194"/>
    <n v="14.7482034433295"/>
  </r>
  <r>
    <x v="0"/>
    <x v="5"/>
    <x v="2"/>
    <x v="5"/>
    <x v="2"/>
    <x v="0"/>
    <n v="2575.4362857420911"/>
    <n v="843.70990423779654"/>
  </r>
  <r>
    <x v="0"/>
    <x v="5"/>
    <x v="2"/>
    <x v="5"/>
    <x v="2"/>
    <x v="1"/>
    <n v="14783.35926085049"/>
    <n v="6575.0173804406968"/>
  </r>
  <r>
    <x v="0"/>
    <x v="5"/>
    <x v="2"/>
    <x v="5"/>
    <x v="3"/>
    <x v="0"/>
    <n v="4.9956395316719"/>
    <m/>
  </r>
  <r>
    <x v="0"/>
    <x v="5"/>
    <x v="2"/>
    <x v="5"/>
    <x v="3"/>
    <x v="1"/>
    <n v="71.873888679345995"/>
    <m/>
  </r>
  <r>
    <x v="0"/>
    <x v="5"/>
    <x v="2"/>
    <x v="5"/>
    <x v="8"/>
    <x v="0"/>
    <n v="93.926579663776295"/>
    <n v="14.199781845499301"/>
  </r>
  <r>
    <x v="0"/>
    <x v="5"/>
    <x v="2"/>
    <x v="5"/>
    <x v="8"/>
    <x v="1"/>
    <n v="38.709863416055597"/>
    <n v="15.033463813999401"/>
  </r>
  <r>
    <x v="0"/>
    <x v="5"/>
    <x v="2"/>
    <x v="5"/>
    <x v="7"/>
    <x v="0"/>
    <n v="835.29414261968452"/>
    <n v="233.1820549699996"/>
  </r>
  <r>
    <x v="0"/>
    <x v="5"/>
    <x v="2"/>
    <x v="5"/>
    <x v="7"/>
    <x v="1"/>
    <n v="4018.237231708717"/>
    <n v="981.05086110870002"/>
  </r>
  <r>
    <x v="0"/>
    <x v="5"/>
    <x v="2"/>
    <x v="5"/>
    <x v="1"/>
    <x v="0"/>
    <n v="41.447970705220698"/>
    <n v="25.3116720182988"/>
  </r>
  <r>
    <x v="0"/>
    <x v="5"/>
    <x v="2"/>
    <x v="5"/>
    <x v="1"/>
    <x v="1"/>
    <n v="109.2372162608401"/>
    <n v="93.794688187198702"/>
  </r>
  <r>
    <x v="0"/>
    <x v="5"/>
    <x v="2"/>
    <x v="5"/>
    <x v="9"/>
    <x v="0"/>
    <n v="10.422123347805901"/>
    <m/>
  </r>
  <r>
    <x v="0"/>
    <x v="5"/>
    <x v="2"/>
    <x v="5"/>
    <x v="9"/>
    <x v="1"/>
    <n v="21.1616757019444"/>
    <m/>
  </r>
  <r>
    <x v="0"/>
    <x v="5"/>
    <x v="2"/>
    <x v="6"/>
    <x v="0"/>
    <x v="0"/>
    <n v="251.870015079268"/>
    <n v="101.7278862645995"/>
  </r>
  <r>
    <x v="0"/>
    <x v="5"/>
    <x v="2"/>
    <x v="6"/>
    <x v="0"/>
    <x v="1"/>
    <n v="588.73661199740491"/>
    <n v="306.00790358049971"/>
  </r>
  <r>
    <x v="0"/>
    <x v="5"/>
    <x v="2"/>
    <x v="6"/>
    <x v="1"/>
    <x v="0"/>
    <n v="1415.8517652034211"/>
    <n v="677.48086113989314"/>
  </r>
  <r>
    <x v="0"/>
    <x v="5"/>
    <x v="2"/>
    <x v="6"/>
    <x v="1"/>
    <x v="1"/>
    <n v="3003.0070551586259"/>
    <n v="1797.496730143293"/>
  </r>
  <r>
    <x v="0"/>
    <x v="5"/>
    <x v="2"/>
    <x v="7"/>
    <x v="2"/>
    <x v="0"/>
    <n v="0"/>
    <n v="54.511697009999999"/>
  </r>
  <r>
    <x v="0"/>
    <x v="5"/>
    <x v="2"/>
    <x v="7"/>
    <x v="2"/>
    <x v="1"/>
    <n v="10918.3504804116"/>
    <n v="6313.1853029864997"/>
  </r>
  <r>
    <x v="0"/>
    <x v="6"/>
    <x v="0"/>
    <x v="0"/>
    <x v="0"/>
    <x v="0"/>
    <n v="550.13863399207639"/>
    <n v="126.71227211669949"/>
  </r>
  <r>
    <x v="0"/>
    <x v="6"/>
    <x v="0"/>
    <x v="0"/>
    <x v="0"/>
    <x v="1"/>
    <n v="448.75624591455301"/>
    <n v="79.757727880499502"/>
  </r>
  <r>
    <x v="0"/>
    <x v="6"/>
    <x v="0"/>
    <x v="0"/>
    <x v="1"/>
    <x v="0"/>
    <n v="10367.573694113022"/>
    <n v="2415.7848637539978"/>
  </r>
  <r>
    <x v="0"/>
    <x v="6"/>
    <x v="0"/>
    <x v="0"/>
    <x v="1"/>
    <x v="1"/>
    <n v="10317.041887122747"/>
    <n v="1355.0079112741973"/>
  </r>
  <r>
    <x v="0"/>
    <x v="6"/>
    <x v="0"/>
    <x v="1"/>
    <x v="0"/>
    <x v="0"/>
    <n v="1151.0764845388526"/>
    <n v="189.0768530453995"/>
  </r>
  <r>
    <x v="0"/>
    <x v="6"/>
    <x v="0"/>
    <x v="1"/>
    <x v="0"/>
    <x v="1"/>
    <n v="572.74359637897783"/>
    <n v="86.169856937999697"/>
  </r>
  <r>
    <x v="0"/>
    <x v="6"/>
    <x v="0"/>
    <x v="1"/>
    <x v="1"/>
    <x v="0"/>
    <n v="7332.6512028922334"/>
    <n v="1667.0179812207939"/>
  </r>
  <r>
    <x v="0"/>
    <x v="6"/>
    <x v="0"/>
    <x v="1"/>
    <x v="1"/>
    <x v="1"/>
    <n v="12225.083944330225"/>
    <n v="2493.387327851397"/>
  </r>
  <r>
    <x v="0"/>
    <x v="6"/>
    <x v="1"/>
    <x v="2"/>
    <x v="2"/>
    <x v="0"/>
    <n v="3880.8593001030999"/>
    <n v="827.52880004639565"/>
  </r>
  <r>
    <x v="0"/>
    <x v="6"/>
    <x v="1"/>
    <x v="2"/>
    <x v="2"/>
    <x v="1"/>
    <n v="20872.384104996148"/>
    <n v="5554.911200272898"/>
  </r>
  <r>
    <x v="0"/>
    <x v="6"/>
    <x v="1"/>
    <x v="2"/>
    <x v="3"/>
    <x v="0"/>
    <n v="54.349096887605398"/>
    <n v="30.879999999999701"/>
  </r>
  <r>
    <x v="0"/>
    <x v="6"/>
    <x v="1"/>
    <x v="2"/>
    <x v="3"/>
    <x v="1"/>
    <n v="13.587274221901399"/>
    <n v="7.72"/>
  </r>
  <r>
    <x v="0"/>
    <x v="6"/>
    <x v="1"/>
    <x v="2"/>
    <x v="5"/>
    <x v="0"/>
    <n v="27.245775349973801"/>
    <m/>
  </r>
  <r>
    <x v="0"/>
    <x v="6"/>
    <x v="1"/>
    <x v="2"/>
    <x v="5"/>
    <x v="1"/>
    <n v="124.1348976778936"/>
    <m/>
  </r>
  <r>
    <x v="0"/>
    <x v="6"/>
    <x v="1"/>
    <x v="2"/>
    <x v="6"/>
    <x v="0"/>
    <n v="754.86994312667355"/>
    <n v="58.180102774698597"/>
  </r>
  <r>
    <x v="0"/>
    <x v="6"/>
    <x v="1"/>
    <x v="2"/>
    <x v="6"/>
    <x v="1"/>
    <n v="4152.8266074767271"/>
    <n v="669.07110313129681"/>
  </r>
  <r>
    <x v="0"/>
    <x v="6"/>
    <x v="1"/>
    <x v="2"/>
    <x v="1"/>
    <x v="0"/>
    <n v="89.015339702682496"/>
    <n v="51.805499998799597"/>
  </r>
  <r>
    <x v="0"/>
    <x v="6"/>
    <x v="1"/>
    <x v="2"/>
    <x v="1"/>
    <x v="1"/>
    <n v="502.00199905204948"/>
    <n v="293.5644999992997"/>
  </r>
  <r>
    <x v="0"/>
    <x v="6"/>
    <x v="1"/>
    <x v="3"/>
    <x v="2"/>
    <x v="0"/>
    <n v="8731.7837591794632"/>
    <n v="1939.0820499594979"/>
  </r>
  <r>
    <x v="0"/>
    <x v="6"/>
    <x v="1"/>
    <x v="3"/>
    <x v="2"/>
    <x v="1"/>
    <n v="38103.13865522838"/>
    <n v="13154.222948931798"/>
  </r>
  <r>
    <x v="0"/>
    <x v="6"/>
    <x v="1"/>
    <x v="3"/>
    <x v="3"/>
    <x v="0"/>
    <n v="114.43251521045509"/>
    <m/>
  </r>
  <r>
    <x v="0"/>
    <x v="6"/>
    <x v="1"/>
    <x v="3"/>
    <x v="3"/>
    <x v="1"/>
    <n v="378.33330261872402"/>
    <m/>
  </r>
  <r>
    <x v="0"/>
    <x v="6"/>
    <x v="1"/>
    <x v="3"/>
    <x v="7"/>
    <x v="0"/>
    <n v="5332.222743417009"/>
    <n v="2610.5749999999998"/>
  </r>
  <r>
    <x v="0"/>
    <x v="6"/>
    <x v="1"/>
    <x v="3"/>
    <x v="7"/>
    <x v="1"/>
    <n v="15465.760732076656"/>
    <n v="7831.7250000000004"/>
  </r>
  <r>
    <x v="0"/>
    <x v="6"/>
    <x v="1"/>
    <x v="3"/>
    <x v="5"/>
    <x v="0"/>
    <n v="78.553587896276298"/>
    <m/>
  </r>
  <r>
    <x v="0"/>
    <x v="6"/>
    <x v="1"/>
    <x v="3"/>
    <x v="5"/>
    <x v="1"/>
    <n v="256.89905085650219"/>
    <m/>
  </r>
  <r>
    <x v="0"/>
    <x v="6"/>
    <x v="1"/>
    <x v="3"/>
    <x v="6"/>
    <x v="0"/>
    <n v="372.62358456735342"/>
    <m/>
  </r>
  <r>
    <x v="0"/>
    <x v="6"/>
    <x v="1"/>
    <x v="3"/>
    <x v="6"/>
    <x v="1"/>
    <n v="1213.0059554072905"/>
    <m/>
  </r>
  <r>
    <x v="0"/>
    <x v="6"/>
    <x v="1"/>
    <x v="3"/>
    <x v="1"/>
    <x v="0"/>
    <n v="111.1146680489458"/>
    <n v="10.371600000899701"/>
  </r>
  <r>
    <x v="0"/>
    <x v="6"/>
    <x v="1"/>
    <x v="3"/>
    <x v="1"/>
    <x v="1"/>
    <n v="524.56650672207968"/>
    <n v="76.058400002199406"/>
  </r>
  <r>
    <x v="0"/>
    <x v="6"/>
    <x v="1"/>
    <x v="4"/>
    <x v="2"/>
    <x v="1"/>
    <n v="1252.541304248238"/>
    <n v="771.85499878689757"/>
  </r>
  <r>
    <x v="0"/>
    <x v="6"/>
    <x v="1"/>
    <x v="4"/>
    <x v="6"/>
    <x v="1"/>
    <n v="8029.3597250828807"/>
    <n v="577.74879382589734"/>
  </r>
  <r>
    <x v="0"/>
    <x v="6"/>
    <x v="2"/>
    <x v="5"/>
    <x v="2"/>
    <x v="0"/>
    <n v="570.07405222965224"/>
    <n v="473.78366191179862"/>
  </r>
  <r>
    <x v="0"/>
    <x v="6"/>
    <x v="2"/>
    <x v="5"/>
    <x v="2"/>
    <x v="1"/>
    <n v="7618.2815146328558"/>
    <n v="2728.8274630467981"/>
  </r>
  <r>
    <x v="0"/>
    <x v="6"/>
    <x v="2"/>
    <x v="5"/>
    <x v="3"/>
    <x v="1"/>
    <n v="1.28160326762"/>
    <m/>
  </r>
  <r>
    <x v="0"/>
    <x v="6"/>
    <x v="2"/>
    <x v="5"/>
    <x v="8"/>
    <x v="0"/>
    <n v="172.62596234450791"/>
    <n v="126.6624346451988"/>
  </r>
  <r>
    <x v="0"/>
    <x v="6"/>
    <x v="2"/>
    <x v="5"/>
    <x v="8"/>
    <x v="1"/>
    <n v="27.929417313446901"/>
    <n v="12.7264873113992"/>
  </r>
  <r>
    <x v="0"/>
    <x v="6"/>
    <x v="2"/>
    <x v="5"/>
    <x v="7"/>
    <x v="0"/>
    <n v="1050.5338192080285"/>
    <n v="560.12821595329967"/>
  </r>
  <r>
    <x v="0"/>
    <x v="6"/>
    <x v="2"/>
    <x v="5"/>
    <x v="7"/>
    <x v="1"/>
    <n v="6013.8106905045897"/>
    <n v="1925.0557840429999"/>
  </r>
  <r>
    <x v="0"/>
    <x v="6"/>
    <x v="2"/>
    <x v="5"/>
    <x v="1"/>
    <x v="0"/>
    <n v="9.8657174545648001"/>
    <n v="5.5582128410997003"/>
  </r>
  <r>
    <x v="0"/>
    <x v="6"/>
    <x v="2"/>
    <x v="5"/>
    <x v="1"/>
    <x v="1"/>
    <n v="23.887243020299099"/>
    <n v="9.3986061411997994"/>
  </r>
  <r>
    <x v="0"/>
    <x v="6"/>
    <x v="2"/>
    <x v="5"/>
    <x v="9"/>
    <x v="0"/>
    <n v="5.7362839469768998"/>
    <m/>
  </r>
  <r>
    <x v="0"/>
    <x v="6"/>
    <x v="2"/>
    <x v="5"/>
    <x v="9"/>
    <x v="1"/>
    <n v="26.151826060690901"/>
    <m/>
  </r>
  <r>
    <x v="0"/>
    <x v="6"/>
    <x v="2"/>
    <x v="6"/>
    <x v="0"/>
    <x v="0"/>
    <n v="858.88772358345761"/>
    <n v="330.99560274289991"/>
  </r>
  <r>
    <x v="0"/>
    <x v="6"/>
    <x v="2"/>
    <x v="6"/>
    <x v="0"/>
    <x v="1"/>
    <n v="1312.2155336052831"/>
    <n v="403.99768733119959"/>
  </r>
  <r>
    <x v="0"/>
    <x v="6"/>
    <x v="2"/>
    <x v="6"/>
    <x v="1"/>
    <x v="0"/>
    <n v="1335.5082780020125"/>
    <n v="531.0665969677957"/>
  </r>
  <r>
    <x v="0"/>
    <x v="6"/>
    <x v="2"/>
    <x v="6"/>
    <x v="1"/>
    <x v="1"/>
    <n v="2651.2754303230508"/>
    <n v="852.16433527479535"/>
  </r>
  <r>
    <x v="0"/>
    <x v="6"/>
    <x v="2"/>
    <x v="7"/>
    <x v="2"/>
    <x v="1"/>
    <n v="757.42471105754885"/>
    <n v="169.9129999961996"/>
  </r>
  <r>
    <x v="0"/>
    <x v="7"/>
    <x v="0"/>
    <x v="0"/>
    <x v="0"/>
    <x v="0"/>
    <n v="42.080354523151101"/>
    <n v="16.022582601699298"/>
  </r>
  <r>
    <x v="0"/>
    <x v="7"/>
    <x v="0"/>
    <x v="0"/>
    <x v="0"/>
    <x v="1"/>
    <n v="125.23103656692921"/>
    <n v="28.9834173994997"/>
  </r>
  <r>
    <x v="0"/>
    <x v="7"/>
    <x v="0"/>
    <x v="0"/>
    <x v="1"/>
    <x v="0"/>
    <n v="15083.248654944849"/>
    <n v="3828.9877841894981"/>
  </r>
  <r>
    <x v="0"/>
    <x v="7"/>
    <x v="0"/>
    <x v="0"/>
    <x v="1"/>
    <x v="1"/>
    <n v="4686.5570185985762"/>
    <n v="972.82255500319673"/>
  </r>
  <r>
    <x v="0"/>
    <x v="7"/>
    <x v="0"/>
    <x v="1"/>
    <x v="0"/>
    <x v="0"/>
    <n v="146.06044589723911"/>
    <n v="18.910355389199601"/>
  </r>
  <r>
    <x v="0"/>
    <x v="7"/>
    <x v="0"/>
    <x v="1"/>
    <x v="0"/>
    <x v="1"/>
    <n v="240.3005796122728"/>
    <n v="41.168845656699403"/>
  </r>
  <r>
    <x v="0"/>
    <x v="7"/>
    <x v="0"/>
    <x v="1"/>
    <x v="1"/>
    <x v="0"/>
    <n v="19123.729524266571"/>
    <n v="1943.2434002638961"/>
  </r>
  <r>
    <x v="0"/>
    <x v="7"/>
    <x v="0"/>
    <x v="1"/>
    <x v="1"/>
    <x v="1"/>
    <n v="22570.446974480041"/>
    <n v="3630.0529749580969"/>
  </r>
  <r>
    <x v="0"/>
    <x v="7"/>
    <x v="1"/>
    <x v="2"/>
    <x v="2"/>
    <x v="0"/>
    <n v="3247.7850451618269"/>
    <n v="1445.0792866928969"/>
  </r>
  <r>
    <x v="0"/>
    <x v="7"/>
    <x v="1"/>
    <x v="2"/>
    <x v="2"/>
    <x v="1"/>
    <n v="39890.553654136107"/>
    <n v="23868.4940487924"/>
  </r>
  <r>
    <x v="0"/>
    <x v="7"/>
    <x v="1"/>
    <x v="2"/>
    <x v="3"/>
    <x v="0"/>
    <n v="805.71088934619286"/>
    <n v="702.54999999979975"/>
  </r>
  <r>
    <x v="0"/>
    <x v="7"/>
    <x v="1"/>
    <x v="2"/>
    <x v="3"/>
    <x v="1"/>
    <n v="921.56515002986941"/>
    <n v="49.450000000199601"/>
  </r>
  <r>
    <x v="0"/>
    <x v="7"/>
    <x v="1"/>
    <x v="2"/>
    <x v="5"/>
    <x v="0"/>
    <n v="930.29858765653682"/>
    <m/>
  </r>
  <r>
    <x v="0"/>
    <x v="7"/>
    <x v="1"/>
    <x v="2"/>
    <x v="5"/>
    <x v="1"/>
    <n v="2561.6218755736854"/>
    <m/>
  </r>
  <r>
    <x v="0"/>
    <x v="7"/>
    <x v="1"/>
    <x v="2"/>
    <x v="6"/>
    <x v="0"/>
    <n v="15459.687740591808"/>
    <n v="65.239892362499205"/>
  </r>
  <r>
    <x v="0"/>
    <x v="7"/>
    <x v="1"/>
    <x v="2"/>
    <x v="6"/>
    <x v="1"/>
    <n v="49395.77032348128"/>
    <n v="5543.8680964268997"/>
  </r>
  <r>
    <x v="0"/>
    <x v="7"/>
    <x v="1"/>
    <x v="2"/>
    <x v="1"/>
    <x v="0"/>
    <n v="56.6790630994944"/>
    <n v="19.128700129099499"/>
  </r>
  <r>
    <x v="0"/>
    <x v="7"/>
    <x v="1"/>
    <x v="2"/>
    <x v="1"/>
    <x v="1"/>
    <n v="620.60209474424767"/>
    <n v="295.16288093739951"/>
  </r>
  <r>
    <x v="0"/>
    <x v="7"/>
    <x v="1"/>
    <x v="3"/>
    <x v="2"/>
    <x v="0"/>
    <n v="6831.4303583344263"/>
    <n v="1779.036363988698"/>
  </r>
  <r>
    <x v="0"/>
    <x v="7"/>
    <x v="1"/>
    <x v="3"/>
    <x v="2"/>
    <x v="1"/>
    <n v="43570.034385894898"/>
    <n v="20900.347461863999"/>
  </r>
  <r>
    <x v="0"/>
    <x v="7"/>
    <x v="1"/>
    <x v="3"/>
    <x v="3"/>
    <x v="0"/>
    <n v="3177.752248532739"/>
    <m/>
  </r>
  <r>
    <x v="0"/>
    <x v="7"/>
    <x v="1"/>
    <x v="3"/>
    <x v="3"/>
    <x v="1"/>
    <n v="8041.4758826420766"/>
    <m/>
  </r>
  <r>
    <x v="0"/>
    <x v="7"/>
    <x v="1"/>
    <x v="3"/>
    <x v="7"/>
    <x v="0"/>
    <n v="2638.39310609513"/>
    <n v="375.37699999999961"/>
  </r>
  <r>
    <x v="0"/>
    <x v="7"/>
    <x v="1"/>
    <x v="3"/>
    <x v="7"/>
    <x v="1"/>
    <n v="10193.443926525893"/>
    <n v="4735.5230000000001"/>
  </r>
  <r>
    <x v="0"/>
    <x v="7"/>
    <x v="1"/>
    <x v="3"/>
    <x v="5"/>
    <x v="0"/>
    <n v="1978.8204195144435"/>
    <m/>
  </r>
  <r>
    <x v="0"/>
    <x v="7"/>
    <x v="1"/>
    <x v="3"/>
    <x v="5"/>
    <x v="1"/>
    <n v="4459.5818974166359"/>
    <m/>
  </r>
  <r>
    <x v="0"/>
    <x v="7"/>
    <x v="1"/>
    <x v="3"/>
    <x v="6"/>
    <x v="0"/>
    <n v="338.51135492976158"/>
    <m/>
  </r>
  <r>
    <x v="0"/>
    <x v="7"/>
    <x v="1"/>
    <x v="3"/>
    <x v="6"/>
    <x v="1"/>
    <n v="820.28440013422517"/>
    <m/>
  </r>
  <r>
    <x v="0"/>
    <x v="7"/>
    <x v="1"/>
    <x v="3"/>
    <x v="1"/>
    <x v="0"/>
    <n v="180.05315336445639"/>
    <n v="8.3093001501994994"/>
  </r>
  <r>
    <x v="0"/>
    <x v="7"/>
    <x v="1"/>
    <x v="3"/>
    <x v="1"/>
    <x v="1"/>
    <n v="728.19918572374331"/>
    <n v="134.4991187846995"/>
  </r>
  <r>
    <x v="0"/>
    <x v="7"/>
    <x v="1"/>
    <x v="4"/>
    <x v="2"/>
    <x v="1"/>
    <n v="17522.294495781611"/>
    <n v="9197.2428355880984"/>
  </r>
  <r>
    <x v="0"/>
    <x v="7"/>
    <x v="1"/>
    <x v="4"/>
    <x v="6"/>
    <x v="1"/>
    <n v="159982.39758542602"/>
    <n v="37170.8620122141"/>
  </r>
  <r>
    <x v="0"/>
    <x v="7"/>
    <x v="2"/>
    <x v="5"/>
    <x v="2"/>
    <x v="0"/>
    <n v="2009.3684182372599"/>
    <n v="1248.445750141098"/>
  </r>
  <r>
    <x v="0"/>
    <x v="7"/>
    <x v="2"/>
    <x v="5"/>
    <x v="2"/>
    <x v="1"/>
    <n v="11801.392274700202"/>
    <n v="7680.5398383377988"/>
  </r>
  <r>
    <x v="0"/>
    <x v="7"/>
    <x v="2"/>
    <x v="5"/>
    <x v="3"/>
    <x v="1"/>
    <n v="3.7429835740219999"/>
    <m/>
  </r>
  <r>
    <x v="0"/>
    <x v="7"/>
    <x v="2"/>
    <x v="5"/>
    <x v="8"/>
    <x v="0"/>
    <n v="7.7184276718972997"/>
    <n v="1.2083914581999"/>
  </r>
  <r>
    <x v="0"/>
    <x v="7"/>
    <x v="2"/>
    <x v="5"/>
    <x v="8"/>
    <x v="1"/>
    <n v="5.2500128172915996"/>
    <n v="0.26905730849999998"/>
  </r>
  <r>
    <x v="0"/>
    <x v="7"/>
    <x v="2"/>
    <x v="5"/>
    <x v="7"/>
    <x v="0"/>
    <n v="229.10226361678909"/>
    <n v="52.580587759299199"/>
  </r>
  <r>
    <x v="0"/>
    <x v="7"/>
    <x v="2"/>
    <x v="5"/>
    <x v="7"/>
    <x v="1"/>
    <n v="2220.8484355813071"/>
    <n v="667.45741223319908"/>
  </r>
  <r>
    <x v="0"/>
    <x v="7"/>
    <x v="2"/>
    <x v="5"/>
    <x v="1"/>
    <x v="0"/>
    <n v="51.488160155760703"/>
    <n v="28.6382588133986"/>
  </r>
  <r>
    <x v="0"/>
    <x v="7"/>
    <x v="2"/>
    <x v="5"/>
    <x v="1"/>
    <x v="1"/>
    <n v="119.4461056545328"/>
    <n v="72.429612097398007"/>
  </r>
  <r>
    <x v="0"/>
    <x v="7"/>
    <x v="2"/>
    <x v="5"/>
    <x v="9"/>
    <x v="0"/>
    <n v="4.3604014275181999"/>
    <n v="0.18482499999999999"/>
  </r>
  <r>
    <x v="0"/>
    <x v="7"/>
    <x v="2"/>
    <x v="5"/>
    <x v="9"/>
    <x v="1"/>
    <n v="14.990758450748499"/>
    <n v="1.0151749999999"/>
  </r>
  <r>
    <x v="0"/>
    <x v="7"/>
    <x v="2"/>
    <x v="6"/>
    <x v="0"/>
    <x v="0"/>
    <n v="64.505525761836196"/>
    <n v="25.181962125799402"/>
  </r>
  <r>
    <x v="0"/>
    <x v="7"/>
    <x v="2"/>
    <x v="6"/>
    <x v="0"/>
    <x v="1"/>
    <n v="390.66034773198379"/>
    <n v="166.8328368806996"/>
  </r>
  <r>
    <x v="0"/>
    <x v="7"/>
    <x v="2"/>
    <x v="6"/>
    <x v="1"/>
    <x v="0"/>
    <n v="809.9947068553704"/>
    <n v="419.7231701956951"/>
  </r>
  <r>
    <x v="0"/>
    <x v="7"/>
    <x v="2"/>
    <x v="6"/>
    <x v="1"/>
    <x v="1"/>
    <n v="1293.8188903547371"/>
    <n v="549.76858875739345"/>
  </r>
  <r>
    <x v="0"/>
    <x v="7"/>
    <x v="2"/>
    <x v="7"/>
    <x v="2"/>
    <x v="1"/>
    <n v="13506.150979317788"/>
    <n v="6501.1799999955001"/>
  </r>
  <r>
    <x v="0"/>
    <x v="8"/>
    <x v="0"/>
    <x v="0"/>
    <x v="0"/>
    <x v="0"/>
    <n v="3692.5490844591482"/>
    <n v="842.58932625379987"/>
  </r>
  <r>
    <x v="0"/>
    <x v="8"/>
    <x v="0"/>
    <x v="0"/>
    <x v="0"/>
    <x v="1"/>
    <n v="9251.9970842390176"/>
    <n v="869.40167372279984"/>
  </r>
  <r>
    <x v="0"/>
    <x v="8"/>
    <x v="0"/>
    <x v="0"/>
    <x v="1"/>
    <x v="0"/>
    <n v="76654.967235629447"/>
    <n v="14865.2567003698"/>
  </r>
  <r>
    <x v="0"/>
    <x v="8"/>
    <x v="0"/>
    <x v="0"/>
    <x v="1"/>
    <x v="1"/>
    <n v="47972.333485980562"/>
    <n v="5145.1486335089994"/>
  </r>
  <r>
    <x v="0"/>
    <x v="8"/>
    <x v="0"/>
    <x v="1"/>
    <x v="0"/>
    <x v="0"/>
    <n v="5925.0843826842492"/>
    <n v="1126.2320764992"/>
  </r>
  <r>
    <x v="0"/>
    <x v="8"/>
    <x v="0"/>
    <x v="1"/>
    <x v="0"/>
    <x v="1"/>
    <n v="6438.963487002914"/>
    <n v="869.01682554009994"/>
  </r>
  <r>
    <x v="0"/>
    <x v="8"/>
    <x v="0"/>
    <x v="1"/>
    <x v="1"/>
    <x v="0"/>
    <n v="55089.782000221712"/>
    <n v="11934.1882203514"/>
  </r>
  <r>
    <x v="0"/>
    <x v="8"/>
    <x v="0"/>
    <x v="1"/>
    <x v="1"/>
    <x v="1"/>
    <n v="69262.327932794884"/>
    <n v="14647.178091043899"/>
  </r>
  <r>
    <x v="0"/>
    <x v="8"/>
    <x v="1"/>
    <x v="2"/>
    <x v="2"/>
    <x v="0"/>
    <n v="3519.806454750445"/>
    <n v="2021.326542809699"/>
  </r>
  <r>
    <x v="0"/>
    <x v="8"/>
    <x v="1"/>
    <x v="2"/>
    <x v="2"/>
    <x v="1"/>
    <n v="54484.088567726161"/>
    <n v="33577.1587467879"/>
  </r>
  <r>
    <x v="0"/>
    <x v="8"/>
    <x v="1"/>
    <x v="2"/>
    <x v="3"/>
    <x v="0"/>
    <n v="1619.060296041486"/>
    <n v="1022.3136"/>
  </r>
  <r>
    <x v="0"/>
    <x v="8"/>
    <x v="1"/>
    <x v="2"/>
    <x v="3"/>
    <x v="1"/>
    <n v="20.396286820469101"/>
    <n v="10.326399999999801"/>
  </r>
  <r>
    <x v="0"/>
    <x v="8"/>
    <x v="1"/>
    <x v="2"/>
    <x v="4"/>
    <x v="0"/>
    <n v="150.72277125543499"/>
    <m/>
  </r>
  <r>
    <x v="0"/>
    <x v="8"/>
    <x v="1"/>
    <x v="2"/>
    <x v="4"/>
    <x v="1"/>
    <n v="9.7003828124601998"/>
    <n v="6.4637799978997998"/>
  </r>
  <r>
    <x v="0"/>
    <x v="8"/>
    <x v="1"/>
    <x v="2"/>
    <x v="5"/>
    <x v="0"/>
    <n v="4.4136446466594004"/>
    <m/>
  </r>
  <r>
    <x v="0"/>
    <x v="8"/>
    <x v="1"/>
    <x v="2"/>
    <x v="5"/>
    <x v="1"/>
    <n v="49.064505354433599"/>
    <m/>
  </r>
  <r>
    <x v="0"/>
    <x v="8"/>
    <x v="1"/>
    <x v="2"/>
    <x v="6"/>
    <x v="0"/>
    <n v="729.0399592663282"/>
    <m/>
  </r>
  <r>
    <x v="0"/>
    <x v="8"/>
    <x v="1"/>
    <x v="2"/>
    <x v="6"/>
    <x v="1"/>
    <n v="17622.529466131589"/>
    <n v="5389.0487822808"/>
  </r>
  <r>
    <x v="0"/>
    <x v="8"/>
    <x v="1"/>
    <x v="2"/>
    <x v="1"/>
    <x v="0"/>
    <n v="64.779976986727107"/>
    <n v="39.756150000399799"/>
  </r>
  <r>
    <x v="0"/>
    <x v="8"/>
    <x v="1"/>
    <x v="2"/>
    <x v="1"/>
    <x v="1"/>
    <n v="1008.4401606816177"/>
    <n v="593.28885000119976"/>
  </r>
  <r>
    <x v="0"/>
    <x v="8"/>
    <x v="1"/>
    <x v="3"/>
    <x v="2"/>
    <x v="0"/>
    <n v="11022.889020646126"/>
    <n v="5320.7826570420002"/>
  </r>
  <r>
    <x v="0"/>
    <x v="8"/>
    <x v="1"/>
    <x v="3"/>
    <x v="2"/>
    <x v="1"/>
    <n v="109031.97422736201"/>
    <n v="57782.873418186697"/>
  </r>
  <r>
    <x v="0"/>
    <x v="8"/>
    <x v="1"/>
    <x v="3"/>
    <x v="3"/>
    <x v="0"/>
    <n v="475.9640621384932"/>
    <m/>
  </r>
  <r>
    <x v="0"/>
    <x v="8"/>
    <x v="1"/>
    <x v="3"/>
    <x v="3"/>
    <x v="1"/>
    <n v="2549.7841701782108"/>
    <m/>
  </r>
  <r>
    <x v="0"/>
    <x v="8"/>
    <x v="1"/>
    <x v="3"/>
    <x v="7"/>
    <x v="0"/>
    <n v="19242.725605755171"/>
    <n v="10790.746354999999"/>
  </r>
  <r>
    <x v="0"/>
    <x v="8"/>
    <x v="1"/>
    <x v="3"/>
    <x v="7"/>
    <x v="1"/>
    <n v="105877.85669536577"/>
    <n v="60891.448644999997"/>
  </r>
  <r>
    <x v="0"/>
    <x v="8"/>
    <x v="1"/>
    <x v="3"/>
    <x v="5"/>
    <x v="0"/>
    <n v="12.5292133506066"/>
    <m/>
  </r>
  <r>
    <x v="0"/>
    <x v="8"/>
    <x v="1"/>
    <x v="3"/>
    <x v="5"/>
    <x v="1"/>
    <n v="66.317284253668802"/>
    <m/>
  </r>
  <r>
    <x v="0"/>
    <x v="8"/>
    <x v="1"/>
    <x v="3"/>
    <x v="6"/>
    <x v="0"/>
    <n v="280.0642367963797"/>
    <m/>
  </r>
  <r>
    <x v="0"/>
    <x v="8"/>
    <x v="1"/>
    <x v="3"/>
    <x v="6"/>
    <x v="1"/>
    <n v="1482.2512201698146"/>
    <m/>
  </r>
  <r>
    <x v="0"/>
    <x v="8"/>
    <x v="1"/>
    <x v="3"/>
    <x v="1"/>
    <x v="0"/>
    <n v="902.07050836905808"/>
    <n v="708.31461999969997"/>
  </r>
  <r>
    <x v="0"/>
    <x v="8"/>
    <x v="1"/>
    <x v="3"/>
    <x v="1"/>
    <x v="1"/>
    <n v="4838.9829150230753"/>
    <n v="1752.8503799961998"/>
  </r>
  <r>
    <x v="0"/>
    <x v="8"/>
    <x v="1"/>
    <x v="4"/>
    <x v="2"/>
    <x v="1"/>
    <n v="14653.875872753353"/>
    <n v="9844.9526351182994"/>
  </r>
  <r>
    <x v="0"/>
    <x v="8"/>
    <x v="1"/>
    <x v="4"/>
    <x v="4"/>
    <x v="1"/>
    <n v="5.6178617153130004"/>
    <n v="5.3862200026998996"/>
  </r>
  <r>
    <x v="0"/>
    <x v="8"/>
    <x v="1"/>
    <x v="4"/>
    <x v="6"/>
    <x v="1"/>
    <n v="22165.144364074091"/>
    <n v="17414.726883221898"/>
  </r>
  <r>
    <x v="0"/>
    <x v="8"/>
    <x v="2"/>
    <x v="5"/>
    <x v="2"/>
    <x v="0"/>
    <n v="4927.4159400697672"/>
    <n v="2597.207773725198"/>
  </r>
  <r>
    <x v="0"/>
    <x v="8"/>
    <x v="2"/>
    <x v="5"/>
    <x v="2"/>
    <x v="1"/>
    <n v="41125.985732285262"/>
    <n v="17585.981098424501"/>
  </r>
  <r>
    <x v="0"/>
    <x v="8"/>
    <x v="2"/>
    <x v="5"/>
    <x v="3"/>
    <x v="0"/>
    <n v="12.392682573186599"/>
    <m/>
  </r>
  <r>
    <x v="0"/>
    <x v="8"/>
    <x v="2"/>
    <x v="5"/>
    <x v="3"/>
    <x v="1"/>
    <n v="174.73991528375609"/>
    <m/>
  </r>
  <r>
    <x v="0"/>
    <x v="8"/>
    <x v="2"/>
    <x v="5"/>
    <x v="8"/>
    <x v="0"/>
    <n v="7619.7587955493136"/>
    <n v="4449.8248192351002"/>
  </r>
  <r>
    <x v="0"/>
    <x v="8"/>
    <x v="2"/>
    <x v="5"/>
    <x v="8"/>
    <x v="1"/>
    <n v="3081.4435240960538"/>
    <n v="1789.3255424496992"/>
  </r>
  <r>
    <x v="0"/>
    <x v="8"/>
    <x v="2"/>
    <x v="5"/>
    <x v="7"/>
    <x v="0"/>
    <n v="7666.9697819291441"/>
    <n v="2799.9635940029002"/>
  </r>
  <r>
    <x v="0"/>
    <x v="8"/>
    <x v="2"/>
    <x v="5"/>
    <x v="7"/>
    <x v="1"/>
    <n v="45988.100922107857"/>
    <n v="13808.775406012801"/>
  </r>
  <r>
    <x v="0"/>
    <x v="8"/>
    <x v="2"/>
    <x v="5"/>
    <x v="5"/>
    <x v="0"/>
    <n v="17.937162208169301"/>
    <m/>
  </r>
  <r>
    <x v="0"/>
    <x v="8"/>
    <x v="2"/>
    <x v="5"/>
    <x v="5"/>
    <x v="1"/>
    <n v="481.65829580387521"/>
    <m/>
  </r>
  <r>
    <x v="0"/>
    <x v="8"/>
    <x v="2"/>
    <x v="5"/>
    <x v="1"/>
    <x v="0"/>
    <n v="150.7223278349359"/>
    <n v="75.091581684298902"/>
  </r>
  <r>
    <x v="0"/>
    <x v="8"/>
    <x v="2"/>
    <x v="5"/>
    <x v="1"/>
    <x v="1"/>
    <n v="378.6565945654886"/>
    <n v="95.628357726198303"/>
  </r>
  <r>
    <x v="0"/>
    <x v="8"/>
    <x v="2"/>
    <x v="5"/>
    <x v="9"/>
    <x v="0"/>
    <n v="226.3409384781981"/>
    <n v="2.7041350506997999"/>
  </r>
  <r>
    <x v="0"/>
    <x v="8"/>
    <x v="2"/>
    <x v="5"/>
    <x v="9"/>
    <x v="1"/>
    <n v="753.18142308902657"/>
    <n v="43.388981071199602"/>
  </r>
  <r>
    <x v="0"/>
    <x v="8"/>
    <x v="2"/>
    <x v="6"/>
    <x v="0"/>
    <x v="0"/>
    <n v="4040.6974878469341"/>
    <n v="2306.2213950442001"/>
  </r>
  <r>
    <x v="0"/>
    <x v="8"/>
    <x v="2"/>
    <x v="6"/>
    <x v="0"/>
    <x v="1"/>
    <n v="6469.49778379702"/>
    <n v="2747.1896466543999"/>
  </r>
  <r>
    <x v="0"/>
    <x v="8"/>
    <x v="2"/>
    <x v="6"/>
    <x v="1"/>
    <x v="0"/>
    <n v="6772.7046523716672"/>
    <n v="5035.1151262043986"/>
  </r>
  <r>
    <x v="0"/>
    <x v="8"/>
    <x v="2"/>
    <x v="6"/>
    <x v="1"/>
    <x v="1"/>
    <n v="10060.381369809678"/>
    <n v="6678.9948842562981"/>
  </r>
  <r>
    <x v="0"/>
    <x v="8"/>
    <x v="2"/>
    <x v="7"/>
    <x v="2"/>
    <x v="1"/>
    <n v="7842.721509571672"/>
    <n v="3858.5629999992002"/>
  </r>
  <r>
    <x v="0"/>
    <x v="9"/>
    <x v="0"/>
    <x v="0"/>
    <x v="0"/>
    <x v="0"/>
    <n v="36.800063042549802"/>
    <n v="3.4469326437998999"/>
  </r>
  <r>
    <x v="0"/>
    <x v="9"/>
    <x v="0"/>
    <x v="0"/>
    <x v="0"/>
    <x v="1"/>
    <n v="118.5420686302426"/>
    <n v="17.783067357699899"/>
  </r>
  <r>
    <x v="0"/>
    <x v="9"/>
    <x v="0"/>
    <x v="0"/>
    <x v="1"/>
    <x v="0"/>
    <n v="10254.37720015565"/>
    <n v="1503.3548955350991"/>
  </r>
  <r>
    <x v="0"/>
    <x v="9"/>
    <x v="0"/>
    <x v="0"/>
    <x v="1"/>
    <x v="1"/>
    <n v="2422.1303149852602"/>
    <n v="386.679855457298"/>
  </r>
  <r>
    <x v="0"/>
    <x v="9"/>
    <x v="0"/>
    <x v="1"/>
    <x v="0"/>
    <x v="0"/>
    <n v="73.886672771035705"/>
    <n v="5.8454993018997001"/>
  </r>
  <r>
    <x v="0"/>
    <x v="9"/>
    <x v="0"/>
    <x v="1"/>
    <x v="0"/>
    <x v="1"/>
    <n v="104.4031495772079"/>
    <n v="13.264859295699701"/>
  </r>
  <r>
    <x v="0"/>
    <x v="9"/>
    <x v="0"/>
    <x v="1"/>
    <x v="1"/>
    <x v="0"/>
    <n v="7407.4879641994203"/>
    <n v="867.83987199609805"/>
  </r>
  <r>
    <x v="0"/>
    <x v="9"/>
    <x v="0"/>
    <x v="1"/>
    <x v="1"/>
    <x v="1"/>
    <n v="7083.3144841950098"/>
    <n v="1076.420556124898"/>
  </r>
  <r>
    <x v="0"/>
    <x v="9"/>
    <x v="1"/>
    <x v="2"/>
    <x v="2"/>
    <x v="0"/>
    <n v="3312.5587456045382"/>
    <n v="1567.1516174240001"/>
  </r>
  <r>
    <x v="0"/>
    <x v="9"/>
    <x v="1"/>
    <x v="2"/>
    <x v="2"/>
    <x v="1"/>
    <n v="40687.614589777389"/>
    <n v="24937.816879395799"/>
  </r>
  <r>
    <x v="0"/>
    <x v="9"/>
    <x v="1"/>
    <x v="2"/>
    <x v="3"/>
    <x v="0"/>
    <n v="559.96529528849351"/>
    <n v="421.24999999969998"/>
  </r>
  <r>
    <x v="0"/>
    <x v="9"/>
    <x v="1"/>
    <x v="2"/>
    <x v="3"/>
    <x v="1"/>
    <n v="733.21948838042101"/>
    <n v="105.75000000029971"/>
  </r>
  <r>
    <x v="0"/>
    <x v="9"/>
    <x v="1"/>
    <x v="2"/>
    <x v="5"/>
    <x v="0"/>
    <n v="977.97142644834196"/>
    <m/>
  </r>
  <r>
    <x v="0"/>
    <x v="9"/>
    <x v="1"/>
    <x v="2"/>
    <x v="5"/>
    <x v="1"/>
    <n v="2577.7811329747469"/>
    <m/>
  </r>
  <r>
    <x v="0"/>
    <x v="9"/>
    <x v="1"/>
    <x v="2"/>
    <x v="6"/>
    <x v="0"/>
    <n v="16367.040084754581"/>
    <n v="182.04069045389889"/>
  </r>
  <r>
    <x v="0"/>
    <x v="9"/>
    <x v="1"/>
    <x v="2"/>
    <x v="6"/>
    <x v="1"/>
    <n v="47613.583479476612"/>
    <n v="3961.8544634670002"/>
  </r>
  <r>
    <x v="0"/>
    <x v="9"/>
    <x v="1"/>
    <x v="2"/>
    <x v="1"/>
    <x v="0"/>
    <n v="71.067780393770093"/>
    <n v="25.931829998699701"/>
  </r>
  <r>
    <x v="0"/>
    <x v="9"/>
    <x v="1"/>
    <x v="2"/>
    <x v="1"/>
    <x v="1"/>
    <n v="555.26996346205397"/>
    <n v="291.66316998769969"/>
  </r>
  <r>
    <x v="0"/>
    <x v="9"/>
    <x v="1"/>
    <x v="3"/>
    <x v="2"/>
    <x v="0"/>
    <n v="5608.9312716803097"/>
    <n v="2119.1902825635002"/>
  </r>
  <r>
    <x v="0"/>
    <x v="9"/>
    <x v="1"/>
    <x v="3"/>
    <x v="2"/>
    <x v="1"/>
    <n v="42805.048498382173"/>
    <n v="22644.352220284101"/>
  </r>
  <r>
    <x v="0"/>
    <x v="9"/>
    <x v="1"/>
    <x v="3"/>
    <x v="3"/>
    <x v="0"/>
    <n v="1964.509038958673"/>
    <m/>
  </r>
  <r>
    <x v="0"/>
    <x v="9"/>
    <x v="1"/>
    <x v="3"/>
    <x v="3"/>
    <x v="1"/>
    <n v="4989.2383961635396"/>
    <m/>
  </r>
  <r>
    <x v="0"/>
    <x v="9"/>
    <x v="1"/>
    <x v="3"/>
    <x v="7"/>
    <x v="0"/>
    <n v="1261.002892902223"/>
    <n v="109.6459999999999"/>
  </r>
  <r>
    <x v="0"/>
    <x v="9"/>
    <x v="1"/>
    <x v="3"/>
    <x v="7"/>
    <x v="1"/>
    <n v="4344.4563470601097"/>
    <n v="1016.254"/>
  </r>
  <r>
    <x v="0"/>
    <x v="9"/>
    <x v="1"/>
    <x v="3"/>
    <x v="5"/>
    <x v="0"/>
    <n v="1139.640118401778"/>
    <m/>
  </r>
  <r>
    <x v="0"/>
    <x v="9"/>
    <x v="1"/>
    <x v="3"/>
    <x v="5"/>
    <x v="1"/>
    <n v="2605.8234290232931"/>
    <m/>
  </r>
  <r>
    <x v="0"/>
    <x v="9"/>
    <x v="1"/>
    <x v="3"/>
    <x v="6"/>
    <x v="0"/>
    <n v="189.54238654040469"/>
    <m/>
  </r>
  <r>
    <x v="0"/>
    <x v="9"/>
    <x v="1"/>
    <x v="3"/>
    <x v="6"/>
    <x v="1"/>
    <n v="444.97574734404299"/>
    <m/>
  </r>
  <r>
    <x v="0"/>
    <x v="9"/>
    <x v="1"/>
    <x v="3"/>
    <x v="1"/>
    <x v="0"/>
    <n v="234.03164512972029"/>
    <n v="28.418169982899901"/>
  </r>
  <r>
    <x v="0"/>
    <x v="9"/>
    <x v="1"/>
    <x v="3"/>
    <x v="1"/>
    <x v="1"/>
    <n v="1092.344323186735"/>
    <n v="336.9868300345999"/>
  </r>
  <r>
    <x v="0"/>
    <x v="9"/>
    <x v="1"/>
    <x v="4"/>
    <x v="2"/>
    <x v="0"/>
    <n v="54.961280429323999"/>
    <n v="4.0824015250999999"/>
  </r>
  <r>
    <x v="0"/>
    <x v="9"/>
    <x v="1"/>
    <x v="4"/>
    <x v="2"/>
    <x v="1"/>
    <n v="15637.85060189893"/>
    <n v="8222.9065987897993"/>
  </r>
  <r>
    <x v="0"/>
    <x v="9"/>
    <x v="1"/>
    <x v="4"/>
    <x v="6"/>
    <x v="0"/>
    <n v="4001.5469514456299"/>
    <m/>
  </r>
  <r>
    <x v="0"/>
    <x v="9"/>
    <x v="1"/>
    <x v="4"/>
    <x v="6"/>
    <x v="1"/>
    <n v="153613.17312756789"/>
    <n v="42925.104846075803"/>
  </r>
  <r>
    <x v="0"/>
    <x v="9"/>
    <x v="2"/>
    <x v="5"/>
    <x v="2"/>
    <x v="0"/>
    <n v="374.87344056988701"/>
    <n v="164.47788124839971"/>
  </r>
  <r>
    <x v="0"/>
    <x v="9"/>
    <x v="2"/>
    <x v="5"/>
    <x v="2"/>
    <x v="1"/>
    <n v="2647.8027070347098"/>
    <n v="1460.127346731897"/>
  </r>
  <r>
    <x v="0"/>
    <x v="9"/>
    <x v="2"/>
    <x v="5"/>
    <x v="3"/>
    <x v="0"/>
    <n v="0.25571130505720002"/>
    <m/>
  </r>
  <r>
    <x v="0"/>
    <x v="9"/>
    <x v="2"/>
    <x v="5"/>
    <x v="3"/>
    <x v="1"/>
    <n v="6.3812182987478003"/>
    <m/>
  </r>
  <r>
    <x v="0"/>
    <x v="9"/>
    <x v="2"/>
    <x v="5"/>
    <x v="8"/>
    <x v="0"/>
    <n v="0.1611851850927"/>
    <n v="0.16542004120000001"/>
  </r>
  <r>
    <x v="0"/>
    <x v="9"/>
    <x v="2"/>
    <x v="5"/>
    <x v="8"/>
    <x v="1"/>
    <n v="4.2487466595061996"/>
    <n v="0.16350002199989999"/>
  </r>
  <r>
    <x v="0"/>
    <x v="9"/>
    <x v="2"/>
    <x v="5"/>
    <x v="7"/>
    <x v="0"/>
    <n v="124.4820644143765"/>
    <n v="54.772044846299202"/>
  </r>
  <r>
    <x v="0"/>
    <x v="9"/>
    <x v="2"/>
    <x v="5"/>
    <x v="7"/>
    <x v="1"/>
    <n v="596.61447523293305"/>
    <n v="201.8379551410996"/>
  </r>
  <r>
    <x v="0"/>
    <x v="9"/>
    <x v="2"/>
    <x v="5"/>
    <x v="1"/>
    <x v="0"/>
    <n v="7.6223749034442996"/>
    <n v="5.1586273986998998"/>
  </r>
  <r>
    <x v="0"/>
    <x v="9"/>
    <x v="2"/>
    <x v="5"/>
    <x v="1"/>
    <x v="1"/>
    <n v="13.691582880146299"/>
    <n v="10.9918257440997"/>
  </r>
  <r>
    <x v="0"/>
    <x v="9"/>
    <x v="2"/>
    <x v="5"/>
    <x v="9"/>
    <x v="0"/>
    <n v="4.3599738214377002"/>
    <n v="0.24387400000000001"/>
  </r>
  <r>
    <x v="0"/>
    <x v="9"/>
    <x v="2"/>
    <x v="5"/>
    <x v="9"/>
    <x v="1"/>
    <n v="7.0662839878100003"/>
    <n v="0.31612600000000002"/>
  </r>
  <r>
    <x v="0"/>
    <x v="9"/>
    <x v="2"/>
    <x v="6"/>
    <x v="0"/>
    <x v="0"/>
    <n v="39.123246428100103"/>
    <n v="8.9383309945995997"/>
  </r>
  <r>
    <x v="0"/>
    <x v="9"/>
    <x v="2"/>
    <x v="6"/>
    <x v="0"/>
    <x v="1"/>
    <n v="196.73546281855019"/>
    <n v="56.251310861599599"/>
  </r>
  <r>
    <x v="0"/>
    <x v="9"/>
    <x v="2"/>
    <x v="6"/>
    <x v="1"/>
    <x v="0"/>
    <n v="185.71254458397129"/>
    <n v="56.885388167498398"/>
  </r>
  <r>
    <x v="0"/>
    <x v="9"/>
    <x v="2"/>
    <x v="6"/>
    <x v="1"/>
    <x v="1"/>
    <n v="322.07793446882698"/>
    <n v="81.471536058898394"/>
  </r>
  <r>
    <x v="0"/>
    <x v="9"/>
    <x v="2"/>
    <x v="7"/>
    <x v="2"/>
    <x v="1"/>
    <n v="5870.8279435063996"/>
    <n v="3006"/>
  </r>
  <r>
    <x v="0"/>
    <x v="10"/>
    <x v="0"/>
    <x v="0"/>
    <x v="0"/>
    <x v="0"/>
    <n v="1433.4951721271373"/>
    <n v="176.67251122339781"/>
  </r>
  <r>
    <x v="0"/>
    <x v="10"/>
    <x v="0"/>
    <x v="0"/>
    <x v="0"/>
    <x v="1"/>
    <n v="5785.0394752903003"/>
    <n v="921.00048878159816"/>
  </r>
  <r>
    <x v="0"/>
    <x v="10"/>
    <x v="0"/>
    <x v="0"/>
    <x v="1"/>
    <x v="0"/>
    <n v="69013.701169000633"/>
    <n v="11723.733038258888"/>
  </r>
  <r>
    <x v="0"/>
    <x v="10"/>
    <x v="0"/>
    <x v="0"/>
    <x v="1"/>
    <x v="1"/>
    <n v="33597.437601007718"/>
    <n v="4395.3043283473817"/>
  </r>
  <r>
    <x v="0"/>
    <x v="10"/>
    <x v="0"/>
    <x v="1"/>
    <x v="0"/>
    <x v="0"/>
    <n v="1971.7319606484084"/>
    <n v="358.76730874809653"/>
  </r>
  <r>
    <x v="0"/>
    <x v="10"/>
    <x v="0"/>
    <x v="1"/>
    <x v="0"/>
    <x v="1"/>
    <n v="3151.4120224926519"/>
    <n v="453.4246441054982"/>
  </r>
  <r>
    <x v="0"/>
    <x v="10"/>
    <x v="0"/>
    <x v="1"/>
    <x v="1"/>
    <x v="0"/>
    <n v="43941.211725863177"/>
    <n v="10649.711679019087"/>
  </r>
  <r>
    <x v="0"/>
    <x v="10"/>
    <x v="0"/>
    <x v="1"/>
    <x v="1"/>
    <x v="1"/>
    <n v="64315.856630175826"/>
    <n v="14737.420177599188"/>
  </r>
  <r>
    <x v="0"/>
    <x v="10"/>
    <x v="1"/>
    <x v="2"/>
    <x v="2"/>
    <x v="0"/>
    <n v="18545.706468397449"/>
    <n v="6312.2433674658869"/>
  </r>
  <r>
    <x v="0"/>
    <x v="10"/>
    <x v="1"/>
    <x v="2"/>
    <x v="2"/>
    <x v="1"/>
    <n v="76740.507092148851"/>
    <n v="37399.635493836184"/>
  </r>
  <r>
    <x v="0"/>
    <x v="10"/>
    <x v="1"/>
    <x v="2"/>
    <x v="3"/>
    <x v="0"/>
    <n v="1082.3395016702948"/>
    <n v="554.50517879809865"/>
  </r>
  <r>
    <x v="0"/>
    <x v="10"/>
    <x v="1"/>
    <x v="2"/>
    <x v="3"/>
    <x v="1"/>
    <n v="1518.7886615593056"/>
    <n v="561.3858212017991"/>
  </r>
  <r>
    <x v="0"/>
    <x v="10"/>
    <x v="1"/>
    <x v="2"/>
    <x v="4"/>
    <x v="0"/>
    <n v="11.5723485685164"/>
    <n v="1.2"/>
  </r>
  <r>
    <x v="0"/>
    <x v="10"/>
    <x v="1"/>
    <x v="2"/>
    <x v="4"/>
    <x v="1"/>
    <n v="180.2619527906611"/>
    <n v="73.499999999999901"/>
  </r>
  <r>
    <x v="0"/>
    <x v="10"/>
    <x v="1"/>
    <x v="2"/>
    <x v="5"/>
    <x v="0"/>
    <n v="1223.2918088971737"/>
    <n v="0.69200000029969999"/>
  </r>
  <r>
    <x v="0"/>
    <x v="10"/>
    <x v="1"/>
    <x v="2"/>
    <x v="5"/>
    <x v="1"/>
    <n v="2942.0132970704722"/>
    <n v="58.307999997399698"/>
  </r>
  <r>
    <x v="0"/>
    <x v="10"/>
    <x v="1"/>
    <x v="2"/>
    <x v="6"/>
    <x v="0"/>
    <n v="23552.002927860063"/>
    <n v="449.1364095116939"/>
  </r>
  <r>
    <x v="0"/>
    <x v="10"/>
    <x v="1"/>
    <x v="2"/>
    <x v="6"/>
    <x v="1"/>
    <n v="58792.838837825919"/>
    <n v="1710.1239237585917"/>
  </r>
  <r>
    <x v="0"/>
    <x v="10"/>
    <x v="1"/>
    <x v="2"/>
    <x v="1"/>
    <x v="0"/>
    <n v="2642.9769250171748"/>
    <n v="1560.1321997808975"/>
  </r>
  <r>
    <x v="0"/>
    <x v="10"/>
    <x v="1"/>
    <x v="2"/>
    <x v="1"/>
    <x v="1"/>
    <n v="8287.6940630931349"/>
    <n v="5049.0928002215996"/>
  </r>
  <r>
    <x v="0"/>
    <x v="10"/>
    <x v="1"/>
    <x v="3"/>
    <x v="2"/>
    <x v="0"/>
    <n v="37762.183757892708"/>
    <n v="10818.538903984789"/>
  </r>
  <r>
    <x v="0"/>
    <x v="10"/>
    <x v="1"/>
    <x v="3"/>
    <x v="2"/>
    <x v="1"/>
    <n v="128089.53830720647"/>
    <n v="41524.296337395288"/>
  </r>
  <r>
    <x v="0"/>
    <x v="10"/>
    <x v="1"/>
    <x v="3"/>
    <x v="3"/>
    <x v="0"/>
    <n v="4862.3579873942972"/>
    <m/>
  </r>
  <r>
    <x v="0"/>
    <x v="10"/>
    <x v="1"/>
    <x v="3"/>
    <x v="3"/>
    <x v="1"/>
    <n v="12010.814081523962"/>
    <m/>
  </r>
  <r>
    <x v="0"/>
    <x v="10"/>
    <x v="1"/>
    <x v="3"/>
    <x v="7"/>
    <x v="0"/>
    <n v="31575.376989234392"/>
    <n v="9730.7569999999996"/>
  </r>
  <r>
    <x v="0"/>
    <x v="10"/>
    <x v="1"/>
    <x v="3"/>
    <x v="7"/>
    <x v="1"/>
    <n v="68310.830341119872"/>
    <n v="24616.143"/>
  </r>
  <r>
    <x v="0"/>
    <x v="10"/>
    <x v="1"/>
    <x v="3"/>
    <x v="5"/>
    <x v="0"/>
    <n v="4156.4248724353329"/>
    <m/>
  </r>
  <r>
    <x v="0"/>
    <x v="10"/>
    <x v="1"/>
    <x v="3"/>
    <x v="5"/>
    <x v="1"/>
    <n v="10599.545870187509"/>
    <n v="20.900000000309898"/>
  </r>
  <r>
    <x v="0"/>
    <x v="10"/>
    <x v="1"/>
    <x v="3"/>
    <x v="6"/>
    <x v="0"/>
    <n v="0.2332558271771"/>
    <m/>
  </r>
  <r>
    <x v="0"/>
    <x v="10"/>
    <x v="1"/>
    <x v="3"/>
    <x v="6"/>
    <x v="1"/>
    <n v="0.59986020674450002"/>
    <m/>
  </r>
  <r>
    <x v="0"/>
    <x v="10"/>
    <x v="1"/>
    <x v="3"/>
    <x v="1"/>
    <x v="0"/>
    <n v="2789.0620584469002"/>
    <n v="375.17799956799792"/>
  </r>
  <r>
    <x v="0"/>
    <x v="10"/>
    <x v="1"/>
    <x v="3"/>
    <x v="1"/>
    <x v="1"/>
    <n v="6823.1243097007873"/>
    <n v="969.49700044699773"/>
  </r>
  <r>
    <x v="0"/>
    <x v="10"/>
    <x v="1"/>
    <x v="4"/>
    <x v="2"/>
    <x v="0"/>
    <n v="0.2293099460951"/>
    <n v="1.6666666699999999E-2"/>
  </r>
  <r>
    <x v="0"/>
    <x v="10"/>
    <x v="1"/>
    <x v="4"/>
    <x v="2"/>
    <x v="1"/>
    <n v="6410.6561754476215"/>
    <n v="5541.8056666434886"/>
  </r>
  <r>
    <x v="0"/>
    <x v="10"/>
    <x v="1"/>
    <x v="4"/>
    <x v="5"/>
    <x v="1"/>
    <n v="38.311049976493003"/>
    <n v="38.100000001799998"/>
  </r>
  <r>
    <x v="0"/>
    <x v="10"/>
    <x v="1"/>
    <x v="4"/>
    <x v="6"/>
    <x v="0"/>
    <n v="21.644234926641701"/>
    <n v="21.524999999999999"/>
  </r>
  <r>
    <x v="0"/>
    <x v="10"/>
    <x v="1"/>
    <x v="4"/>
    <x v="6"/>
    <x v="1"/>
    <n v="17258.108526914348"/>
    <n v="14410.664666723993"/>
  </r>
  <r>
    <x v="0"/>
    <x v="10"/>
    <x v="2"/>
    <x v="5"/>
    <x v="2"/>
    <x v="0"/>
    <n v="2902.9494826614086"/>
    <n v="1569.873631931687"/>
  </r>
  <r>
    <x v="0"/>
    <x v="10"/>
    <x v="2"/>
    <x v="5"/>
    <x v="2"/>
    <x v="1"/>
    <n v="41287.499501302525"/>
    <n v="17323.286388287688"/>
  </r>
  <r>
    <x v="0"/>
    <x v="10"/>
    <x v="2"/>
    <x v="5"/>
    <x v="3"/>
    <x v="0"/>
    <n v="27.816034830063199"/>
    <m/>
  </r>
  <r>
    <x v="0"/>
    <x v="10"/>
    <x v="2"/>
    <x v="5"/>
    <x v="8"/>
    <x v="0"/>
    <n v="528.4740818218728"/>
    <n v="235.14704952719481"/>
  </r>
  <r>
    <x v="0"/>
    <x v="10"/>
    <x v="2"/>
    <x v="5"/>
    <x v="8"/>
    <x v="1"/>
    <n v="282.43694072334478"/>
    <n v="132.65182480889601"/>
  </r>
  <r>
    <x v="0"/>
    <x v="10"/>
    <x v="2"/>
    <x v="5"/>
    <x v="7"/>
    <x v="0"/>
    <n v="5395.6813201447785"/>
    <n v="2505.2809985905969"/>
  </r>
  <r>
    <x v="0"/>
    <x v="10"/>
    <x v="2"/>
    <x v="5"/>
    <x v="7"/>
    <x v="1"/>
    <n v="30376.931792641237"/>
    <n v="7192.9690013668978"/>
  </r>
  <r>
    <x v="0"/>
    <x v="10"/>
    <x v="2"/>
    <x v="5"/>
    <x v="1"/>
    <x v="0"/>
    <n v="163.61038289952069"/>
    <n v="119.4005830103948"/>
  </r>
  <r>
    <x v="0"/>
    <x v="10"/>
    <x v="2"/>
    <x v="5"/>
    <x v="1"/>
    <x v="1"/>
    <n v="270.58658548517252"/>
    <n v="158.1449749043926"/>
  </r>
  <r>
    <x v="0"/>
    <x v="10"/>
    <x v="2"/>
    <x v="5"/>
    <x v="9"/>
    <x v="0"/>
    <n v="45.441049418527101"/>
    <n v="0.55851190009990004"/>
  </r>
  <r>
    <x v="0"/>
    <x v="10"/>
    <x v="2"/>
    <x v="5"/>
    <x v="9"/>
    <x v="1"/>
    <n v="431.45754732633071"/>
    <n v="5.5431071000000003"/>
  </r>
  <r>
    <x v="0"/>
    <x v="10"/>
    <x v="2"/>
    <x v="6"/>
    <x v="0"/>
    <x v="0"/>
    <n v="1448.726479366115"/>
    <n v="429.66592209089811"/>
  </r>
  <r>
    <x v="0"/>
    <x v="10"/>
    <x v="2"/>
    <x v="6"/>
    <x v="0"/>
    <x v="1"/>
    <n v="7075.2428177399606"/>
    <n v="2390.3761077014997"/>
  </r>
  <r>
    <x v="0"/>
    <x v="10"/>
    <x v="2"/>
    <x v="6"/>
    <x v="1"/>
    <x v="0"/>
    <n v="5272.7234106268543"/>
    <n v="2405.1998751415781"/>
  </r>
  <r>
    <x v="0"/>
    <x v="10"/>
    <x v="2"/>
    <x v="6"/>
    <x v="1"/>
    <x v="1"/>
    <n v="7961.225001316946"/>
    <n v="3484.7132042298808"/>
  </r>
  <r>
    <x v="0"/>
    <x v="10"/>
    <x v="2"/>
    <x v="7"/>
    <x v="2"/>
    <x v="1"/>
    <n v="12022.038467257606"/>
    <n v="6651.499999999899"/>
  </r>
  <r>
    <x v="1"/>
    <x v="0"/>
    <x v="0"/>
    <x v="0"/>
    <x v="0"/>
    <x v="0"/>
    <n v="24.251947153304499"/>
    <n v="4.5289763999999"/>
  </r>
  <r>
    <x v="1"/>
    <x v="0"/>
    <x v="0"/>
    <x v="0"/>
    <x v="0"/>
    <x v="1"/>
    <n v="138.0621150117482"/>
    <n v="26.271023599999499"/>
  </r>
  <r>
    <x v="1"/>
    <x v="0"/>
    <x v="0"/>
    <x v="0"/>
    <x v="1"/>
    <x v="0"/>
    <n v="12080.139401774895"/>
    <n v="1919.7302554037319"/>
  </r>
  <r>
    <x v="1"/>
    <x v="0"/>
    <x v="0"/>
    <x v="0"/>
    <x v="1"/>
    <x v="1"/>
    <n v="4040.1203814364121"/>
    <n v="587.80110096670876"/>
  </r>
  <r>
    <x v="1"/>
    <x v="0"/>
    <x v="0"/>
    <x v="1"/>
    <x v="0"/>
    <x v="0"/>
    <n v="60.3376603326371"/>
    <n v="17.6110938839992"/>
  </r>
  <r>
    <x v="1"/>
    <x v="0"/>
    <x v="0"/>
    <x v="1"/>
    <x v="0"/>
    <x v="1"/>
    <n v="120.0264933074438"/>
    <n v="27.927268830999399"/>
  </r>
  <r>
    <x v="1"/>
    <x v="0"/>
    <x v="0"/>
    <x v="1"/>
    <x v="1"/>
    <x v="0"/>
    <n v="8579.2779942986799"/>
    <n v="1975.277593584032"/>
  </r>
  <r>
    <x v="1"/>
    <x v="0"/>
    <x v="0"/>
    <x v="1"/>
    <x v="1"/>
    <x v="1"/>
    <n v="10263.984932868461"/>
    <n v="1956.4129060854079"/>
  </r>
  <r>
    <x v="1"/>
    <x v="0"/>
    <x v="1"/>
    <x v="2"/>
    <x v="2"/>
    <x v="0"/>
    <n v="2942.6388113311832"/>
    <n v="1683.3634134457973"/>
  </r>
  <r>
    <x v="1"/>
    <x v="0"/>
    <x v="1"/>
    <x v="2"/>
    <x v="2"/>
    <x v="1"/>
    <n v="22451.940909252"/>
    <n v="13744.073136042898"/>
  </r>
  <r>
    <x v="1"/>
    <x v="0"/>
    <x v="1"/>
    <x v="2"/>
    <x v="3"/>
    <x v="1"/>
    <n v="28.198823396031599"/>
    <n v="10"/>
  </r>
  <r>
    <x v="1"/>
    <x v="0"/>
    <x v="1"/>
    <x v="2"/>
    <x v="4"/>
    <x v="0"/>
    <n v="0.90202920393579999"/>
    <m/>
  </r>
  <r>
    <x v="1"/>
    <x v="0"/>
    <x v="1"/>
    <x v="2"/>
    <x v="4"/>
    <x v="1"/>
    <n v="42.198438599072198"/>
    <n v="6"/>
  </r>
  <r>
    <x v="1"/>
    <x v="0"/>
    <x v="1"/>
    <x v="2"/>
    <x v="5"/>
    <x v="0"/>
    <n v="70.518544608930299"/>
    <m/>
  </r>
  <r>
    <x v="1"/>
    <x v="0"/>
    <x v="1"/>
    <x v="2"/>
    <x v="5"/>
    <x v="1"/>
    <n v="170.30355470476519"/>
    <m/>
  </r>
  <r>
    <x v="1"/>
    <x v="0"/>
    <x v="1"/>
    <x v="2"/>
    <x v="6"/>
    <x v="0"/>
    <n v="1581.4411157790928"/>
    <m/>
  </r>
  <r>
    <x v="1"/>
    <x v="0"/>
    <x v="1"/>
    <x v="2"/>
    <x v="6"/>
    <x v="1"/>
    <n v="3637.8494848707742"/>
    <m/>
  </r>
  <r>
    <x v="1"/>
    <x v="0"/>
    <x v="1"/>
    <x v="2"/>
    <x v="1"/>
    <x v="0"/>
    <n v="677.43637282255452"/>
    <n v="511.20999999999992"/>
  </r>
  <r>
    <x v="1"/>
    <x v="0"/>
    <x v="1"/>
    <x v="2"/>
    <x v="1"/>
    <x v="1"/>
    <n v="592.62685186155932"/>
    <n v="52.989999999999299"/>
  </r>
  <r>
    <x v="1"/>
    <x v="0"/>
    <x v="1"/>
    <x v="3"/>
    <x v="2"/>
    <x v="0"/>
    <n v="6630.1925658822456"/>
    <n v="3228.2706286911971"/>
  </r>
  <r>
    <x v="1"/>
    <x v="0"/>
    <x v="1"/>
    <x v="3"/>
    <x v="2"/>
    <x v="1"/>
    <n v="36773.402313606741"/>
    <n v="21737.1259326523"/>
  </r>
  <r>
    <x v="1"/>
    <x v="0"/>
    <x v="1"/>
    <x v="3"/>
    <x v="3"/>
    <x v="0"/>
    <n v="24.704615272204101"/>
    <m/>
  </r>
  <r>
    <x v="1"/>
    <x v="0"/>
    <x v="1"/>
    <x v="3"/>
    <x v="3"/>
    <x v="1"/>
    <n v="66.443508453012797"/>
    <m/>
  </r>
  <r>
    <x v="1"/>
    <x v="0"/>
    <x v="1"/>
    <x v="3"/>
    <x v="7"/>
    <x v="0"/>
    <n v="882.2778864267566"/>
    <n v="403.7159999999995"/>
  </r>
  <r>
    <x v="1"/>
    <x v="0"/>
    <x v="1"/>
    <x v="3"/>
    <x v="7"/>
    <x v="1"/>
    <n v="4676.7340508986572"/>
    <n v="2960.5839999999998"/>
  </r>
  <r>
    <x v="1"/>
    <x v="0"/>
    <x v="1"/>
    <x v="3"/>
    <x v="5"/>
    <x v="0"/>
    <n v="394.36189151818229"/>
    <m/>
  </r>
  <r>
    <x v="1"/>
    <x v="0"/>
    <x v="1"/>
    <x v="3"/>
    <x v="5"/>
    <x v="1"/>
    <n v="1019.3015078963875"/>
    <m/>
  </r>
  <r>
    <x v="1"/>
    <x v="0"/>
    <x v="1"/>
    <x v="3"/>
    <x v="6"/>
    <x v="0"/>
    <n v="139.8317551482655"/>
    <m/>
  </r>
  <r>
    <x v="1"/>
    <x v="0"/>
    <x v="1"/>
    <x v="3"/>
    <x v="6"/>
    <x v="1"/>
    <n v="380.7291776534779"/>
    <m/>
  </r>
  <r>
    <x v="1"/>
    <x v="0"/>
    <x v="1"/>
    <x v="3"/>
    <x v="1"/>
    <x v="0"/>
    <n v="495.85868968368101"/>
    <n v="214.22999999999971"/>
  </r>
  <r>
    <x v="1"/>
    <x v="0"/>
    <x v="1"/>
    <x v="3"/>
    <x v="1"/>
    <x v="1"/>
    <n v="915.80116699927532"/>
    <n v="27.569999999999599"/>
  </r>
  <r>
    <x v="1"/>
    <x v="0"/>
    <x v="1"/>
    <x v="4"/>
    <x v="2"/>
    <x v="1"/>
    <n v="8793.9697849456006"/>
    <n v="6814.1668891675963"/>
  </r>
  <r>
    <x v="1"/>
    <x v="0"/>
    <x v="1"/>
    <x v="4"/>
    <x v="6"/>
    <x v="1"/>
    <n v="17973.028393538101"/>
    <n v="12599"/>
  </r>
  <r>
    <x v="1"/>
    <x v="0"/>
    <x v="1"/>
    <x v="4"/>
    <x v="1"/>
    <x v="1"/>
    <n v="4.5997103515599998E-2"/>
    <m/>
  </r>
  <r>
    <x v="1"/>
    <x v="0"/>
    <x v="2"/>
    <x v="5"/>
    <x v="2"/>
    <x v="0"/>
    <n v="1870.7480300464711"/>
    <n v="634.33016810002005"/>
  </r>
  <r>
    <x v="1"/>
    <x v="0"/>
    <x v="2"/>
    <x v="5"/>
    <x v="2"/>
    <x v="1"/>
    <n v="7797.4228568473727"/>
    <n v="3378.1737314154079"/>
  </r>
  <r>
    <x v="1"/>
    <x v="0"/>
    <x v="2"/>
    <x v="5"/>
    <x v="3"/>
    <x v="0"/>
    <n v="1.0963121127502"/>
    <m/>
  </r>
  <r>
    <x v="1"/>
    <x v="0"/>
    <x v="2"/>
    <x v="5"/>
    <x v="8"/>
    <x v="0"/>
    <n v="4.1728232749437"/>
    <n v="3.4981643743355"/>
  </r>
  <r>
    <x v="1"/>
    <x v="0"/>
    <x v="2"/>
    <x v="5"/>
    <x v="8"/>
    <x v="1"/>
    <n v="2.4474328137604999"/>
    <n v="2.2292881048069"/>
  </r>
  <r>
    <x v="1"/>
    <x v="0"/>
    <x v="2"/>
    <x v="5"/>
    <x v="7"/>
    <x v="0"/>
    <n v="175.7256183353131"/>
    <n v="51.950454176999102"/>
  </r>
  <r>
    <x v="1"/>
    <x v="0"/>
    <x v="2"/>
    <x v="5"/>
    <x v="7"/>
    <x v="1"/>
    <n v="885.32407836912898"/>
    <n v="334.40854582309902"/>
  </r>
  <r>
    <x v="1"/>
    <x v="0"/>
    <x v="2"/>
    <x v="5"/>
    <x v="1"/>
    <x v="0"/>
    <n v="20.189544230243701"/>
    <n v="4.7715237315356003"/>
  </r>
  <r>
    <x v="1"/>
    <x v="0"/>
    <x v="2"/>
    <x v="5"/>
    <x v="1"/>
    <x v="1"/>
    <n v="53.891458349932797"/>
    <n v="9.9398844662000005"/>
  </r>
  <r>
    <x v="1"/>
    <x v="0"/>
    <x v="2"/>
    <x v="5"/>
    <x v="9"/>
    <x v="0"/>
    <n v="1.1853065622884"/>
    <m/>
  </r>
  <r>
    <x v="1"/>
    <x v="0"/>
    <x v="2"/>
    <x v="5"/>
    <x v="9"/>
    <x v="1"/>
    <n v="4.6364810250763"/>
    <m/>
  </r>
  <r>
    <x v="1"/>
    <x v="0"/>
    <x v="2"/>
    <x v="6"/>
    <x v="0"/>
    <x v="0"/>
    <n v="74.930354339039098"/>
    <n v="16.538587170799602"/>
  </r>
  <r>
    <x v="1"/>
    <x v="0"/>
    <x v="2"/>
    <x v="6"/>
    <x v="0"/>
    <x v="1"/>
    <n v="355.36802308912121"/>
    <n v="129.23505011409921"/>
  </r>
  <r>
    <x v="1"/>
    <x v="0"/>
    <x v="2"/>
    <x v="6"/>
    <x v="1"/>
    <x v="0"/>
    <n v="956.03836625198051"/>
    <n v="205.48137048565451"/>
  </r>
  <r>
    <x v="1"/>
    <x v="0"/>
    <x v="2"/>
    <x v="6"/>
    <x v="1"/>
    <x v="1"/>
    <n v="1321.4581103966091"/>
    <n v="512.47969061691515"/>
  </r>
  <r>
    <x v="1"/>
    <x v="0"/>
    <x v="2"/>
    <x v="7"/>
    <x v="2"/>
    <x v="1"/>
    <n v="6465.791005991533"/>
    <n v="1895.317"/>
  </r>
  <r>
    <x v="1"/>
    <x v="1"/>
    <x v="0"/>
    <x v="0"/>
    <x v="0"/>
    <x v="0"/>
    <n v="221.2111716823207"/>
    <n v="49.349329999999703"/>
  </r>
  <r>
    <x v="1"/>
    <x v="1"/>
    <x v="0"/>
    <x v="0"/>
    <x v="0"/>
    <x v="1"/>
    <n v="150.3926782320375"/>
    <n v="25.477669999999499"/>
  </r>
  <r>
    <x v="1"/>
    <x v="1"/>
    <x v="0"/>
    <x v="0"/>
    <x v="1"/>
    <x v="0"/>
    <n v="31408.280706268812"/>
    <n v="6271.6256401915971"/>
  </r>
  <r>
    <x v="1"/>
    <x v="1"/>
    <x v="0"/>
    <x v="0"/>
    <x v="1"/>
    <x v="1"/>
    <n v="20272.76719749836"/>
    <n v="3589.2352005298972"/>
  </r>
  <r>
    <x v="1"/>
    <x v="1"/>
    <x v="0"/>
    <x v="1"/>
    <x v="0"/>
    <x v="0"/>
    <n v="423.3130536634751"/>
    <n v="60.540417799299099"/>
  </r>
  <r>
    <x v="1"/>
    <x v="1"/>
    <x v="0"/>
    <x v="1"/>
    <x v="0"/>
    <x v="1"/>
    <n v="229.78436364027479"/>
    <n v="31.986692200399901"/>
  </r>
  <r>
    <x v="1"/>
    <x v="1"/>
    <x v="0"/>
    <x v="1"/>
    <x v="1"/>
    <x v="0"/>
    <n v="22633.772909930642"/>
    <n v="3825.096261552098"/>
  </r>
  <r>
    <x v="1"/>
    <x v="1"/>
    <x v="0"/>
    <x v="1"/>
    <x v="1"/>
    <x v="1"/>
    <n v="33089.648537920642"/>
    <n v="6850.2266171318979"/>
  </r>
  <r>
    <x v="1"/>
    <x v="1"/>
    <x v="1"/>
    <x v="2"/>
    <x v="2"/>
    <x v="0"/>
    <n v="28260.535868584731"/>
    <n v="14738.332876854995"/>
  </r>
  <r>
    <x v="1"/>
    <x v="1"/>
    <x v="1"/>
    <x v="2"/>
    <x v="2"/>
    <x v="1"/>
    <n v="219213.76241496173"/>
    <n v="124807.5858253997"/>
  </r>
  <r>
    <x v="1"/>
    <x v="1"/>
    <x v="1"/>
    <x v="2"/>
    <x v="3"/>
    <x v="0"/>
    <n v="292.86070196063599"/>
    <n v="80.685999999999495"/>
  </r>
  <r>
    <x v="1"/>
    <x v="1"/>
    <x v="1"/>
    <x v="2"/>
    <x v="3"/>
    <x v="1"/>
    <n v="407.46905133099278"/>
    <n v="65.013999999999598"/>
  </r>
  <r>
    <x v="1"/>
    <x v="1"/>
    <x v="1"/>
    <x v="2"/>
    <x v="5"/>
    <x v="0"/>
    <n v="580.12351054550459"/>
    <m/>
  </r>
  <r>
    <x v="1"/>
    <x v="1"/>
    <x v="1"/>
    <x v="2"/>
    <x v="5"/>
    <x v="1"/>
    <n v="3091.0541222822681"/>
    <m/>
  </r>
  <r>
    <x v="1"/>
    <x v="1"/>
    <x v="1"/>
    <x v="2"/>
    <x v="6"/>
    <x v="0"/>
    <n v="13219.437319811428"/>
    <m/>
  </r>
  <r>
    <x v="1"/>
    <x v="1"/>
    <x v="1"/>
    <x v="2"/>
    <x v="6"/>
    <x v="1"/>
    <n v="84140.030604850472"/>
    <m/>
  </r>
  <r>
    <x v="1"/>
    <x v="1"/>
    <x v="1"/>
    <x v="2"/>
    <x v="1"/>
    <x v="0"/>
    <n v="686.92797765246837"/>
    <n v="24.4539003066992"/>
  </r>
  <r>
    <x v="1"/>
    <x v="1"/>
    <x v="1"/>
    <x v="2"/>
    <x v="1"/>
    <x v="1"/>
    <n v="3902.3728164795389"/>
    <n v="109.2111014759992"/>
  </r>
  <r>
    <x v="1"/>
    <x v="1"/>
    <x v="1"/>
    <x v="3"/>
    <x v="2"/>
    <x v="0"/>
    <n v="10502.050294724251"/>
    <n v="3615.1892599514899"/>
  </r>
  <r>
    <x v="1"/>
    <x v="1"/>
    <x v="1"/>
    <x v="3"/>
    <x v="2"/>
    <x v="1"/>
    <n v="59903.829193740181"/>
    <n v="24924.290049990399"/>
  </r>
  <r>
    <x v="1"/>
    <x v="1"/>
    <x v="1"/>
    <x v="3"/>
    <x v="3"/>
    <x v="0"/>
    <n v="992.54012754277869"/>
    <m/>
  </r>
  <r>
    <x v="1"/>
    <x v="1"/>
    <x v="1"/>
    <x v="3"/>
    <x v="3"/>
    <x v="1"/>
    <n v="5103.3343420358842"/>
    <m/>
  </r>
  <r>
    <x v="1"/>
    <x v="1"/>
    <x v="1"/>
    <x v="3"/>
    <x v="7"/>
    <x v="0"/>
    <n v="4311.0036040179102"/>
    <n v="1647.442"/>
  </r>
  <r>
    <x v="1"/>
    <x v="1"/>
    <x v="1"/>
    <x v="3"/>
    <x v="7"/>
    <x v="1"/>
    <n v="17791.33661010662"/>
    <n v="5283.8580000000002"/>
  </r>
  <r>
    <x v="1"/>
    <x v="1"/>
    <x v="1"/>
    <x v="3"/>
    <x v="5"/>
    <x v="0"/>
    <n v="316.07646456885988"/>
    <m/>
  </r>
  <r>
    <x v="1"/>
    <x v="1"/>
    <x v="1"/>
    <x v="3"/>
    <x v="5"/>
    <x v="1"/>
    <n v="1578.7395137067349"/>
    <m/>
  </r>
  <r>
    <x v="1"/>
    <x v="1"/>
    <x v="1"/>
    <x v="3"/>
    <x v="6"/>
    <x v="0"/>
    <n v="267.33989628840328"/>
    <m/>
  </r>
  <r>
    <x v="1"/>
    <x v="1"/>
    <x v="1"/>
    <x v="3"/>
    <x v="6"/>
    <x v="1"/>
    <n v="1305.2499784303063"/>
    <m/>
  </r>
  <r>
    <x v="1"/>
    <x v="1"/>
    <x v="1"/>
    <x v="3"/>
    <x v="1"/>
    <x v="0"/>
    <n v="683.35709850551984"/>
    <n v="39.5954988410993"/>
  </r>
  <r>
    <x v="1"/>
    <x v="1"/>
    <x v="1"/>
    <x v="3"/>
    <x v="1"/>
    <x v="1"/>
    <n v="3307.837344264598"/>
    <n v="21.139499376099302"/>
  </r>
  <r>
    <x v="1"/>
    <x v="1"/>
    <x v="1"/>
    <x v="4"/>
    <x v="2"/>
    <x v="0"/>
    <n v="1709.8773341861845"/>
    <n v="1173.5406993959962"/>
  </r>
  <r>
    <x v="1"/>
    <x v="1"/>
    <x v="1"/>
    <x v="4"/>
    <x v="2"/>
    <x v="1"/>
    <n v="150534.89662783296"/>
    <n v="85834.561288332101"/>
  </r>
  <r>
    <x v="1"/>
    <x v="1"/>
    <x v="1"/>
    <x v="4"/>
    <x v="4"/>
    <x v="1"/>
    <n v="135.47060223220001"/>
    <n v="15"/>
  </r>
  <r>
    <x v="1"/>
    <x v="1"/>
    <x v="1"/>
    <x v="4"/>
    <x v="5"/>
    <x v="0"/>
    <n v="9.0367327319168993"/>
    <n v="8.9999999996997992"/>
  </r>
  <r>
    <x v="1"/>
    <x v="1"/>
    <x v="1"/>
    <x v="4"/>
    <x v="5"/>
    <x v="1"/>
    <n v="1350.1016969929301"/>
    <n v="754.79999999009999"/>
  </r>
  <r>
    <x v="1"/>
    <x v="1"/>
    <x v="1"/>
    <x v="4"/>
    <x v="6"/>
    <x v="1"/>
    <n v="566349.59652400564"/>
    <n v="212449.29999999981"/>
  </r>
  <r>
    <x v="1"/>
    <x v="1"/>
    <x v="2"/>
    <x v="5"/>
    <x v="2"/>
    <x v="0"/>
    <n v="1133.076378661422"/>
    <n v="508.41559121629541"/>
  </r>
  <r>
    <x v="1"/>
    <x v="1"/>
    <x v="2"/>
    <x v="5"/>
    <x v="2"/>
    <x v="1"/>
    <n v="18370.627721064389"/>
    <n v="3839.8609151242972"/>
  </r>
  <r>
    <x v="1"/>
    <x v="1"/>
    <x v="2"/>
    <x v="5"/>
    <x v="8"/>
    <x v="0"/>
    <n v="63.378987518074297"/>
    <n v="13.9606798847996"/>
  </r>
  <r>
    <x v="1"/>
    <x v="1"/>
    <x v="2"/>
    <x v="5"/>
    <x v="8"/>
    <x v="1"/>
    <n v="7.1238765502185997"/>
    <n v="1.4109955644998999"/>
  </r>
  <r>
    <x v="1"/>
    <x v="1"/>
    <x v="2"/>
    <x v="5"/>
    <x v="7"/>
    <x v="0"/>
    <n v="757.64709783108981"/>
    <n v="324.06802999999962"/>
  </r>
  <r>
    <x v="1"/>
    <x v="1"/>
    <x v="2"/>
    <x v="5"/>
    <x v="7"/>
    <x v="1"/>
    <n v="2856.988992681614"/>
    <n v="706.5649699999999"/>
  </r>
  <r>
    <x v="1"/>
    <x v="1"/>
    <x v="2"/>
    <x v="5"/>
    <x v="1"/>
    <x v="0"/>
    <n v="8.5574116181619999"/>
    <m/>
  </r>
  <r>
    <x v="1"/>
    <x v="1"/>
    <x v="2"/>
    <x v="5"/>
    <x v="1"/>
    <x v="1"/>
    <n v="36.635759779549502"/>
    <n v="1.1153093904"/>
  </r>
  <r>
    <x v="1"/>
    <x v="1"/>
    <x v="2"/>
    <x v="5"/>
    <x v="9"/>
    <x v="0"/>
    <n v="0.15320801296289999"/>
    <m/>
  </r>
  <r>
    <x v="1"/>
    <x v="1"/>
    <x v="2"/>
    <x v="5"/>
    <x v="9"/>
    <x v="1"/>
    <n v="4.0490645816291"/>
    <m/>
  </r>
  <r>
    <x v="1"/>
    <x v="1"/>
    <x v="2"/>
    <x v="6"/>
    <x v="0"/>
    <x v="0"/>
    <n v="576.39828773755585"/>
    <n v="152.58583309999901"/>
  </r>
  <r>
    <x v="1"/>
    <x v="1"/>
    <x v="2"/>
    <x v="6"/>
    <x v="0"/>
    <x v="1"/>
    <n v="1252.07156794003"/>
    <n v="201.51105690029931"/>
  </r>
  <r>
    <x v="1"/>
    <x v="1"/>
    <x v="2"/>
    <x v="6"/>
    <x v="1"/>
    <x v="0"/>
    <n v="2521.6791299895349"/>
    <n v="781.84794484059512"/>
  </r>
  <r>
    <x v="1"/>
    <x v="1"/>
    <x v="2"/>
    <x v="6"/>
    <x v="1"/>
    <x v="1"/>
    <n v="5830.9267905787956"/>
    <n v="1511.3954896826961"/>
  </r>
  <r>
    <x v="1"/>
    <x v="1"/>
    <x v="2"/>
    <x v="7"/>
    <x v="2"/>
    <x v="1"/>
    <n v="25962.852722568001"/>
    <n v="8177"/>
  </r>
  <r>
    <x v="1"/>
    <x v="2"/>
    <x v="0"/>
    <x v="0"/>
    <x v="0"/>
    <x v="0"/>
    <n v="61.129009750818597"/>
    <n v="6.6523903999999003"/>
  </r>
  <r>
    <x v="1"/>
    <x v="2"/>
    <x v="0"/>
    <x v="0"/>
    <x v="0"/>
    <x v="1"/>
    <n v="313.16036726059332"/>
    <n v="23.980609600000001"/>
  </r>
  <r>
    <x v="1"/>
    <x v="2"/>
    <x v="0"/>
    <x v="0"/>
    <x v="1"/>
    <x v="0"/>
    <n v="21569.43485237391"/>
    <n v="1565.7723726775989"/>
  </r>
  <r>
    <x v="1"/>
    <x v="2"/>
    <x v="0"/>
    <x v="0"/>
    <x v="1"/>
    <x v="1"/>
    <n v="7225.6149705583803"/>
    <n v="661.92315643619804"/>
  </r>
  <r>
    <x v="1"/>
    <x v="2"/>
    <x v="0"/>
    <x v="1"/>
    <x v="0"/>
    <x v="0"/>
    <n v="116.6668270735791"/>
    <n v="8.7577522278998998"/>
  </r>
  <r>
    <x v="1"/>
    <x v="2"/>
    <x v="0"/>
    <x v="1"/>
    <x v="0"/>
    <x v="1"/>
    <n v="277.86838194414361"/>
    <n v="21.948340022499799"/>
  </r>
  <r>
    <x v="1"/>
    <x v="2"/>
    <x v="0"/>
    <x v="1"/>
    <x v="1"/>
    <x v="0"/>
    <n v="16417.8976067152"/>
    <n v="1305.7995897917981"/>
  </r>
  <r>
    <x v="1"/>
    <x v="2"/>
    <x v="0"/>
    <x v="1"/>
    <x v="1"/>
    <x v="1"/>
    <n v="18809.119654999431"/>
    <n v="1853.129410107199"/>
  </r>
  <r>
    <x v="1"/>
    <x v="2"/>
    <x v="1"/>
    <x v="2"/>
    <x v="2"/>
    <x v="0"/>
    <n v="1758.6761397408741"/>
    <n v="1124.3561088473971"/>
  </r>
  <r>
    <x v="1"/>
    <x v="2"/>
    <x v="1"/>
    <x v="2"/>
    <x v="2"/>
    <x v="1"/>
    <n v="37580.558605006598"/>
    <n v="24509.633180447101"/>
  </r>
  <r>
    <x v="1"/>
    <x v="2"/>
    <x v="1"/>
    <x v="2"/>
    <x v="4"/>
    <x v="0"/>
    <n v="0.33880306584410003"/>
    <m/>
  </r>
  <r>
    <x v="1"/>
    <x v="2"/>
    <x v="1"/>
    <x v="2"/>
    <x v="4"/>
    <x v="1"/>
    <n v="1.1115370891347001"/>
    <m/>
  </r>
  <r>
    <x v="1"/>
    <x v="2"/>
    <x v="1"/>
    <x v="2"/>
    <x v="5"/>
    <x v="0"/>
    <n v="65.710552382214502"/>
    <m/>
  </r>
  <r>
    <x v="1"/>
    <x v="2"/>
    <x v="1"/>
    <x v="2"/>
    <x v="5"/>
    <x v="1"/>
    <n v="189.09922711061731"/>
    <m/>
  </r>
  <r>
    <x v="1"/>
    <x v="2"/>
    <x v="1"/>
    <x v="2"/>
    <x v="6"/>
    <x v="0"/>
    <n v="1413.9023665820021"/>
    <n v="0.12"/>
  </r>
  <r>
    <x v="1"/>
    <x v="2"/>
    <x v="1"/>
    <x v="2"/>
    <x v="6"/>
    <x v="1"/>
    <n v="5048.9381134916903"/>
    <n v="4.2534399915999996"/>
  </r>
  <r>
    <x v="1"/>
    <x v="2"/>
    <x v="1"/>
    <x v="2"/>
    <x v="1"/>
    <x v="0"/>
    <n v="258.26263127079989"/>
    <n v="176.9645599998999"/>
  </r>
  <r>
    <x v="1"/>
    <x v="2"/>
    <x v="1"/>
    <x v="2"/>
    <x v="1"/>
    <x v="1"/>
    <n v="634.53966116377103"/>
    <n v="36.821440000099798"/>
  </r>
  <r>
    <x v="1"/>
    <x v="2"/>
    <x v="1"/>
    <x v="3"/>
    <x v="2"/>
    <x v="0"/>
    <n v="2779.9666769308292"/>
    <n v="514.377088409198"/>
  </r>
  <r>
    <x v="1"/>
    <x v="2"/>
    <x v="1"/>
    <x v="3"/>
    <x v="2"/>
    <x v="1"/>
    <n v="29924.872313956701"/>
    <n v="10366.423220598699"/>
  </r>
  <r>
    <x v="1"/>
    <x v="2"/>
    <x v="1"/>
    <x v="3"/>
    <x v="3"/>
    <x v="0"/>
    <n v="43.394175127433499"/>
    <m/>
  </r>
  <r>
    <x v="1"/>
    <x v="2"/>
    <x v="1"/>
    <x v="3"/>
    <x v="3"/>
    <x v="1"/>
    <n v="114.8631771941423"/>
    <m/>
  </r>
  <r>
    <x v="1"/>
    <x v="2"/>
    <x v="1"/>
    <x v="3"/>
    <x v="7"/>
    <x v="0"/>
    <n v="1417.936763206209"/>
    <n v="438.95999999539993"/>
  </r>
  <r>
    <x v="1"/>
    <x v="2"/>
    <x v="1"/>
    <x v="3"/>
    <x v="7"/>
    <x v="1"/>
    <n v="6718.8507731391037"/>
    <n v="3181.0400000046002"/>
  </r>
  <r>
    <x v="1"/>
    <x v="2"/>
    <x v="1"/>
    <x v="3"/>
    <x v="5"/>
    <x v="0"/>
    <n v="891.684689261009"/>
    <m/>
  </r>
  <r>
    <x v="1"/>
    <x v="2"/>
    <x v="1"/>
    <x v="3"/>
    <x v="5"/>
    <x v="1"/>
    <n v="2174.2949519773679"/>
    <n v="6"/>
  </r>
  <r>
    <x v="1"/>
    <x v="2"/>
    <x v="1"/>
    <x v="3"/>
    <x v="6"/>
    <x v="0"/>
    <n v="291.93199760709149"/>
    <m/>
  </r>
  <r>
    <x v="1"/>
    <x v="2"/>
    <x v="1"/>
    <x v="3"/>
    <x v="6"/>
    <x v="1"/>
    <n v="770.31716793976295"/>
    <m/>
  </r>
  <r>
    <x v="1"/>
    <x v="2"/>
    <x v="1"/>
    <x v="3"/>
    <x v="1"/>
    <x v="0"/>
    <n v="419.38612701933101"/>
    <n v="51.4054399999998"/>
  </r>
  <r>
    <x v="1"/>
    <x v="2"/>
    <x v="1"/>
    <x v="3"/>
    <x v="1"/>
    <x v="1"/>
    <n v="1577.7040380327651"/>
    <n v="10.808559999999799"/>
  </r>
  <r>
    <x v="1"/>
    <x v="2"/>
    <x v="1"/>
    <x v="4"/>
    <x v="2"/>
    <x v="1"/>
    <n v="14037.39614896787"/>
    <n v="10602.610401697"/>
  </r>
  <r>
    <x v="1"/>
    <x v="2"/>
    <x v="1"/>
    <x v="4"/>
    <x v="5"/>
    <x v="0"/>
    <n v="1.6060225842641001"/>
    <m/>
  </r>
  <r>
    <x v="1"/>
    <x v="2"/>
    <x v="1"/>
    <x v="4"/>
    <x v="5"/>
    <x v="1"/>
    <n v="1.6060225842641001"/>
    <m/>
  </r>
  <r>
    <x v="1"/>
    <x v="2"/>
    <x v="1"/>
    <x v="4"/>
    <x v="6"/>
    <x v="1"/>
    <n v="26174.350736030501"/>
    <n v="16691.626560008201"/>
  </r>
  <r>
    <x v="1"/>
    <x v="2"/>
    <x v="2"/>
    <x v="5"/>
    <x v="2"/>
    <x v="0"/>
    <n v="1071.6091229065071"/>
    <n v="255.17418731179879"/>
  </r>
  <r>
    <x v="1"/>
    <x v="2"/>
    <x v="2"/>
    <x v="5"/>
    <x v="2"/>
    <x v="1"/>
    <n v="8726.8617531386699"/>
    <n v="2194.4606252157992"/>
  </r>
  <r>
    <x v="1"/>
    <x v="2"/>
    <x v="2"/>
    <x v="5"/>
    <x v="3"/>
    <x v="0"/>
    <n v="1.1763378135408"/>
    <m/>
  </r>
  <r>
    <x v="1"/>
    <x v="2"/>
    <x v="2"/>
    <x v="5"/>
    <x v="8"/>
    <x v="0"/>
    <n v="0.15323646106280001"/>
    <n v="4.1137495500000003E-2"/>
  </r>
  <r>
    <x v="1"/>
    <x v="2"/>
    <x v="2"/>
    <x v="5"/>
    <x v="8"/>
    <x v="1"/>
    <n v="0.29936374742600003"/>
    <n v="4.1137495500000003E-2"/>
  </r>
  <r>
    <x v="1"/>
    <x v="2"/>
    <x v="2"/>
    <x v="5"/>
    <x v="7"/>
    <x v="0"/>
    <n v="314.66812022506269"/>
    <n v="65.230230999999705"/>
  </r>
  <r>
    <x v="1"/>
    <x v="2"/>
    <x v="2"/>
    <x v="5"/>
    <x v="7"/>
    <x v="1"/>
    <n v="1419.1578994235708"/>
    <n v="175.29576900000001"/>
  </r>
  <r>
    <x v="1"/>
    <x v="2"/>
    <x v="2"/>
    <x v="5"/>
    <x v="1"/>
    <x v="0"/>
    <n v="3.4772989270884"/>
    <n v="0.68830052159999999"/>
  </r>
  <r>
    <x v="1"/>
    <x v="2"/>
    <x v="2"/>
    <x v="5"/>
    <x v="1"/>
    <x v="1"/>
    <n v="35.375596170311603"/>
    <n v="3.5421480826999998"/>
  </r>
  <r>
    <x v="1"/>
    <x v="2"/>
    <x v="2"/>
    <x v="5"/>
    <x v="9"/>
    <x v="0"/>
    <n v="3.9450155034879999"/>
    <m/>
  </r>
  <r>
    <x v="1"/>
    <x v="2"/>
    <x v="2"/>
    <x v="5"/>
    <x v="9"/>
    <x v="1"/>
    <n v="18.9846416913316"/>
    <m/>
  </r>
  <r>
    <x v="1"/>
    <x v="2"/>
    <x v="2"/>
    <x v="6"/>
    <x v="0"/>
    <x v="0"/>
    <n v="103.93817408210499"/>
    <n v="23.870291102299699"/>
  </r>
  <r>
    <x v="1"/>
    <x v="2"/>
    <x v="2"/>
    <x v="6"/>
    <x v="0"/>
    <x v="1"/>
    <n v="445.97222448579117"/>
    <n v="78.9276166472998"/>
  </r>
  <r>
    <x v="1"/>
    <x v="2"/>
    <x v="2"/>
    <x v="6"/>
    <x v="1"/>
    <x v="0"/>
    <n v="1370.610071863963"/>
    <n v="263.4491804692982"/>
  </r>
  <r>
    <x v="1"/>
    <x v="2"/>
    <x v="2"/>
    <x v="6"/>
    <x v="1"/>
    <x v="1"/>
    <n v="1289.3476192309611"/>
    <n v="346.52925917209859"/>
  </r>
  <r>
    <x v="1"/>
    <x v="2"/>
    <x v="2"/>
    <x v="7"/>
    <x v="2"/>
    <x v="1"/>
    <n v="5244.7732494995398"/>
    <n v="1976.587"/>
  </r>
  <r>
    <x v="1"/>
    <x v="3"/>
    <x v="0"/>
    <x v="0"/>
    <x v="0"/>
    <x v="0"/>
    <n v="985.9384537797938"/>
    <n v="186.50851999999949"/>
  </r>
  <r>
    <x v="1"/>
    <x v="3"/>
    <x v="0"/>
    <x v="0"/>
    <x v="0"/>
    <x v="1"/>
    <n v="627.04641826156285"/>
    <n v="154.56247999999991"/>
  </r>
  <r>
    <x v="1"/>
    <x v="3"/>
    <x v="0"/>
    <x v="0"/>
    <x v="1"/>
    <x v="0"/>
    <n v="108439.00494949418"/>
    <n v="23304.164730500695"/>
  </r>
  <r>
    <x v="1"/>
    <x v="3"/>
    <x v="0"/>
    <x v="0"/>
    <x v="1"/>
    <x v="1"/>
    <n v="75073.214084202264"/>
    <n v="13408.117069499198"/>
  </r>
  <r>
    <x v="1"/>
    <x v="3"/>
    <x v="0"/>
    <x v="1"/>
    <x v="0"/>
    <x v="0"/>
    <n v="1705.0248333262416"/>
    <n v="328.86097780009959"/>
  </r>
  <r>
    <x v="1"/>
    <x v="3"/>
    <x v="0"/>
    <x v="1"/>
    <x v="0"/>
    <x v="1"/>
    <n v="1383.1454962049211"/>
    <n v="323.24409219989968"/>
  </r>
  <r>
    <x v="1"/>
    <x v="3"/>
    <x v="0"/>
    <x v="1"/>
    <x v="1"/>
    <x v="0"/>
    <n v="47200.666883414196"/>
    <n v="7907.1513141454079"/>
  </r>
  <r>
    <x v="1"/>
    <x v="3"/>
    <x v="0"/>
    <x v="1"/>
    <x v="1"/>
    <x v="1"/>
    <n v="44872.580674376899"/>
    <n v="8741.8535363439278"/>
  </r>
  <r>
    <x v="1"/>
    <x v="3"/>
    <x v="1"/>
    <x v="2"/>
    <x v="2"/>
    <x v="0"/>
    <n v="71510.226795527429"/>
    <n v="30510.732325656296"/>
  </r>
  <r>
    <x v="1"/>
    <x v="3"/>
    <x v="1"/>
    <x v="2"/>
    <x v="2"/>
    <x v="1"/>
    <n v="398248.47066634201"/>
    <n v="174972.7061455214"/>
  </r>
  <r>
    <x v="1"/>
    <x v="3"/>
    <x v="1"/>
    <x v="2"/>
    <x v="3"/>
    <x v="0"/>
    <n v="42.261875791757603"/>
    <n v="19.599999999999799"/>
  </r>
  <r>
    <x v="1"/>
    <x v="3"/>
    <x v="1"/>
    <x v="2"/>
    <x v="3"/>
    <x v="1"/>
    <n v="27.5615381512388"/>
    <n v="4.9000000000000004"/>
  </r>
  <r>
    <x v="1"/>
    <x v="3"/>
    <x v="1"/>
    <x v="2"/>
    <x v="5"/>
    <x v="0"/>
    <n v="959.66814966883294"/>
    <n v="7.4999999999999997E-2"/>
  </r>
  <r>
    <x v="1"/>
    <x v="3"/>
    <x v="1"/>
    <x v="2"/>
    <x v="5"/>
    <x v="1"/>
    <n v="4769.2091385411504"/>
    <n v="0.42499999999999999"/>
  </r>
  <r>
    <x v="1"/>
    <x v="3"/>
    <x v="1"/>
    <x v="2"/>
    <x v="6"/>
    <x v="0"/>
    <n v="9095.6090472603992"/>
    <n v="0.55000000000000004"/>
  </r>
  <r>
    <x v="1"/>
    <x v="3"/>
    <x v="1"/>
    <x v="2"/>
    <x v="6"/>
    <x v="1"/>
    <n v="47141.669934768121"/>
    <n v="0.55000000000000004"/>
  </r>
  <r>
    <x v="1"/>
    <x v="3"/>
    <x v="1"/>
    <x v="2"/>
    <x v="1"/>
    <x v="0"/>
    <n v="361.46345235472148"/>
    <n v="13.207999999999799"/>
  </r>
  <r>
    <x v="1"/>
    <x v="3"/>
    <x v="1"/>
    <x v="2"/>
    <x v="1"/>
    <x v="1"/>
    <n v="1669.442168416479"/>
    <n v="31.591999999899599"/>
  </r>
  <r>
    <x v="1"/>
    <x v="3"/>
    <x v="1"/>
    <x v="3"/>
    <x v="2"/>
    <x v="0"/>
    <n v="12267.333493283404"/>
    <n v="6224.174254248599"/>
  </r>
  <r>
    <x v="1"/>
    <x v="3"/>
    <x v="1"/>
    <x v="3"/>
    <x v="2"/>
    <x v="1"/>
    <n v="112383.88280897899"/>
    <n v="58281.769752368396"/>
  </r>
  <r>
    <x v="1"/>
    <x v="3"/>
    <x v="1"/>
    <x v="3"/>
    <x v="3"/>
    <x v="0"/>
    <n v="86.800937345850301"/>
    <m/>
  </r>
  <r>
    <x v="1"/>
    <x v="3"/>
    <x v="1"/>
    <x v="3"/>
    <x v="3"/>
    <x v="1"/>
    <n v="439.64449690648291"/>
    <m/>
  </r>
  <r>
    <x v="1"/>
    <x v="3"/>
    <x v="1"/>
    <x v="3"/>
    <x v="7"/>
    <x v="0"/>
    <n v="26679.003499873212"/>
    <n v="13552.7"/>
  </r>
  <r>
    <x v="1"/>
    <x v="3"/>
    <x v="1"/>
    <x v="3"/>
    <x v="7"/>
    <x v="1"/>
    <n v="98828.807677261837"/>
    <n v="40658.1"/>
  </r>
  <r>
    <x v="1"/>
    <x v="3"/>
    <x v="1"/>
    <x v="3"/>
    <x v="5"/>
    <x v="0"/>
    <n v="261.52321083664191"/>
    <m/>
  </r>
  <r>
    <x v="1"/>
    <x v="3"/>
    <x v="1"/>
    <x v="3"/>
    <x v="5"/>
    <x v="1"/>
    <n v="1389.8058100297749"/>
    <m/>
  </r>
  <r>
    <x v="1"/>
    <x v="3"/>
    <x v="1"/>
    <x v="3"/>
    <x v="6"/>
    <x v="0"/>
    <n v="436.67697912368982"/>
    <m/>
  </r>
  <r>
    <x v="1"/>
    <x v="3"/>
    <x v="1"/>
    <x v="3"/>
    <x v="6"/>
    <x v="1"/>
    <n v="2210.9545106963301"/>
    <m/>
  </r>
  <r>
    <x v="1"/>
    <x v="3"/>
    <x v="1"/>
    <x v="3"/>
    <x v="1"/>
    <x v="0"/>
    <n v="275.06533693170161"/>
    <n v="3.302"/>
  </r>
  <r>
    <x v="1"/>
    <x v="3"/>
    <x v="1"/>
    <x v="3"/>
    <x v="1"/>
    <x v="1"/>
    <n v="1591.105880794139"/>
    <n v="7.8979999999999002"/>
  </r>
  <r>
    <x v="1"/>
    <x v="3"/>
    <x v="1"/>
    <x v="4"/>
    <x v="2"/>
    <x v="0"/>
    <n v="3999.1935888512403"/>
    <n v="2529.8200246261981"/>
  </r>
  <r>
    <x v="1"/>
    <x v="3"/>
    <x v="1"/>
    <x v="4"/>
    <x v="2"/>
    <x v="1"/>
    <n v="289316.02763087745"/>
    <n v="144282.18749750161"/>
  </r>
  <r>
    <x v="1"/>
    <x v="3"/>
    <x v="1"/>
    <x v="4"/>
    <x v="6"/>
    <x v="0"/>
    <n v="915.78812477273141"/>
    <n v="287.28399653049712"/>
  </r>
  <r>
    <x v="1"/>
    <x v="3"/>
    <x v="1"/>
    <x v="4"/>
    <x v="6"/>
    <x v="1"/>
    <n v="88801.738798983613"/>
    <n v="18736.216003468599"/>
  </r>
  <r>
    <x v="1"/>
    <x v="3"/>
    <x v="2"/>
    <x v="5"/>
    <x v="2"/>
    <x v="0"/>
    <n v="3942.0128084208113"/>
    <n v="2408.8630957147993"/>
  </r>
  <r>
    <x v="1"/>
    <x v="3"/>
    <x v="2"/>
    <x v="5"/>
    <x v="2"/>
    <x v="1"/>
    <n v="18872.296718946731"/>
    <n v="5256.9433700457976"/>
  </r>
  <r>
    <x v="1"/>
    <x v="3"/>
    <x v="2"/>
    <x v="5"/>
    <x v="3"/>
    <x v="0"/>
    <n v="0.1082715523614"/>
    <m/>
  </r>
  <r>
    <x v="1"/>
    <x v="3"/>
    <x v="2"/>
    <x v="5"/>
    <x v="3"/>
    <x v="1"/>
    <n v="2.9621078069764"/>
    <m/>
  </r>
  <r>
    <x v="1"/>
    <x v="3"/>
    <x v="2"/>
    <x v="5"/>
    <x v="8"/>
    <x v="0"/>
    <n v="6.3913658972205996"/>
    <n v="4.5884999999999003"/>
  </r>
  <r>
    <x v="1"/>
    <x v="3"/>
    <x v="2"/>
    <x v="5"/>
    <x v="8"/>
    <x v="1"/>
    <n v="2.2935259584994001"/>
    <n v="0.54349999999999998"/>
  </r>
  <r>
    <x v="1"/>
    <x v="3"/>
    <x v="2"/>
    <x v="5"/>
    <x v="7"/>
    <x v="0"/>
    <n v="5008.5371520643066"/>
    <n v="2765.6946199999998"/>
  </r>
  <r>
    <x v="1"/>
    <x v="3"/>
    <x v="2"/>
    <x v="5"/>
    <x v="7"/>
    <x v="1"/>
    <n v="35480.156999634812"/>
    <n v="7544.3473800000002"/>
  </r>
  <r>
    <x v="1"/>
    <x v="3"/>
    <x v="2"/>
    <x v="5"/>
    <x v="1"/>
    <x v="0"/>
    <n v="15.8147275182546"/>
    <n v="0.95"/>
  </r>
  <r>
    <x v="1"/>
    <x v="3"/>
    <x v="2"/>
    <x v="5"/>
    <x v="1"/>
    <x v="1"/>
    <n v="37.101827885126902"/>
    <m/>
  </r>
  <r>
    <x v="1"/>
    <x v="3"/>
    <x v="2"/>
    <x v="5"/>
    <x v="9"/>
    <x v="0"/>
    <n v="1.1541583740771999"/>
    <m/>
  </r>
  <r>
    <x v="1"/>
    <x v="3"/>
    <x v="2"/>
    <x v="5"/>
    <x v="9"/>
    <x v="1"/>
    <n v="21.6827156613416"/>
    <m/>
  </r>
  <r>
    <x v="1"/>
    <x v="3"/>
    <x v="2"/>
    <x v="6"/>
    <x v="0"/>
    <x v="0"/>
    <n v="1534.1314414770577"/>
    <n v="621.04785439999955"/>
  </r>
  <r>
    <x v="1"/>
    <x v="3"/>
    <x v="2"/>
    <x v="6"/>
    <x v="0"/>
    <x v="1"/>
    <n v="3190.2669688291062"/>
    <n v="957.15807559999996"/>
  </r>
  <r>
    <x v="1"/>
    <x v="3"/>
    <x v="2"/>
    <x v="6"/>
    <x v="1"/>
    <x v="0"/>
    <n v="5831.9358536232394"/>
    <n v="2934.4008391013981"/>
  </r>
  <r>
    <x v="1"/>
    <x v="3"/>
    <x v="2"/>
    <x v="6"/>
    <x v="1"/>
    <x v="1"/>
    <n v="6740.1057649473196"/>
    <n v="2619.1610375376981"/>
  </r>
  <r>
    <x v="1"/>
    <x v="3"/>
    <x v="2"/>
    <x v="7"/>
    <x v="2"/>
    <x v="1"/>
    <n v="19140.793982110503"/>
    <n v="5577.9"/>
  </r>
  <r>
    <x v="1"/>
    <x v="4"/>
    <x v="0"/>
    <x v="0"/>
    <x v="0"/>
    <x v="0"/>
    <n v="218.50427628158201"/>
    <n v="42.4727936285"/>
  </r>
  <r>
    <x v="1"/>
    <x v="4"/>
    <x v="0"/>
    <x v="0"/>
    <x v="0"/>
    <x v="1"/>
    <n v="938.10197868824798"/>
    <n v="107.8132063715"/>
  </r>
  <r>
    <x v="1"/>
    <x v="4"/>
    <x v="0"/>
    <x v="0"/>
    <x v="1"/>
    <x v="0"/>
    <n v="15413.7394768534"/>
    <n v="2664.8868402935"/>
  </r>
  <r>
    <x v="1"/>
    <x v="4"/>
    <x v="0"/>
    <x v="0"/>
    <x v="1"/>
    <x v="1"/>
    <n v="9098.6737794240507"/>
    <n v="731.15555445319796"/>
  </r>
  <r>
    <x v="1"/>
    <x v="4"/>
    <x v="0"/>
    <x v="1"/>
    <x v="0"/>
    <x v="0"/>
    <n v="396.00097991515901"/>
    <n v="43.743031432699802"/>
  </r>
  <r>
    <x v="1"/>
    <x v="4"/>
    <x v="0"/>
    <x v="1"/>
    <x v="0"/>
    <x v="1"/>
    <n v="685.88566785296302"/>
    <n v="73.964320908599902"/>
  </r>
  <r>
    <x v="1"/>
    <x v="4"/>
    <x v="0"/>
    <x v="1"/>
    <x v="1"/>
    <x v="0"/>
    <n v="23145.618114698598"/>
    <n v="2751.9563655048"/>
  </r>
  <r>
    <x v="1"/>
    <x v="4"/>
    <x v="0"/>
    <x v="1"/>
    <x v="1"/>
    <x v="1"/>
    <n v="14670.785099621"/>
    <n v="2248.9698614952999"/>
  </r>
  <r>
    <x v="1"/>
    <x v="4"/>
    <x v="1"/>
    <x v="2"/>
    <x v="2"/>
    <x v="0"/>
    <n v="298.60080735994899"/>
    <n v="244.48016844809899"/>
  </r>
  <r>
    <x v="1"/>
    <x v="4"/>
    <x v="1"/>
    <x v="2"/>
    <x v="2"/>
    <x v="1"/>
    <n v="7145.41750756908"/>
    <n v="4798.8934315931001"/>
  </r>
  <r>
    <x v="1"/>
    <x v="4"/>
    <x v="1"/>
    <x v="2"/>
    <x v="3"/>
    <x v="0"/>
    <n v="9.0322737831800004E-2"/>
    <n v="1.4999999999999999E-2"/>
  </r>
  <r>
    <x v="1"/>
    <x v="4"/>
    <x v="1"/>
    <x v="2"/>
    <x v="3"/>
    <x v="1"/>
    <n v="0.92906368888979995"/>
    <n v="0.48499999999999999"/>
  </r>
  <r>
    <x v="1"/>
    <x v="4"/>
    <x v="1"/>
    <x v="2"/>
    <x v="4"/>
    <x v="0"/>
    <n v="0.25373408235139999"/>
    <m/>
  </r>
  <r>
    <x v="1"/>
    <x v="4"/>
    <x v="1"/>
    <x v="2"/>
    <x v="4"/>
    <x v="1"/>
    <n v="10.258964696263201"/>
    <m/>
  </r>
  <r>
    <x v="1"/>
    <x v="4"/>
    <x v="1"/>
    <x v="2"/>
    <x v="5"/>
    <x v="0"/>
    <n v="661.30161849238505"/>
    <m/>
  </r>
  <r>
    <x v="1"/>
    <x v="4"/>
    <x v="1"/>
    <x v="2"/>
    <x v="5"/>
    <x v="1"/>
    <n v="4349.2680805792597"/>
    <m/>
  </r>
  <r>
    <x v="1"/>
    <x v="4"/>
    <x v="1"/>
    <x v="2"/>
    <x v="6"/>
    <x v="0"/>
    <n v="991.40607694765799"/>
    <m/>
  </r>
  <r>
    <x v="1"/>
    <x v="4"/>
    <x v="1"/>
    <x v="2"/>
    <x v="6"/>
    <x v="1"/>
    <n v="3904.6874156669601"/>
    <m/>
  </r>
  <r>
    <x v="1"/>
    <x v="4"/>
    <x v="1"/>
    <x v="2"/>
    <x v="1"/>
    <x v="0"/>
    <n v="4.6654225115425998"/>
    <n v="4.2957567797999001"/>
  </r>
  <r>
    <x v="1"/>
    <x v="4"/>
    <x v="1"/>
    <x v="2"/>
    <x v="1"/>
    <x v="1"/>
    <n v="30.498475979234598"/>
    <n v="25.554843219999899"/>
  </r>
  <r>
    <x v="1"/>
    <x v="4"/>
    <x v="1"/>
    <x v="3"/>
    <x v="2"/>
    <x v="0"/>
    <n v="2480.8295981926299"/>
    <n v="340.63478201179902"/>
  </r>
  <r>
    <x v="1"/>
    <x v="4"/>
    <x v="1"/>
    <x v="3"/>
    <x v="2"/>
    <x v="1"/>
    <n v="32515.2883262383"/>
    <n v="7869.3339179927998"/>
  </r>
  <r>
    <x v="1"/>
    <x v="4"/>
    <x v="1"/>
    <x v="3"/>
    <x v="3"/>
    <x v="0"/>
    <n v="3.9663137724953001"/>
    <m/>
  </r>
  <r>
    <x v="1"/>
    <x v="4"/>
    <x v="1"/>
    <x v="3"/>
    <x v="3"/>
    <x v="1"/>
    <n v="33.560970599909503"/>
    <m/>
  </r>
  <r>
    <x v="1"/>
    <x v="4"/>
    <x v="1"/>
    <x v="3"/>
    <x v="7"/>
    <x v="0"/>
    <n v="4374.4893676926004"/>
    <n v="1567.0094999999999"/>
  </r>
  <r>
    <x v="1"/>
    <x v="4"/>
    <x v="1"/>
    <x v="3"/>
    <x v="7"/>
    <x v="1"/>
    <n v="37155.479543528803"/>
    <n v="13356.8905"/>
  </r>
  <r>
    <x v="1"/>
    <x v="4"/>
    <x v="1"/>
    <x v="3"/>
    <x v="5"/>
    <x v="0"/>
    <n v="930.35582644175702"/>
    <n v="0.8"/>
  </r>
  <r>
    <x v="1"/>
    <x v="4"/>
    <x v="1"/>
    <x v="3"/>
    <x v="5"/>
    <x v="1"/>
    <n v="6127.2220897737297"/>
    <n v="1.6"/>
  </r>
  <r>
    <x v="1"/>
    <x v="4"/>
    <x v="1"/>
    <x v="3"/>
    <x v="6"/>
    <x v="0"/>
    <n v="1002.6478805085"/>
    <m/>
  </r>
  <r>
    <x v="1"/>
    <x v="4"/>
    <x v="1"/>
    <x v="3"/>
    <x v="6"/>
    <x v="1"/>
    <n v="6877.3711549298296"/>
    <m/>
  </r>
  <r>
    <x v="1"/>
    <x v="4"/>
    <x v="1"/>
    <x v="3"/>
    <x v="1"/>
    <x v="0"/>
    <n v="7.3875155629310001"/>
    <n v="2.4003999999999999"/>
  </r>
  <r>
    <x v="1"/>
    <x v="4"/>
    <x v="1"/>
    <x v="3"/>
    <x v="1"/>
    <x v="1"/>
    <n v="37.588148869419598"/>
    <n v="0.90039999999999998"/>
  </r>
  <r>
    <x v="1"/>
    <x v="4"/>
    <x v="1"/>
    <x v="4"/>
    <x v="2"/>
    <x v="0"/>
    <n v="100.966008468019"/>
    <n v="118.52413086"/>
  </r>
  <r>
    <x v="1"/>
    <x v="4"/>
    <x v="1"/>
    <x v="4"/>
    <x v="2"/>
    <x v="1"/>
    <n v="1725.8970761743999"/>
    <n v="1934.6335691391"/>
  </r>
  <r>
    <x v="1"/>
    <x v="4"/>
    <x v="1"/>
    <x v="4"/>
    <x v="5"/>
    <x v="0"/>
    <n v="386.13361391104598"/>
    <n v="453.28276000070002"/>
  </r>
  <r>
    <x v="1"/>
    <x v="4"/>
    <x v="1"/>
    <x v="4"/>
    <x v="5"/>
    <x v="1"/>
    <n v="1120.2110559763501"/>
    <n v="1315.0172399993"/>
  </r>
  <r>
    <x v="1"/>
    <x v="4"/>
    <x v="1"/>
    <x v="4"/>
    <x v="6"/>
    <x v="0"/>
    <n v="358.70109519300399"/>
    <n v="421.07969000029999"/>
  </r>
  <r>
    <x v="1"/>
    <x v="4"/>
    <x v="1"/>
    <x v="4"/>
    <x v="6"/>
    <x v="1"/>
    <n v="2585.5401126106299"/>
    <n v="1716.5203100002"/>
  </r>
  <r>
    <x v="1"/>
    <x v="4"/>
    <x v="1"/>
    <x v="4"/>
    <x v="1"/>
    <x v="0"/>
    <n v="3.8707629792387999"/>
    <n v="4.5438937801000003"/>
  </r>
  <r>
    <x v="1"/>
    <x v="4"/>
    <x v="1"/>
    <x v="4"/>
    <x v="1"/>
    <x v="1"/>
    <n v="12.696728366557499"/>
    <n v="14.904706219899801"/>
  </r>
  <r>
    <x v="1"/>
    <x v="4"/>
    <x v="2"/>
    <x v="5"/>
    <x v="2"/>
    <x v="0"/>
    <n v="739.72302691687605"/>
    <n v="322.82976629349901"/>
  </r>
  <r>
    <x v="1"/>
    <x v="4"/>
    <x v="2"/>
    <x v="5"/>
    <x v="2"/>
    <x v="1"/>
    <n v="7465.9540441622503"/>
    <n v="3199.0521207918"/>
  </r>
  <r>
    <x v="1"/>
    <x v="4"/>
    <x v="2"/>
    <x v="5"/>
    <x v="8"/>
    <x v="0"/>
    <n v="11.1685859079743"/>
    <n v="6.2414631675996999"/>
  </r>
  <r>
    <x v="1"/>
    <x v="4"/>
    <x v="2"/>
    <x v="5"/>
    <x v="8"/>
    <x v="1"/>
    <n v="14.982916659945101"/>
    <n v="7.2421685652996999"/>
  </r>
  <r>
    <x v="1"/>
    <x v="4"/>
    <x v="2"/>
    <x v="5"/>
    <x v="7"/>
    <x v="0"/>
    <n v="1150.5312921316799"/>
    <n v="459.59869770170002"/>
  </r>
  <r>
    <x v="1"/>
    <x v="4"/>
    <x v="2"/>
    <x v="5"/>
    <x v="7"/>
    <x v="1"/>
    <n v="6951.8931976417198"/>
    <n v="2710.0473022983001"/>
  </r>
  <r>
    <x v="1"/>
    <x v="4"/>
    <x v="2"/>
    <x v="5"/>
    <x v="1"/>
    <x v="0"/>
    <n v="61.017908549922403"/>
    <n v="31.0221655895993"/>
  </r>
  <r>
    <x v="1"/>
    <x v="4"/>
    <x v="2"/>
    <x v="5"/>
    <x v="1"/>
    <x v="1"/>
    <n v="283.11128783680999"/>
    <n v="83.816266015099202"/>
  </r>
  <r>
    <x v="1"/>
    <x v="4"/>
    <x v="2"/>
    <x v="5"/>
    <x v="9"/>
    <x v="0"/>
    <n v="17.974383313175"/>
    <m/>
  </r>
  <r>
    <x v="1"/>
    <x v="4"/>
    <x v="2"/>
    <x v="5"/>
    <x v="9"/>
    <x v="1"/>
    <n v="55.1345352060723"/>
    <m/>
  </r>
  <r>
    <x v="1"/>
    <x v="4"/>
    <x v="2"/>
    <x v="6"/>
    <x v="0"/>
    <x v="0"/>
    <n v="228.591533131988"/>
    <n v="83.945653601499998"/>
  </r>
  <r>
    <x v="1"/>
    <x v="4"/>
    <x v="2"/>
    <x v="6"/>
    <x v="0"/>
    <x v="1"/>
    <n v="1837.4534759763201"/>
    <n v="324.87399405719998"/>
  </r>
  <r>
    <x v="1"/>
    <x v="4"/>
    <x v="2"/>
    <x v="6"/>
    <x v="1"/>
    <x v="0"/>
    <n v="3111.490118188"/>
    <n v="1218.5478527790999"/>
  </r>
  <r>
    <x v="1"/>
    <x v="4"/>
    <x v="2"/>
    <x v="6"/>
    <x v="1"/>
    <x v="1"/>
    <n v="4298.2602002374497"/>
    <n v="1137.1928709622"/>
  </r>
  <r>
    <x v="1"/>
    <x v="4"/>
    <x v="2"/>
    <x v="7"/>
    <x v="2"/>
    <x v="1"/>
    <n v="383.71992180796798"/>
    <n v="75.23"/>
  </r>
  <r>
    <x v="1"/>
    <x v="5"/>
    <x v="0"/>
    <x v="0"/>
    <x v="0"/>
    <x v="0"/>
    <n v="189.6668361050987"/>
    <n v="54.714178955399603"/>
  </r>
  <r>
    <x v="1"/>
    <x v="5"/>
    <x v="0"/>
    <x v="0"/>
    <x v="0"/>
    <x v="1"/>
    <n v="580.40233977188825"/>
    <n v="56.215821044599302"/>
  </r>
  <r>
    <x v="1"/>
    <x v="5"/>
    <x v="0"/>
    <x v="0"/>
    <x v="1"/>
    <x v="0"/>
    <n v="34511.891617256551"/>
    <n v="4482.6172953171972"/>
  </r>
  <r>
    <x v="1"/>
    <x v="5"/>
    <x v="0"/>
    <x v="0"/>
    <x v="1"/>
    <x v="1"/>
    <n v="25812.7664791813"/>
    <n v="2306.0807045183951"/>
  </r>
  <r>
    <x v="1"/>
    <x v="5"/>
    <x v="0"/>
    <x v="1"/>
    <x v="0"/>
    <x v="0"/>
    <n v="477.92972993305222"/>
    <n v="57.721098299899303"/>
  </r>
  <r>
    <x v="1"/>
    <x v="5"/>
    <x v="0"/>
    <x v="1"/>
    <x v="0"/>
    <x v="1"/>
    <n v="877.38845017327446"/>
    <n v="89.821331700798893"/>
  </r>
  <r>
    <x v="1"/>
    <x v="5"/>
    <x v="0"/>
    <x v="1"/>
    <x v="1"/>
    <x v="0"/>
    <n v="29811.21220164662"/>
    <n v="4068.1123922691959"/>
  </r>
  <r>
    <x v="1"/>
    <x v="5"/>
    <x v="0"/>
    <x v="1"/>
    <x v="1"/>
    <x v="1"/>
    <n v="69378.223073194356"/>
    <n v="5956.5212415420956"/>
  </r>
  <r>
    <x v="1"/>
    <x v="5"/>
    <x v="1"/>
    <x v="2"/>
    <x v="2"/>
    <x v="0"/>
    <n v="14686.507465760445"/>
    <n v="5094.971310648797"/>
  </r>
  <r>
    <x v="1"/>
    <x v="5"/>
    <x v="1"/>
    <x v="2"/>
    <x v="2"/>
    <x v="1"/>
    <n v="202322.61713639012"/>
    <n v="82859.615740429901"/>
  </r>
  <r>
    <x v="1"/>
    <x v="5"/>
    <x v="1"/>
    <x v="2"/>
    <x v="3"/>
    <x v="0"/>
    <n v="544.06828824068634"/>
    <n v="197.7509829686993"/>
  </r>
  <r>
    <x v="1"/>
    <x v="5"/>
    <x v="1"/>
    <x v="2"/>
    <x v="3"/>
    <x v="1"/>
    <n v="280.69356311349441"/>
    <n v="8.4585909658992993"/>
  </r>
  <r>
    <x v="1"/>
    <x v="5"/>
    <x v="1"/>
    <x v="2"/>
    <x v="4"/>
    <x v="0"/>
    <n v="129.18591789550939"/>
    <m/>
  </r>
  <r>
    <x v="1"/>
    <x v="5"/>
    <x v="1"/>
    <x v="2"/>
    <x v="4"/>
    <x v="1"/>
    <n v="1506.6840607413035"/>
    <m/>
  </r>
  <r>
    <x v="1"/>
    <x v="5"/>
    <x v="1"/>
    <x v="2"/>
    <x v="5"/>
    <x v="0"/>
    <n v="616.8001055185232"/>
    <m/>
  </r>
  <r>
    <x v="1"/>
    <x v="5"/>
    <x v="1"/>
    <x v="2"/>
    <x v="5"/>
    <x v="1"/>
    <n v="1611.9181905364769"/>
    <m/>
  </r>
  <r>
    <x v="1"/>
    <x v="5"/>
    <x v="1"/>
    <x v="2"/>
    <x v="6"/>
    <x v="0"/>
    <n v="22685.099541300151"/>
    <m/>
  </r>
  <r>
    <x v="1"/>
    <x v="5"/>
    <x v="1"/>
    <x v="2"/>
    <x v="6"/>
    <x v="1"/>
    <n v="92821.644315135316"/>
    <m/>
  </r>
  <r>
    <x v="1"/>
    <x v="5"/>
    <x v="1"/>
    <x v="2"/>
    <x v="1"/>
    <x v="0"/>
    <n v="500.91202360954389"/>
    <n v="169.70008848659899"/>
  </r>
  <r>
    <x v="1"/>
    <x v="5"/>
    <x v="1"/>
    <x v="2"/>
    <x v="1"/>
    <x v="1"/>
    <n v="3441.5527257244248"/>
    <n v="204.64666469369709"/>
  </r>
  <r>
    <x v="1"/>
    <x v="5"/>
    <x v="1"/>
    <x v="3"/>
    <x v="2"/>
    <x v="0"/>
    <n v="8842.2788478642306"/>
    <n v="3336.1811568897938"/>
  </r>
  <r>
    <x v="1"/>
    <x v="5"/>
    <x v="1"/>
    <x v="3"/>
    <x v="2"/>
    <x v="1"/>
    <n v="75700.874116003164"/>
    <n v="30461.933612385601"/>
  </r>
  <r>
    <x v="1"/>
    <x v="5"/>
    <x v="1"/>
    <x v="3"/>
    <x v="3"/>
    <x v="0"/>
    <n v="1481.1187090032292"/>
    <m/>
  </r>
  <r>
    <x v="1"/>
    <x v="5"/>
    <x v="1"/>
    <x v="3"/>
    <x v="3"/>
    <x v="1"/>
    <n v="2976.9455569674478"/>
    <m/>
  </r>
  <r>
    <x v="1"/>
    <x v="5"/>
    <x v="1"/>
    <x v="3"/>
    <x v="7"/>
    <x v="0"/>
    <n v="7407.6272557834973"/>
    <n v="3153.3075839999997"/>
  </r>
  <r>
    <x v="1"/>
    <x v="5"/>
    <x v="1"/>
    <x v="3"/>
    <x v="7"/>
    <x v="1"/>
    <n v="9471.0539711960646"/>
    <n v="4037.7356159999999"/>
  </r>
  <r>
    <x v="1"/>
    <x v="5"/>
    <x v="1"/>
    <x v="3"/>
    <x v="5"/>
    <x v="0"/>
    <n v="195.70851222267669"/>
    <m/>
  </r>
  <r>
    <x v="1"/>
    <x v="5"/>
    <x v="1"/>
    <x v="3"/>
    <x v="5"/>
    <x v="1"/>
    <n v="504.10035624458698"/>
    <m/>
  </r>
  <r>
    <x v="1"/>
    <x v="5"/>
    <x v="1"/>
    <x v="3"/>
    <x v="6"/>
    <x v="0"/>
    <n v="300.48510978093219"/>
    <m/>
  </r>
  <r>
    <x v="1"/>
    <x v="5"/>
    <x v="1"/>
    <x v="3"/>
    <x v="6"/>
    <x v="1"/>
    <n v="778.01428404223066"/>
    <m/>
  </r>
  <r>
    <x v="1"/>
    <x v="5"/>
    <x v="1"/>
    <x v="3"/>
    <x v="1"/>
    <x v="0"/>
    <n v="970.17549661388659"/>
    <n v="261.3874208058993"/>
  </r>
  <r>
    <x v="1"/>
    <x v="5"/>
    <x v="1"/>
    <x v="3"/>
    <x v="1"/>
    <x v="1"/>
    <n v="5386.5566860771169"/>
    <n v="104.1039991467989"/>
  </r>
  <r>
    <x v="1"/>
    <x v="5"/>
    <x v="1"/>
    <x v="4"/>
    <x v="2"/>
    <x v="1"/>
    <n v="13790.779468387365"/>
    <n v="4575.0651172482967"/>
  </r>
  <r>
    <x v="1"/>
    <x v="5"/>
    <x v="1"/>
    <x v="4"/>
    <x v="4"/>
    <x v="1"/>
    <n v="311.15057463608258"/>
    <m/>
  </r>
  <r>
    <x v="1"/>
    <x v="5"/>
    <x v="1"/>
    <x v="4"/>
    <x v="6"/>
    <x v="0"/>
    <n v="24.438171244490601"/>
    <n v="11.1573472540999"/>
  </r>
  <r>
    <x v="1"/>
    <x v="5"/>
    <x v="1"/>
    <x v="4"/>
    <x v="6"/>
    <x v="1"/>
    <n v="73586.126683340495"/>
    <n v="18725.913351109601"/>
  </r>
  <r>
    <x v="1"/>
    <x v="5"/>
    <x v="1"/>
    <x v="4"/>
    <x v="1"/>
    <x v="1"/>
    <n v="23.637458121413399"/>
    <n v="11.2847027292995"/>
  </r>
  <r>
    <x v="1"/>
    <x v="5"/>
    <x v="2"/>
    <x v="5"/>
    <x v="2"/>
    <x v="0"/>
    <n v="2700.4163999504458"/>
    <n v="784.83529696979508"/>
  </r>
  <r>
    <x v="1"/>
    <x v="5"/>
    <x v="2"/>
    <x v="5"/>
    <x v="2"/>
    <x v="1"/>
    <n v="17189.0826674331"/>
    <n v="5236.983954260596"/>
  </r>
  <r>
    <x v="1"/>
    <x v="5"/>
    <x v="2"/>
    <x v="5"/>
    <x v="3"/>
    <x v="0"/>
    <n v="3.7244517381288"/>
    <m/>
  </r>
  <r>
    <x v="1"/>
    <x v="5"/>
    <x v="2"/>
    <x v="5"/>
    <x v="3"/>
    <x v="1"/>
    <n v="58.566953567983496"/>
    <m/>
  </r>
  <r>
    <x v="1"/>
    <x v="5"/>
    <x v="2"/>
    <x v="5"/>
    <x v="8"/>
    <x v="0"/>
    <n v="80.297003556918099"/>
    <n v="10.3303075839"/>
  </r>
  <r>
    <x v="1"/>
    <x v="5"/>
    <x v="2"/>
    <x v="5"/>
    <x v="8"/>
    <x v="1"/>
    <n v="41.457717456014997"/>
    <n v="10.096368816099901"/>
  </r>
  <r>
    <x v="1"/>
    <x v="5"/>
    <x v="2"/>
    <x v="5"/>
    <x v="7"/>
    <x v="0"/>
    <n v="822.60406793472384"/>
    <n v="201.0138057614991"/>
  </r>
  <r>
    <x v="1"/>
    <x v="5"/>
    <x v="2"/>
    <x v="5"/>
    <x v="7"/>
    <x v="1"/>
    <n v="3944.2100684954212"/>
    <n v="682.19519423849931"/>
  </r>
  <r>
    <x v="1"/>
    <x v="5"/>
    <x v="2"/>
    <x v="5"/>
    <x v="1"/>
    <x v="0"/>
    <n v="30.964743445537401"/>
    <n v="6.3969126099999996E-2"/>
  </r>
  <r>
    <x v="1"/>
    <x v="5"/>
    <x v="2"/>
    <x v="5"/>
    <x v="1"/>
    <x v="1"/>
    <n v="89.106956185812393"/>
    <n v="9.5953689100000003E-2"/>
  </r>
  <r>
    <x v="1"/>
    <x v="5"/>
    <x v="2"/>
    <x v="5"/>
    <x v="9"/>
    <x v="0"/>
    <n v="7.7701153519253996"/>
    <m/>
  </r>
  <r>
    <x v="1"/>
    <x v="5"/>
    <x v="2"/>
    <x v="5"/>
    <x v="9"/>
    <x v="1"/>
    <n v="17.243743187262002"/>
    <m/>
  </r>
  <r>
    <x v="1"/>
    <x v="5"/>
    <x v="2"/>
    <x v="6"/>
    <x v="0"/>
    <x v="0"/>
    <n v="351.62044310592239"/>
    <n v="147.5429382995992"/>
  </r>
  <r>
    <x v="1"/>
    <x v="5"/>
    <x v="2"/>
    <x v="6"/>
    <x v="0"/>
    <x v="1"/>
    <n v="725.0941305686141"/>
    <n v="285.15563169969943"/>
  </r>
  <r>
    <x v="1"/>
    <x v="5"/>
    <x v="2"/>
    <x v="6"/>
    <x v="1"/>
    <x v="0"/>
    <n v="1984.0428257797159"/>
    <n v="837.13915057619329"/>
  </r>
  <r>
    <x v="1"/>
    <x v="5"/>
    <x v="2"/>
    <x v="6"/>
    <x v="1"/>
    <x v="1"/>
    <n v="3635.125896688216"/>
    <n v="1388.7822602482929"/>
  </r>
  <r>
    <x v="1"/>
    <x v="5"/>
    <x v="2"/>
    <x v="7"/>
    <x v="2"/>
    <x v="1"/>
    <n v="10885.047729661597"/>
    <n v="5811.6369999998997"/>
  </r>
  <r>
    <x v="1"/>
    <x v="6"/>
    <x v="0"/>
    <x v="0"/>
    <x v="0"/>
    <x v="0"/>
    <n v="508.5022362206675"/>
    <n v="113.5762299999994"/>
  </r>
  <r>
    <x v="1"/>
    <x v="6"/>
    <x v="0"/>
    <x v="0"/>
    <x v="0"/>
    <x v="1"/>
    <n v="401.3154831396094"/>
    <n v="50.293769999999697"/>
  </r>
  <r>
    <x v="1"/>
    <x v="6"/>
    <x v="0"/>
    <x v="0"/>
    <x v="1"/>
    <x v="0"/>
    <n v="9837.6948394723258"/>
    <n v="2390.978417216711"/>
  </r>
  <r>
    <x v="1"/>
    <x v="6"/>
    <x v="0"/>
    <x v="0"/>
    <x v="1"/>
    <x v="1"/>
    <n v="9347.1399793218043"/>
    <n v="1274.0169827852083"/>
  </r>
  <r>
    <x v="1"/>
    <x v="6"/>
    <x v="0"/>
    <x v="1"/>
    <x v="0"/>
    <x v="0"/>
    <n v="999.83566181803064"/>
    <n v="150.54135049999931"/>
  </r>
  <r>
    <x v="1"/>
    <x v="6"/>
    <x v="0"/>
    <x v="1"/>
    <x v="0"/>
    <x v="1"/>
    <n v="498.671139640143"/>
    <n v="72.482109499999495"/>
  </r>
  <r>
    <x v="1"/>
    <x v="6"/>
    <x v="0"/>
    <x v="1"/>
    <x v="1"/>
    <x v="0"/>
    <n v="6742.4721408954047"/>
    <n v="1322.02895789641"/>
  </r>
  <r>
    <x v="1"/>
    <x v="6"/>
    <x v="0"/>
    <x v="1"/>
    <x v="1"/>
    <x v="1"/>
    <n v="11325.780631306161"/>
    <n v="2213.4019534816098"/>
  </r>
  <r>
    <x v="1"/>
    <x v="6"/>
    <x v="1"/>
    <x v="2"/>
    <x v="2"/>
    <x v="0"/>
    <n v="3590.9476950239941"/>
    <n v="676.71099997699696"/>
  </r>
  <r>
    <x v="1"/>
    <x v="6"/>
    <x v="1"/>
    <x v="2"/>
    <x v="2"/>
    <x v="1"/>
    <n v="21368.37665879367"/>
    <n v="5680.5639999720979"/>
  </r>
  <r>
    <x v="1"/>
    <x v="6"/>
    <x v="1"/>
    <x v="2"/>
    <x v="3"/>
    <x v="0"/>
    <n v="49.687975171335196"/>
    <n v="8.8800000000000008"/>
  </r>
  <r>
    <x v="1"/>
    <x v="6"/>
    <x v="1"/>
    <x v="2"/>
    <x v="3"/>
    <x v="1"/>
    <n v="12.421993792833799"/>
    <n v="2.2200000000000002"/>
  </r>
  <r>
    <x v="1"/>
    <x v="6"/>
    <x v="1"/>
    <x v="2"/>
    <x v="5"/>
    <x v="0"/>
    <n v="20.4264867994656"/>
    <m/>
  </r>
  <r>
    <x v="1"/>
    <x v="6"/>
    <x v="1"/>
    <x v="2"/>
    <x v="5"/>
    <x v="1"/>
    <n v="93.065431840350698"/>
    <m/>
  </r>
  <r>
    <x v="1"/>
    <x v="6"/>
    <x v="1"/>
    <x v="2"/>
    <x v="6"/>
    <x v="0"/>
    <n v="594.61332130608753"/>
    <n v="28.4800007973997"/>
  </r>
  <r>
    <x v="1"/>
    <x v="6"/>
    <x v="1"/>
    <x v="2"/>
    <x v="6"/>
    <x v="1"/>
    <n v="3443.2236522355001"/>
    <n v="327.5199992025"/>
  </r>
  <r>
    <x v="1"/>
    <x v="6"/>
    <x v="1"/>
    <x v="2"/>
    <x v="1"/>
    <x v="0"/>
    <n v="79.705514288999794"/>
    <n v="12.8799999997999"/>
  </r>
  <r>
    <x v="1"/>
    <x v="6"/>
    <x v="1"/>
    <x v="2"/>
    <x v="1"/>
    <x v="1"/>
    <n v="416.15200277132237"/>
    <n v="39.519999999599897"/>
  </r>
  <r>
    <x v="1"/>
    <x v="6"/>
    <x v="1"/>
    <x v="3"/>
    <x v="2"/>
    <x v="0"/>
    <n v="6907.8714321808848"/>
    <n v="1465.9580500106993"/>
  </r>
  <r>
    <x v="1"/>
    <x v="6"/>
    <x v="1"/>
    <x v="3"/>
    <x v="2"/>
    <x v="1"/>
    <n v="36752.177124475624"/>
    <n v="12892.201950080898"/>
  </r>
  <r>
    <x v="1"/>
    <x v="6"/>
    <x v="1"/>
    <x v="3"/>
    <x v="3"/>
    <x v="0"/>
    <n v="70.983766285063297"/>
    <m/>
  </r>
  <r>
    <x v="1"/>
    <x v="6"/>
    <x v="1"/>
    <x v="3"/>
    <x v="3"/>
    <x v="1"/>
    <n v="234.68436992364519"/>
    <m/>
  </r>
  <r>
    <x v="1"/>
    <x v="6"/>
    <x v="1"/>
    <x v="3"/>
    <x v="7"/>
    <x v="0"/>
    <n v="5620.3388462803832"/>
    <n v="2273.1750000000002"/>
  </r>
  <r>
    <x v="1"/>
    <x v="6"/>
    <x v="1"/>
    <x v="3"/>
    <x v="7"/>
    <x v="1"/>
    <n v="16531.688692642128"/>
    <n v="6819.5249999999996"/>
  </r>
  <r>
    <x v="1"/>
    <x v="6"/>
    <x v="1"/>
    <x v="3"/>
    <x v="5"/>
    <x v="0"/>
    <n v="48.727667252856101"/>
    <m/>
  </r>
  <r>
    <x v="1"/>
    <x v="6"/>
    <x v="1"/>
    <x v="3"/>
    <x v="5"/>
    <x v="1"/>
    <n v="159.35734831411281"/>
    <m/>
  </r>
  <r>
    <x v="1"/>
    <x v="6"/>
    <x v="1"/>
    <x v="3"/>
    <x v="6"/>
    <x v="0"/>
    <n v="231.14256809427249"/>
    <m/>
  </r>
  <r>
    <x v="1"/>
    <x v="6"/>
    <x v="1"/>
    <x v="3"/>
    <x v="6"/>
    <x v="1"/>
    <n v="752.4411316369833"/>
    <m/>
  </r>
  <r>
    <x v="1"/>
    <x v="6"/>
    <x v="1"/>
    <x v="3"/>
    <x v="1"/>
    <x v="0"/>
    <n v="72.201658876284299"/>
    <n v="3.2200000001997999"/>
  </r>
  <r>
    <x v="1"/>
    <x v="6"/>
    <x v="1"/>
    <x v="3"/>
    <x v="1"/>
    <x v="1"/>
    <n v="335.44625449290351"/>
    <n v="9.8800000003998001"/>
  </r>
  <r>
    <x v="1"/>
    <x v="6"/>
    <x v="1"/>
    <x v="4"/>
    <x v="2"/>
    <x v="1"/>
    <n v="2083.2465230491921"/>
    <n v="981.66499995699712"/>
  </r>
  <r>
    <x v="1"/>
    <x v="6"/>
    <x v="1"/>
    <x v="4"/>
    <x v="6"/>
    <x v="1"/>
    <n v="7495.9790138212629"/>
    <n v="413.49999999929861"/>
  </r>
  <r>
    <x v="1"/>
    <x v="6"/>
    <x v="2"/>
    <x v="5"/>
    <x v="2"/>
    <x v="0"/>
    <n v="1237.7363105435279"/>
    <n v="1038.3941498562965"/>
  </r>
  <r>
    <x v="1"/>
    <x v="6"/>
    <x v="2"/>
    <x v="5"/>
    <x v="2"/>
    <x v="1"/>
    <n v="8052.6213925311631"/>
    <n v="3057.9935288367979"/>
  </r>
  <r>
    <x v="1"/>
    <x v="6"/>
    <x v="2"/>
    <x v="5"/>
    <x v="3"/>
    <x v="1"/>
    <n v="0.83704529057720001"/>
    <m/>
  </r>
  <r>
    <x v="1"/>
    <x v="6"/>
    <x v="2"/>
    <x v="5"/>
    <x v="8"/>
    <x v="0"/>
    <n v="209.7820829068724"/>
    <n v="132.50110289739939"/>
  </r>
  <r>
    <x v="1"/>
    <x v="6"/>
    <x v="2"/>
    <x v="5"/>
    <x v="8"/>
    <x v="1"/>
    <n v="31.3229342910982"/>
    <n v="13.0010136352995"/>
  </r>
  <r>
    <x v="1"/>
    <x v="6"/>
    <x v="2"/>
    <x v="5"/>
    <x v="7"/>
    <x v="0"/>
    <n v="922.25392663682692"/>
    <n v="415.62025999999969"/>
  </r>
  <r>
    <x v="1"/>
    <x v="6"/>
    <x v="2"/>
    <x v="5"/>
    <x v="7"/>
    <x v="1"/>
    <n v="5357.2594623081586"/>
    <n v="1420.6947399999999"/>
  </r>
  <r>
    <x v="1"/>
    <x v="6"/>
    <x v="2"/>
    <x v="5"/>
    <x v="1"/>
    <x v="0"/>
    <n v="6.2767663407045999"/>
    <n v="1.274467"/>
  </r>
  <r>
    <x v="1"/>
    <x v="6"/>
    <x v="2"/>
    <x v="5"/>
    <x v="1"/>
    <x v="1"/>
    <n v="15.736486623726099"/>
    <n v="0.13433300000000001"/>
  </r>
  <r>
    <x v="1"/>
    <x v="6"/>
    <x v="2"/>
    <x v="5"/>
    <x v="9"/>
    <x v="0"/>
    <n v="2.9774210845490998"/>
    <m/>
  </r>
  <r>
    <x v="1"/>
    <x v="6"/>
    <x v="2"/>
    <x v="5"/>
    <x v="9"/>
    <x v="1"/>
    <n v="17.0803737764688"/>
    <m/>
  </r>
  <r>
    <x v="1"/>
    <x v="6"/>
    <x v="2"/>
    <x v="6"/>
    <x v="0"/>
    <x v="0"/>
    <n v="963.89836740672786"/>
    <n v="320.85692499999959"/>
  </r>
  <r>
    <x v="1"/>
    <x v="6"/>
    <x v="2"/>
    <x v="6"/>
    <x v="0"/>
    <x v="1"/>
    <n v="1297.1262456912962"/>
    <n v="313.74461499999961"/>
  </r>
  <r>
    <x v="1"/>
    <x v="6"/>
    <x v="2"/>
    <x v="6"/>
    <x v="1"/>
    <x v="0"/>
    <n v="1724.7503214018741"/>
    <n v="733.5209382789086"/>
  </r>
  <r>
    <x v="1"/>
    <x v="6"/>
    <x v="2"/>
    <x v="6"/>
    <x v="1"/>
    <x v="1"/>
    <n v="3232.2116959220139"/>
    <n v="1262.3686861119081"/>
  </r>
  <r>
    <x v="1"/>
    <x v="6"/>
    <x v="2"/>
    <x v="7"/>
    <x v="2"/>
    <x v="1"/>
    <n v="548.67135176504587"/>
    <n v="48.399999999999601"/>
  </r>
  <r>
    <x v="1"/>
    <x v="7"/>
    <x v="0"/>
    <x v="0"/>
    <x v="0"/>
    <x v="0"/>
    <n v="44.106267383971002"/>
    <n v="13.8686447998997"/>
  </r>
  <r>
    <x v="1"/>
    <x v="7"/>
    <x v="0"/>
    <x v="0"/>
    <x v="0"/>
    <x v="1"/>
    <n v="117.2777944076055"/>
    <n v="20.372355200099701"/>
  </r>
  <r>
    <x v="1"/>
    <x v="7"/>
    <x v="0"/>
    <x v="0"/>
    <x v="1"/>
    <x v="0"/>
    <n v="14499.09994969993"/>
    <n v="3676.1576125156371"/>
  </r>
  <r>
    <x v="1"/>
    <x v="7"/>
    <x v="0"/>
    <x v="0"/>
    <x v="1"/>
    <x v="1"/>
    <n v="4433.3560171702984"/>
    <n v="806.22640149560948"/>
  </r>
  <r>
    <x v="1"/>
    <x v="7"/>
    <x v="0"/>
    <x v="1"/>
    <x v="0"/>
    <x v="0"/>
    <n v="140.49993353279791"/>
    <n v="14.617514006799601"/>
  </r>
  <r>
    <x v="1"/>
    <x v="7"/>
    <x v="0"/>
    <x v="1"/>
    <x v="0"/>
    <x v="1"/>
    <n v="230.5721566298173"/>
    <n v="32.656916150399503"/>
  </r>
  <r>
    <x v="1"/>
    <x v="7"/>
    <x v="0"/>
    <x v="1"/>
    <x v="1"/>
    <x v="0"/>
    <n v="18413.582175473792"/>
    <n v="1931.6675072969169"/>
  </r>
  <r>
    <x v="1"/>
    <x v="7"/>
    <x v="0"/>
    <x v="1"/>
    <x v="1"/>
    <x v="1"/>
    <n v="21578.27205678296"/>
    <n v="2989.5707754729069"/>
  </r>
  <r>
    <x v="1"/>
    <x v="7"/>
    <x v="1"/>
    <x v="2"/>
    <x v="2"/>
    <x v="0"/>
    <n v="3960.0527671564687"/>
    <n v="1705.9383151464974"/>
  </r>
  <r>
    <x v="1"/>
    <x v="7"/>
    <x v="1"/>
    <x v="2"/>
    <x v="2"/>
    <x v="1"/>
    <n v="55160.476514487047"/>
    <n v="27354.7025021933"/>
  </r>
  <r>
    <x v="1"/>
    <x v="7"/>
    <x v="1"/>
    <x v="2"/>
    <x v="3"/>
    <x v="0"/>
    <n v="757.41554008055641"/>
    <n v="202.3499999995999"/>
  </r>
  <r>
    <x v="1"/>
    <x v="7"/>
    <x v="1"/>
    <x v="2"/>
    <x v="3"/>
    <x v="1"/>
    <n v="641.39491589499005"/>
    <n v="10.6500000003998"/>
  </r>
  <r>
    <x v="1"/>
    <x v="7"/>
    <x v="1"/>
    <x v="2"/>
    <x v="5"/>
    <x v="0"/>
    <n v="636.52102099849685"/>
    <m/>
  </r>
  <r>
    <x v="1"/>
    <x v="7"/>
    <x v="1"/>
    <x v="2"/>
    <x v="5"/>
    <x v="1"/>
    <n v="1752.6912254694676"/>
    <m/>
  </r>
  <r>
    <x v="1"/>
    <x v="7"/>
    <x v="1"/>
    <x v="2"/>
    <x v="6"/>
    <x v="0"/>
    <n v="10577.958789858156"/>
    <n v="0.25735249910000002"/>
  </r>
  <r>
    <x v="1"/>
    <x v="7"/>
    <x v="1"/>
    <x v="2"/>
    <x v="6"/>
    <x v="1"/>
    <n v="33808.450983952258"/>
    <n v="11.087733426199801"/>
  </r>
  <r>
    <x v="1"/>
    <x v="7"/>
    <x v="1"/>
    <x v="2"/>
    <x v="1"/>
    <x v="0"/>
    <n v="106.5716382161779"/>
    <n v="66.545159205599703"/>
  </r>
  <r>
    <x v="1"/>
    <x v="7"/>
    <x v="1"/>
    <x v="2"/>
    <x v="1"/>
    <x v="1"/>
    <n v="451.67913023930311"/>
    <n v="26.5587276557997"/>
  </r>
  <r>
    <x v="1"/>
    <x v="7"/>
    <x v="1"/>
    <x v="3"/>
    <x v="2"/>
    <x v="0"/>
    <n v="7144.6344281768133"/>
    <n v="1783.3075103410977"/>
  </r>
  <r>
    <x v="1"/>
    <x v="7"/>
    <x v="1"/>
    <x v="3"/>
    <x v="2"/>
    <x v="1"/>
    <n v="52844.432592116631"/>
    <n v="18796.557104248699"/>
  </r>
  <r>
    <x v="1"/>
    <x v="7"/>
    <x v="1"/>
    <x v="3"/>
    <x v="3"/>
    <x v="0"/>
    <n v="2510.2275322364881"/>
    <m/>
  </r>
  <r>
    <x v="1"/>
    <x v="7"/>
    <x v="1"/>
    <x v="3"/>
    <x v="3"/>
    <x v="1"/>
    <n v="6352.2680755695465"/>
    <m/>
  </r>
  <r>
    <x v="1"/>
    <x v="7"/>
    <x v="1"/>
    <x v="3"/>
    <x v="7"/>
    <x v="0"/>
    <n v="2580.6840449529359"/>
    <n v="506.47999999999968"/>
  </r>
  <r>
    <x v="1"/>
    <x v="7"/>
    <x v="1"/>
    <x v="3"/>
    <x v="7"/>
    <x v="1"/>
    <n v="14325.822236756874"/>
    <n v="6399.52"/>
  </r>
  <r>
    <x v="1"/>
    <x v="7"/>
    <x v="1"/>
    <x v="3"/>
    <x v="5"/>
    <x v="0"/>
    <n v="1563.1456167517308"/>
    <m/>
  </r>
  <r>
    <x v="1"/>
    <x v="7"/>
    <x v="1"/>
    <x v="3"/>
    <x v="5"/>
    <x v="1"/>
    <n v="3522.7935929641849"/>
    <m/>
  </r>
  <r>
    <x v="1"/>
    <x v="7"/>
    <x v="1"/>
    <x v="3"/>
    <x v="6"/>
    <x v="0"/>
    <n v="267.40301214851212"/>
    <m/>
  </r>
  <r>
    <x v="1"/>
    <x v="7"/>
    <x v="1"/>
    <x v="3"/>
    <x v="6"/>
    <x v="1"/>
    <n v="647.97388985619295"/>
    <m/>
  </r>
  <r>
    <x v="1"/>
    <x v="7"/>
    <x v="1"/>
    <x v="3"/>
    <x v="1"/>
    <x v="0"/>
    <n v="170.89059480457561"/>
    <n v="29.234840794399599"/>
  </r>
  <r>
    <x v="1"/>
    <x v="7"/>
    <x v="1"/>
    <x v="3"/>
    <x v="1"/>
    <x v="1"/>
    <n v="586.6641508228804"/>
    <n v="11.6612723441998"/>
  </r>
  <r>
    <x v="1"/>
    <x v="7"/>
    <x v="1"/>
    <x v="4"/>
    <x v="2"/>
    <x v="1"/>
    <n v="24202.674580751867"/>
    <n v="11189.094568069599"/>
  </r>
  <r>
    <x v="1"/>
    <x v="7"/>
    <x v="1"/>
    <x v="4"/>
    <x v="6"/>
    <x v="1"/>
    <n v="163380.85884988954"/>
    <n v="43822.754914074598"/>
  </r>
  <r>
    <x v="1"/>
    <x v="7"/>
    <x v="2"/>
    <x v="5"/>
    <x v="2"/>
    <x v="0"/>
    <n v="2581.8175629868879"/>
    <n v="878.37299949241833"/>
  </r>
  <r>
    <x v="1"/>
    <x v="7"/>
    <x v="2"/>
    <x v="5"/>
    <x v="2"/>
    <x v="1"/>
    <n v="13928.782619858172"/>
    <n v="6268.137017001909"/>
  </r>
  <r>
    <x v="1"/>
    <x v="7"/>
    <x v="2"/>
    <x v="5"/>
    <x v="3"/>
    <x v="1"/>
    <n v="2.4943038982274"/>
    <m/>
  </r>
  <r>
    <x v="1"/>
    <x v="7"/>
    <x v="2"/>
    <x v="5"/>
    <x v="8"/>
    <x v="0"/>
    <n v="10.9616092273478"/>
    <n v="4.4438914967996999"/>
  </r>
  <r>
    <x v="1"/>
    <x v="7"/>
    <x v="2"/>
    <x v="5"/>
    <x v="8"/>
    <x v="1"/>
    <n v="7.4381356521087003"/>
    <n v="4.0719079870997996"/>
  </r>
  <r>
    <x v="1"/>
    <x v="7"/>
    <x v="2"/>
    <x v="5"/>
    <x v="7"/>
    <x v="0"/>
    <n v="240.77051000324809"/>
    <n v="45.235355999999399"/>
  </r>
  <r>
    <x v="1"/>
    <x v="7"/>
    <x v="2"/>
    <x v="5"/>
    <x v="7"/>
    <x v="1"/>
    <n v="1828.434738134727"/>
    <n v="360.18064399999918"/>
  </r>
  <r>
    <x v="1"/>
    <x v="7"/>
    <x v="2"/>
    <x v="5"/>
    <x v="1"/>
    <x v="0"/>
    <n v="50.751105208001697"/>
    <n v="6.7244583989189"/>
  </r>
  <r>
    <x v="1"/>
    <x v="7"/>
    <x v="2"/>
    <x v="5"/>
    <x v="1"/>
    <x v="1"/>
    <n v="102.7571779225561"/>
    <n v="23.9369847372988"/>
  </r>
  <r>
    <x v="1"/>
    <x v="7"/>
    <x v="2"/>
    <x v="5"/>
    <x v="9"/>
    <x v="0"/>
    <n v="3.7421254793379002"/>
    <m/>
  </r>
  <r>
    <x v="1"/>
    <x v="7"/>
    <x v="2"/>
    <x v="5"/>
    <x v="9"/>
    <x v="1"/>
    <n v="9.9897599072047001"/>
    <m/>
  </r>
  <r>
    <x v="1"/>
    <x v="7"/>
    <x v="2"/>
    <x v="6"/>
    <x v="0"/>
    <x v="0"/>
    <n v="70.756357472525806"/>
    <n v="11.3431007096997"/>
  </r>
  <r>
    <x v="1"/>
    <x v="7"/>
    <x v="2"/>
    <x v="6"/>
    <x v="0"/>
    <x v="1"/>
    <n v="433.61617024933651"/>
    <n v="139.2384691330995"/>
  </r>
  <r>
    <x v="1"/>
    <x v="7"/>
    <x v="2"/>
    <x v="6"/>
    <x v="1"/>
    <x v="0"/>
    <n v="1002.0810206016736"/>
    <n v="257.40817583693439"/>
  </r>
  <r>
    <x v="1"/>
    <x v="7"/>
    <x v="2"/>
    <x v="6"/>
    <x v="1"/>
    <x v="1"/>
    <n v="1605.124236582943"/>
    <n v="636.25047829900939"/>
  </r>
  <r>
    <x v="1"/>
    <x v="7"/>
    <x v="2"/>
    <x v="7"/>
    <x v="2"/>
    <x v="1"/>
    <n v="12173.5247082803"/>
    <n v="5039"/>
  </r>
  <r>
    <x v="1"/>
    <x v="8"/>
    <x v="0"/>
    <x v="0"/>
    <x v="0"/>
    <x v="0"/>
    <n v="3703.836110602565"/>
    <n v="839.90934999999979"/>
  </r>
  <r>
    <x v="1"/>
    <x v="8"/>
    <x v="0"/>
    <x v="0"/>
    <x v="0"/>
    <x v="1"/>
    <n v="8222.7307602801757"/>
    <n v="613.46464999999989"/>
  </r>
  <r>
    <x v="1"/>
    <x v="8"/>
    <x v="0"/>
    <x v="0"/>
    <x v="1"/>
    <x v="0"/>
    <n v="73269.423615971857"/>
    <n v="13853.374846619799"/>
  </r>
  <r>
    <x v="1"/>
    <x v="8"/>
    <x v="0"/>
    <x v="0"/>
    <x v="1"/>
    <x v="1"/>
    <n v="44317.12468515939"/>
    <n v="4833.568231075099"/>
  </r>
  <r>
    <x v="1"/>
    <x v="8"/>
    <x v="0"/>
    <x v="1"/>
    <x v="0"/>
    <x v="0"/>
    <n v="5501.4463165792076"/>
    <n v="1159.0012832921998"/>
  </r>
  <r>
    <x v="1"/>
    <x v="8"/>
    <x v="0"/>
    <x v="1"/>
    <x v="0"/>
    <x v="1"/>
    <n v="5479.3589845718598"/>
    <n v="691.9791900196999"/>
  </r>
  <r>
    <x v="1"/>
    <x v="8"/>
    <x v="0"/>
    <x v="1"/>
    <x v="1"/>
    <x v="0"/>
    <n v="52002.331719334092"/>
    <n v="11612.768467379599"/>
  </r>
  <r>
    <x v="1"/>
    <x v="8"/>
    <x v="0"/>
    <x v="1"/>
    <x v="1"/>
    <x v="1"/>
    <n v="64052.523515310299"/>
    <n v="12430.016624207899"/>
  </r>
  <r>
    <x v="1"/>
    <x v="8"/>
    <x v="1"/>
    <x v="2"/>
    <x v="2"/>
    <x v="0"/>
    <n v="3581.1871803115941"/>
    <n v="1955.9550872257989"/>
  </r>
  <r>
    <x v="1"/>
    <x v="8"/>
    <x v="1"/>
    <x v="2"/>
    <x v="2"/>
    <x v="1"/>
    <n v="60918.110452334571"/>
    <n v="35722.178809748802"/>
  </r>
  <r>
    <x v="1"/>
    <x v="8"/>
    <x v="1"/>
    <x v="2"/>
    <x v="3"/>
    <x v="0"/>
    <n v="1309.874469675698"/>
    <n v="564.66"/>
  </r>
  <r>
    <x v="1"/>
    <x v="8"/>
    <x v="1"/>
    <x v="2"/>
    <x v="3"/>
    <x v="1"/>
    <n v="57.918695270614499"/>
    <n v="48.239999999999696"/>
  </r>
  <r>
    <x v="1"/>
    <x v="8"/>
    <x v="1"/>
    <x v="2"/>
    <x v="4"/>
    <x v="0"/>
    <n v="69.0024094640643"/>
    <m/>
  </r>
  <r>
    <x v="1"/>
    <x v="8"/>
    <x v="1"/>
    <x v="2"/>
    <x v="4"/>
    <x v="1"/>
    <n v="4.4409333852359998"/>
    <m/>
  </r>
  <r>
    <x v="1"/>
    <x v="8"/>
    <x v="1"/>
    <x v="2"/>
    <x v="5"/>
    <x v="0"/>
    <n v="2.0206111697716"/>
    <m/>
  </r>
  <r>
    <x v="1"/>
    <x v="8"/>
    <x v="1"/>
    <x v="2"/>
    <x v="5"/>
    <x v="1"/>
    <n v="22.4622269111597"/>
    <m/>
  </r>
  <r>
    <x v="1"/>
    <x v="8"/>
    <x v="1"/>
    <x v="2"/>
    <x v="6"/>
    <x v="0"/>
    <n v="333.76186866751198"/>
    <m/>
  </r>
  <r>
    <x v="1"/>
    <x v="8"/>
    <x v="1"/>
    <x v="2"/>
    <x v="6"/>
    <x v="1"/>
    <n v="11314.228119001416"/>
    <n v="3223.6637452073001"/>
  </r>
  <r>
    <x v="1"/>
    <x v="8"/>
    <x v="1"/>
    <x v="2"/>
    <x v="1"/>
    <x v="0"/>
    <n v="43.174920683043702"/>
    <n v="13.4230872999997"/>
  </r>
  <r>
    <x v="1"/>
    <x v="8"/>
    <x v="1"/>
    <x v="2"/>
    <x v="1"/>
    <x v="1"/>
    <n v="618.28698836342801"/>
    <n v="155.51336270059991"/>
  </r>
  <r>
    <x v="1"/>
    <x v="8"/>
    <x v="1"/>
    <x v="3"/>
    <x v="2"/>
    <x v="0"/>
    <n v="11107.069334904721"/>
    <n v="5667.1479110538994"/>
  </r>
  <r>
    <x v="1"/>
    <x v="8"/>
    <x v="1"/>
    <x v="3"/>
    <x v="2"/>
    <x v="1"/>
    <n v="106613.36534531784"/>
    <n v="52794.586778279197"/>
  </r>
  <r>
    <x v="1"/>
    <x v="8"/>
    <x v="1"/>
    <x v="3"/>
    <x v="3"/>
    <x v="0"/>
    <n v="235.66317812265169"/>
    <m/>
  </r>
  <r>
    <x v="1"/>
    <x v="8"/>
    <x v="1"/>
    <x v="3"/>
    <x v="3"/>
    <x v="1"/>
    <n v="1262.469772132041"/>
    <m/>
  </r>
  <r>
    <x v="1"/>
    <x v="8"/>
    <x v="1"/>
    <x v="3"/>
    <x v="7"/>
    <x v="0"/>
    <n v="20752.840169893749"/>
    <n v="11260.635700000001"/>
  </r>
  <r>
    <x v="1"/>
    <x v="8"/>
    <x v="1"/>
    <x v="3"/>
    <x v="7"/>
    <x v="1"/>
    <n v="113027.29188272098"/>
    <n v="60795.364300000001"/>
  </r>
  <r>
    <x v="1"/>
    <x v="8"/>
    <x v="1"/>
    <x v="3"/>
    <x v="5"/>
    <x v="0"/>
    <n v="6.2035655051651997"/>
    <m/>
  </r>
  <r>
    <x v="1"/>
    <x v="8"/>
    <x v="1"/>
    <x v="3"/>
    <x v="5"/>
    <x v="1"/>
    <n v="32.835550443586598"/>
    <m/>
  </r>
  <r>
    <x v="1"/>
    <x v="8"/>
    <x v="1"/>
    <x v="3"/>
    <x v="6"/>
    <x v="0"/>
    <n v="138.66767130566481"/>
    <m/>
  </r>
  <r>
    <x v="1"/>
    <x v="8"/>
    <x v="1"/>
    <x v="3"/>
    <x v="6"/>
    <x v="1"/>
    <n v="733.90421905374137"/>
    <m/>
  </r>
  <r>
    <x v="1"/>
    <x v="8"/>
    <x v="1"/>
    <x v="3"/>
    <x v="1"/>
    <x v="0"/>
    <n v="1041.2506080598357"/>
    <n v="596.48583331969985"/>
  </r>
  <r>
    <x v="1"/>
    <x v="8"/>
    <x v="1"/>
    <x v="3"/>
    <x v="1"/>
    <x v="1"/>
    <n v="2445.0640618951652"/>
    <n v="49.302716679699998"/>
  </r>
  <r>
    <x v="1"/>
    <x v="8"/>
    <x v="1"/>
    <x v="4"/>
    <x v="2"/>
    <x v="1"/>
    <n v="15523.883717613862"/>
    <n v="10222.8134136917"/>
  </r>
  <r>
    <x v="1"/>
    <x v="8"/>
    <x v="1"/>
    <x v="4"/>
    <x v="4"/>
    <x v="1"/>
    <n v="2.0778350633143998"/>
    <m/>
  </r>
  <r>
    <x v="1"/>
    <x v="8"/>
    <x v="1"/>
    <x v="4"/>
    <x v="6"/>
    <x v="1"/>
    <n v="22004.088655782016"/>
    <n v="13968.428254792199"/>
  </r>
  <r>
    <x v="1"/>
    <x v="8"/>
    <x v="2"/>
    <x v="5"/>
    <x v="2"/>
    <x v="0"/>
    <n v="5211.1864125343973"/>
    <n v="1823.6853022921989"/>
  </r>
  <r>
    <x v="1"/>
    <x v="8"/>
    <x v="2"/>
    <x v="5"/>
    <x v="2"/>
    <x v="1"/>
    <n v="42667.195228479301"/>
    <n v="15263.0412230124"/>
  </r>
  <r>
    <x v="1"/>
    <x v="8"/>
    <x v="2"/>
    <x v="5"/>
    <x v="3"/>
    <x v="0"/>
    <n v="8.7455966714307998"/>
    <m/>
  </r>
  <r>
    <x v="1"/>
    <x v="8"/>
    <x v="2"/>
    <x v="5"/>
    <x v="3"/>
    <x v="1"/>
    <n v="116.551921569558"/>
    <m/>
  </r>
  <r>
    <x v="1"/>
    <x v="8"/>
    <x v="2"/>
    <x v="5"/>
    <x v="8"/>
    <x v="0"/>
    <n v="10953.793500988768"/>
    <n v="5865.3210442665986"/>
  </r>
  <r>
    <x v="1"/>
    <x v="8"/>
    <x v="2"/>
    <x v="5"/>
    <x v="8"/>
    <x v="1"/>
    <n v="4830.3634778887717"/>
    <n v="2779.9462247175998"/>
  </r>
  <r>
    <x v="1"/>
    <x v="8"/>
    <x v="2"/>
    <x v="5"/>
    <x v="7"/>
    <x v="0"/>
    <n v="9331.1321671641708"/>
    <n v="4123.5691049999996"/>
  </r>
  <r>
    <x v="1"/>
    <x v="8"/>
    <x v="2"/>
    <x v="5"/>
    <x v="7"/>
    <x v="1"/>
    <n v="43737.963349696161"/>
    <n v="13086.921894999999"/>
  </r>
  <r>
    <x v="1"/>
    <x v="8"/>
    <x v="2"/>
    <x v="5"/>
    <x v="5"/>
    <x v="0"/>
    <n v="12.658372001078799"/>
    <m/>
  </r>
  <r>
    <x v="1"/>
    <x v="8"/>
    <x v="2"/>
    <x v="5"/>
    <x v="5"/>
    <x v="1"/>
    <n v="321.2671805677524"/>
    <m/>
  </r>
  <r>
    <x v="1"/>
    <x v="8"/>
    <x v="2"/>
    <x v="5"/>
    <x v="1"/>
    <x v="0"/>
    <n v="130.73690858979691"/>
    <n v="25.633518115099498"/>
  </r>
  <r>
    <x v="1"/>
    <x v="8"/>
    <x v="2"/>
    <x v="5"/>
    <x v="1"/>
    <x v="1"/>
    <n v="301.09145085441259"/>
    <n v="48.612545587999001"/>
  </r>
  <r>
    <x v="1"/>
    <x v="8"/>
    <x v="2"/>
    <x v="5"/>
    <x v="9"/>
    <x v="0"/>
    <n v="159.73027199505611"/>
    <m/>
  </r>
  <r>
    <x v="1"/>
    <x v="8"/>
    <x v="2"/>
    <x v="5"/>
    <x v="9"/>
    <x v="1"/>
    <n v="502.7106428630251"/>
    <n v="0.33751427899999997"/>
  </r>
  <r>
    <x v="1"/>
    <x v="8"/>
    <x v="2"/>
    <x v="6"/>
    <x v="0"/>
    <x v="0"/>
    <n v="4716.7434641365771"/>
    <n v="2048.0145319308999"/>
  </r>
  <r>
    <x v="1"/>
    <x v="8"/>
    <x v="2"/>
    <x v="6"/>
    <x v="0"/>
    <x v="1"/>
    <n v="8003.6536472555817"/>
    <n v="2693.8059947572001"/>
  </r>
  <r>
    <x v="1"/>
    <x v="8"/>
    <x v="2"/>
    <x v="6"/>
    <x v="1"/>
    <x v="0"/>
    <n v="11230.137788100448"/>
    <n v="7021.1265085061987"/>
  </r>
  <r>
    <x v="1"/>
    <x v="8"/>
    <x v="2"/>
    <x v="6"/>
    <x v="1"/>
    <x v="1"/>
    <n v="16077.931910697949"/>
    <n v="7967.9485825108477"/>
  </r>
  <r>
    <x v="1"/>
    <x v="8"/>
    <x v="2"/>
    <x v="7"/>
    <x v="2"/>
    <x v="1"/>
    <n v="8672.3254422258742"/>
    <n v="1979.4709999807001"/>
  </r>
  <r>
    <x v="1"/>
    <x v="9"/>
    <x v="0"/>
    <x v="0"/>
    <x v="0"/>
    <x v="0"/>
    <n v="35.677740261589904"/>
    <n v="3.3538865999999001"/>
  </r>
  <r>
    <x v="1"/>
    <x v="9"/>
    <x v="0"/>
    <x v="0"/>
    <x v="0"/>
    <x v="1"/>
    <n v="118.3922535164222"/>
    <n v="14.0681134000999"/>
  </r>
  <r>
    <x v="1"/>
    <x v="9"/>
    <x v="0"/>
    <x v="0"/>
    <x v="1"/>
    <x v="0"/>
    <n v="10289.295828450409"/>
    <n v="1282.357172669974"/>
  </r>
  <r>
    <x v="1"/>
    <x v="9"/>
    <x v="0"/>
    <x v="0"/>
    <x v="1"/>
    <x v="1"/>
    <n v="2350.8770063626398"/>
    <n v="219.5003965749533"/>
  </r>
  <r>
    <x v="1"/>
    <x v="9"/>
    <x v="0"/>
    <x v="1"/>
    <x v="0"/>
    <x v="0"/>
    <n v="73.571415155182294"/>
    <n v="5.2721746852997002"/>
  </r>
  <r>
    <x v="1"/>
    <x v="9"/>
    <x v="0"/>
    <x v="1"/>
    <x v="0"/>
    <x v="1"/>
    <n v="103.9467581982103"/>
    <n v="11.9187355590999"/>
  </r>
  <r>
    <x v="1"/>
    <x v="9"/>
    <x v="0"/>
    <x v="1"/>
    <x v="1"/>
    <x v="0"/>
    <n v="7671.9108048371399"/>
    <n v="825.32758671517399"/>
  </r>
  <r>
    <x v="1"/>
    <x v="9"/>
    <x v="0"/>
    <x v="1"/>
    <x v="1"/>
    <x v="1"/>
    <n v="7113.3554813208802"/>
    <n v="869.67081943625305"/>
  </r>
  <r>
    <x v="1"/>
    <x v="9"/>
    <x v="1"/>
    <x v="2"/>
    <x v="2"/>
    <x v="0"/>
    <n v="4403.5929353625334"/>
    <n v="2095.9042947501989"/>
  </r>
  <r>
    <x v="1"/>
    <x v="9"/>
    <x v="1"/>
    <x v="2"/>
    <x v="2"/>
    <x v="1"/>
    <n v="63013.331854048221"/>
    <n v="34732.450344520301"/>
  </r>
  <r>
    <x v="1"/>
    <x v="9"/>
    <x v="1"/>
    <x v="2"/>
    <x v="3"/>
    <x v="0"/>
    <n v="494.74141513035221"/>
    <n v="102.8499999995"/>
  </r>
  <r>
    <x v="1"/>
    <x v="9"/>
    <x v="1"/>
    <x v="2"/>
    <x v="3"/>
    <x v="1"/>
    <n v="532.12392400684996"/>
    <n v="18.150000000499801"/>
  </r>
  <r>
    <x v="1"/>
    <x v="9"/>
    <x v="1"/>
    <x v="2"/>
    <x v="5"/>
    <x v="0"/>
    <n v="685.71329028466801"/>
    <m/>
  </r>
  <r>
    <x v="1"/>
    <x v="9"/>
    <x v="1"/>
    <x v="2"/>
    <x v="5"/>
    <x v="1"/>
    <n v="1807.4339745745301"/>
    <m/>
  </r>
  <r>
    <x v="1"/>
    <x v="9"/>
    <x v="1"/>
    <x v="2"/>
    <x v="6"/>
    <x v="0"/>
    <n v="11475.981298906319"/>
    <n v="8.7427467800000006E-2"/>
  </r>
  <r>
    <x v="1"/>
    <x v="9"/>
    <x v="1"/>
    <x v="2"/>
    <x v="6"/>
    <x v="1"/>
    <n v="33393.775311998259"/>
    <n v="9.1566311759995997"/>
  </r>
  <r>
    <x v="1"/>
    <x v="9"/>
    <x v="1"/>
    <x v="2"/>
    <x v="1"/>
    <x v="0"/>
    <n v="87.175154525276795"/>
    <n v="37.6134899981"/>
  </r>
  <r>
    <x v="1"/>
    <x v="9"/>
    <x v="1"/>
    <x v="2"/>
    <x v="1"/>
    <x v="1"/>
    <n v="404.2409002249459"/>
    <n v="15.0155099991998"/>
  </r>
  <r>
    <x v="1"/>
    <x v="9"/>
    <x v="1"/>
    <x v="3"/>
    <x v="2"/>
    <x v="0"/>
    <n v="6501.9923919427702"/>
    <n v="2053.8402052408992"/>
  </r>
  <r>
    <x v="1"/>
    <x v="9"/>
    <x v="1"/>
    <x v="3"/>
    <x v="2"/>
    <x v="1"/>
    <n v="53294.534005476737"/>
    <n v="19428.282155245801"/>
  </r>
  <r>
    <x v="1"/>
    <x v="9"/>
    <x v="1"/>
    <x v="3"/>
    <x v="3"/>
    <x v="0"/>
    <n v="1573.319206064582"/>
    <m/>
  </r>
  <r>
    <x v="1"/>
    <x v="9"/>
    <x v="1"/>
    <x v="3"/>
    <x v="3"/>
    <x v="1"/>
    <n v="3995.738597609"/>
    <m/>
  </r>
  <r>
    <x v="1"/>
    <x v="9"/>
    <x v="1"/>
    <x v="3"/>
    <x v="7"/>
    <x v="0"/>
    <n v="1142.0169131028449"/>
    <n v="134.99999999999949"/>
  </r>
  <r>
    <x v="1"/>
    <x v="9"/>
    <x v="1"/>
    <x v="3"/>
    <x v="7"/>
    <x v="1"/>
    <n v="4668.3923219582502"/>
    <n v="1215"/>
  </r>
  <r>
    <x v="1"/>
    <x v="9"/>
    <x v="1"/>
    <x v="3"/>
    <x v="5"/>
    <x v="0"/>
    <n v="912.70523613047601"/>
    <m/>
  </r>
  <r>
    <x v="1"/>
    <x v="9"/>
    <x v="1"/>
    <x v="3"/>
    <x v="5"/>
    <x v="1"/>
    <n v="2086.9295926826521"/>
    <m/>
  </r>
  <r>
    <x v="1"/>
    <x v="9"/>
    <x v="1"/>
    <x v="3"/>
    <x v="6"/>
    <x v="0"/>
    <n v="151.79908628234571"/>
    <m/>
  </r>
  <r>
    <x v="1"/>
    <x v="9"/>
    <x v="1"/>
    <x v="3"/>
    <x v="6"/>
    <x v="1"/>
    <n v="356.36837278204598"/>
    <m/>
  </r>
  <r>
    <x v="1"/>
    <x v="9"/>
    <x v="1"/>
    <x v="3"/>
    <x v="1"/>
    <x v="0"/>
    <n v="217.73416716150399"/>
    <n v="30.966510001900001"/>
  </r>
  <r>
    <x v="1"/>
    <x v="9"/>
    <x v="1"/>
    <x v="3"/>
    <x v="1"/>
    <x v="1"/>
    <n v="886.96684932095002"/>
    <n v="12.4044900007998"/>
  </r>
  <r>
    <x v="1"/>
    <x v="9"/>
    <x v="1"/>
    <x v="4"/>
    <x v="2"/>
    <x v="0"/>
    <n v="43.385141826528802"/>
    <n v="2.3058008615999999"/>
  </r>
  <r>
    <x v="1"/>
    <x v="9"/>
    <x v="1"/>
    <x v="4"/>
    <x v="2"/>
    <x v="1"/>
    <n v="22329.001200308521"/>
    <n v="10766.4171993809"/>
  </r>
  <r>
    <x v="1"/>
    <x v="9"/>
    <x v="1"/>
    <x v="4"/>
    <x v="6"/>
    <x v="0"/>
    <n v="2992.9334104407098"/>
    <m/>
  </r>
  <r>
    <x v="1"/>
    <x v="9"/>
    <x v="1"/>
    <x v="4"/>
    <x v="6"/>
    <x v="1"/>
    <n v="157410.39070032761"/>
    <n v="43050.755941356198"/>
  </r>
  <r>
    <x v="1"/>
    <x v="9"/>
    <x v="2"/>
    <x v="5"/>
    <x v="2"/>
    <x v="0"/>
    <n v="468.18136516646302"/>
    <n v="132.89567819279961"/>
  </r>
  <r>
    <x v="1"/>
    <x v="9"/>
    <x v="2"/>
    <x v="5"/>
    <x v="2"/>
    <x v="1"/>
    <n v="2915.2372299665099"/>
    <n v="1018.514143301798"/>
  </r>
  <r>
    <x v="1"/>
    <x v="9"/>
    <x v="2"/>
    <x v="5"/>
    <x v="3"/>
    <x v="0"/>
    <n v="0.2301358690126"/>
    <m/>
  </r>
  <r>
    <x v="1"/>
    <x v="9"/>
    <x v="2"/>
    <x v="5"/>
    <x v="3"/>
    <x v="1"/>
    <n v="4.6249927550325998"/>
    <m/>
  </r>
  <r>
    <x v="1"/>
    <x v="9"/>
    <x v="2"/>
    <x v="5"/>
    <x v="8"/>
    <x v="0"/>
    <n v="2.3494942590338002"/>
    <n v="2.239722634"/>
  </r>
  <r>
    <x v="1"/>
    <x v="9"/>
    <x v="2"/>
    <x v="5"/>
    <x v="8"/>
    <x v="1"/>
    <n v="5.1169638693042998"/>
    <n v="2.0832773659999"/>
  </r>
  <r>
    <x v="1"/>
    <x v="9"/>
    <x v="2"/>
    <x v="5"/>
    <x v="7"/>
    <x v="0"/>
    <n v="145.46519713423859"/>
    <n v="33.968695299999403"/>
  </r>
  <r>
    <x v="1"/>
    <x v="9"/>
    <x v="2"/>
    <x v="5"/>
    <x v="7"/>
    <x v="1"/>
    <n v="644.08036725200805"/>
    <n v="216.41530469999969"/>
  </r>
  <r>
    <x v="1"/>
    <x v="9"/>
    <x v="2"/>
    <x v="5"/>
    <x v="1"/>
    <x v="0"/>
    <n v="9.3232708498220003"/>
    <n v="2.5026979272752001"/>
  </r>
  <r>
    <x v="1"/>
    <x v="9"/>
    <x v="2"/>
    <x v="5"/>
    <x v="1"/>
    <x v="1"/>
    <n v="12.4770705686119"/>
    <n v="2.6109685534997999"/>
  </r>
  <r>
    <x v="1"/>
    <x v="9"/>
    <x v="2"/>
    <x v="5"/>
    <x v="9"/>
    <x v="0"/>
    <n v="3.9239030282395002"/>
    <m/>
  </r>
  <r>
    <x v="1"/>
    <x v="9"/>
    <x v="2"/>
    <x v="5"/>
    <x v="9"/>
    <x v="1"/>
    <n v="5.1215160990554001"/>
    <m/>
  </r>
  <r>
    <x v="1"/>
    <x v="9"/>
    <x v="2"/>
    <x v="6"/>
    <x v="0"/>
    <x v="0"/>
    <n v="38.204340635350398"/>
    <n v="5.5527614716995002"/>
  </r>
  <r>
    <x v="1"/>
    <x v="9"/>
    <x v="2"/>
    <x v="6"/>
    <x v="0"/>
    <x v="1"/>
    <n v="269.7900939374519"/>
    <n v="52.5963282837997"/>
  </r>
  <r>
    <x v="1"/>
    <x v="9"/>
    <x v="2"/>
    <x v="6"/>
    <x v="1"/>
    <x v="0"/>
    <n v="210.39965554176061"/>
    <n v="55.8273867349738"/>
  </r>
  <r>
    <x v="1"/>
    <x v="9"/>
    <x v="2"/>
    <x v="6"/>
    <x v="1"/>
    <x v="1"/>
    <n v="454.51756578672098"/>
    <n v="98.674368168853803"/>
  </r>
  <r>
    <x v="1"/>
    <x v="9"/>
    <x v="2"/>
    <x v="7"/>
    <x v="2"/>
    <x v="1"/>
    <n v="5753.8558431819301"/>
    <n v="2716"/>
  </r>
  <r>
    <x v="1"/>
    <x v="10"/>
    <x v="0"/>
    <x v="0"/>
    <x v="0"/>
    <x v="0"/>
    <n v="1297.7628975796174"/>
    <n v="157.2850952246981"/>
  </r>
  <r>
    <x v="1"/>
    <x v="10"/>
    <x v="0"/>
    <x v="0"/>
    <x v="0"/>
    <x v="1"/>
    <n v="5475.0741122649697"/>
    <n v="724.6749047752985"/>
  </r>
  <r>
    <x v="1"/>
    <x v="10"/>
    <x v="0"/>
    <x v="0"/>
    <x v="1"/>
    <x v="0"/>
    <n v="66206.736061868505"/>
    <n v="11265.382041270137"/>
  </r>
  <r>
    <x v="1"/>
    <x v="10"/>
    <x v="0"/>
    <x v="0"/>
    <x v="1"/>
    <x v="1"/>
    <n v="31153.870625293257"/>
    <n v="3574.5660183130203"/>
  </r>
  <r>
    <x v="1"/>
    <x v="10"/>
    <x v="0"/>
    <x v="1"/>
    <x v="0"/>
    <x v="0"/>
    <n v="1564.1415256159382"/>
    <n v="333.96954009989747"/>
  </r>
  <r>
    <x v="1"/>
    <x v="10"/>
    <x v="0"/>
    <x v="1"/>
    <x v="0"/>
    <x v="1"/>
    <n v="2704.027361030478"/>
    <n v="448.60501986789819"/>
  </r>
  <r>
    <x v="1"/>
    <x v="10"/>
    <x v="0"/>
    <x v="1"/>
    <x v="1"/>
    <x v="0"/>
    <n v="39326.33919531326"/>
    <n v="11682.52285264244"/>
  </r>
  <r>
    <x v="1"/>
    <x v="10"/>
    <x v="0"/>
    <x v="1"/>
    <x v="1"/>
    <x v="1"/>
    <n v="58774.800822421836"/>
    <n v="12636.353094264627"/>
  </r>
  <r>
    <x v="1"/>
    <x v="10"/>
    <x v="1"/>
    <x v="2"/>
    <x v="2"/>
    <x v="0"/>
    <n v="19153.437635464477"/>
    <n v="5894.135300460287"/>
  </r>
  <r>
    <x v="1"/>
    <x v="10"/>
    <x v="1"/>
    <x v="2"/>
    <x v="2"/>
    <x v="1"/>
    <n v="95558.364278115405"/>
    <n v="40543.359324795492"/>
  </r>
  <r>
    <x v="1"/>
    <x v="10"/>
    <x v="1"/>
    <x v="2"/>
    <x v="3"/>
    <x v="0"/>
    <n v="1005.612830538106"/>
    <n v="232.8178999999993"/>
  </r>
  <r>
    <x v="1"/>
    <x v="10"/>
    <x v="1"/>
    <x v="2"/>
    <x v="3"/>
    <x v="1"/>
    <n v="1150.3777264513867"/>
    <n v="68.342099999999803"/>
  </r>
  <r>
    <x v="1"/>
    <x v="10"/>
    <x v="1"/>
    <x v="2"/>
    <x v="4"/>
    <x v="0"/>
    <n v="8.3002719041871007"/>
    <n v="0.06"/>
  </r>
  <r>
    <x v="1"/>
    <x v="10"/>
    <x v="1"/>
    <x v="2"/>
    <x v="4"/>
    <x v="1"/>
    <n v="132.42702141326171"/>
    <n v="4.04"/>
  </r>
  <r>
    <x v="1"/>
    <x v="10"/>
    <x v="1"/>
    <x v="2"/>
    <x v="5"/>
    <x v="0"/>
    <n v="872.10759092903652"/>
    <n v="1.0920000003996999"/>
  </r>
  <r>
    <x v="1"/>
    <x v="10"/>
    <x v="1"/>
    <x v="2"/>
    <x v="5"/>
    <x v="1"/>
    <n v="2186.8513385237475"/>
    <n v="91.242999992999501"/>
  </r>
  <r>
    <x v="1"/>
    <x v="10"/>
    <x v="1"/>
    <x v="2"/>
    <x v="6"/>
    <x v="0"/>
    <n v="16769.444622147945"/>
    <m/>
  </r>
  <r>
    <x v="1"/>
    <x v="10"/>
    <x v="1"/>
    <x v="2"/>
    <x v="6"/>
    <x v="1"/>
    <n v="41861.546047258889"/>
    <m/>
  </r>
  <r>
    <x v="1"/>
    <x v="10"/>
    <x v="1"/>
    <x v="2"/>
    <x v="1"/>
    <x v="0"/>
    <n v="2998.7641068915946"/>
    <n v="1106.697699999899"/>
  </r>
  <r>
    <x v="1"/>
    <x v="10"/>
    <x v="1"/>
    <x v="2"/>
    <x v="1"/>
    <x v="1"/>
    <n v="7930.9884110480707"/>
    <n v="2011.4283000000978"/>
  </r>
  <r>
    <x v="1"/>
    <x v="10"/>
    <x v="1"/>
    <x v="3"/>
    <x v="2"/>
    <x v="0"/>
    <n v="36952.119602485946"/>
    <n v="9185.685040642391"/>
  </r>
  <r>
    <x v="1"/>
    <x v="10"/>
    <x v="1"/>
    <x v="3"/>
    <x v="2"/>
    <x v="1"/>
    <n v="134677.64162952936"/>
    <n v="40536.011228886287"/>
  </r>
  <r>
    <x v="1"/>
    <x v="10"/>
    <x v="1"/>
    <x v="3"/>
    <x v="3"/>
    <x v="0"/>
    <n v="3580.6102737174692"/>
    <m/>
  </r>
  <r>
    <x v="1"/>
    <x v="10"/>
    <x v="1"/>
    <x v="3"/>
    <x v="3"/>
    <x v="1"/>
    <n v="8844.689018683679"/>
    <m/>
  </r>
  <r>
    <x v="1"/>
    <x v="10"/>
    <x v="1"/>
    <x v="3"/>
    <x v="7"/>
    <x v="0"/>
    <n v="32402.280855139561"/>
    <n v="9191.7999999999993"/>
  </r>
  <r>
    <x v="1"/>
    <x v="10"/>
    <x v="1"/>
    <x v="3"/>
    <x v="7"/>
    <x v="1"/>
    <n v="77407.152946319591"/>
    <n v="27226.2"/>
  </r>
  <r>
    <x v="1"/>
    <x v="10"/>
    <x v="1"/>
    <x v="3"/>
    <x v="5"/>
    <x v="0"/>
    <n v="3060.7655048764182"/>
    <m/>
  </r>
  <r>
    <x v="1"/>
    <x v="10"/>
    <x v="1"/>
    <x v="3"/>
    <x v="5"/>
    <x v="1"/>
    <n v="7835.4888027605602"/>
    <n v="30.185000001999999"/>
  </r>
  <r>
    <x v="1"/>
    <x v="10"/>
    <x v="1"/>
    <x v="3"/>
    <x v="6"/>
    <x v="0"/>
    <n v="0.17176814487100001"/>
    <m/>
  </r>
  <r>
    <x v="1"/>
    <x v="10"/>
    <x v="1"/>
    <x v="3"/>
    <x v="6"/>
    <x v="1"/>
    <n v="0.44173333691819999"/>
    <m/>
  </r>
  <r>
    <x v="1"/>
    <x v="10"/>
    <x v="1"/>
    <x v="3"/>
    <x v="1"/>
    <x v="0"/>
    <n v="2453.3968918704431"/>
    <n v="401.35795999999817"/>
  </r>
  <r>
    <x v="1"/>
    <x v="10"/>
    <x v="1"/>
    <x v="3"/>
    <x v="1"/>
    <x v="1"/>
    <n v="5200.2268503113401"/>
    <n v="176.5160399999985"/>
  </r>
  <r>
    <x v="1"/>
    <x v="10"/>
    <x v="1"/>
    <x v="4"/>
    <x v="2"/>
    <x v="0"/>
    <n v="4.6832601279999997E-2"/>
    <n v="1.6666666699999999E-2"/>
  </r>
  <r>
    <x v="1"/>
    <x v="10"/>
    <x v="1"/>
    <x v="4"/>
    <x v="2"/>
    <x v="1"/>
    <n v="7272.7522268429348"/>
    <n v="5973.3861665446912"/>
  </r>
  <r>
    <x v="1"/>
    <x v="10"/>
    <x v="1"/>
    <x v="4"/>
    <x v="5"/>
    <x v="1"/>
    <n v="72.105549222162693"/>
    <n v="62.150000004199903"/>
  </r>
  <r>
    <x v="1"/>
    <x v="10"/>
    <x v="1"/>
    <x v="4"/>
    <x v="6"/>
    <x v="0"/>
    <n v="2.7170566444067998"/>
    <m/>
  </r>
  <r>
    <x v="1"/>
    <x v="10"/>
    <x v="1"/>
    <x v="4"/>
    <x v="6"/>
    <x v="1"/>
    <n v="14492.185273342813"/>
    <n v="11383.159999994899"/>
  </r>
  <r>
    <x v="1"/>
    <x v="10"/>
    <x v="2"/>
    <x v="5"/>
    <x v="2"/>
    <x v="0"/>
    <n v="3500.0119100115471"/>
    <n v="1616.7197709580257"/>
  </r>
  <r>
    <x v="1"/>
    <x v="10"/>
    <x v="2"/>
    <x v="5"/>
    <x v="2"/>
    <x v="1"/>
    <n v="45366.941878455022"/>
    <n v="17534.168661387848"/>
  </r>
  <r>
    <x v="1"/>
    <x v="10"/>
    <x v="2"/>
    <x v="5"/>
    <x v="3"/>
    <x v="0"/>
    <n v="18.550842584046499"/>
    <m/>
  </r>
  <r>
    <x v="1"/>
    <x v="10"/>
    <x v="2"/>
    <x v="5"/>
    <x v="8"/>
    <x v="0"/>
    <n v="695.39734485309896"/>
    <n v="354.51191837443389"/>
  </r>
  <r>
    <x v="1"/>
    <x v="10"/>
    <x v="2"/>
    <x v="5"/>
    <x v="8"/>
    <x v="1"/>
    <n v="374.54378126238959"/>
    <n v="184.0640187806149"/>
  </r>
  <r>
    <x v="1"/>
    <x v="10"/>
    <x v="2"/>
    <x v="5"/>
    <x v="7"/>
    <x v="0"/>
    <n v="5772.0948403147449"/>
    <n v="2246.9204110001974"/>
  </r>
  <r>
    <x v="1"/>
    <x v="10"/>
    <x v="2"/>
    <x v="5"/>
    <x v="7"/>
    <x v="1"/>
    <n v="26080.448317581202"/>
    <n v="5612.1615889997975"/>
  </r>
  <r>
    <x v="1"/>
    <x v="10"/>
    <x v="2"/>
    <x v="5"/>
    <x v="1"/>
    <x v="0"/>
    <n v="150.9982128583531"/>
    <n v="43.296353340049002"/>
  </r>
  <r>
    <x v="1"/>
    <x v="10"/>
    <x v="2"/>
    <x v="5"/>
    <x v="1"/>
    <x v="1"/>
    <n v="250.28730137606141"/>
    <n v="67.940043212997494"/>
  </r>
  <r>
    <x v="1"/>
    <x v="10"/>
    <x v="2"/>
    <x v="5"/>
    <x v="9"/>
    <x v="0"/>
    <n v="30.305173248701401"/>
    <m/>
  </r>
  <r>
    <x v="1"/>
    <x v="10"/>
    <x v="2"/>
    <x v="5"/>
    <x v="9"/>
    <x v="1"/>
    <n v="290.61722446245932"/>
    <m/>
  </r>
  <r>
    <x v="1"/>
    <x v="10"/>
    <x v="2"/>
    <x v="6"/>
    <x v="0"/>
    <x v="0"/>
    <n v="1678.2143309541414"/>
    <n v="387.53559850499789"/>
  </r>
  <r>
    <x v="1"/>
    <x v="10"/>
    <x v="2"/>
    <x v="6"/>
    <x v="0"/>
    <x v="1"/>
    <n v="8609.1131091496536"/>
    <n v="2254.5558415271985"/>
  </r>
  <r>
    <x v="1"/>
    <x v="10"/>
    <x v="2"/>
    <x v="6"/>
    <x v="1"/>
    <x v="0"/>
    <n v="7773.0600242936634"/>
    <n v="3114.8739427936557"/>
  </r>
  <r>
    <x v="1"/>
    <x v="10"/>
    <x v="2"/>
    <x v="6"/>
    <x v="1"/>
    <x v="1"/>
    <n v="11170.071816870344"/>
    <n v="4047.8169511893916"/>
  </r>
  <r>
    <x v="1"/>
    <x v="10"/>
    <x v="2"/>
    <x v="7"/>
    <x v="2"/>
    <x v="1"/>
    <n v="11522.938803306801"/>
    <n v="5508.0499999999993"/>
  </r>
  <r>
    <x v="2"/>
    <x v="0"/>
    <x v="0"/>
    <x v="0"/>
    <x v="0"/>
    <x v="0"/>
    <n v="25.834045572056301"/>
    <n v="5.3384130246993999"/>
  </r>
  <r>
    <x v="2"/>
    <x v="0"/>
    <x v="0"/>
    <x v="0"/>
    <x v="0"/>
    <x v="1"/>
    <n v="149.17090481125209"/>
    <n v="27.8525869752992"/>
  </r>
  <r>
    <x v="2"/>
    <x v="0"/>
    <x v="0"/>
    <x v="0"/>
    <x v="1"/>
    <x v="0"/>
    <n v="12150.254707663937"/>
    <n v="1940.5227772793969"/>
  </r>
  <r>
    <x v="2"/>
    <x v="0"/>
    <x v="0"/>
    <x v="0"/>
    <x v="1"/>
    <x v="1"/>
    <n v="4035.7136289157529"/>
    <n v="485.50415740179682"/>
  </r>
  <r>
    <x v="2"/>
    <x v="0"/>
    <x v="0"/>
    <x v="1"/>
    <x v="0"/>
    <x v="0"/>
    <n v="78.775605830090697"/>
    <n v="28.211531292299501"/>
  </r>
  <r>
    <x v="2"/>
    <x v="0"/>
    <x v="0"/>
    <x v="1"/>
    <x v="0"/>
    <x v="1"/>
    <n v="134.81777285856171"/>
    <n v="35.885840279499703"/>
  </r>
  <r>
    <x v="2"/>
    <x v="0"/>
    <x v="0"/>
    <x v="1"/>
    <x v="1"/>
    <x v="0"/>
    <n v="9100.8285562302008"/>
    <n v="1892.6513930465951"/>
  </r>
  <r>
    <x v="2"/>
    <x v="0"/>
    <x v="0"/>
    <x v="1"/>
    <x v="1"/>
    <x v="1"/>
    <n v="10117.109491831436"/>
    <n v="1660.2553274582961"/>
  </r>
  <r>
    <x v="2"/>
    <x v="0"/>
    <x v="1"/>
    <x v="2"/>
    <x v="2"/>
    <x v="0"/>
    <n v="2913.5282712194489"/>
    <n v="1494.2276623706955"/>
  </r>
  <r>
    <x v="2"/>
    <x v="0"/>
    <x v="1"/>
    <x v="2"/>
    <x v="2"/>
    <x v="1"/>
    <n v="23400.711851511998"/>
    <n v="12508.988888469197"/>
  </r>
  <r>
    <x v="2"/>
    <x v="0"/>
    <x v="1"/>
    <x v="2"/>
    <x v="3"/>
    <x v="1"/>
    <n v="13.84799676187"/>
    <n v="1"/>
  </r>
  <r>
    <x v="2"/>
    <x v="0"/>
    <x v="1"/>
    <x v="2"/>
    <x v="4"/>
    <x v="0"/>
    <n v="0.40917579747639998"/>
    <n v="0"/>
  </r>
  <r>
    <x v="2"/>
    <x v="0"/>
    <x v="1"/>
    <x v="2"/>
    <x v="4"/>
    <x v="1"/>
    <n v="19.141929874002301"/>
    <n v="0"/>
  </r>
  <r>
    <x v="2"/>
    <x v="0"/>
    <x v="1"/>
    <x v="2"/>
    <x v="5"/>
    <x v="0"/>
    <n v="31.9884119065612"/>
    <n v="0"/>
  </r>
  <r>
    <x v="2"/>
    <x v="0"/>
    <x v="1"/>
    <x v="2"/>
    <x v="5"/>
    <x v="1"/>
    <n v="77.252590609445804"/>
    <n v="0"/>
  </r>
  <r>
    <x v="2"/>
    <x v="0"/>
    <x v="1"/>
    <x v="2"/>
    <x v="6"/>
    <x v="0"/>
    <n v="717.36860279880682"/>
    <n v="0"/>
  </r>
  <r>
    <x v="2"/>
    <x v="0"/>
    <x v="1"/>
    <x v="2"/>
    <x v="6"/>
    <x v="1"/>
    <n v="1650.1904346077745"/>
    <n v="0"/>
  </r>
  <r>
    <x v="2"/>
    <x v="0"/>
    <x v="1"/>
    <x v="2"/>
    <x v="1"/>
    <x v="0"/>
    <n v="339.60114642838431"/>
    <n v="30.575999999999802"/>
  </r>
  <r>
    <x v="2"/>
    <x v="0"/>
    <x v="1"/>
    <x v="2"/>
    <x v="1"/>
    <x v="1"/>
    <n v="272.02057371674181"/>
    <n v="3.024"/>
  </r>
  <r>
    <x v="2"/>
    <x v="0"/>
    <x v="1"/>
    <x v="3"/>
    <x v="2"/>
    <x v="0"/>
    <n v="6876.2368684479707"/>
    <n v="2876.1508692600969"/>
  </r>
  <r>
    <x v="2"/>
    <x v="0"/>
    <x v="1"/>
    <x v="3"/>
    <x v="2"/>
    <x v="1"/>
    <n v="41527.351252412547"/>
    <n v="19456.773189634401"/>
  </r>
  <r>
    <x v="2"/>
    <x v="0"/>
    <x v="1"/>
    <x v="3"/>
    <x v="3"/>
    <x v="0"/>
    <n v="15.257267286409199"/>
    <n v="0"/>
  </r>
  <r>
    <x v="2"/>
    <x v="0"/>
    <x v="1"/>
    <x v="3"/>
    <x v="3"/>
    <x v="1"/>
    <n v="41.034695612321698"/>
    <n v="0"/>
  </r>
  <r>
    <x v="2"/>
    <x v="0"/>
    <x v="1"/>
    <x v="3"/>
    <x v="7"/>
    <x v="0"/>
    <n v="1009.5538304767911"/>
    <n v="480.47999999999962"/>
  </r>
  <r>
    <x v="2"/>
    <x v="0"/>
    <x v="1"/>
    <x v="3"/>
    <x v="7"/>
    <x v="1"/>
    <n v="6295.8723429033189"/>
    <n v="3523.52"/>
  </r>
  <r>
    <x v="2"/>
    <x v="0"/>
    <x v="1"/>
    <x v="3"/>
    <x v="5"/>
    <x v="0"/>
    <n v="243.55306569929141"/>
    <n v="0"/>
  </r>
  <r>
    <x v="2"/>
    <x v="0"/>
    <x v="1"/>
    <x v="3"/>
    <x v="5"/>
    <x v="1"/>
    <n v="629.50810526942007"/>
    <n v="0"/>
  </r>
  <r>
    <x v="2"/>
    <x v="0"/>
    <x v="1"/>
    <x v="3"/>
    <x v="6"/>
    <x v="0"/>
    <n v="86.358376356713606"/>
    <n v="0"/>
  </r>
  <r>
    <x v="2"/>
    <x v="0"/>
    <x v="1"/>
    <x v="3"/>
    <x v="6"/>
    <x v="1"/>
    <n v="235.1336688788534"/>
    <n v="0"/>
  </r>
  <r>
    <x v="2"/>
    <x v="0"/>
    <x v="1"/>
    <x v="3"/>
    <x v="1"/>
    <x v="0"/>
    <n v="318.9090565803877"/>
    <n v="13.1039999999998"/>
  </r>
  <r>
    <x v="2"/>
    <x v="0"/>
    <x v="1"/>
    <x v="3"/>
    <x v="1"/>
    <x v="1"/>
    <n v="566.84091979005166"/>
    <n v="1.296"/>
  </r>
  <r>
    <x v="2"/>
    <x v="0"/>
    <x v="1"/>
    <x v="4"/>
    <x v="2"/>
    <x v="1"/>
    <n v="9323.2252884511254"/>
    <n v="6643.8593902647972"/>
  </r>
  <r>
    <x v="2"/>
    <x v="0"/>
    <x v="1"/>
    <x v="4"/>
    <x v="6"/>
    <x v="1"/>
    <n v="14740.511889210418"/>
    <n v="9646.9999999999"/>
  </r>
  <r>
    <x v="2"/>
    <x v="0"/>
    <x v="1"/>
    <x v="4"/>
    <x v="1"/>
    <x v="1"/>
    <n v="1.0633239029300001E-2"/>
    <n v="0"/>
  </r>
  <r>
    <x v="2"/>
    <x v="0"/>
    <x v="2"/>
    <x v="5"/>
    <x v="2"/>
    <x v="0"/>
    <n v="2038.3125288993911"/>
    <n v="627.51830350539717"/>
  </r>
  <r>
    <x v="2"/>
    <x v="0"/>
    <x v="2"/>
    <x v="5"/>
    <x v="2"/>
    <x v="1"/>
    <n v="9028.0556389405683"/>
    <n v="2955.1255702908979"/>
  </r>
  <r>
    <x v="2"/>
    <x v="0"/>
    <x v="2"/>
    <x v="5"/>
    <x v="3"/>
    <x v="0"/>
    <n v="0.83291747164700003"/>
    <n v="0"/>
  </r>
  <r>
    <x v="2"/>
    <x v="0"/>
    <x v="2"/>
    <x v="5"/>
    <x v="8"/>
    <x v="0"/>
    <n v="5.0668305991593998"/>
    <n v="1.9288142739998"/>
  </r>
  <r>
    <x v="2"/>
    <x v="0"/>
    <x v="2"/>
    <x v="5"/>
    <x v="8"/>
    <x v="1"/>
    <n v="2.9065291518407999"/>
    <n v="1.0021857260999001"/>
  </r>
  <r>
    <x v="2"/>
    <x v="0"/>
    <x v="2"/>
    <x v="5"/>
    <x v="7"/>
    <x v="0"/>
    <n v="178.80825759320641"/>
    <n v="46.072309504899003"/>
  </r>
  <r>
    <x v="2"/>
    <x v="0"/>
    <x v="2"/>
    <x v="5"/>
    <x v="7"/>
    <x v="1"/>
    <n v="963.79759416882303"/>
    <n v="272.75071349489889"/>
  </r>
  <r>
    <x v="2"/>
    <x v="0"/>
    <x v="2"/>
    <x v="5"/>
    <x v="1"/>
    <x v="0"/>
    <n v="16.8877415509751"/>
    <n v="1.5751887703998"/>
  </r>
  <r>
    <x v="2"/>
    <x v="0"/>
    <x v="2"/>
    <x v="5"/>
    <x v="1"/>
    <x v="1"/>
    <n v="42.884754200022201"/>
    <n v="0.42696251899999998"/>
  </r>
  <r>
    <x v="2"/>
    <x v="0"/>
    <x v="2"/>
    <x v="5"/>
    <x v="9"/>
    <x v="0"/>
    <n v="0.90053054554980005"/>
    <n v="0"/>
  </r>
  <r>
    <x v="2"/>
    <x v="0"/>
    <x v="2"/>
    <x v="5"/>
    <x v="9"/>
    <x v="1"/>
    <n v="3.6536915222394"/>
    <n v="0"/>
  </r>
  <r>
    <x v="2"/>
    <x v="0"/>
    <x v="2"/>
    <x v="6"/>
    <x v="0"/>
    <x v="0"/>
    <n v="91.194790884231594"/>
    <n v="16.0633719234993"/>
  </r>
  <r>
    <x v="2"/>
    <x v="0"/>
    <x v="2"/>
    <x v="6"/>
    <x v="0"/>
    <x v="1"/>
    <n v="489.82392901023991"/>
    <n v="187.9202565044996"/>
  </r>
  <r>
    <x v="2"/>
    <x v="0"/>
    <x v="2"/>
    <x v="6"/>
    <x v="1"/>
    <x v="0"/>
    <n v="1197.0843394925089"/>
    <n v="238.46612914919581"/>
  </r>
  <r>
    <x v="2"/>
    <x v="0"/>
    <x v="2"/>
    <x v="6"/>
    <x v="1"/>
    <x v="1"/>
    <n v="1669.0612202287"/>
    <n v="542.49935738399518"/>
  </r>
  <r>
    <x v="2"/>
    <x v="0"/>
    <x v="2"/>
    <x v="7"/>
    <x v="2"/>
    <x v="1"/>
    <n v="7658.5087043194098"/>
    <n v="1621.1"/>
  </r>
  <r>
    <x v="2"/>
    <x v="1"/>
    <x v="0"/>
    <x v="0"/>
    <x v="0"/>
    <x v="0"/>
    <n v="217.73399785792409"/>
    <n v="53.546679999999299"/>
  </r>
  <r>
    <x v="2"/>
    <x v="1"/>
    <x v="0"/>
    <x v="0"/>
    <x v="0"/>
    <x v="1"/>
    <n v="143.322885331469"/>
    <n v="24.971319999999402"/>
  </r>
  <r>
    <x v="2"/>
    <x v="1"/>
    <x v="0"/>
    <x v="0"/>
    <x v="1"/>
    <x v="0"/>
    <n v="29254.473463850871"/>
    <n v="5976.3809980015958"/>
  </r>
  <r>
    <x v="2"/>
    <x v="1"/>
    <x v="0"/>
    <x v="0"/>
    <x v="1"/>
    <x v="1"/>
    <n v="18862.040804098731"/>
    <n v="2916.2119218968969"/>
  </r>
  <r>
    <x v="2"/>
    <x v="1"/>
    <x v="0"/>
    <x v="1"/>
    <x v="0"/>
    <x v="0"/>
    <n v="396.0932063799446"/>
    <n v="83.137563999099399"/>
  </r>
  <r>
    <x v="2"/>
    <x v="1"/>
    <x v="0"/>
    <x v="1"/>
    <x v="0"/>
    <x v="1"/>
    <n v="213.90313760000731"/>
    <n v="39.695506000499599"/>
  </r>
  <r>
    <x v="2"/>
    <x v="1"/>
    <x v="0"/>
    <x v="1"/>
    <x v="1"/>
    <x v="0"/>
    <n v="21615.787567505449"/>
    <n v="4876.9566738960966"/>
  </r>
  <r>
    <x v="2"/>
    <x v="1"/>
    <x v="0"/>
    <x v="1"/>
    <x v="1"/>
    <x v="1"/>
    <n v="31720.798793749491"/>
    <n v="6624.3354243268977"/>
  </r>
  <r>
    <x v="2"/>
    <x v="1"/>
    <x v="1"/>
    <x v="2"/>
    <x v="2"/>
    <x v="0"/>
    <n v="34953.007967841942"/>
    <n v="16679.394173460485"/>
  </r>
  <r>
    <x v="2"/>
    <x v="1"/>
    <x v="1"/>
    <x v="2"/>
    <x v="2"/>
    <x v="1"/>
    <n v="304342.2419543484"/>
    <n v="163982.03911497831"/>
  </r>
  <r>
    <x v="2"/>
    <x v="1"/>
    <x v="1"/>
    <x v="2"/>
    <x v="3"/>
    <x v="0"/>
    <n v="201.83809149188289"/>
    <n v="5.7779999999999996"/>
  </r>
  <r>
    <x v="2"/>
    <x v="1"/>
    <x v="1"/>
    <x v="2"/>
    <x v="3"/>
    <x v="1"/>
    <n v="276.96933642329918"/>
    <n v="4.0220000000000002"/>
  </r>
  <r>
    <x v="2"/>
    <x v="1"/>
    <x v="1"/>
    <x v="2"/>
    <x v="5"/>
    <x v="0"/>
    <n v="388.8310929652136"/>
    <n v="0"/>
  </r>
  <r>
    <x v="2"/>
    <x v="1"/>
    <x v="1"/>
    <x v="2"/>
    <x v="5"/>
    <x v="1"/>
    <n v="2071.7966621478122"/>
    <n v="0"/>
  </r>
  <r>
    <x v="2"/>
    <x v="1"/>
    <x v="1"/>
    <x v="2"/>
    <x v="6"/>
    <x v="0"/>
    <n v="8860.4032900063321"/>
    <n v="0"/>
  </r>
  <r>
    <x v="2"/>
    <x v="1"/>
    <x v="1"/>
    <x v="2"/>
    <x v="6"/>
    <x v="1"/>
    <n v="56395.33559232339"/>
    <n v="0"/>
  </r>
  <r>
    <x v="2"/>
    <x v="1"/>
    <x v="1"/>
    <x v="2"/>
    <x v="1"/>
    <x v="0"/>
    <n v="461.37407298762213"/>
    <n v="0.9966000521999"/>
  </r>
  <r>
    <x v="2"/>
    <x v="1"/>
    <x v="1"/>
    <x v="2"/>
    <x v="1"/>
    <x v="1"/>
    <n v="2619.5938611438246"/>
    <n v="4.1734002376995996"/>
  </r>
  <r>
    <x v="2"/>
    <x v="1"/>
    <x v="1"/>
    <x v="3"/>
    <x v="2"/>
    <x v="0"/>
    <n v="12364.866081769111"/>
    <n v="4551.2492395326954"/>
  </r>
  <r>
    <x v="2"/>
    <x v="1"/>
    <x v="1"/>
    <x v="3"/>
    <x v="2"/>
    <x v="1"/>
    <n v="79924.826302072426"/>
    <n v="35677.814193441998"/>
  </r>
  <r>
    <x v="2"/>
    <x v="1"/>
    <x v="1"/>
    <x v="3"/>
    <x v="3"/>
    <x v="0"/>
    <n v="752.70973918087702"/>
    <n v="0"/>
  </r>
  <r>
    <x v="2"/>
    <x v="1"/>
    <x v="1"/>
    <x v="3"/>
    <x v="3"/>
    <x v="1"/>
    <n v="3870.2006648905749"/>
    <n v="0"/>
  </r>
  <r>
    <x v="2"/>
    <x v="1"/>
    <x v="1"/>
    <x v="3"/>
    <x v="7"/>
    <x v="0"/>
    <n v="4893.9117237401479"/>
    <n v="1680.2589999999998"/>
  </r>
  <r>
    <x v="2"/>
    <x v="1"/>
    <x v="1"/>
    <x v="3"/>
    <x v="7"/>
    <x v="1"/>
    <n v="18635.85078037771"/>
    <n v="5319.741"/>
  </r>
  <r>
    <x v="2"/>
    <x v="1"/>
    <x v="1"/>
    <x v="3"/>
    <x v="5"/>
    <x v="0"/>
    <n v="239.7019794009143"/>
    <n v="0"/>
  </r>
  <r>
    <x v="2"/>
    <x v="1"/>
    <x v="1"/>
    <x v="3"/>
    <x v="5"/>
    <x v="1"/>
    <n v="1197.2640446675771"/>
    <n v="0"/>
  </r>
  <r>
    <x v="2"/>
    <x v="1"/>
    <x v="1"/>
    <x v="3"/>
    <x v="6"/>
    <x v="0"/>
    <n v="202.74177136401329"/>
    <n v="0"/>
  </r>
  <r>
    <x v="2"/>
    <x v="1"/>
    <x v="1"/>
    <x v="3"/>
    <x v="6"/>
    <x v="1"/>
    <n v="989.85858965966725"/>
    <n v="0"/>
  </r>
  <r>
    <x v="2"/>
    <x v="1"/>
    <x v="1"/>
    <x v="3"/>
    <x v="1"/>
    <x v="0"/>
    <n v="519.64762469595655"/>
    <n v="1.4604998115998"/>
  </r>
  <r>
    <x v="2"/>
    <x v="1"/>
    <x v="1"/>
    <x v="3"/>
    <x v="1"/>
    <x v="1"/>
    <n v="2509.298888939064"/>
    <n v="0.76949989859989998"/>
  </r>
  <r>
    <x v="2"/>
    <x v="1"/>
    <x v="1"/>
    <x v="4"/>
    <x v="2"/>
    <x v="0"/>
    <n v="2819.2919784381593"/>
    <n v="1788.2742830636953"/>
  </r>
  <r>
    <x v="2"/>
    <x v="1"/>
    <x v="1"/>
    <x v="4"/>
    <x v="2"/>
    <x v="1"/>
    <n v="167209.99527997884"/>
    <n v="80533.728995480604"/>
  </r>
  <r>
    <x v="2"/>
    <x v="1"/>
    <x v="1"/>
    <x v="4"/>
    <x v="4"/>
    <x v="1"/>
    <n v="74.145210598871998"/>
    <n v="0"/>
  </r>
  <r>
    <x v="2"/>
    <x v="1"/>
    <x v="1"/>
    <x v="4"/>
    <x v="5"/>
    <x v="0"/>
    <n v="11.913007664153399"/>
    <n v="6.6149999999998998"/>
  </r>
  <r>
    <x v="2"/>
    <x v="1"/>
    <x v="1"/>
    <x v="4"/>
    <x v="5"/>
    <x v="1"/>
    <n v="1428.6710674185299"/>
    <n v="654.88499999999999"/>
  </r>
  <r>
    <x v="2"/>
    <x v="1"/>
    <x v="1"/>
    <x v="4"/>
    <x v="6"/>
    <x v="1"/>
    <n v="480001.99453295307"/>
    <n v="161437.9"/>
  </r>
  <r>
    <x v="2"/>
    <x v="1"/>
    <x v="2"/>
    <x v="5"/>
    <x v="2"/>
    <x v="0"/>
    <n v="1500.0503399090651"/>
    <n v="891.50217833969532"/>
  </r>
  <r>
    <x v="2"/>
    <x v="1"/>
    <x v="2"/>
    <x v="5"/>
    <x v="2"/>
    <x v="1"/>
    <n v="18196.304149532109"/>
    <n v="4298.3518216579978"/>
  </r>
  <r>
    <x v="2"/>
    <x v="1"/>
    <x v="2"/>
    <x v="5"/>
    <x v="8"/>
    <x v="0"/>
    <n v="56.339536306492398"/>
    <n v="20.913624356799801"/>
  </r>
  <r>
    <x v="2"/>
    <x v="1"/>
    <x v="2"/>
    <x v="5"/>
    <x v="8"/>
    <x v="1"/>
    <n v="7.1393237503078"/>
    <n v="1.7495956428996999"/>
  </r>
  <r>
    <x v="2"/>
    <x v="1"/>
    <x v="2"/>
    <x v="5"/>
    <x v="7"/>
    <x v="0"/>
    <n v="686.73323080786417"/>
    <n v="263.90950999999922"/>
  </r>
  <r>
    <x v="2"/>
    <x v="1"/>
    <x v="2"/>
    <x v="5"/>
    <x v="7"/>
    <x v="1"/>
    <n v="2741.0748421027388"/>
    <n v="579.98748999999987"/>
  </r>
  <r>
    <x v="2"/>
    <x v="1"/>
    <x v="2"/>
    <x v="5"/>
    <x v="1"/>
    <x v="0"/>
    <n v="4.9184278220467998"/>
    <n v="0"/>
  </r>
  <r>
    <x v="2"/>
    <x v="1"/>
    <x v="2"/>
    <x v="5"/>
    <x v="1"/>
    <x v="1"/>
    <n v="27.685691232847599"/>
    <n v="0"/>
  </r>
  <r>
    <x v="2"/>
    <x v="1"/>
    <x v="2"/>
    <x v="5"/>
    <x v="9"/>
    <x v="0"/>
    <n v="8.8057298998899997E-2"/>
    <n v="0"/>
  </r>
  <r>
    <x v="2"/>
    <x v="1"/>
    <x v="2"/>
    <x v="5"/>
    <x v="9"/>
    <x v="1"/>
    <n v="3.0598833615952001"/>
    <n v="0"/>
  </r>
  <r>
    <x v="2"/>
    <x v="1"/>
    <x v="2"/>
    <x v="6"/>
    <x v="0"/>
    <x v="0"/>
    <n v="680.3288172040335"/>
    <n v="193.1440357999993"/>
  </r>
  <r>
    <x v="2"/>
    <x v="1"/>
    <x v="2"/>
    <x v="6"/>
    <x v="0"/>
    <x v="1"/>
    <n v="1351.2350038478439"/>
    <n v="259.54489420039931"/>
  </r>
  <r>
    <x v="2"/>
    <x v="1"/>
    <x v="2"/>
    <x v="6"/>
    <x v="1"/>
    <x v="0"/>
    <n v="3144.4299426275529"/>
    <n v="1017.0870807959965"/>
  </r>
  <r>
    <x v="2"/>
    <x v="1"/>
    <x v="2"/>
    <x v="6"/>
    <x v="1"/>
    <x v="1"/>
    <n v="6918.4256207672506"/>
    <n v="1844.357600982295"/>
  </r>
  <r>
    <x v="2"/>
    <x v="1"/>
    <x v="2"/>
    <x v="7"/>
    <x v="2"/>
    <x v="1"/>
    <n v="19363.8697004436"/>
    <n v="5587"/>
  </r>
  <r>
    <x v="2"/>
    <x v="2"/>
    <x v="0"/>
    <x v="0"/>
    <x v="0"/>
    <x v="0"/>
    <n v="57.476918032566097"/>
    <n v="9.2292935999999006"/>
  </r>
  <r>
    <x v="2"/>
    <x v="2"/>
    <x v="0"/>
    <x v="0"/>
    <x v="0"/>
    <x v="1"/>
    <n v="267.49639474728559"/>
    <n v="30.592706399999901"/>
  </r>
  <r>
    <x v="2"/>
    <x v="2"/>
    <x v="0"/>
    <x v="0"/>
    <x v="1"/>
    <x v="0"/>
    <n v="18844.165213521021"/>
    <n v="1870.5126527689979"/>
  </r>
  <r>
    <x v="2"/>
    <x v="2"/>
    <x v="0"/>
    <x v="0"/>
    <x v="1"/>
    <x v="1"/>
    <n v="6120.5392042149497"/>
    <n v="657.07849168119697"/>
  </r>
  <r>
    <x v="2"/>
    <x v="2"/>
    <x v="0"/>
    <x v="1"/>
    <x v="0"/>
    <x v="0"/>
    <n v="93.937456380850804"/>
    <n v="11.978103793099899"/>
  </r>
  <r>
    <x v="2"/>
    <x v="2"/>
    <x v="0"/>
    <x v="1"/>
    <x v="0"/>
    <x v="1"/>
    <n v="220.57883510568359"/>
    <n v="27.0370150679998"/>
  </r>
  <r>
    <x v="2"/>
    <x v="2"/>
    <x v="0"/>
    <x v="1"/>
    <x v="1"/>
    <x v="0"/>
    <n v="12907.250523636751"/>
    <n v="1405.8481224175971"/>
  </r>
  <r>
    <x v="2"/>
    <x v="2"/>
    <x v="0"/>
    <x v="1"/>
    <x v="1"/>
    <x v="1"/>
    <n v="15123.36336641203"/>
    <n v="2004.7247578032991"/>
  </r>
  <r>
    <x v="2"/>
    <x v="2"/>
    <x v="1"/>
    <x v="2"/>
    <x v="2"/>
    <x v="0"/>
    <n v="1986.698815424038"/>
    <n v="1093.131436197096"/>
  </r>
  <r>
    <x v="2"/>
    <x v="2"/>
    <x v="1"/>
    <x v="2"/>
    <x v="2"/>
    <x v="1"/>
    <n v="41314.168418578003"/>
    <n v="22216.919871533799"/>
  </r>
  <r>
    <x v="2"/>
    <x v="2"/>
    <x v="1"/>
    <x v="2"/>
    <x v="4"/>
    <x v="0"/>
    <n v="0.1726790669196"/>
    <n v="0"/>
  </r>
  <r>
    <x v="2"/>
    <x v="2"/>
    <x v="1"/>
    <x v="2"/>
    <x v="4"/>
    <x v="1"/>
    <n v="0.56652140062589995"/>
    <n v="0"/>
  </r>
  <r>
    <x v="2"/>
    <x v="2"/>
    <x v="1"/>
    <x v="2"/>
    <x v="5"/>
    <x v="0"/>
    <n v="33.490950986130997"/>
    <n v="0"/>
  </r>
  <r>
    <x v="2"/>
    <x v="2"/>
    <x v="1"/>
    <x v="2"/>
    <x v="5"/>
    <x v="1"/>
    <n v="96.378933323212905"/>
    <n v="0"/>
  </r>
  <r>
    <x v="2"/>
    <x v="2"/>
    <x v="1"/>
    <x v="2"/>
    <x v="6"/>
    <x v="0"/>
    <n v="720.62907922212503"/>
    <n v="0"/>
  </r>
  <r>
    <x v="2"/>
    <x v="2"/>
    <x v="1"/>
    <x v="2"/>
    <x v="6"/>
    <x v="1"/>
    <n v="2573.6560444500601"/>
    <n v="0.34513769859990001"/>
  </r>
  <r>
    <x v="2"/>
    <x v="2"/>
    <x v="1"/>
    <x v="2"/>
    <x v="1"/>
    <x v="0"/>
    <n v="146.7112064697105"/>
    <n v="15.1199999999999"/>
  </r>
  <r>
    <x v="2"/>
    <x v="2"/>
    <x v="1"/>
    <x v="2"/>
    <x v="1"/>
    <x v="1"/>
    <n v="325.08400103804712"/>
    <n v="1.68"/>
  </r>
  <r>
    <x v="2"/>
    <x v="2"/>
    <x v="1"/>
    <x v="3"/>
    <x v="2"/>
    <x v="0"/>
    <n v="2583.9029380807519"/>
    <n v="717.32711688729796"/>
  </r>
  <r>
    <x v="2"/>
    <x v="2"/>
    <x v="1"/>
    <x v="3"/>
    <x v="2"/>
    <x v="1"/>
    <n v="30582.900888378699"/>
    <n v="10496.4121381928"/>
  </r>
  <r>
    <x v="2"/>
    <x v="2"/>
    <x v="1"/>
    <x v="3"/>
    <x v="3"/>
    <x v="0"/>
    <n v="29.161581170708001"/>
    <n v="0"/>
  </r>
  <r>
    <x v="2"/>
    <x v="2"/>
    <x v="1"/>
    <x v="3"/>
    <x v="3"/>
    <x v="1"/>
    <n v="77.189896004148693"/>
    <n v="0"/>
  </r>
  <r>
    <x v="2"/>
    <x v="2"/>
    <x v="1"/>
    <x v="3"/>
    <x v="7"/>
    <x v="0"/>
    <n v="1507.810753186684"/>
    <n v="556.17999998990001"/>
  </r>
  <r>
    <x v="2"/>
    <x v="2"/>
    <x v="1"/>
    <x v="3"/>
    <x v="7"/>
    <x v="1"/>
    <n v="8549.9399081253869"/>
    <n v="4043.8200000101001"/>
  </r>
  <r>
    <x v="2"/>
    <x v="2"/>
    <x v="1"/>
    <x v="3"/>
    <x v="5"/>
    <x v="0"/>
    <n v="599.22640235010897"/>
    <n v="0"/>
  </r>
  <r>
    <x v="2"/>
    <x v="2"/>
    <x v="1"/>
    <x v="3"/>
    <x v="5"/>
    <x v="1"/>
    <n v="1461.161055486084"/>
    <n v="0"/>
  </r>
  <r>
    <x v="2"/>
    <x v="2"/>
    <x v="1"/>
    <x v="3"/>
    <x v="6"/>
    <x v="0"/>
    <n v="196.18298123068089"/>
    <n v="0"/>
  </r>
  <r>
    <x v="2"/>
    <x v="2"/>
    <x v="1"/>
    <x v="3"/>
    <x v="6"/>
    <x v="1"/>
    <n v="517.66548284642897"/>
    <n v="0"/>
  </r>
  <r>
    <x v="2"/>
    <x v="2"/>
    <x v="1"/>
    <x v="3"/>
    <x v="1"/>
    <x v="0"/>
    <n v="285.60573421019831"/>
    <n v="3.7799999999998999"/>
  </r>
  <r>
    <x v="2"/>
    <x v="2"/>
    <x v="1"/>
    <x v="3"/>
    <x v="1"/>
    <x v="1"/>
    <n v="1060.661459138021"/>
    <n v="0.42"/>
  </r>
  <r>
    <x v="2"/>
    <x v="2"/>
    <x v="1"/>
    <x v="4"/>
    <x v="2"/>
    <x v="1"/>
    <n v="16227.242066153611"/>
    <n v="10738.2094371888"/>
  </r>
  <r>
    <x v="2"/>
    <x v="2"/>
    <x v="1"/>
    <x v="4"/>
    <x v="5"/>
    <x v="0"/>
    <n v="0.59164698599099996"/>
    <n v="0"/>
  </r>
  <r>
    <x v="2"/>
    <x v="2"/>
    <x v="1"/>
    <x v="4"/>
    <x v="5"/>
    <x v="1"/>
    <n v="0.59164698599099996"/>
    <n v="0"/>
  </r>
  <r>
    <x v="2"/>
    <x v="2"/>
    <x v="1"/>
    <x v="4"/>
    <x v="6"/>
    <x v="1"/>
    <n v="22263.844965308101"/>
    <n v="12258.6548623013"/>
  </r>
  <r>
    <x v="2"/>
    <x v="2"/>
    <x v="2"/>
    <x v="5"/>
    <x v="2"/>
    <x v="0"/>
    <n v="872.45164725667098"/>
    <n v="221.12942755549849"/>
  </r>
  <r>
    <x v="2"/>
    <x v="2"/>
    <x v="2"/>
    <x v="5"/>
    <x v="2"/>
    <x v="1"/>
    <n v="6121.6475128685097"/>
    <n v="2124.7539046769989"/>
  </r>
  <r>
    <x v="2"/>
    <x v="2"/>
    <x v="2"/>
    <x v="5"/>
    <x v="3"/>
    <x v="0"/>
    <n v="0.68980162837369996"/>
    <n v="0"/>
  </r>
  <r>
    <x v="2"/>
    <x v="2"/>
    <x v="2"/>
    <x v="5"/>
    <x v="8"/>
    <x v="0"/>
    <n v="9.2700160501700005E-2"/>
    <n v="2.5755625000000002E-3"/>
  </r>
  <r>
    <x v="2"/>
    <x v="2"/>
    <x v="2"/>
    <x v="5"/>
    <x v="8"/>
    <x v="1"/>
    <n v="9.6392868656799996E-2"/>
    <n v="2.5755625000000002E-3"/>
  </r>
  <r>
    <x v="2"/>
    <x v="2"/>
    <x v="2"/>
    <x v="5"/>
    <x v="7"/>
    <x v="0"/>
    <n v="283.78397656025868"/>
    <n v="89.936119999999505"/>
  </r>
  <r>
    <x v="2"/>
    <x v="2"/>
    <x v="2"/>
    <x v="5"/>
    <x v="7"/>
    <x v="1"/>
    <n v="796.3729257952017"/>
    <n v="222.28208000000001"/>
  </r>
  <r>
    <x v="2"/>
    <x v="2"/>
    <x v="2"/>
    <x v="5"/>
    <x v="1"/>
    <x v="0"/>
    <n v="2.7300973188738999"/>
    <n v="0.62608652679989996"/>
  </r>
  <r>
    <x v="2"/>
    <x v="2"/>
    <x v="2"/>
    <x v="5"/>
    <x v="1"/>
    <x v="1"/>
    <n v="11.208743246859999"/>
    <n v="0.19175008439999999"/>
  </r>
  <r>
    <x v="2"/>
    <x v="2"/>
    <x v="2"/>
    <x v="5"/>
    <x v="9"/>
    <x v="0"/>
    <n v="2.3133474814300001"/>
    <n v="0"/>
  </r>
  <r>
    <x v="2"/>
    <x v="2"/>
    <x v="2"/>
    <x v="5"/>
    <x v="9"/>
    <x v="1"/>
    <n v="5.8490128733433"/>
    <n v="0"/>
  </r>
  <r>
    <x v="2"/>
    <x v="2"/>
    <x v="2"/>
    <x v="6"/>
    <x v="0"/>
    <x v="0"/>
    <n v="113.0780854980751"/>
    <n v="28.865372832399899"/>
  </r>
  <r>
    <x v="2"/>
    <x v="2"/>
    <x v="2"/>
    <x v="6"/>
    <x v="0"/>
    <x v="1"/>
    <n v="418.08625495943181"/>
    <n v="101.74950830660001"/>
  </r>
  <r>
    <x v="2"/>
    <x v="2"/>
    <x v="2"/>
    <x v="6"/>
    <x v="1"/>
    <x v="0"/>
    <n v="1411.4596394361361"/>
    <n v="300.48619256959802"/>
  </r>
  <r>
    <x v="2"/>
    <x v="2"/>
    <x v="2"/>
    <x v="6"/>
    <x v="1"/>
    <x v="1"/>
    <n v="1318.81783224796"/>
    <n v="404.28772800829802"/>
  </r>
  <r>
    <x v="2"/>
    <x v="2"/>
    <x v="2"/>
    <x v="7"/>
    <x v="2"/>
    <x v="1"/>
    <n v="4313.7834909506"/>
    <n v="1504.37"/>
  </r>
  <r>
    <x v="2"/>
    <x v="3"/>
    <x v="0"/>
    <x v="0"/>
    <x v="0"/>
    <x v="0"/>
    <n v="942.16366740295848"/>
    <n v="176.2355599999994"/>
  </r>
  <r>
    <x v="2"/>
    <x v="3"/>
    <x v="0"/>
    <x v="0"/>
    <x v="0"/>
    <x v="1"/>
    <n v="590.55977399923495"/>
    <n v="126.6874399999998"/>
  </r>
  <r>
    <x v="2"/>
    <x v="3"/>
    <x v="0"/>
    <x v="0"/>
    <x v="1"/>
    <x v="0"/>
    <n v="108108.40492284167"/>
    <n v="23863.917411640898"/>
  </r>
  <r>
    <x v="2"/>
    <x v="3"/>
    <x v="0"/>
    <x v="0"/>
    <x v="1"/>
    <x v="1"/>
    <n v="66756.671178724835"/>
    <n v="11363.779888362697"/>
  </r>
  <r>
    <x v="2"/>
    <x v="3"/>
    <x v="0"/>
    <x v="1"/>
    <x v="0"/>
    <x v="0"/>
    <n v="1591.9151033520659"/>
    <n v="352.20191659999989"/>
  </r>
  <r>
    <x v="2"/>
    <x v="3"/>
    <x v="0"/>
    <x v="1"/>
    <x v="0"/>
    <x v="1"/>
    <n v="1321.847684440236"/>
    <n v="318.79821339999938"/>
  </r>
  <r>
    <x v="2"/>
    <x v="3"/>
    <x v="0"/>
    <x v="1"/>
    <x v="1"/>
    <x v="0"/>
    <n v="41946.027831699765"/>
    <n v="7707.4480715265972"/>
  </r>
  <r>
    <x v="2"/>
    <x v="3"/>
    <x v="0"/>
    <x v="1"/>
    <x v="1"/>
    <x v="1"/>
    <n v="39863.720828243022"/>
    <n v="7438.1704476387977"/>
  </r>
  <r>
    <x v="2"/>
    <x v="3"/>
    <x v="1"/>
    <x v="2"/>
    <x v="2"/>
    <x v="0"/>
    <n v="78875.656165633583"/>
    <n v="32008.403728054596"/>
  </r>
  <r>
    <x v="2"/>
    <x v="3"/>
    <x v="1"/>
    <x v="2"/>
    <x v="2"/>
    <x v="1"/>
    <n v="442547.21807363775"/>
    <n v="181595.2780254159"/>
  </r>
  <r>
    <x v="2"/>
    <x v="3"/>
    <x v="1"/>
    <x v="2"/>
    <x v="3"/>
    <x v="0"/>
    <n v="33.997548602873202"/>
    <n v="6.0799999999998997"/>
  </r>
  <r>
    <x v="2"/>
    <x v="3"/>
    <x v="1"/>
    <x v="2"/>
    <x v="3"/>
    <x v="1"/>
    <n v="19.768529610383698"/>
    <n v="1.52"/>
  </r>
  <r>
    <x v="2"/>
    <x v="3"/>
    <x v="1"/>
    <x v="2"/>
    <x v="5"/>
    <x v="0"/>
    <n v="636.30225102414772"/>
    <n v="0"/>
  </r>
  <r>
    <x v="2"/>
    <x v="3"/>
    <x v="1"/>
    <x v="2"/>
    <x v="5"/>
    <x v="1"/>
    <n v="3162.1957147435587"/>
    <n v="0"/>
  </r>
  <r>
    <x v="2"/>
    <x v="3"/>
    <x v="1"/>
    <x v="2"/>
    <x v="6"/>
    <x v="0"/>
    <n v="6057.6964365603699"/>
    <n v="27.375"/>
  </r>
  <r>
    <x v="2"/>
    <x v="3"/>
    <x v="1"/>
    <x v="2"/>
    <x v="6"/>
    <x v="1"/>
    <n v="31283.9105124126"/>
    <n v="27.375"/>
  </r>
  <r>
    <x v="2"/>
    <x v="3"/>
    <x v="1"/>
    <x v="2"/>
    <x v="1"/>
    <x v="0"/>
    <n v="241.23883757756369"/>
    <n v="1.6"/>
  </r>
  <r>
    <x v="2"/>
    <x v="3"/>
    <x v="1"/>
    <x v="2"/>
    <x v="1"/>
    <x v="1"/>
    <n v="1108.4863351724082"/>
    <n v="1.6"/>
  </r>
  <r>
    <x v="2"/>
    <x v="3"/>
    <x v="1"/>
    <x v="3"/>
    <x v="2"/>
    <x v="0"/>
    <n v="14203.859622528244"/>
    <n v="6796.7210580189976"/>
  </r>
  <r>
    <x v="2"/>
    <x v="3"/>
    <x v="1"/>
    <x v="3"/>
    <x v="2"/>
    <x v="1"/>
    <n v="135013.84745741848"/>
    <n v="67288.474392223696"/>
  </r>
  <r>
    <x v="2"/>
    <x v="3"/>
    <x v="1"/>
    <x v="3"/>
    <x v="3"/>
    <x v="0"/>
    <n v="53.6862106993376"/>
    <n v="0"/>
  </r>
  <r>
    <x v="2"/>
    <x v="3"/>
    <x v="1"/>
    <x v="3"/>
    <x v="3"/>
    <x v="1"/>
    <n v="271.9192651075"/>
    <n v="0"/>
  </r>
  <r>
    <x v="2"/>
    <x v="3"/>
    <x v="1"/>
    <x v="3"/>
    <x v="7"/>
    <x v="0"/>
    <n v="28150.00549600329"/>
    <n v="11966.325000000001"/>
  </r>
  <r>
    <x v="2"/>
    <x v="3"/>
    <x v="1"/>
    <x v="3"/>
    <x v="7"/>
    <x v="1"/>
    <n v="96072.706444437543"/>
    <n v="35898.974999999999"/>
  </r>
  <r>
    <x v="2"/>
    <x v="3"/>
    <x v="1"/>
    <x v="3"/>
    <x v="5"/>
    <x v="0"/>
    <n v="161.7515965732193"/>
    <n v="0"/>
  </r>
  <r>
    <x v="2"/>
    <x v="3"/>
    <x v="1"/>
    <x v="3"/>
    <x v="5"/>
    <x v="1"/>
    <n v="859.59218678862908"/>
    <n v="0"/>
  </r>
  <r>
    <x v="2"/>
    <x v="3"/>
    <x v="1"/>
    <x v="3"/>
    <x v="6"/>
    <x v="0"/>
    <n v="270.083861138229"/>
    <n v="0"/>
  </r>
  <r>
    <x v="2"/>
    <x v="3"/>
    <x v="1"/>
    <x v="3"/>
    <x v="6"/>
    <x v="1"/>
    <n v="1367.4710589236336"/>
    <n v="0"/>
  </r>
  <r>
    <x v="2"/>
    <x v="3"/>
    <x v="1"/>
    <x v="3"/>
    <x v="1"/>
    <x v="0"/>
    <n v="170.51677105754999"/>
    <n v="0.4"/>
  </r>
  <r>
    <x v="2"/>
    <x v="3"/>
    <x v="1"/>
    <x v="3"/>
    <x v="1"/>
    <x v="1"/>
    <n v="984.48528438314599"/>
    <n v="0.4"/>
  </r>
  <r>
    <x v="2"/>
    <x v="3"/>
    <x v="1"/>
    <x v="4"/>
    <x v="2"/>
    <x v="0"/>
    <n v="3401.8457466603709"/>
    <n v="1008.2354553599955"/>
  </r>
  <r>
    <x v="2"/>
    <x v="3"/>
    <x v="1"/>
    <x v="4"/>
    <x v="2"/>
    <x v="1"/>
    <n v="274503.89698002144"/>
    <n v="99727.990340946504"/>
  </r>
  <r>
    <x v="2"/>
    <x v="3"/>
    <x v="1"/>
    <x v="4"/>
    <x v="6"/>
    <x v="0"/>
    <n v="661.04543793117261"/>
    <n v="119.6259986823995"/>
  </r>
  <r>
    <x v="2"/>
    <x v="3"/>
    <x v="1"/>
    <x v="4"/>
    <x v="6"/>
    <x v="1"/>
    <n v="61513.401419917958"/>
    <n v="9160.2240013168994"/>
  </r>
  <r>
    <x v="2"/>
    <x v="3"/>
    <x v="2"/>
    <x v="5"/>
    <x v="2"/>
    <x v="0"/>
    <n v="5936.4897579940553"/>
    <n v="2289.4062779456985"/>
  </r>
  <r>
    <x v="2"/>
    <x v="3"/>
    <x v="2"/>
    <x v="5"/>
    <x v="2"/>
    <x v="1"/>
    <n v="20137.219079014892"/>
    <n v="6149.4727847363984"/>
  </r>
  <r>
    <x v="2"/>
    <x v="3"/>
    <x v="2"/>
    <x v="5"/>
    <x v="3"/>
    <x v="0"/>
    <n v="0.1011699358783"/>
    <n v="0"/>
  </r>
  <r>
    <x v="2"/>
    <x v="3"/>
    <x v="2"/>
    <x v="5"/>
    <x v="3"/>
    <x v="1"/>
    <n v="2.1908800091824001"/>
    <n v="0"/>
  </r>
  <r>
    <x v="2"/>
    <x v="3"/>
    <x v="2"/>
    <x v="5"/>
    <x v="8"/>
    <x v="0"/>
    <n v="18.531390150460801"/>
    <n v="12.7619762499997"/>
  </r>
  <r>
    <x v="2"/>
    <x v="3"/>
    <x v="2"/>
    <x v="5"/>
    <x v="8"/>
    <x v="1"/>
    <n v="1.7968706567268"/>
    <n v="0.10002374980000001"/>
  </r>
  <r>
    <x v="2"/>
    <x v="3"/>
    <x v="2"/>
    <x v="5"/>
    <x v="7"/>
    <x v="0"/>
    <n v="7218.2210532761919"/>
    <n v="2579.1706099999997"/>
  </r>
  <r>
    <x v="2"/>
    <x v="3"/>
    <x v="2"/>
    <x v="5"/>
    <x v="7"/>
    <x v="1"/>
    <n v="33276.651946721569"/>
    <n v="7001.1093899999996"/>
  </r>
  <r>
    <x v="2"/>
    <x v="3"/>
    <x v="2"/>
    <x v="5"/>
    <x v="1"/>
    <x v="0"/>
    <n v="15.062820119965901"/>
    <n v="0.28999999999999998"/>
  </r>
  <r>
    <x v="2"/>
    <x v="3"/>
    <x v="2"/>
    <x v="5"/>
    <x v="1"/>
    <x v="1"/>
    <n v="27.441828020643499"/>
    <n v="0"/>
  </r>
  <r>
    <x v="2"/>
    <x v="3"/>
    <x v="2"/>
    <x v="5"/>
    <x v="9"/>
    <x v="0"/>
    <n v="1.0784562163566001"/>
    <n v="0"/>
  </r>
  <r>
    <x v="2"/>
    <x v="3"/>
    <x v="2"/>
    <x v="5"/>
    <x v="9"/>
    <x v="1"/>
    <n v="16.0373056562416"/>
    <n v="0"/>
  </r>
  <r>
    <x v="2"/>
    <x v="3"/>
    <x v="2"/>
    <x v="6"/>
    <x v="0"/>
    <x v="0"/>
    <n v="1848.5053500465719"/>
    <n v="656.10592019999956"/>
  </r>
  <r>
    <x v="2"/>
    <x v="3"/>
    <x v="2"/>
    <x v="6"/>
    <x v="0"/>
    <x v="1"/>
    <n v="3312.734352962887"/>
    <n v="1004.2519497999999"/>
  </r>
  <r>
    <x v="2"/>
    <x v="3"/>
    <x v="2"/>
    <x v="6"/>
    <x v="1"/>
    <x v="0"/>
    <n v="7762.1861681335749"/>
    <n v="3259.1778122974983"/>
  </r>
  <r>
    <x v="2"/>
    <x v="3"/>
    <x v="2"/>
    <x v="6"/>
    <x v="1"/>
    <x v="1"/>
    <n v="8218.3660125434089"/>
    <n v="3382.1113056957979"/>
  </r>
  <r>
    <x v="2"/>
    <x v="3"/>
    <x v="2"/>
    <x v="7"/>
    <x v="2"/>
    <x v="1"/>
    <n v="15317.052362860572"/>
    <n v="3486"/>
  </r>
  <r>
    <x v="2"/>
    <x v="4"/>
    <x v="0"/>
    <x v="0"/>
    <x v="0"/>
    <x v="0"/>
    <n v="222.423750845792"/>
    <n v="50.380999127700001"/>
  </r>
  <r>
    <x v="2"/>
    <x v="4"/>
    <x v="0"/>
    <x v="0"/>
    <x v="0"/>
    <x v="1"/>
    <n v="874.68506447798404"/>
    <n v="105.6080008723"/>
  </r>
  <r>
    <x v="2"/>
    <x v="4"/>
    <x v="0"/>
    <x v="0"/>
    <x v="1"/>
    <x v="0"/>
    <n v="14838.4857373061"/>
    <n v="2709.3837594618999"/>
  </r>
  <r>
    <x v="2"/>
    <x v="4"/>
    <x v="0"/>
    <x v="0"/>
    <x v="1"/>
    <x v="1"/>
    <n v="8181.1656325597796"/>
    <n v="728.43405232869804"/>
  </r>
  <r>
    <x v="2"/>
    <x v="4"/>
    <x v="0"/>
    <x v="1"/>
    <x v="0"/>
    <x v="0"/>
    <n v="373.49707671513897"/>
    <n v="58.092899009999897"/>
  </r>
  <r>
    <x v="2"/>
    <x v="4"/>
    <x v="0"/>
    <x v="1"/>
    <x v="0"/>
    <x v="1"/>
    <n v="607.32055671325895"/>
    <n v="82.113859704099895"/>
  </r>
  <r>
    <x v="2"/>
    <x v="4"/>
    <x v="0"/>
    <x v="1"/>
    <x v="1"/>
    <x v="0"/>
    <n v="21094.500110814599"/>
    <n v="2675.549939942"/>
  </r>
  <r>
    <x v="2"/>
    <x v="4"/>
    <x v="0"/>
    <x v="1"/>
    <x v="1"/>
    <x v="1"/>
    <n v="13400.9592207389"/>
    <n v="2156.9021746918002"/>
  </r>
  <r>
    <x v="2"/>
    <x v="4"/>
    <x v="1"/>
    <x v="2"/>
    <x v="2"/>
    <x v="0"/>
    <n v="478.33144865765399"/>
    <n v="290.67788808269898"/>
  </r>
  <r>
    <x v="2"/>
    <x v="4"/>
    <x v="1"/>
    <x v="2"/>
    <x v="2"/>
    <x v="1"/>
    <n v="11057.8861091996"/>
    <n v="6563.4416567157996"/>
  </r>
  <r>
    <x v="2"/>
    <x v="4"/>
    <x v="1"/>
    <x v="2"/>
    <x v="3"/>
    <x v="0"/>
    <n v="5.7649484926599999E-2"/>
    <n v="0"/>
  </r>
  <r>
    <x v="2"/>
    <x v="4"/>
    <x v="1"/>
    <x v="2"/>
    <x v="3"/>
    <x v="1"/>
    <n v="0.59298515981980005"/>
    <n v="0"/>
  </r>
  <r>
    <x v="2"/>
    <x v="4"/>
    <x v="1"/>
    <x v="2"/>
    <x v="4"/>
    <x v="0"/>
    <n v="0.16194858024709999"/>
    <n v="0"/>
  </r>
  <r>
    <x v="2"/>
    <x v="4"/>
    <x v="1"/>
    <x v="2"/>
    <x v="4"/>
    <x v="1"/>
    <n v="6.5478975152596997"/>
    <n v="0"/>
  </r>
  <r>
    <x v="2"/>
    <x v="4"/>
    <x v="1"/>
    <x v="2"/>
    <x v="5"/>
    <x v="0"/>
    <n v="422.08306128012498"/>
    <n v="0"/>
  </r>
  <r>
    <x v="2"/>
    <x v="4"/>
    <x v="1"/>
    <x v="2"/>
    <x v="5"/>
    <x v="1"/>
    <n v="2775.9683848406698"/>
    <n v="0"/>
  </r>
  <r>
    <x v="2"/>
    <x v="4"/>
    <x v="1"/>
    <x v="2"/>
    <x v="6"/>
    <x v="0"/>
    <n v="632.77587749409895"/>
    <n v="0"/>
  </r>
  <r>
    <x v="2"/>
    <x v="4"/>
    <x v="1"/>
    <x v="2"/>
    <x v="6"/>
    <x v="1"/>
    <n v="2492.2098656041198"/>
    <n v="0"/>
  </r>
  <r>
    <x v="2"/>
    <x v="4"/>
    <x v="1"/>
    <x v="2"/>
    <x v="1"/>
    <x v="0"/>
    <n v="19.022534423153001"/>
    <n v="16.208249213499901"/>
  </r>
  <r>
    <x v="2"/>
    <x v="4"/>
    <x v="1"/>
    <x v="2"/>
    <x v="1"/>
    <x v="1"/>
    <n v="25.4463578842259"/>
    <n v="6.0412997670998001"/>
  </r>
  <r>
    <x v="2"/>
    <x v="4"/>
    <x v="1"/>
    <x v="3"/>
    <x v="2"/>
    <x v="0"/>
    <n v="2405.2117664317798"/>
    <n v="647.60658589559898"/>
  </r>
  <r>
    <x v="2"/>
    <x v="4"/>
    <x v="1"/>
    <x v="3"/>
    <x v="2"/>
    <x v="1"/>
    <n v="30987.153714748601"/>
    <n v="7956.5657000137999"/>
  </r>
  <r>
    <x v="2"/>
    <x v="4"/>
    <x v="1"/>
    <x v="3"/>
    <x v="3"/>
    <x v="0"/>
    <n v="2.7989784122982"/>
    <n v="0"/>
  </r>
  <r>
    <x v="2"/>
    <x v="4"/>
    <x v="1"/>
    <x v="3"/>
    <x v="3"/>
    <x v="1"/>
    <n v="23.683560503036901"/>
    <n v="0"/>
  </r>
  <r>
    <x v="2"/>
    <x v="4"/>
    <x v="1"/>
    <x v="3"/>
    <x v="7"/>
    <x v="0"/>
    <n v="4496.7096321545496"/>
    <n v="1394.7945"/>
  </r>
  <r>
    <x v="2"/>
    <x v="4"/>
    <x v="1"/>
    <x v="3"/>
    <x v="7"/>
    <x v="1"/>
    <n v="39956.379046715498"/>
    <n v="13591.1055"/>
  </r>
  <r>
    <x v="2"/>
    <x v="4"/>
    <x v="1"/>
    <x v="3"/>
    <x v="5"/>
    <x v="0"/>
    <n v="656.54056217747495"/>
    <n v="0"/>
  </r>
  <r>
    <x v="2"/>
    <x v="4"/>
    <x v="1"/>
    <x v="3"/>
    <x v="5"/>
    <x v="1"/>
    <n v="4323.9045976546304"/>
    <n v="0"/>
  </r>
  <r>
    <x v="2"/>
    <x v="4"/>
    <x v="1"/>
    <x v="3"/>
    <x v="6"/>
    <x v="0"/>
    <n v="707.55616767915603"/>
    <n v="0"/>
  </r>
  <r>
    <x v="2"/>
    <x v="4"/>
    <x v="1"/>
    <x v="3"/>
    <x v="6"/>
    <x v="1"/>
    <n v="4853.2754845314503"/>
    <n v="0"/>
  </r>
  <r>
    <x v="2"/>
    <x v="4"/>
    <x v="1"/>
    <x v="3"/>
    <x v="1"/>
    <x v="0"/>
    <n v="8.0317783725922993"/>
    <n v="2.7887249999999999"/>
  </r>
  <r>
    <x v="2"/>
    <x v="4"/>
    <x v="1"/>
    <x v="3"/>
    <x v="1"/>
    <x v="1"/>
    <n v="28.503410456646201"/>
    <n v="1.957025"/>
  </r>
  <r>
    <x v="2"/>
    <x v="4"/>
    <x v="1"/>
    <x v="4"/>
    <x v="2"/>
    <x v="0"/>
    <n v="1518.8060059964"/>
    <n v="1522.4836500855999"/>
  </r>
  <r>
    <x v="2"/>
    <x v="4"/>
    <x v="1"/>
    <x v="4"/>
    <x v="2"/>
    <x v="1"/>
    <n v="3622.5552252037801"/>
    <n v="2374.7665192762001"/>
  </r>
  <r>
    <x v="2"/>
    <x v="4"/>
    <x v="1"/>
    <x v="4"/>
    <x v="5"/>
    <x v="0"/>
    <n v="311.23185215256899"/>
    <n v="2.7750000005999"/>
  </r>
  <r>
    <x v="2"/>
    <x v="4"/>
    <x v="1"/>
    <x v="4"/>
    <x v="5"/>
    <x v="1"/>
    <n v="901.425551559116"/>
    <n v="6.4749999993999001"/>
  </r>
  <r>
    <x v="2"/>
    <x v="4"/>
    <x v="1"/>
    <x v="4"/>
    <x v="6"/>
    <x v="0"/>
    <n v="634.03467328346505"/>
    <n v="367.72773679480002"/>
  </r>
  <r>
    <x v="2"/>
    <x v="4"/>
    <x v="1"/>
    <x v="4"/>
    <x v="6"/>
    <x v="1"/>
    <n v="3167.8548032256799"/>
    <n v="1166.0251970126999"/>
  </r>
  <r>
    <x v="2"/>
    <x v="4"/>
    <x v="1"/>
    <x v="4"/>
    <x v="1"/>
    <x v="0"/>
    <n v="4.7673742754950004"/>
    <n v="1.7719304948998"/>
  </r>
  <r>
    <x v="2"/>
    <x v="4"/>
    <x v="1"/>
    <x v="4"/>
    <x v="1"/>
    <x v="1"/>
    <n v="11.878843397197301"/>
    <n v="1.8327705003998001"/>
  </r>
  <r>
    <x v="2"/>
    <x v="4"/>
    <x v="2"/>
    <x v="5"/>
    <x v="2"/>
    <x v="0"/>
    <n v="781.21044352330898"/>
    <n v="142.62442397299799"/>
  </r>
  <r>
    <x v="2"/>
    <x v="4"/>
    <x v="2"/>
    <x v="5"/>
    <x v="2"/>
    <x v="1"/>
    <n v="9218.9591245034007"/>
    <n v="3486.0405743783999"/>
  </r>
  <r>
    <x v="2"/>
    <x v="4"/>
    <x v="2"/>
    <x v="5"/>
    <x v="8"/>
    <x v="0"/>
    <n v="24.988645499865999"/>
    <n v="15.569936835999799"/>
  </r>
  <r>
    <x v="2"/>
    <x v="4"/>
    <x v="2"/>
    <x v="5"/>
    <x v="8"/>
    <x v="1"/>
    <n v="15.282532427149199"/>
    <n v="3.6800199912999001"/>
  </r>
  <r>
    <x v="2"/>
    <x v="4"/>
    <x v="2"/>
    <x v="5"/>
    <x v="7"/>
    <x v="0"/>
    <n v="1418.13885082004"/>
    <n v="428.34199535430002"/>
  </r>
  <r>
    <x v="2"/>
    <x v="4"/>
    <x v="2"/>
    <x v="5"/>
    <x v="7"/>
    <x v="1"/>
    <n v="7965.3348350668903"/>
    <n v="2608.4010046457001"/>
  </r>
  <r>
    <x v="2"/>
    <x v="4"/>
    <x v="2"/>
    <x v="5"/>
    <x v="1"/>
    <x v="0"/>
    <n v="68.521240934416895"/>
    <n v="15.914813516699301"/>
  </r>
  <r>
    <x v="2"/>
    <x v="4"/>
    <x v="2"/>
    <x v="5"/>
    <x v="1"/>
    <x v="1"/>
    <n v="250.26054153700599"/>
    <n v="29.857234712299999"/>
  </r>
  <r>
    <x v="2"/>
    <x v="4"/>
    <x v="2"/>
    <x v="5"/>
    <x v="9"/>
    <x v="0"/>
    <n v="15.574446102635999"/>
    <n v="0"/>
  </r>
  <r>
    <x v="2"/>
    <x v="4"/>
    <x v="2"/>
    <x v="5"/>
    <x v="9"/>
    <x v="1"/>
    <n v="43.093446752264398"/>
    <n v="0"/>
  </r>
  <r>
    <x v="2"/>
    <x v="4"/>
    <x v="2"/>
    <x v="6"/>
    <x v="0"/>
    <x v="0"/>
    <n v="312.65483647952499"/>
    <n v="123.22606152829999"/>
  </r>
  <r>
    <x v="2"/>
    <x v="4"/>
    <x v="2"/>
    <x v="6"/>
    <x v="0"/>
    <x v="1"/>
    <n v="1945.0286891662799"/>
    <n v="350.0071797576"/>
  </r>
  <r>
    <x v="2"/>
    <x v="4"/>
    <x v="2"/>
    <x v="6"/>
    <x v="1"/>
    <x v="0"/>
    <n v="4234.2290592832796"/>
    <n v="1655.0885662644"/>
  </r>
  <r>
    <x v="2"/>
    <x v="4"/>
    <x v="2"/>
    <x v="6"/>
    <x v="1"/>
    <x v="1"/>
    <n v="4880.0267541385301"/>
    <n v="1152.8494634883"/>
  </r>
  <r>
    <x v="2"/>
    <x v="4"/>
    <x v="2"/>
    <x v="7"/>
    <x v="2"/>
    <x v="1"/>
    <n v="143.62818732716201"/>
    <n v="139.19999999999999"/>
  </r>
  <r>
    <x v="2"/>
    <x v="5"/>
    <x v="0"/>
    <x v="0"/>
    <x v="0"/>
    <x v="0"/>
    <n v="224.68306628563249"/>
    <n v="71.5392499999991"/>
  </r>
  <r>
    <x v="2"/>
    <x v="5"/>
    <x v="0"/>
    <x v="0"/>
    <x v="0"/>
    <x v="1"/>
    <n v="534.57011896707445"/>
    <n v="47.536749999999799"/>
  </r>
  <r>
    <x v="2"/>
    <x v="5"/>
    <x v="0"/>
    <x v="0"/>
    <x v="1"/>
    <x v="0"/>
    <n v="32574.125927815388"/>
    <n v="4807.6600291828972"/>
  </r>
  <r>
    <x v="2"/>
    <x v="5"/>
    <x v="0"/>
    <x v="0"/>
    <x v="1"/>
    <x v="1"/>
    <n v="23697.45322284913"/>
    <n v="2038.3739707700929"/>
  </r>
  <r>
    <x v="2"/>
    <x v="5"/>
    <x v="0"/>
    <x v="1"/>
    <x v="0"/>
    <x v="0"/>
    <n v="437.48986179128627"/>
    <n v="53.091364999999598"/>
  </r>
  <r>
    <x v="2"/>
    <x v="5"/>
    <x v="0"/>
    <x v="1"/>
    <x v="0"/>
    <x v="1"/>
    <n v="908.90475609724206"/>
    <n v="99.134814999999506"/>
  </r>
  <r>
    <x v="2"/>
    <x v="5"/>
    <x v="0"/>
    <x v="1"/>
    <x v="1"/>
    <x v="0"/>
    <n v="27721.277813928529"/>
    <n v="3737.263328385895"/>
  </r>
  <r>
    <x v="2"/>
    <x v="5"/>
    <x v="0"/>
    <x v="1"/>
    <x v="1"/>
    <x v="1"/>
    <n v="69788.953530094106"/>
    <n v="5756.5693326481969"/>
  </r>
  <r>
    <x v="2"/>
    <x v="5"/>
    <x v="1"/>
    <x v="2"/>
    <x v="2"/>
    <x v="0"/>
    <n v="16749.919086939724"/>
    <n v="5076.8468838814979"/>
  </r>
  <r>
    <x v="2"/>
    <x v="5"/>
    <x v="1"/>
    <x v="2"/>
    <x v="2"/>
    <x v="1"/>
    <n v="237220.00636209871"/>
    <n v="76453.8063142561"/>
  </r>
  <r>
    <x v="2"/>
    <x v="5"/>
    <x v="1"/>
    <x v="2"/>
    <x v="3"/>
    <x v="0"/>
    <n v="487.5891272350413"/>
    <n v="54.270342978299198"/>
  </r>
  <r>
    <x v="2"/>
    <x v="5"/>
    <x v="1"/>
    <x v="2"/>
    <x v="3"/>
    <x v="1"/>
    <n v="226.04722531966581"/>
    <n v="2.3213570215997001"/>
  </r>
  <r>
    <x v="2"/>
    <x v="5"/>
    <x v="1"/>
    <x v="2"/>
    <x v="4"/>
    <x v="0"/>
    <n v="102.97426793040241"/>
    <n v="0"/>
  </r>
  <r>
    <x v="2"/>
    <x v="5"/>
    <x v="1"/>
    <x v="2"/>
    <x v="4"/>
    <x v="1"/>
    <n v="1200.9798798870074"/>
    <n v="0"/>
  </r>
  <r>
    <x v="2"/>
    <x v="5"/>
    <x v="1"/>
    <x v="2"/>
    <x v="5"/>
    <x v="0"/>
    <n v="491.65218902990517"/>
    <n v="0"/>
  </r>
  <r>
    <x v="2"/>
    <x v="5"/>
    <x v="1"/>
    <x v="2"/>
    <x v="5"/>
    <x v="1"/>
    <n v="1284.8621454890188"/>
    <n v="0"/>
  </r>
  <r>
    <x v="2"/>
    <x v="5"/>
    <x v="1"/>
    <x v="2"/>
    <x v="6"/>
    <x v="0"/>
    <n v="18082.323183886991"/>
    <n v="0"/>
  </r>
  <r>
    <x v="2"/>
    <x v="5"/>
    <x v="1"/>
    <x v="2"/>
    <x v="6"/>
    <x v="1"/>
    <n v="73988.256825162083"/>
    <n v="0"/>
  </r>
  <r>
    <x v="2"/>
    <x v="5"/>
    <x v="1"/>
    <x v="2"/>
    <x v="1"/>
    <x v="0"/>
    <n v="410.13198375089439"/>
    <n v="10.926574319599601"/>
  </r>
  <r>
    <x v="2"/>
    <x v="5"/>
    <x v="1"/>
    <x v="2"/>
    <x v="1"/>
    <x v="1"/>
    <n v="2793.1321655766646"/>
    <n v="50.197737448398101"/>
  </r>
  <r>
    <x v="2"/>
    <x v="5"/>
    <x v="1"/>
    <x v="3"/>
    <x v="2"/>
    <x v="0"/>
    <n v="8842.2601092188761"/>
    <n v="3437.0530915075951"/>
  </r>
  <r>
    <x v="2"/>
    <x v="5"/>
    <x v="1"/>
    <x v="3"/>
    <x v="2"/>
    <x v="1"/>
    <n v="78242.616726320499"/>
    <n v="31954.5579367051"/>
  </r>
  <r>
    <x v="2"/>
    <x v="5"/>
    <x v="1"/>
    <x v="3"/>
    <x v="3"/>
    <x v="0"/>
    <n v="902.48500970541602"/>
    <n v="0"/>
  </r>
  <r>
    <x v="2"/>
    <x v="5"/>
    <x v="1"/>
    <x v="3"/>
    <x v="3"/>
    <x v="1"/>
    <n v="1813.9320795429949"/>
    <n v="0"/>
  </r>
  <r>
    <x v="2"/>
    <x v="5"/>
    <x v="1"/>
    <x v="3"/>
    <x v="7"/>
    <x v="0"/>
    <n v="7803.8925572687749"/>
    <n v="3273.6826000000001"/>
  </r>
  <r>
    <x v="2"/>
    <x v="5"/>
    <x v="1"/>
    <x v="3"/>
    <x v="7"/>
    <x v="1"/>
    <n v="9991.0561596609223"/>
    <n v="4198.8693999999996"/>
  </r>
  <r>
    <x v="2"/>
    <x v="5"/>
    <x v="1"/>
    <x v="3"/>
    <x v="5"/>
    <x v="0"/>
    <n v="119.25040003821169"/>
    <n v="0"/>
  </r>
  <r>
    <x v="2"/>
    <x v="5"/>
    <x v="1"/>
    <x v="3"/>
    <x v="5"/>
    <x v="1"/>
    <n v="307.16175019088701"/>
    <n v="0"/>
  </r>
  <r>
    <x v="2"/>
    <x v="5"/>
    <x v="1"/>
    <x v="3"/>
    <x v="6"/>
    <x v="0"/>
    <n v="183.09356675366001"/>
    <n v="0"/>
  </r>
  <r>
    <x v="2"/>
    <x v="5"/>
    <x v="1"/>
    <x v="3"/>
    <x v="6"/>
    <x v="1"/>
    <n v="474.06478928170361"/>
    <n v="0"/>
  </r>
  <r>
    <x v="2"/>
    <x v="5"/>
    <x v="1"/>
    <x v="3"/>
    <x v="1"/>
    <x v="0"/>
    <n v="607.9730341406281"/>
    <n v="16.7347288222992"/>
  </r>
  <r>
    <x v="2"/>
    <x v="5"/>
    <x v="1"/>
    <x v="3"/>
    <x v="1"/>
    <x v="1"/>
    <n v="3289.3384042703829"/>
    <n v="7.1301595255989998"/>
  </r>
  <r>
    <x v="2"/>
    <x v="5"/>
    <x v="1"/>
    <x v="4"/>
    <x v="2"/>
    <x v="1"/>
    <n v="15346.226932975462"/>
    <n v="5439.983398244698"/>
  </r>
  <r>
    <x v="2"/>
    <x v="5"/>
    <x v="1"/>
    <x v="4"/>
    <x v="4"/>
    <x v="1"/>
    <n v="221.7652980063975"/>
    <n v="0"/>
  </r>
  <r>
    <x v="2"/>
    <x v="5"/>
    <x v="1"/>
    <x v="4"/>
    <x v="6"/>
    <x v="0"/>
    <n v="17.417735239937901"/>
    <n v="0"/>
  </r>
  <r>
    <x v="2"/>
    <x v="5"/>
    <x v="1"/>
    <x v="4"/>
    <x v="6"/>
    <x v="1"/>
    <n v="68186.529707399517"/>
    <n v="15519.531729994298"/>
  </r>
  <r>
    <x v="2"/>
    <x v="5"/>
    <x v="1"/>
    <x v="4"/>
    <x v="1"/>
    <x v="1"/>
    <n v="20.3253207992123"/>
    <n v="3.4296123835996002"/>
  </r>
  <r>
    <x v="2"/>
    <x v="5"/>
    <x v="2"/>
    <x v="5"/>
    <x v="2"/>
    <x v="0"/>
    <n v="2893.0193270028658"/>
    <n v="708.74700923729597"/>
  </r>
  <r>
    <x v="2"/>
    <x v="5"/>
    <x v="2"/>
    <x v="5"/>
    <x v="2"/>
    <x v="1"/>
    <n v="19628.996436505218"/>
    <n v="4734.3882790989956"/>
  </r>
  <r>
    <x v="2"/>
    <x v="5"/>
    <x v="2"/>
    <x v="5"/>
    <x v="3"/>
    <x v="0"/>
    <n v="3.0198893633594999"/>
    <n v="0"/>
  </r>
  <r>
    <x v="2"/>
    <x v="5"/>
    <x v="2"/>
    <x v="5"/>
    <x v="3"/>
    <x v="1"/>
    <n v="50.954483139296897"/>
    <n v="0"/>
  </r>
  <r>
    <x v="2"/>
    <x v="5"/>
    <x v="2"/>
    <x v="5"/>
    <x v="8"/>
    <x v="0"/>
    <n v="84.463397639850101"/>
    <n v="19.502201720399601"/>
  </r>
  <r>
    <x v="2"/>
    <x v="5"/>
    <x v="2"/>
    <x v="5"/>
    <x v="8"/>
    <x v="1"/>
    <n v="40.619228265023203"/>
    <n v="4.6087982795997"/>
  </r>
  <r>
    <x v="2"/>
    <x v="5"/>
    <x v="2"/>
    <x v="5"/>
    <x v="7"/>
    <x v="0"/>
    <n v="790.28293717761267"/>
    <n v="124.2216499999996"/>
  </r>
  <r>
    <x v="2"/>
    <x v="5"/>
    <x v="2"/>
    <x v="5"/>
    <x v="7"/>
    <x v="1"/>
    <n v="4124.507976526359"/>
    <n v="701.89534999999978"/>
  </r>
  <r>
    <x v="2"/>
    <x v="5"/>
    <x v="2"/>
    <x v="5"/>
    <x v="1"/>
    <x v="0"/>
    <n v="25.2010402217512"/>
    <n v="9.4670498899999997E-2"/>
  </r>
  <r>
    <x v="2"/>
    <x v="5"/>
    <x v="2"/>
    <x v="5"/>
    <x v="1"/>
    <x v="1"/>
    <n v="77.9809076196577"/>
    <n v="0.46185714719999998"/>
  </r>
  <r>
    <x v="2"/>
    <x v="5"/>
    <x v="2"/>
    <x v="5"/>
    <x v="9"/>
    <x v="0"/>
    <n v="6.300226275759"/>
    <n v="0"/>
  </r>
  <r>
    <x v="2"/>
    <x v="5"/>
    <x v="2"/>
    <x v="5"/>
    <x v="9"/>
    <x v="1"/>
    <n v="15.0024197600408"/>
    <n v="0"/>
  </r>
  <r>
    <x v="2"/>
    <x v="5"/>
    <x v="2"/>
    <x v="6"/>
    <x v="0"/>
    <x v="0"/>
    <n v="440.10618897598488"/>
    <n v="139.4674849999995"/>
  </r>
  <r>
    <x v="2"/>
    <x v="5"/>
    <x v="2"/>
    <x v="6"/>
    <x v="0"/>
    <x v="1"/>
    <n v="815.02642558555578"/>
    <n v="313.25433499999912"/>
  </r>
  <r>
    <x v="2"/>
    <x v="5"/>
    <x v="2"/>
    <x v="6"/>
    <x v="1"/>
    <x v="0"/>
    <n v="2711.9632774945949"/>
    <n v="1022.0724477876927"/>
  </r>
  <r>
    <x v="2"/>
    <x v="5"/>
    <x v="2"/>
    <x v="6"/>
    <x v="1"/>
    <x v="1"/>
    <n v="4191.798802181047"/>
    <n v="1679.9321011761931"/>
  </r>
  <r>
    <x v="2"/>
    <x v="5"/>
    <x v="2"/>
    <x v="7"/>
    <x v="2"/>
    <x v="1"/>
    <n v="10758.661395358604"/>
    <n v="5715"/>
  </r>
  <r>
    <x v="2"/>
    <x v="6"/>
    <x v="0"/>
    <x v="0"/>
    <x v="0"/>
    <x v="0"/>
    <n v="479.17678275393399"/>
    <n v="112.6451899999994"/>
  </r>
  <r>
    <x v="2"/>
    <x v="6"/>
    <x v="0"/>
    <x v="0"/>
    <x v="0"/>
    <x v="1"/>
    <n v="361.56122325026632"/>
    <n v="43.829809999999298"/>
  </r>
  <r>
    <x v="2"/>
    <x v="6"/>
    <x v="0"/>
    <x v="0"/>
    <x v="1"/>
    <x v="0"/>
    <n v="9489.7737597857122"/>
    <n v="2396.2978055739968"/>
  </r>
  <r>
    <x v="2"/>
    <x v="6"/>
    <x v="0"/>
    <x v="0"/>
    <x v="1"/>
    <x v="1"/>
    <n v="8599.0990005438362"/>
    <n v="1195.1991943949963"/>
  </r>
  <r>
    <x v="2"/>
    <x v="6"/>
    <x v="0"/>
    <x v="1"/>
    <x v="0"/>
    <x v="0"/>
    <n v="870.85239130534399"/>
    <n v="144.41907709999941"/>
  </r>
  <r>
    <x v="2"/>
    <x v="6"/>
    <x v="0"/>
    <x v="1"/>
    <x v="0"/>
    <x v="1"/>
    <n v="461.08194489540222"/>
    <n v="73.105442899999304"/>
  </r>
  <r>
    <x v="2"/>
    <x v="6"/>
    <x v="0"/>
    <x v="1"/>
    <x v="1"/>
    <x v="0"/>
    <n v="6328.6200880863762"/>
    <n v="1419.797080643797"/>
  </r>
  <r>
    <x v="2"/>
    <x v="6"/>
    <x v="0"/>
    <x v="1"/>
    <x v="1"/>
    <x v="1"/>
    <n v="10518.045750344407"/>
    <n v="1705.5070045710961"/>
  </r>
  <r>
    <x v="2"/>
    <x v="6"/>
    <x v="1"/>
    <x v="2"/>
    <x v="2"/>
    <x v="0"/>
    <n v="3430.5328992450582"/>
    <n v="721.07632996879681"/>
  </r>
  <r>
    <x v="2"/>
    <x v="6"/>
    <x v="1"/>
    <x v="2"/>
    <x v="2"/>
    <x v="1"/>
    <n v="22515.89655380894"/>
    <n v="6392.7989699779973"/>
  </r>
  <r>
    <x v="2"/>
    <x v="6"/>
    <x v="1"/>
    <x v="2"/>
    <x v="3"/>
    <x v="0"/>
    <n v="38.3701580100917"/>
    <n v="0.88"/>
  </r>
  <r>
    <x v="2"/>
    <x v="6"/>
    <x v="1"/>
    <x v="2"/>
    <x v="3"/>
    <x v="1"/>
    <n v="9.5925395025229001"/>
    <n v="0.22"/>
  </r>
  <r>
    <x v="2"/>
    <x v="6"/>
    <x v="1"/>
    <x v="2"/>
    <x v="5"/>
    <x v="0"/>
    <n v="15.4119985110786"/>
    <n v="0"/>
  </r>
  <r>
    <x v="2"/>
    <x v="6"/>
    <x v="1"/>
    <x v="2"/>
    <x v="5"/>
    <x v="1"/>
    <n v="70.218844338611504"/>
    <n v="0"/>
  </r>
  <r>
    <x v="2"/>
    <x v="6"/>
    <x v="1"/>
    <x v="2"/>
    <x v="6"/>
    <x v="0"/>
    <n v="461.2188393923214"/>
    <n v="12.576000129399199"/>
  </r>
  <r>
    <x v="2"/>
    <x v="6"/>
    <x v="1"/>
    <x v="2"/>
    <x v="6"/>
    <x v="1"/>
    <n v="2742.5821584038881"/>
    <n v="144.62399987059999"/>
  </r>
  <r>
    <x v="2"/>
    <x v="6"/>
    <x v="1"/>
    <x v="2"/>
    <x v="1"/>
    <x v="0"/>
    <n v="61.378730480870402"/>
    <n v="1.24"/>
  </r>
  <r>
    <x v="2"/>
    <x v="6"/>
    <x v="1"/>
    <x v="2"/>
    <x v="1"/>
    <x v="1"/>
    <n v="315.23113449206159"/>
    <n v="1.24"/>
  </r>
  <r>
    <x v="2"/>
    <x v="6"/>
    <x v="1"/>
    <x v="3"/>
    <x v="2"/>
    <x v="0"/>
    <n v="5611.0014898350009"/>
    <n v="1344.3935950097996"/>
  </r>
  <r>
    <x v="2"/>
    <x v="6"/>
    <x v="1"/>
    <x v="3"/>
    <x v="2"/>
    <x v="1"/>
    <n v="35994.59796128772"/>
    <n v="13230.362305087798"/>
  </r>
  <r>
    <x v="2"/>
    <x v="6"/>
    <x v="1"/>
    <x v="3"/>
    <x v="3"/>
    <x v="0"/>
    <n v="43.696205221083197"/>
    <n v="0"/>
  </r>
  <r>
    <x v="2"/>
    <x v="6"/>
    <x v="1"/>
    <x v="3"/>
    <x v="3"/>
    <x v="1"/>
    <n v="144.46706517631031"/>
    <n v="0"/>
  </r>
  <r>
    <x v="2"/>
    <x v="6"/>
    <x v="1"/>
    <x v="3"/>
    <x v="7"/>
    <x v="0"/>
    <n v="5842.5764198262086"/>
    <n v="2357.8000000000002"/>
  </r>
  <r>
    <x v="2"/>
    <x v="6"/>
    <x v="1"/>
    <x v="3"/>
    <x v="7"/>
    <x v="1"/>
    <n v="17325.00153868202"/>
    <n v="7073.4"/>
  </r>
  <r>
    <x v="2"/>
    <x v="6"/>
    <x v="1"/>
    <x v="3"/>
    <x v="5"/>
    <x v="0"/>
    <n v="29.995790018731199"/>
    <n v="0"/>
  </r>
  <r>
    <x v="2"/>
    <x v="6"/>
    <x v="1"/>
    <x v="3"/>
    <x v="5"/>
    <x v="1"/>
    <n v="98.097237718511394"/>
    <n v="0"/>
  </r>
  <r>
    <x v="2"/>
    <x v="6"/>
    <x v="1"/>
    <x v="3"/>
    <x v="6"/>
    <x v="0"/>
    <n v="142.28680188953041"/>
    <n v="0"/>
  </r>
  <r>
    <x v="2"/>
    <x v="6"/>
    <x v="1"/>
    <x v="3"/>
    <x v="6"/>
    <x v="1"/>
    <n v="463.187906552546"/>
    <n v="0"/>
  </r>
  <r>
    <x v="2"/>
    <x v="6"/>
    <x v="1"/>
    <x v="3"/>
    <x v="1"/>
    <x v="0"/>
    <n v="44.7592037112043"/>
    <n v="0.31"/>
  </r>
  <r>
    <x v="2"/>
    <x v="6"/>
    <x v="1"/>
    <x v="3"/>
    <x v="1"/>
    <x v="1"/>
    <n v="206.80738001127381"/>
    <n v="0.31"/>
  </r>
  <r>
    <x v="2"/>
    <x v="6"/>
    <x v="1"/>
    <x v="4"/>
    <x v="2"/>
    <x v="1"/>
    <n v="2953.674321493108"/>
    <n v="1159.1867999524961"/>
  </r>
  <r>
    <x v="2"/>
    <x v="6"/>
    <x v="1"/>
    <x v="4"/>
    <x v="6"/>
    <x v="1"/>
    <n v="6752.9831590746917"/>
    <n v="289.09999999949889"/>
  </r>
  <r>
    <x v="2"/>
    <x v="6"/>
    <x v="2"/>
    <x v="5"/>
    <x v="2"/>
    <x v="0"/>
    <n v="1571.8278749592637"/>
    <n v="1017.4898816288979"/>
  </r>
  <r>
    <x v="2"/>
    <x v="6"/>
    <x v="2"/>
    <x v="5"/>
    <x v="2"/>
    <x v="1"/>
    <n v="8188.1678177813919"/>
    <n v="2705.1570106428981"/>
  </r>
  <r>
    <x v="2"/>
    <x v="6"/>
    <x v="2"/>
    <x v="5"/>
    <x v="3"/>
    <x v="1"/>
    <n v="0.56935328366280002"/>
    <n v="0"/>
  </r>
  <r>
    <x v="2"/>
    <x v="6"/>
    <x v="2"/>
    <x v="5"/>
    <x v="8"/>
    <x v="0"/>
    <n v="217.2938758220329"/>
    <n v="120.5376247782991"/>
  </r>
  <r>
    <x v="2"/>
    <x v="6"/>
    <x v="2"/>
    <x v="5"/>
    <x v="8"/>
    <x v="1"/>
    <n v="60.161650501696101"/>
    <n v="38.774773309399301"/>
  </r>
  <r>
    <x v="2"/>
    <x v="6"/>
    <x v="2"/>
    <x v="5"/>
    <x v="7"/>
    <x v="0"/>
    <n v="904.49730508274592"/>
    <n v="476.23541999999958"/>
  </r>
  <r>
    <x v="2"/>
    <x v="6"/>
    <x v="2"/>
    <x v="5"/>
    <x v="7"/>
    <x v="1"/>
    <n v="5116.2998308212455"/>
    <n v="1469.24658"/>
  </r>
  <r>
    <x v="2"/>
    <x v="6"/>
    <x v="2"/>
    <x v="5"/>
    <x v="1"/>
    <x v="0"/>
    <n v="5.142908013624"/>
    <n v="2.1703999997998999"/>
  </r>
  <r>
    <x v="2"/>
    <x v="6"/>
    <x v="2"/>
    <x v="5"/>
    <x v="1"/>
    <x v="1"/>
    <n v="10.9443682532444"/>
    <n v="0.24"/>
  </r>
  <r>
    <x v="2"/>
    <x v="6"/>
    <x v="2"/>
    <x v="5"/>
    <x v="9"/>
    <x v="0"/>
    <n v="1.4656003132205999"/>
    <n v="0"/>
  </r>
  <r>
    <x v="2"/>
    <x v="6"/>
    <x v="2"/>
    <x v="5"/>
    <x v="9"/>
    <x v="1"/>
    <n v="11.6179697864593"/>
    <n v="0"/>
  </r>
  <r>
    <x v="2"/>
    <x v="6"/>
    <x v="2"/>
    <x v="6"/>
    <x v="0"/>
    <x v="0"/>
    <n v="1048.8763326809064"/>
    <n v="331.90044259999968"/>
  </r>
  <r>
    <x v="2"/>
    <x v="6"/>
    <x v="2"/>
    <x v="6"/>
    <x v="0"/>
    <x v="1"/>
    <n v="1359.2598283665141"/>
    <n v="327.39003739999941"/>
  </r>
  <r>
    <x v="2"/>
    <x v="6"/>
    <x v="2"/>
    <x v="6"/>
    <x v="1"/>
    <x v="0"/>
    <n v="2217.434425870023"/>
    <n v="947.45613914269518"/>
  </r>
  <r>
    <x v="2"/>
    <x v="6"/>
    <x v="2"/>
    <x v="6"/>
    <x v="1"/>
    <x v="1"/>
    <n v="3988.533829380784"/>
    <n v="1433.5180778246963"/>
  </r>
  <r>
    <x v="2"/>
    <x v="6"/>
    <x v="2"/>
    <x v="7"/>
    <x v="2"/>
    <x v="1"/>
    <n v="274.4324337174877"/>
    <n v="19.38"/>
  </r>
  <r>
    <x v="2"/>
    <x v="7"/>
    <x v="0"/>
    <x v="0"/>
    <x v="0"/>
    <x v="0"/>
    <n v="44.390259592315601"/>
    <n v="13.080572596299399"/>
  </r>
  <r>
    <x v="2"/>
    <x v="7"/>
    <x v="0"/>
    <x v="0"/>
    <x v="0"/>
    <x v="1"/>
    <n v="113.5738862851143"/>
    <n v="19.261427403698899"/>
  </r>
  <r>
    <x v="2"/>
    <x v="7"/>
    <x v="0"/>
    <x v="0"/>
    <x v="1"/>
    <x v="0"/>
    <n v="13582.52703450339"/>
    <n v="3311.1930481512968"/>
  </r>
  <r>
    <x v="2"/>
    <x v="7"/>
    <x v="0"/>
    <x v="0"/>
    <x v="1"/>
    <x v="1"/>
    <n v="4137.8399999292542"/>
    <n v="574.92354476109665"/>
  </r>
  <r>
    <x v="2"/>
    <x v="7"/>
    <x v="0"/>
    <x v="1"/>
    <x v="0"/>
    <x v="0"/>
    <n v="125.4883262728202"/>
    <n v="14.3100173842997"/>
  </r>
  <r>
    <x v="2"/>
    <x v="7"/>
    <x v="0"/>
    <x v="1"/>
    <x v="0"/>
    <x v="1"/>
    <n v="225.28751304113311"/>
    <n v="37.902220467999101"/>
  </r>
  <r>
    <x v="2"/>
    <x v="7"/>
    <x v="0"/>
    <x v="1"/>
    <x v="1"/>
    <x v="0"/>
    <n v="16425.91077773098"/>
    <n v="1855.7242891435969"/>
  </r>
  <r>
    <x v="2"/>
    <x v="7"/>
    <x v="0"/>
    <x v="1"/>
    <x v="1"/>
    <x v="1"/>
    <n v="20157.67249089629"/>
    <n v="2634.0999584125962"/>
  </r>
  <r>
    <x v="2"/>
    <x v="7"/>
    <x v="1"/>
    <x v="2"/>
    <x v="2"/>
    <x v="0"/>
    <n v="4592.1187415825498"/>
    <n v="1700.5796272852974"/>
  </r>
  <r>
    <x v="2"/>
    <x v="7"/>
    <x v="1"/>
    <x v="2"/>
    <x v="2"/>
    <x v="1"/>
    <n v="68576.333934162336"/>
    <n v="28310.224756606"/>
  </r>
  <r>
    <x v="2"/>
    <x v="7"/>
    <x v="1"/>
    <x v="2"/>
    <x v="3"/>
    <x v="0"/>
    <n v="553.80710280879805"/>
    <n v="0"/>
  </r>
  <r>
    <x v="2"/>
    <x v="7"/>
    <x v="1"/>
    <x v="2"/>
    <x v="3"/>
    <x v="1"/>
    <n v="468.97514155877838"/>
    <n v="0"/>
  </r>
  <r>
    <x v="2"/>
    <x v="7"/>
    <x v="1"/>
    <x v="2"/>
    <x v="5"/>
    <x v="0"/>
    <n v="465.41144703551271"/>
    <n v="0"/>
  </r>
  <r>
    <x v="2"/>
    <x v="7"/>
    <x v="1"/>
    <x v="2"/>
    <x v="5"/>
    <x v="1"/>
    <n v="1281.5327892432895"/>
    <n v="0"/>
  </r>
  <r>
    <x v="2"/>
    <x v="7"/>
    <x v="1"/>
    <x v="2"/>
    <x v="6"/>
    <x v="0"/>
    <n v="7734.4735461839309"/>
    <n v="8.17143912E-2"/>
  </r>
  <r>
    <x v="2"/>
    <x v="7"/>
    <x v="1"/>
    <x v="2"/>
    <x v="6"/>
    <x v="1"/>
    <n v="24722.699486463149"/>
    <n v="2.6421010002998"/>
  </r>
  <r>
    <x v="2"/>
    <x v="7"/>
    <x v="1"/>
    <x v="2"/>
    <x v="1"/>
    <x v="0"/>
    <n v="80.421102833970295"/>
    <n v="2.5038999999999998"/>
  </r>
  <r>
    <x v="2"/>
    <x v="7"/>
    <x v="1"/>
    <x v="2"/>
    <x v="1"/>
    <x v="1"/>
    <n v="331.18268810873047"/>
    <n v="0.92610000000000003"/>
  </r>
  <r>
    <x v="2"/>
    <x v="7"/>
    <x v="1"/>
    <x v="3"/>
    <x v="2"/>
    <x v="0"/>
    <n v="7553.6570205798917"/>
    <n v="2170.1848681474989"/>
  </r>
  <r>
    <x v="2"/>
    <x v="7"/>
    <x v="1"/>
    <x v="3"/>
    <x v="2"/>
    <x v="1"/>
    <n v="61341.704070489031"/>
    <n v="21632.772520450198"/>
  </r>
  <r>
    <x v="2"/>
    <x v="7"/>
    <x v="1"/>
    <x v="3"/>
    <x v="3"/>
    <x v="0"/>
    <n v="1906.3815821795024"/>
    <n v="0"/>
  </r>
  <r>
    <x v="2"/>
    <x v="7"/>
    <x v="1"/>
    <x v="3"/>
    <x v="3"/>
    <x v="1"/>
    <n v="4824.2028695874242"/>
    <n v="0"/>
  </r>
  <r>
    <x v="2"/>
    <x v="7"/>
    <x v="1"/>
    <x v="3"/>
    <x v="7"/>
    <x v="0"/>
    <n v="2538.200635157033"/>
    <n v="589.85999999999956"/>
  </r>
  <r>
    <x v="2"/>
    <x v="7"/>
    <x v="1"/>
    <x v="3"/>
    <x v="7"/>
    <x v="1"/>
    <n v="18212.390759024591"/>
    <n v="7479.14"/>
  </r>
  <r>
    <x v="2"/>
    <x v="7"/>
    <x v="1"/>
    <x v="3"/>
    <x v="5"/>
    <x v="0"/>
    <n v="1187.1242649406888"/>
    <n v="0"/>
  </r>
  <r>
    <x v="2"/>
    <x v="7"/>
    <x v="1"/>
    <x v="3"/>
    <x v="5"/>
    <x v="1"/>
    <n v="2675.370553944741"/>
    <n v="0"/>
  </r>
  <r>
    <x v="2"/>
    <x v="7"/>
    <x v="1"/>
    <x v="3"/>
    <x v="6"/>
    <x v="0"/>
    <n v="203.07807592448179"/>
    <n v="0"/>
  </r>
  <r>
    <x v="2"/>
    <x v="7"/>
    <x v="1"/>
    <x v="3"/>
    <x v="6"/>
    <x v="1"/>
    <n v="492.10100418844451"/>
    <n v="0"/>
  </r>
  <r>
    <x v="2"/>
    <x v="7"/>
    <x v="1"/>
    <x v="3"/>
    <x v="1"/>
    <x v="0"/>
    <n v="130.90579317821641"/>
    <n v="1.1460999999999999"/>
  </r>
  <r>
    <x v="2"/>
    <x v="7"/>
    <x v="1"/>
    <x v="3"/>
    <x v="1"/>
    <x v="1"/>
    <n v="445.9551851149385"/>
    <n v="0.4239"/>
  </r>
  <r>
    <x v="2"/>
    <x v="7"/>
    <x v="1"/>
    <x v="4"/>
    <x v="2"/>
    <x v="1"/>
    <n v="30667.992275152763"/>
    <n v="12334.9382275099"/>
  </r>
  <r>
    <x v="2"/>
    <x v="7"/>
    <x v="1"/>
    <x v="4"/>
    <x v="6"/>
    <x v="1"/>
    <n v="157000.58544956328"/>
    <n v="33237.276184608301"/>
  </r>
  <r>
    <x v="2"/>
    <x v="7"/>
    <x v="2"/>
    <x v="5"/>
    <x v="2"/>
    <x v="0"/>
    <n v="2285.312933215223"/>
    <n v="504.26071075209802"/>
  </r>
  <r>
    <x v="2"/>
    <x v="7"/>
    <x v="2"/>
    <x v="5"/>
    <x v="2"/>
    <x v="1"/>
    <n v="13359.761805749855"/>
    <n v="5289.5422495137991"/>
  </r>
  <r>
    <x v="2"/>
    <x v="7"/>
    <x v="2"/>
    <x v="5"/>
    <x v="3"/>
    <x v="1"/>
    <n v="1.4133368653138001"/>
    <n v="0"/>
  </r>
  <r>
    <x v="2"/>
    <x v="7"/>
    <x v="2"/>
    <x v="5"/>
    <x v="8"/>
    <x v="0"/>
    <n v="13.8875363073422"/>
    <n v="6.1288218760998996"/>
  </r>
  <r>
    <x v="2"/>
    <x v="7"/>
    <x v="2"/>
    <x v="5"/>
    <x v="8"/>
    <x v="1"/>
    <n v="7.5467921103525004"/>
    <n v="3.2237826239"/>
  </r>
  <r>
    <x v="2"/>
    <x v="7"/>
    <x v="2"/>
    <x v="5"/>
    <x v="7"/>
    <x v="0"/>
    <n v="201.6915349332167"/>
    <n v="36.1350964946988"/>
  </r>
  <r>
    <x v="2"/>
    <x v="7"/>
    <x v="2"/>
    <x v="5"/>
    <x v="7"/>
    <x v="1"/>
    <n v="1366.538608448436"/>
    <n v="319.75164905199972"/>
  </r>
  <r>
    <x v="2"/>
    <x v="7"/>
    <x v="2"/>
    <x v="5"/>
    <x v="1"/>
    <x v="0"/>
    <n v="43.900717902881098"/>
    <n v="8.9384424685995008"/>
  </r>
  <r>
    <x v="2"/>
    <x v="7"/>
    <x v="2"/>
    <x v="5"/>
    <x v="1"/>
    <x v="1"/>
    <n v="72.635906477348001"/>
    <n v="13.942357469998999"/>
  </r>
  <r>
    <x v="2"/>
    <x v="7"/>
    <x v="2"/>
    <x v="5"/>
    <x v="9"/>
    <x v="0"/>
    <n v="2.5453951407347"/>
    <n v="0"/>
  </r>
  <r>
    <x v="2"/>
    <x v="7"/>
    <x v="2"/>
    <x v="5"/>
    <x v="9"/>
    <x v="1"/>
    <n v="5.6604553929936996"/>
    <n v="0"/>
  </r>
  <r>
    <x v="2"/>
    <x v="7"/>
    <x v="2"/>
    <x v="6"/>
    <x v="0"/>
    <x v="0"/>
    <n v="63.8548574929073"/>
    <n v="9.6573466342992997"/>
  </r>
  <r>
    <x v="2"/>
    <x v="7"/>
    <x v="2"/>
    <x v="6"/>
    <x v="0"/>
    <x v="1"/>
    <n v="502.52179666045151"/>
    <n v="155.0594155133991"/>
  </r>
  <r>
    <x v="2"/>
    <x v="7"/>
    <x v="2"/>
    <x v="6"/>
    <x v="1"/>
    <x v="0"/>
    <n v="1075.1712422135131"/>
    <n v="309.81093496019503"/>
  </r>
  <r>
    <x v="2"/>
    <x v="7"/>
    <x v="2"/>
    <x v="6"/>
    <x v="1"/>
    <x v="1"/>
    <n v="2015.932369277419"/>
    <n v="734.55329019519627"/>
  </r>
  <r>
    <x v="2"/>
    <x v="7"/>
    <x v="2"/>
    <x v="7"/>
    <x v="2"/>
    <x v="1"/>
    <n v="9401.9491725415319"/>
    <n v="3307.88"/>
  </r>
  <r>
    <x v="2"/>
    <x v="8"/>
    <x v="0"/>
    <x v="0"/>
    <x v="0"/>
    <x v="0"/>
    <n v="3688.93887887646"/>
    <n v="868.0073299999998"/>
  </r>
  <r>
    <x v="2"/>
    <x v="8"/>
    <x v="0"/>
    <x v="0"/>
    <x v="0"/>
    <x v="1"/>
    <n v="7537.5754961054408"/>
    <n v="468.20267000000001"/>
  </r>
  <r>
    <x v="2"/>
    <x v="8"/>
    <x v="0"/>
    <x v="0"/>
    <x v="1"/>
    <x v="0"/>
    <n v="69447.613785150301"/>
    <n v="13690.3793751265"/>
  </r>
  <r>
    <x v="2"/>
    <x v="8"/>
    <x v="0"/>
    <x v="0"/>
    <x v="1"/>
    <x v="1"/>
    <n v="41533.598961986347"/>
    <n v="3422.9585335297988"/>
  </r>
  <r>
    <x v="2"/>
    <x v="8"/>
    <x v="0"/>
    <x v="1"/>
    <x v="0"/>
    <x v="0"/>
    <n v="5359.7126595682466"/>
    <n v="1267.2775835499999"/>
  </r>
  <r>
    <x v="2"/>
    <x v="8"/>
    <x v="0"/>
    <x v="1"/>
    <x v="0"/>
    <x v="1"/>
    <n v="4808.3524466381141"/>
    <n v="553.2285614499998"/>
  </r>
  <r>
    <x v="2"/>
    <x v="8"/>
    <x v="0"/>
    <x v="1"/>
    <x v="1"/>
    <x v="0"/>
    <n v="48600.603752227689"/>
    <n v="9953.9780818868985"/>
  </r>
  <r>
    <x v="2"/>
    <x v="8"/>
    <x v="0"/>
    <x v="1"/>
    <x v="1"/>
    <x v="1"/>
    <n v="58189.780806839473"/>
    <n v="8397.7961376887979"/>
  </r>
  <r>
    <x v="2"/>
    <x v="8"/>
    <x v="1"/>
    <x v="2"/>
    <x v="2"/>
    <x v="0"/>
    <n v="3876.484250845609"/>
    <n v="2274.8652235783989"/>
  </r>
  <r>
    <x v="2"/>
    <x v="8"/>
    <x v="1"/>
    <x v="2"/>
    <x v="2"/>
    <x v="1"/>
    <n v="67838.821887738115"/>
    <n v="40589.801442936798"/>
  </r>
  <r>
    <x v="2"/>
    <x v="8"/>
    <x v="1"/>
    <x v="2"/>
    <x v="3"/>
    <x v="0"/>
    <n v="641.49416373533097"/>
    <n v="57.532499999999999"/>
  </r>
  <r>
    <x v="2"/>
    <x v="8"/>
    <x v="1"/>
    <x v="2"/>
    <x v="3"/>
    <x v="1"/>
    <n v="32.222740467941797"/>
    <n v="6.3924999999998002"/>
  </r>
  <r>
    <x v="2"/>
    <x v="8"/>
    <x v="1"/>
    <x v="2"/>
    <x v="4"/>
    <x v="0"/>
    <n v="30.7550485806693"/>
    <n v="0"/>
  </r>
  <r>
    <x v="2"/>
    <x v="8"/>
    <x v="1"/>
    <x v="2"/>
    <x v="4"/>
    <x v="1"/>
    <n v="1.9793674317645"/>
    <n v="0"/>
  </r>
  <r>
    <x v="2"/>
    <x v="8"/>
    <x v="1"/>
    <x v="2"/>
    <x v="5"/>
    <x v="0"/>
    <n v="0.90060615522889997"/>
    <n v="0"/>
  </r>
  <r>
    <x v="2"/>
    <x v="8"/>
    <x v="1"/>
    <x v="2"/>
    <x v="5"/>
    <x v="1"/>
    <n v="10.0116341624637"/>
    <n v="0"/>
  </r>
  <r>
    <x v="2"/>
    <x v="8"/>
    <x v="1"/>
    <x v="2"/>
    <x v="6"/>
    <x v="0"/>
    <n v="148.76092827729619"/>
    <n v="0"/>
  </r>
  <r>
    <x v="2"/>
    <x v="8"/>
    <x v="1"/>
    <x v="2"/>
    <x v="6"/>
    <x v="1"/>
    <n v="5042.8620993862824"/>
    <n v="0"/>
  </r>
  <r>
    <x v="2"/>
    <x v="8"/>
    <x v="1"/>
    <x v="2"/>
    <x v="1"/>
    <x v="0"/>
    <n v="20.8417895011012"/>
    <n v="1.5944860000000001"/>
  </r>
  <r>
    <x v="2"/>
    <x v="8"/>
    <x v="1"/>
    <x v="2"/>
    <x v="1"/>
    <x v="1"/>
    <n v="293.9849074767472"/>
    <n v="18.364363999999899"/>
  </r>
  <r>
    <x v="2"/>
    <x v="8"/>
    <x v="1"/>
    <x v="3"/>
    <x v="2"/>
    <x v="0"/>
    <n v="11927.801214380434"/>
    <n v="6646.7177674707991"/>
  </r>
  <r>
    <x v="2"/>
    <x v="8"/>
    <x v="1"/>
    <x v="3"/>
    <x v="2"/>
    <x v="1"/>
    <n v="107237.97321692725"/>
    <n v="56524.490718290297"/>
  </r>
  <r>
    <x v="2"/>
    <x v="8"/>
    <x v="1"/>
    <x v="3"/>
    <x v="3"/>
    <x v="0"/>
    <n v="112.4768652213402"/>
    <n v="0"/>
  </r>
  <r>
    <x v="2"/>
    <x v="8"/>
    <x v="1"/>
    <x v="3"/>
    <x v="3"/>
    <x v="1"/>
    <n v="602.54912768853762"/>
    <n v="0"/>
  </r>
  <r>
    <x v="2"/>
    <x v="8"/>
    <x v="1"/>
    <x v="3"/>
    <x v="7"/>
    <x v="0"/>
    <n v="22174.29005026837"/>
    <n v="12306.588"/>
  </r>
  <r>
    <x v="2"/>
    <x v="8"/>
    <x v="1"/>
    <x v="3"/>
    <x v="7"/>
    <x v="1"/>
    <n v="114716.13869386181"/>
    <n v="60954.811999999998"/>
  </r>
  <r>
    <x v="2"/>
    <x v="8"/>
    <x v="1"/>
    <x v="3"/>
    <x v="5"/>
    <x v="0"/>
    <n v="2.9608257292239002"/>
    <n v="0"/>
  </r>
  <r>
    <x v="2"/>
    <x v="8"/>
    <x v="1"/>
    <x v="3"/>
    <x v="5"/>
    <x v="1"/>
    <n v="15.6716879197379"/>
    <n v="0"/>
  </r>
  <r>
    <x v="2"/>
    <x v="8"/>
    <x v="1"/>
    <x v="3"/>
    <x v="6"/>
    <x v="0"/>
    <n v="66.183037588871599"/>
    <n v="0"/>
  </r>
  <r>
    <x v="2"/>
    <x v="8"/>
    <x v="1"/>
    <x v="3"/>
    <x v="6"/>
    <x v="1"/>
    <n v="350.27638424242338"/>
    <n v="0"/>
  </r>
  <r>
    <x v="2"/>
    <x v="8"/>
    <x v="1"/>
    <x v="3"/>
    <x v="1"/>
    <x v="0"/>
    <n v="515.10191617079442"/>
    <n v="18.190789799999699"/>
  </r>
  <r>
    <x v="2"/>
    <x v="8"/>
    <x v="1"/>
    <x v="3"/>
    <x v="1"/>
    <x v="1"/>
    <n v="1179.9863801029574"/>
    <n v="13.050360199999901"/>
  </r>
  <r>
    <x v="2"/>
    <x v="8"/>
    <x v="1"/>
    <x v="4"/>
    <x v="2"/>
    <x v="0"/>
    <n v="420.02974353445302"/>
    <n v="420.92720525699991"/>
  </r>
  <r>
    <x v="2"/>
    <x v="8"/>
    <x v="1"/>
    <x v="4"/>
    <x v="2"/>
    <x v="1"/>
    <n v="14617.617340642812"/>
    <n v="7132.596642513"/>
  </r>
  <r>
    <x v="2"/>
    <x v="8"/>
    <x v="1"/>
    <x v="4"/>
    <x v="4"/>
    <x v="1"/>
    <n v="1.003887772386"/>
    <n v="0"/>
  </r>
  <r>
    <x v="2"/>
    <x v="8"/>
    <x v="1"/>
    <x v="4"/>
    <x v="6"/>
    <x v="1"/>
    <n v="22647.503256734082"/>
    <n v="12042.0960000962"/>
  </r>
  <r>
    <x v="2"/>
    <x v="8"/>
    <x v="2"/>
    <x v="5"/>
    <x v="2"/>
    <x v="0"/>
    <n v="4977.2425971195426"/>
    <n v="1898.2193812321991"/>
  </r>
  <r>
    <x v="2"/>
    <x v="8"/>
    <x v="2"/>
    <x v="5"/>
    <x v="2"/>
    <x v="1"/>
    <n v="43619.72322218625"/>
    <n v="14682.896319862701"/>
  </r>
  <r>
    <x v="2"/>
    <x v="8"/>
    <x v="2"/>
    <x v="5"/>
    <x v="3"/>
    <x v="0"/>
    <n v="5.3417465320115003"/>
    <n v="0"/>
  </r>
  <r>
    <x v="2"/>
    <x v="8"/>
    <x v="2"/>
    <x v="5"/>
    <x v="3"/>
    <x v="1"/>
    <n v="78.805400062196497"/>
    <n v="0"/>
  </r>
  <r>
    <x v="2"/>
    <x v="8"/>
    <x v="2"/>
    <x v="5"/>
    <x v="8"/>
    <x v="0"/>
    <n v="14745.944835046559"/>
    <n v="8522.0471816278987"/>
  </r>
  <r>
    <x v="2"/>
    <x v="8"/>
    <x v="2"/>
    <x v="5"/>
    <x v="8"/>
    <x v="1"/>
    <n v="6044.9774962756192"/>
    <n v="2762.4507804947989"/>
  </r>
  <r>
    <x v="2"/>
    <x v="8"/>
    <x v="2"/>
    <x v="5"/>
    <x v="7"/>
    <x v="0"/>
    <n v="10927.122030421637"/>
    <n v="5530.5431490000001"/>
  </r>
  <r>
    <x v="2"/>
    <x v="8"/>
    <x v="2"/>
    <x v="5"/>
    <x v="7"/>
    <x v="1"/>
    <n v="40291.133750184919"/>
    <n v="10654.416851"/>
  </r>
  <r>
    <x v="2"/>
    <x v="8"/>
    <x v="2"/>
    <x v="5"/>
    <x v="5"/>
    <x v="0"/>
    <n v="7.7316411078687004"/>
    <n v="0"/>
  </r>
  <r>
    <x v="2"/>
    <x v="8"/>
    <x v="2"/>
    <x v="5"/>
    <x v="5"/>
    <x v="1"/>
    <n v="217.2215468484242"/>
    <n v="0"/>
  </r>
  <r>
    <x v="2"/>
    <x v="8"/>
    <x v="2"/>
    <x v="5"/>
    <x v="1"/>
    <x v="0"/>
    <n v="98.961724155483097"/>
    <n v="20.2154105661991"/>
  </r>
  <r>
    <x v="2"/>
    <x v="8"/>
    <x v="2"/>
    <x v="5"/>
    <x v="1"/>
    <x v="1"/>
    <n v="238.05082533737649"/>
    <n v="34.265909395699097"/>
  </r>
  <r>
    <x v="2"/>
    <x v="8"/>
    <x v="2"/>
    <x v="5"/>
    <x v="9"/>
    <x v="0"/>
    <n v="97.562082787800904"/>
    <n v="0"/>
  </r>
  <r>
    <x v="2"/>
    <x v="8"/>
    <x v="2"/>
    <x v="5"/>
    <x v="9"/>
    <x v="1"/>
    <n v="339.90270424414911"/>
    <n v="0"/>
  </r>
  <r>
    <x v="2"/>
    <x v="8"/>
    <x v="2"/>
    <x v="6"/>
    <x v="0"/>
    <x v="0"/>
    <n v="5057.22940187314"/>
    <n v="2121.98961315"/>
  </r>
  <r>
    <x v="2"/>
    <x v="8"/>
    <x v="2"/>
    <x v="6"/>
    <x v="0"/>
    <x v="1"/>
    <n v="9514.938373508061"/>
    <n v="2687.9812418500001"/>
  </r>
  <r>
    <x v="2"/>
    <x v="8"/>
    <x v="2"/>
    <x v="6"/>
    <x v="1"/>
    <x v="0"/>
    <n v="16483.553900634281"/>
    <n v="9835.8706585182972"/>
  </r>
  <r>
    <x v="2"/>
    <x v="8"/>
    <x v="2"/>
    <x v="6"/>
    <x v="1"/>
    <x v="1"/>
    <n v="21795.156359294509"/>
    <n v="8152.411230004499"/>
  </r>
  <r>
    <x v="2"/>
    <x v="8"/>
    <x v="2"/>
    <x v="7"/>
    <x v="2"/>
    <x v="1"/>
    <n v="8984.1653444861895"/>
    <n v="1273.3399999999999"/>
  </r>
  <r>
    <x v="2"/>
    <x v="9"/>
    <x v="0"/>
    <x v="0"/>
    <x v="0"/>
    <x v="0"/>
    <n v="34.289363948380199"/>
    <n v="3.8299042933996001"/>
  </r>
  <r>
    <x v="2"/>
    <x v="9"/>
    <x v="0"/>
    <x v="0"/>
    <x v="0"/>
    <x v="1"/>
    <n v="115.1964811065799"/>
    <n v="13.0000957065997"/>
  </r>
  <r>
    <x v="2"/>
    <x v="9"/>
    <x v="0"/>
    <x v="0"/>
    <x v="1"/>
    <x v="0"/>
    <n v="9948.5667964741206"/>
    <n v="1163.8897485793991"/>
  </r>
  <r>
    <x v="2"/>
    <x v="9"/>
    <x v="0"/>
    <x v="0"/>
    <x v="1"/>
    <x v="1"/>
    <n v="2159.3075465126099"/>
    <n v="131.6638058051991"/>
  </r>
  <r>
    <x v="2"/>
    <x v="9"/>
    <x v="0"/>
    <x v="1"/>
    <x v="0"/>
    <x v="0"/>
    <n v="65.698359358439703"/>
    <n v="5.2985606037994"/>
  </r>
  <r>
    <x v="2"/>
    <x v="9"/>
    <x v="0"/>
    <x v="1"/>
    <x v="0"/>
    <x v="1"/>
    <n v="102.0498694212823"/>
    <n v="12.7562284282"/>
  </r>
  <r>
    <x v="2"/>
    <x v="9"/>
    <x v="0"/>
    <x v="1"/>
    <x v="1"/>
    <x v="0"/>
    <n v="7215.0702125212001"/>
    <n v="912.26203080619803"/>
  </r>
  <r>
    <x v="2"/>
    <x v="9"/>
    <x v="0"/>
    <x v="1"/>
    <x v="1"/>
    <x v="1"/>
    <n v="6891.5134128096397"/>
    <n v="781.33855954199805"/>
  </r>
  <r>
    <x v="2"/>
    <x v="9"/>
    <x v="1"/>
    <x v="2"/>
    <x v="2"/>
    <x v="0"/>
    <n v="5625.7329948055713"/>
    <n v="2418.564157884799"/>
  </r>
  <r>
    <x v="2"/>
    <x v="9"/>
    <x v="1"/>
    <x v="2"/>
    <x v="2"/>
    <x v="1"/>
    <n v="87661.753559377801"/>
    <n v="41944.793526178197"/>
  </r>
  <r>
    <x v="2"/>
    <x v="9"/>
    <x v="1"/>
    <x v="2"/>
    <x v="3"/>
    <x v="0"/>
    <n v="383.2432897271832"/>
    <n v="16.799999999999901"/>
  </r>
  <r>
    <x v="2"/>
    <x v="9"/>
    <x v="1"/>
    <x v="2"/>
    <x v="3"/>
    <x v="1"/>
    <n v="398.66456946782722"/>
    <n v="4.2"/>
  </r>
  <r>
    <x v="2"/>
    <x v="9"/>
    <x v="1"/>
    <x v="2"/>
    <x v="5"/>
    <x v="0"/>
    <n v="508.45060798516562"/>
    <n v="0"/>
  </r>
  <r>
    <x v="2"/>
    <x v="9"/>
    <x v="1"/>
    <x v="2"/>
    <x v="5"/>
    <x v="1"/>
    <n v="1340.1970127835109"/>
    <n v="0"/>
  </r>
  <r>
    <x v="2"/>
    <x v="9"/>
    <x v="1"/>
    <x v="2"/>
    <x v="6"/>
    <x v="0"/>
    <n v="8509.4157329874306"/>
    <n v="7.4399428300000001E-2"/>
  </r>
  <r>
    <x v="2"/>
    <x v="9"/>
    <x v="1"/>
    <x v="2"/>
    <x v="6"/>
    <x v="1"/>
    <n v="24768.90395362486"/>
    <n v="7.8912900673996003"/>
  </r>
  <r>
    <x v="2"/>
    <x v="9"/>
    <x v="1"/>
    <x v="2"/>
    <x v="1"/>
    <x v="0"/>
    <n v="64.639640134693806"/>
    <n v="0"/>
  </r>
  <r>
    <x v="2"/>
    <x v="9"/>
    <x v="1"/>
    <x v="2"/>
    <x v="1"/>
    <x v="1"/>
    <n v="299.74121021705412"/>
    <n v="0"/>
  </r>
  <r>
    <x v="2"/>
    <x v="9"/>
    <x v="1"/>
    <x v="3"/>
    <x v="2"/>
    <x v="0"/>
    <n v="7099.9303953049803"/>
    <n v="2376.0957920977999"/>
  </r>
  <r>
    <x v="2"/>
    <x v="9"/>
    <x v="1"/>
    <x v="3"/>
    <x v="2"/>
    <x v="1"/>
    <n v="61223.279995735713"/>
    <n v="22554.054523603299"/>
  </r>
  <r>
    <x v="2"/>
    <x v="9"/>
    <x v="1"/>
    <x v="3"/>
    <x v="3"/>
    <x v="0"/>
    <n v="1152.459746274094"/>
    <n v="0"/>
  </r>
  <r>
    <x v="2"/>
    <x v="9"/>
    <x v="1"/>
    <x v="3"/>
    <x v="3"/>
    <x v="1"/>
    <n v="2926.8872283689898"/>
    <n v="0"/>
  </r>
  <r>
    <x v="2"/>
    <x v="9"/>
    <x v="1"/>
    <x v="3"/>
    <x v="7"/>
    <x v="0"/>
    <n v="940.00809382092802"/>
    <n v="105.1999999999998"/>
  </r>
  <r>
    <x v="2"/>
    <x v="9"/>
    <x v="1"/>
    <x v="3"/>
    <x v="7"/>
    <x v="1"/>
    <n v="4350.9114984613698"/>
    <n v="946.8"/>
  </r>
  <r>
    <x v="2"/>
    <x v="9"/>
    <x v="1"/>
    <x v="3"/>
    <x v="5"/>
    <x v="0"/>
    <n v="668.55857400039201"/>
    <n v="0"/>
  </r>
  <r>
    <x v="2"/>
    <x v="9"/>
    <x v="1"/>
    <x v="3"/>
    <x v="5"/>
    <x v="1"/>
    <n v="1528.6804734882389"/>
    <n v="0"/>
  </r>
  <r>
    <x v="2"/>
    <x v="9"/>
    <x v="1"/>
    <x v="3"/>
    <x v="6"/>
    <x v="0"/>
    <n v="111.19316143046581"/>
    <n v="0"/>
  </r>
  <r>
    <x v="2"/>
    <x v="9"/>
    <x v="1"/>
    <x v="3"/>
    <x v="6"/>
    <x v="1"/>
    <n v="261.04060949196099"/>
    <n v="0"/>
  </r>
  <r>
    <x v="2"/>
    <x v="9"/>
    <x v="1"/>
    <x v="3"/>
    <x v="1"/>
    <x v="0"/>
    <n v="159.49075182893779"/>
    <n v="0"/>
  </r>
  <r>
    <x v="2"/>
    <x v="9"/>
    <x v="1"/>
    <x v="3"/>
    <x v="1"/>
    <x v="1"/>
    <n v="649.70514958551598"/>
    <n v="0"/>
  </r>
  <r>
    <x v="2"/>
    <x v="9"/>
    <x v="1"/>
    <x v="4"/>
    <x v="2"/>
    <x v="0"/>
    <n v="31.649613102072902"/>
    <n v="1.3671005109997001"/>
  </r>
  <r>
    <x v="2"/>
    <x v="9"/>
    <x v="1"/>
    <x v="4"/>
    <x v="2"/>
    <x v="1"/>
    <n v="29213.09727132124"/>
    <n v="13566.1248997248"/>
  </r>
  <r>
    <x v="2"/>
    <x v="9"/>
    <x v="1"/>
    <x v="4"/>
    <x v="6"/>
    <x v="0"/>
    <n v="2088.5948229355099"/>
    <n v="0"/>
  </r>
  <r>
    <x v="2"/>
    <x v="9"/>
    <x v="1"/>
    <x v="4"/>
    <x v="6"/>
    <x v="1"/>
    <n v="148639.19618615051"/>
    <n v="38607.034310504197"/>
  </r>
  <r>
    <x v="2"/>
    <x v="9"/>
    <x v="2"/>
    <x v="5"/>
    <x v="2"/>
    <x v="0"/>
    <n v="589.47367154136703"/>
    <n v="216.90271319379869"/>
  </r>
  <r>
    <x v="2"/>
    <x v="9"/>
    <x v="2"/>
    <x v="5"/>
    <x v="2"/>
    <x v="1"/>
    <n v="2762.1834142459602"/>
    <n v="867.86116937449901"/>
  </r>
  <r>
    <x v="2"/>
    <x v="9"/>
    <x v="2"/>
    <x v="5"/>
    <x v="3"/>
    <x v="0"/>
    <n v="0.18593198693179999"/>
    <n v="0"/>
  </r>
  <r>
    <x v="2"/>
    <x v="9"/>
    <x v="2"/>
    <x v="5"/>
    <x v="3"/>
    <x v="1"/>
    <n v="2.9783876824350002"/>
    <n v="0"/>
  </r>
  <r>
    <x v="2"/>
    <x v="9"/>
    <x v="2"/>
    <x v="5"/>
    <x v="8"/>
    <x v="0"/>
    <n v="5.0766167222179996"/>
    <n v="3.2639300000000002"/>
  </r>
  <r>
    <x v="2"/>
    <x v="9"/>
    <x v="2"/>
    <x v="5"/>
    <x v="8"/>
    <x v="1"/>
    <n v="5.1875845491270001"/>
    <n v="1.8560700000000001"/>
  </r>
  <r>
    <x v="2"/>
    <x v="9"/>
    <x v="2"/>
    <x v="5"/>
    <x v="7"/>
    <x v="0"/>
    <n v="139.12895244433531"/>
    <n v="22.185639360199399"/>
  </r>
  <r>
    <x v="2"/>
    <x v="9"/>
    <x v="2"/>
    <x v="5"/>
    <x v="7"/>
    <x v="1"/>
    <n v="625.15290050401097"/>
    <n v="206.3435891397996"/>
  </r>
  <r>
    <x v="2"/>
    <x v="9"/>
    <x v="2"/>
    <x v="5"/>
    <x v="1"/>
    <x v="0"/>
    <n v="10.526754082120499"/>
    <n v="3.0748405130994998"/>
  </r>
  <r>
    <x v="2"/>
    <x v="9"/>
    <x v="2"/>
    <x v="5"/>
    <x v="1"/>
    <x v="1"/>
    <n v="10.295970061096799"/>
    <n v="2.2176448908995998"/>
  </r>
  <r>
    <x v="2"/>
    <x v="9"/>
    <x v="2"/>
    <x v="5"/>
    <x v="9"/>
    <x v="0"/>
    <n v="3.1702102314517999"/>
    <n v="0"/>
  </r>
  <r>
    <x v="2"/>
    <x v="9"/>
    <x v="2"/>
    <x v="5"/>
    <x v="9"/>
    <x v="1"/>
    <n v="3.2981371588574002"/>
    <n v="0"/>
  </r>
  <r>
    <x v="2"/>
    <x v="9"/>
    <x v="2"/>
    <x v="6"/>
    <x v="0"/>
    <x v="0"/>
    <n v="33.208555222717699"/>
    <n v="3.2966442859998"/>
  </r>
  <r>
    <x v="2"/>
    <x v="9"/>
    <x v="2"/>
    <x v="6"/>
    <x v="0"/>
    <x v="1"/>
    <n v="316.41902374947199"/>
    <n v="57.7945666817998"/>
  </r>
  <r>
    <x v="2"/>
    <x v="9"/>
    <x v="2"/>
    <x v="6"/>
    <x v="1"/>
    <x v="0"/>
    <n v="248.845784941185"/>
    <n v="85.653574138197698"/>
  </r>
  <r>
    <x v="2"/>
    <x v="9"/>
    <x v="2"/>
    <x v="6"/>
    <x v="1"/>
    <x v="1"/>
    <n v="564.40696579253699"/>
    <n v="128.89092801779799"/>
  </r>
  <r>
    <x v="2"/>
    <x v="9"/>
    <x v="2"/>
    <x v="7"/>
    <x v="2"/>
    <x v="1"/>
    <n v="5060.0268907131303"/>
    <n v="2117.8200000000002"/>
  </r>
  <r>
    <x v="2"/>
    <x v="10"/>
    <x v="0"/>
    <x v="0"/>
    <x v="0"/>
    <x v="0"/>
    <n v="1176.8457060856792"/>
    <n v="143.79515061849631"/>
  </r>
  <r>
    <x v="2"/>
    <x v="10"/>
    <x v="0"/>
    <x v="0"/>
    <x v="0"/>
    <x v="1"/>
    <n v="5144.8068631244023"/>
    <n v="676.55084938149719"/>
  </r>
  <r>
    <x v="2"/>
    <x v="10"/>
    <x v="0"/>
    <x v="0"/>
    <x v="1"/>
    <x v="0"/>
    <n v="63777.27661369682"/>
    <n v="11044.065199324485"/>
  </r>
  <r>
    <x v="2"/>
    <x v="10"/>
    <x v="0"/>
    <x v="0"/>
    <x v="1"/>
    <x v="1"/>
    <n v="28294.523665006906"/>
    <n v="2888.4602705823822"/>
  </r>
  <r>
    <x v="2"/>
    <x v="10"/>
    <x v="0"/>
    <x v="1"/>
    <x v="0"/>
    <x v="0"/>
    <n v="1319.1448449617942"/>
    <n v="382.20614499089692"/>
  </r>
  <r>
    <x v="2"/>
    <x v="10"/>
    <x v="0"/>
    <x v="1"/>
    <x v="0"/>
    <x v="1"/>
    <n v="2506.8313190873391"/>
    <n v="433.969852258397"/>
  </r>
  <r>
    <x v="2"/>
    <x v="10"/>
    <x v="0"/>
    <x v="1"/>
    <x v="1"/>
    <x v="0"/>
    <n v="35599.268876767412"/>
    <n v="11926.912485882684"/>
  </r>
  <r>
    <x v="2"/>
    <x v="10"/>
    <x v="0"/>
    <x v="1"/>
    <x v="1"/>
    <x v="1"/>
    <n v="55619.600683345954"/>
    <n v="10547.749657092487"/>
  </r>
  <r>
    <x v="2"/>
    <x v="10"/>
    <x v="1"/>
    <x v="2"/>
    <x v="2"/>
    <x v="0"/>
    <n v="19878.344385418422"/>
    <n v="5939.7660357328896"/>
  </r>
  <r>
    <x v="2"/>
    <x v="10"/>
    <x v="1"/>
    <x v="2"/>
    <x v="2"/>
    <x v="1"/>
    <n v="115088.1496357905"/>
    <n v="45551.530044177693"/>
  </r>
  <r>
    <x v="2"/>
    <x v="10"/>
    <x v="1"/>
    <x v="2"/>
    <x v="3"/>
    <x v="0"/>
    <n v="745.65061188305958"/>
    <n v="13.7528999999998"/>
  </r>
  <r>
    <x v="2"/>
    <x v="10"/>
    <x v="1"/>
    <x v="2"/>
    <x v="3"/>
    <x v="1"/>
    <n v="840.30996079993281"/>
    <n v="3.0470999999999999"/>
  </r>
  <r>
    <x v="2"/>
    <x v="10"/>
    <x v="1"/>
    <x v="2"/>
    <x v="4"/>
    <x v="0"/>
    <n v="6.0410733615963998"/>
    <n v="0"/>
  </r>
  <r>
    <x v="2"/>
    <x v="10"/>
    <x v="1"/>
    <x v="2"/>
    <x v="4"/>
    <x v="1"/>
    <n v="96.382547541804499"/>
    <n v="0"/>
  </r>
  <r>
    <x v="2"/>
    <x v="10"/>
    <x v="1"/>
    <x v="2"/>
    <x v="5"/>
    <x v="0"/>
    <n v="635.09804002158069"/>
    <n v="0.36400000020000001"/>
  </r>
  <r>
    <x v="2"/>
    <x v="10"/>
    <x v="1"/>
    <x v="2"/>
    <x v="5"/>
    <x v="1"/>
    <n v="1616.9252530642907"/>
    <n v="25.305999998199901"/>
  </r>
  <r>
    <x v="2"/>
    <x v="10"/>
    <x v="1"/>
    <x v="2"/>
    <x v="6"/>
    <x v="0"/>
    <n v="12205.075492107744"/>
    <n v="0"/>
  </r>
  <r>
    <x v="2"/>
    <x v="10"/>
    <x v="1"/>
    <x v="2"/>
    <x v="6"/>
    <x v="1"/>
    <n v="30467.516440487678"/>
    <n v="0"/>
  </r>
  <r>
    <x v="2"/>
    <x v="10"/>
    <x v="1"/>
    <x v="2"/>
    <x v="1"/>
    <x v="0"/>
    <n v="2289.0377309938408"/>
    <n v="106.5170739999989"/>
  </r>
  <r>
    <x v="2"/>
    <x v="10"/>
    <x v="1"/>
    <x v="2"/>
    <x v="1"/>
    <x v="1"/>
    <n v="5948.4576873986107"/>
    <n v="176.2025259999993"/>
  </r>
  <r>
    <x v="2"/>
    <x v="10"/>
    <x v="1"/>
    <x v="3"/>
    <x v="2"/>
    <x v="0"/>
    <n v="35261.830920430009"/>
    <n v="9297.3683492739929"/>
  </r>
  <r>
    <x v="2"/>
    <x v="10"/>
    <x v="1"/>
    <x v="3"/>
    <x v="2"/>
    <x v="1"/>
    <n v="140417.0393175823"/>
    <n v="45779.124970923789"/>
  </r>
  <r>
    <x v="2"/>
    <x v="10"/>
    <x v="1"/>
    <x v="3"/>
    <x v="3"/>
    <x v="0"/>
    <n v="2515.4313989570564"/>
    <n v="0"/>
  </r>
  <r>
    <x v="2"/>
    <x v="10"/>
    <x v="1"/>
    <x v="3"/>
    <x v="3"/>
    <x v="1"/>
    <n v="6213.5241679092296"/>
    <n v="0"/>
  </r>
  <r>
    <x v="2"/>
    <x v="10"/>
    <x v="1"/>
    <x v="3"/>
    <x v="7"/>
    <x v="0"/>
    <n v="31862.173421694348"/>
    <n v="9094.15"/>
  </r>
  <r>
    <x v="2"/>
    <x v="10"/>
    <x v="1"/>
    <x v="3"/>
    <x v="7"/>
    <x v="1"/>
    <n v="82483.785424405665"/>
    <n v="28088.85"/>
  </r>
  <r>
    <x v="2"/>
    <x v="10"/>
    <x v="1"/>
    <x v="3"/>
    <x v="5"/>
    <x v="0"/>
    <n v="2150.232800348128"/>
    <n v="0"/>
  </r>
  <r>
    <x v="2"/>
    <x v="10"/>
    <x v="1"/>
    <x v="3"/>
    <x v="5"/>
    <x v="1"/>
    <n v="5513.1708544131634"/>
    <n v="8.6200000004999993"/>
  </r>
  <r>
    <x v="2"/>
    <x v="10"/>
    <x v="1"/>
    <x v="3"/>
    <x v="6"/>
    <x v="0"/>
    <n v="0.1206696490035"/>
    <n v="0"/>
  </r>
  <r>
    <x v="2"/>
    <x v="10"/>
    <x v="1"/>
    <x v="3"/>
    <x v="6"/>
    <x v="1"/>
    <n v="0.31032416842600002"/>
    <n v="0"/>
  </r>
  <r>
    <x v="2"/>
    <x v="10"/>
    <x v="1"/>
    <x v="3"/>
    <x v="1"/>
    <x v="0"/>
    <n v="1759.7396060579417"/>
    <n v="36.172525999999699"/>
  </r>
  <r>
    <x v="2"/>
    <x v="10"/>
    <x v="1"/>
    <x v="3"/>
    <x v="1"/>
    <x v="1"/>
    <n v="3668.7321680805817"/>
    <n v="15.487874"/>
  </r>
  <r>
    <x v="2"/>
    <x v="10"/>
    <x v="1"/>
    <x v="4"/>
    <x v="2"/>
    <x v="0"/>
    <n v="2.5140977728000001E-3"/>
    <n v="0"/>
  </r>
  <r>
    <x v="2"/>
    <x v="10"/>
    <x v="1"/>
    <x v="4"/>
    <x v="2"/>
    <x v="1"/>
    <n v="7516.9048580731651"/>
    <n v="6506.0495998841925"/>
  </r>
  <r>
    <x v="2"/>
    <x v="10"/>
    <x v="1"/>
    <x v="4"/>
    <x v="5"/>
    <x v="1"/>
    <n v="22.546751075794901"/>
    <n v="17.050000001000001"/>
  </r>
  <r>
    <x v="2"/>
    <x v="10"/>
    <x v="1"/>
    <x v="4"/>
    <x v="6"/>
    <x v="0"/>
    <n v="0.14585877939319999"/>
    <n v="0"/>
  </r>
  <r>
    <x v="2"/>
    <x v="10"/>
    <x v="1"/>
    <x v="4"/>
    <x v="6"/>
    <x v="1"/>
    <n v="12468.522410721069"/>
    <n v="10672.759999997999"/>
  </r>
  <r>
    <x v="2"/>
    <x v="10"/>
    <x v="2"/>
    <x v="5"/>
    <x v="2"/>
    <x v="0"/>
    <n v="3834.9955876980143"/>
    <n v="1687.700424989687"/>
  </r>
  <r>
    <x v="2"/>
    <x v="10"/>
    <x v="2"/>
    <x v="5"/>
    <x v="2"/>
    <x v="1"/>
    <n v="46547.159115009017"/>
    <n v="17079.165589556687"/>
  </r>
  <r>
    <x v="2"/>
    <x v="10"/>
    <x v="2"/>
    <x v="5"/>
    <x v="3"/>
    <x v="0"/>
    <n v="11.510574497682599"/>
    <n v="0"/>
  </r>
  <r>
    <x v="2"/>
    <x v="10"/>
    <x v="2"/>
    <x v="5"/>
    <x v="8"/>
    <x v="0"/>
    <n v="853.70805461286841"/>
    <n v="428.42139449929311"/>
  </r>
  <r>
    <x v="2"/>
    <x v="10"/>
    <x v="2"/>
    <x v="5"/>
    <x v="8"/>
    <x v="1"/>
    <n v="453.90397851173242"/>
    <n v="209.49190302369581"/>
  </r>
  <r>
    <x v="2"/>
    <x v="10"/>
    <x v="2"/>
    <x v="5"/>
    <x v="7"/>
    <x v="0"/>
    <n v="5739.9224263078877"/>
    <n v="2190.0965522571942"/>
  </r>
  <r>
    <x v="2"/>
    <x v="10"/>
    <x v="2"/>
    <x v="5"/>
    <x v="7"/>
    <x v="1"/>
    <n v="21919.873685295752"/>
    <n v="5057.7867472426933"/>
  </r>
  <r>
    <x v="2"/>
    <x v="10"/>
    <x v="2"/>
    <x v="5"/>
    <x v="1"/>
    <x v="0"/>
    <n v="128.0620809890402"/>
    <n v="34.874116909298102"/>
  </r>
  <r>
    <x v="2"/>
    <x v="10"/>
    <x v="2"/>
    <x v="5"/>
    <x v="1"/>
    <x v="1"/>
    <n v="195.77001251407509"/>
    <n v="34.185331034197297"/>
  </r>
  <r>
    <x v="2"/>
    <x v="10"/>
    <x v="2"/>
    <x v="5"/>
    <x v="9"/>
    <x v="0"/>
    <n v="18.803995169704699"/>
    <n v="0"/>
  </r>
  <r>
    <x v="2"/>
    <x v="10"/>
    <x v="2"/>
    <x v="5"/>
    <x v="9"/>
    <x v="1"/>
    <n v="186.96778721171771"/>
    <n v="0"/>
  </r>
  <r>
    <x v="2"/>
    <x v="10"/>
    <x v="2"/>
    <x v="6"/>
    <x v="0"/>
    <x v="0"/>
    <n v="1886.3709480658806"/>
    <n v="443.9893747191972"/>
  </r>
  <r>
    <x v="2"/>
    <x v="10"/>
    <x v="2"/>
    <x v="6"/>
    <x v="0"/>
    <x v="1"/>
    <n v="10192.916663713688"/>
    <n v="2244.5196280312985"/>
  </r>
  <r>
    <x v="2"/>
    <x v="10"/>
    <x v="2"/>
    <x v="6"/>
    <x v="1"/>
    <x v="0"/>
    <n v="10424.461614470913"/>
    <n v="3787.3911043048752"/>
  </r>
  <r>
    <x v="2"/>
    <x v="10"/>
    <x v="2"/>
    <x v="6"/>
    <x v="1"/>
    <x v="1"/>
    <n v="14869.812014613828"/>
    <n v="4578.2958982590781"/>
  </r>
  <r>
    <x v="2"/>
    <x v="10"/>
    <x v="2"/>
    <x v="7"/>
    <x v="2"/>
    <x v="1"/>
    <n v="9232.269478121887"/>
    <n v="4908.3306538757988"/>
  </r>
  <r>
    <x v="3"/>
    <x v="0"/>
    <x v="0"/>
    <x v="0"/>
    <x v="0"/>
    <x v="0"/>
    <n v="28.0039879959009"/>
    <n v="5.7881999999999998"/>
  </r>
  <r>
    <x v="3"/>
    <x v="0"/>
    <x v="0"/>
    <x v="0"/>
    <x v="0"/>
    <x v="1"/>
    <n v="159.80415666152891"/>
    <n v="30.9773"/>
  </r>
  <r>
    <x v="3"/>
    <x v="0"/>
    <x v="0"/>
    <x v="0"/>
    <x v="1"/>
    <x v="0"/>
    <n v="12151.451868205597"/>
    <n v="1702.8947000000001"/>
  </r>
  <r>
    <x v="3"/>
    <x v="0"/>
    <x v="0"/>
    <x v="0"/>
    <x v="1"/>
    <x v="1"/>
    <n v="3972.2855632242531"/>
    <n v="487.58609999999999"/>
  </r>
  <r>
    <x v="3"/>
    <x v="0"/>
    <x v="0"/>
    <x v="1"/>
    <x v="0"/>
    <x v="0"/>
    <n v="100.8708195172924"/>
    <n v="32.946800000000003"/>
  </r>
  <r>
    <x v="3"/>
    <x v="0"/>
    <x v="0"/>
    <x v="1"/>
    <x v="0"/>
    <x v="1"/>
    <n v="157.62926360165591"/>
    <n v="48.509700000000002"/>
  </r>
  <r>
    <x v="3"/>
    <x v="0"/>
    <x v="0"/>
    <x v="1"/>
    <x v="1"/>
    <x v="0"/>
    <n v="9620.6448065352997"/>
    <n v="1758.9141999999999"/>
  </r>
  <r>
    <x v="3"/>
    <x v="0"/>
    <x v="0"/>
    <x v="1"/>
    <x v="1"/>
    <x v="1"/>
    <n v="9857.4057250840542"/>
    <n v="1677.905"/>
  </r>
  <r>
    <x v="3"/>
    <x v="0"/>
    <x v="1"/>
    <x v="2"/>
    <x v="2"/>
    <x v="0"/>
    <n v="2972.06432499215"/>
    <n v="1279.1374000000001"/>
  </r>
  <r>
    <x v="3"/>
    <x v="0"/>
    <x v="1"/>
    <x v="2"/>
    <x v="2"/>
    <x v="1"/>
    <n v="23710.492950142769"/>
    <n v="10115.6556"/>
  </r>
  <r>
    <x v="3"/>
    <x v="0"/>
    <x v="1"/>
    <x v="2"/>
    <x v="3"/>
    <x v="1"/>
    <n v="7.9573297695566003"/>
    <m/>
  </r>
  <r>
    <x v="3"/>
    <x v="0"/>
    <x v="1"/>
    <x v="2"/>
    <x v="4"/>
    <x v="0"/>
    <n v="0.2351204156261"/>
    <m/>
  </r>
  <r>
    <x v="3"/>
    <x v="0"/>
    <x v="1"/>
    <x v="2"/>
    <x v="4"/>
    <x v="1"/>
    <n v="10.999327271116"/>
    <m/>
  </r>
  <r>
    <x v="3"/>
    <x v="0"/>
    <x v="1"/>
    <x v="2"/>
    <x v="5"/>
    <x v="0"/>
    <n v="18.3811670902316"/>
    <m/>
  </r>
  <r>
    <x v="3"/>
    <x v="0"/>
    <x v="1"/>
    <x v="2"/>
    <x v="5"/>
    <x v="1"/>
    <n v="44.390849420512303"/>
    <m/>
  </r>
  <r>
    <x v="3"/>
    <x v="0"/>
    <x v="1"/>
    <x v="2"/>
    <x v="6"/>
    <x v="0"/>
    <n v="412.21402900049191"/>
    <m/>
  </r>
  <r>
    <x v="3"/>
    <x v="0"/>
    <x v="1"/>
    <x v="2"/>
    <x v="6"/>
    <x v="1"/>
    <n v="948.23169708546595"/>
    <m/>
  </r>
  <r>
    <x v="3"/>
    <x v="0"/>
    <x v="1"/>
    <x v="2"/>
    <x v="1"/>
    <x v="0"/>
    <n v="205.52714990383049"/>
    <n v="10.2356"/>
  </r>
  <r>
    <x v="3"/>
    <x v="0"/>
    <x v="1"/>
    <x v="2"/>
    <x v="1"/>
    <x v="1"/>
    <n v="156.3083416605167"/>
    <m/>
  </r>
  <r>
    <x v="3"/>
    <x v="0"/>
    <x v="1"/>
    <x v="3"/>
    <x v="2"/>
    <x v="0"/>
    <n v="7028.6690551167421"/>
    <n v="2859.8748000000001"/>
  </r>
  <r>
    <x v="3"/>
    <x v="0"/>
    <x v="1"/>
    <x v="3"/>
    <x v="2"/>
    <x v="1"/>
    <n v="44628.636494885483"/>
    <n v="19503.471799999999"/>
  </r>
  <r>
    <x v="3"/>
    <x v="0"/>
    <x v="1"/>
    <x v="3"/>
    <x v="3"/>
    <x v="0"/>
    <n v="9.3955901889976001"/>
    <m/>
  </r>
  <r>
    <x v="3"/>
    <x v="0"/>
    <x v="1"/>
    <x v="3"/>
    <x v="3"/>
    <x v="1"/>
    <n v="25.269609312479499"/>
    <m/>
  </r>
  <r>
    <x v="3"/>
    <x v="0"/>
    <x v="1"/>
    <x v="3"/>
    <x v="7"/>
    <x v="0"/>
    <n v="1154.5121933894022"/>
    <n v="545.33979999999997"/>
  </r>
  <r>
    <x v="3"/>
    <x v="0"/>
    <x v="1"/>
    <x v="3"/>
    <x v="7"/>
    <x v="1"/>
    <n v="7637.9120213942779"/>
    <n v="3849.2294999999999"/>
  </r>
  <r>
    <x v="3"/>
    <x v="0"/>
    <x v="1"/>
    <x v="3"/>
    <x v="5"/>
    <x v="0"/>
    <n v="149.98261167142019"/>
    <m/>
  </r>
  <r>
    <x v="3"/>
    <x v="0"/>
    <x v="1"/>
    <x v="3"/>
    <x v="5"/>
    <x v="1"/>
    <n v="387.65789880554081"/>
    <m/>
  </r>
  <r>
    <x v="3"/>
    <x v="0"/>
    <x v="1"/>
    <x v="3"/>
    <x v="6"/>
    <x v="0"/>
    <n v="53.180422050918203"/>
    <m/>
  </r>
  <r>
    <x v="3"/>
    <x v="0"/>
    <x v="1"/>
    <x v="3"/>
    <x v="6"/>
    <x v="1"/>
    <n v="144.79785606096749"/>
    <m/>
  </r>
  <r>
    <x v="3"/>
    <x v="0"/>
    <x v="1"/>
    <x v="3"/>
    <x v="1"/>
    <x v="0"/>
    <n v="203.0706873980713"/>
    <n v="6.8400999999999996"/>
  </r>
  <r>
    <x v="3"/>
    <x v="0"/>
    <x v="1"/>
    <x v="3"/>
    <x v="1"/>
    <x v="1"/>
    <n v="349.06676829643868"/>
    <m/>
  </r>
  <r>
    <x v="3"/>
    <x v="0"/>
    <x v="1"/>
    <x v="4"/>
    <x v="2"/>
    <x v="1"/>
    <n v="11199.126993349377"/>
    <n v="9623.01"/>
  </r>
  <r>
    <x v="3"/>
    <x v="0"/>
    <x v="1"/>
    <x v="4"/>
    <x v="6"/>
    <x v="1"/>
    <n v="9783.0279658103809"/>
    <n v="8465.1967999999997"/>
  </r>
  <r>
    <x v="3"/>
    <x v="0"/>
    <x v="1"/>
    <x v="4"/>
    <x v="1"/>
    <x v="1"/>
    <n v="-1.1163614990000001E-4"/>
    <m/>
  </r>
  <r>
    <x v="3"/>
    <x v="0"/>
    <x v="2"/>
    <x v="5"/>
    <x v="2"/>
    <x v="0"/>
    <n v="2178.8883569240302"/>
    <n v="557.34019999999998"/>
  </r>
  <r>
    <x v="3"/>
    <x v="0"/>
    <x v="2"/>
    <x v="5"/>
    <x v="2"/>
    <x v="1"/>
    <n v="10499.327994706829"/>
    <n v="2779.7851000000001"/>
  </r>
  <r>
    <x v="3"/>
    <x v="0"/>
    <x v="2"/>
    <x v="5"/>
    <x v="3"/>
    <x v="0"/>
    <n v="0.66525158514659999"/>
    <m/>
  </r>
  <r>
    <x v="3"/>
    <x v="0"/>
    <x v="2"/>
    <x v="5"/>
    <x v="8"/>
    <x v="0"/>
    <n v="6.2877309207148002"/>
    <n v="2.2671000000000001"/>
  </r>
  <r>
    <x v="3"/>
    <x v="0"/>
    <x v="2"/>
    <x v="5"/>
    <x v="8"/>
    <x v="1"/>
    <n v="4.2028534644944999"/>
    <n v="1.7317"/>
  </r>
  <r>
    <x v="3"/>
    <x v="0"/>
    <x v="2"/>
    <x v="5"/>
    <x v="7"/>
    <x v="0"/>
    <n v="186.39978439571991"/>
    <n v="44.0961"/>
  </r>
  <r>
    <x v="3"/>
    <x v="0"/>
    <x v="2"/>
    <x v="5"/>
    <x v="7"/>
    <x v="1"/>
    <n v="1093.922456144938"/>
    <n v="269.35419999999999"/>
  </r>
  <r>
    <x v="3"/>
    <x v="0"/>
    <x v="2"/>
    <x v="5"/>
    <x v="1"/>
    <x v="0"/>
    <n v="13.4882472979202"/>
    <m/>
  </r>
  <r>
    <x v="3"/>
    <x v="0"/>
    <x v="2"/>
    <x v="5"/>
    <x v="1"/>
    <x v="1"/>
    <n v="37.410039314543098"/>
    <n v="0.5272"/>
  </r>
  <r>
    <x v="3"/>
    <x v="0"/>
    <x v="2"/>
    <x v="5"/>
    <x v="9"/>
    <x v="0"/>
    <n v="0.71925417978740003"/>
    <m/>
  </r>
  <r>
    <x v="3"/>
    <x v="0"/>
    <x v="2"/>
    <x v="5"/>
    <x v="9"/>
    <x v="1"/>
    <n v="3.1430981885902001"/>
    <m/>
  </r>
  <r>
    <x v="3"/>
    <x v="0"/>
    <x v="2"/>
    <x v="6"/>
    <x v="0"/>
    <x v="0"/>
    <n v="121.7209430992058"/>
    <n v="35.173299999999998"/>
  </r>
  <r>
    <x v="3"/>
    <x v="0"/>
    <x v="2"/>
    <x v="6"/>
    <x v="0"/>
    <x v="1"/>
    <n v="657.77373071639454"/>
    <n v="232.976"/>
  </r>
  <r>
    <x v="3"/>
    <x v="0"/>
    <x v="2"/>
    <x v="6"/>
    <x v="1"/>
    <x v="0"/>
    <n v="1600.8460773638139"/>
    <n v="464.79270000000002"/>
  </r>
  <r>
    <x v="3"/>
    <x v="0"/>
    <x v="2"/>
    <x v="6"/>
    <x v="1"/>
    <x v="1"/>
    <n v="2058.7952118740559"/>
    <n v="607.40899999999999"/>
  </r>
  <r>
    <x v="3"/>
    <x v="0"/>
    <x v="2"/>
    <x v="7"/>
    <x v="2"/>
    <x v="1"/>
    <n v="8803.9970292690596"/>
    <n v="1863.1821"/>
  </r>
  <r>
    <x v="3"/>
    <x v="1"/>
    <x v="0"/>
    <x v="0"/>
    <x v="0"/>
    <x v="0"/>
    <n v="214.0056569502062"/>
    <n v="53.832500000000003"/>
  </r>
  <r>
    <x v="3"/>
    <x v="1"/>
    <x v="0"/>
    <x v="0"/>
    <x v="0"/>
    <x v="1"/>
    <n v="142.35195018628181"/>
    <n v="30.0977"/>
  </r>
  <r>
    <x v="3"/>
    <x v="1"/>
    <x v="0"/>
    <x v="0"/>
    <x v="1"/>
    <x v="0"/>
    <n v="27233.204842994259"/>
    <n v="5744.5066999999999"/>
  </r>
  <r>
    <x v="3"/>
    <x v="1"/>
    <x v="0"/>
    <x v="0"/>
    <x v="1"/>
    <x v="1"/>
    <n v="17724.469832803821"/>
    <n v="2966.1152000000002"/>
  </r>
  <r>
    <x v="3"/>
    <x v="1"/>
    <x v="0"/>
    <x v="1"/>
    <x v="0"/>
    <x v="0"/>
    <n v="388.62831264133177"/>
    <n v="83.042599999999993"/>
  </r>
  <r>
    <x v="3"/>
    <x v="1"/>
    <x v="0"/>
    <x v="1"/>
    <x v="0"/>
    <x v="1"/>
    <n v="202.28535391257881"/>
    <n v="38.424599999999998"/>
  </r>
  <r>
    <x v="3"/>
    <x v="1"/>
    <x v="0"/>
    <x v="1"/>
    <x v="1"/>
    <x v="0"/>
    <n v="21035.26320244357"/>
    <n v="4359.8096999999998"/>
  </r>
  <r>
    <x v="3"/>
    <x v="1"/>
    <x v="0"/>
    <x v="1"/>
    <x v="1"/>
    <x v="1"/>
    <n v="30615.489238914171"/>
    <n v="6310.3113999999996"/>
  </r>
  <r>
    <x v="3"/>
    <x v="1"/>
    <x v="1"/>
    <x v="2"/>
    <x v="2"/>
    <x v="0"/>
    <n v="43704.204728184362"/>
    <n v="19517.279399999999"/>
  </r>
  <r>
    <x v="3"/>
    <x v="1"/>
    <x v="1"/>
    <x v="2"/>
    <x v="2"/>
    <x v="1"/>
    <n v="392549.46935595199"/>
    <n v="182435.31460000001"/>
  </r>
  <r>
    <x v="3"/>
    <x v="1"/>
    <x v="1"/>
    <x v="2"/>
    <x v="3"/>
    <x v="0"/>
    <n v="144.0509934274512"/>
    <m/>
  </r>
  <r>
    <x v="3"/>
    <x v="1"/>
    <x v="1"/>
    <x v="2"/>
    <x v="3"/>
    <x v="1"/>
    <n v="197.67184561553759"/>
    <m/>
  </r>
  <r>
    <x v="3"/>
    <x v="1"/>
    <x v="1"/>
    <x v="2"/>
    <x v="5"/>
    <x v="0"/>
    <n v="277.50710880742389"/>
    <m/>
  </r>
  <r>
    <x v="3"/>
    <x v="1"/>
    <x v="1"/>
    <x v="2"/>
    <x v="5"/>
    <x v="1"/>
    <n v="1478.632527468541"/>
    <m/>
  </r>
  <r>
    <x v="3"/>
    <x v="1"/>
    <x v="1"/>
    <x v="2"/>
    <x v="6"/>
    <x v="0"/>
    <n v="6323.6324058514047"/>
    <m/>
  </r>
  <r>
    <x v="3"/>
    <x v="1"/>
    <x v="1"/>
    <x v="2"/>
    <x v="6"/>
    <x v="1"/>
    <n v="40249.112824550291"/>
    <m/>
  </r>
  <r>
    <x v="3"/>
    <x v="1"/>
    <x v="1"/>
    <x v="2"/>
    <x v="1"/>
    <x v="0"/>
    <n v="330.40331200984298"/>
    <n v="1.1679999999999999"/>
  </r>
  <r>
    <x v="3"/>
    <x v="1"/>
    <x v="1"/>
    <x v="2"/>
    <x v="1"/>
    <x v="1"/>
    <n v="1869.5930747511893"/>
    <m/>
  </r>
  <r>
    <x v="3"/>
    <x v="1"/>
    <x v="1"/>
    <x v="3"/>
    <x v="2"/>
    <x v="0"/>
    <n v="14707.185988988367"/>
    <n v="5440.4251000000004"/>
  </r>
  <r>
    <x v="3"/>
    <x v="1"/>
    <x v="1"/>
    <x v="3"/>
    <x v="2"/>
    <x v="1"/>
    <n v="101979.98285968255"/>
    <n v="42325.620900000002"/>
  </r>
  <r>
    <x v="3"/>
    <x v="1"/>
    <x v="1"/>
    <x v="3"/>
    <x v="3"/>
    <x v="0"/>
    <n v="575.4338128980105"/>
    <m/>
  </r>
  <r>
    <x v="3"/>
    <x v="1"/>
    <x v="1"/>
    <x v="3"/>
    <x v="3"/>
    <x v="1"/>
    <n v="2958.7026835894849"/>
    <m/>
  </r>
  <r>
    <x v="3"/>
    <x v="1"/>
    <x v="1"/>
    <x v="3"/>
    <x v="7"/>
    <x v="0"/>
    <n v="5827.9248088469112"/>
    <n v="2160.4632000000001"/>
  </r>
  <r>
    <x v="3"/>
    <x v="1"/>
    <x v="1"/>
    <x v="3"/>
    <x v="7"/>
    <x v="1"/>
    <n v="21513.75438662745"/>
    <n v="7524.1602000000003"/>
  </r>
  <r>
    <x v="3"/>
    <x v="1"/>
    <x v="1"/>
    <x v="3"/>
    <x v="5"/>
    <x v="0"/>
    <n v="183.2480925728043"/>
    <m/>
  </r>
  <r>
    <x v="3"/>
    <x v="1"/>
    <x v="1"/>
    <x v="3"/>
    <x v="5"/>
    <x v="1"/>
    <n v="915.28802990976635"/>
    <m/>
  </r>
  <r>
    <x v="3"/>
    <x v="1"/>
    <x v="1"/>
    <x v="3"/>
    <x v="6"/>
    <x v="0"/>
    <n v="154.9926411961257"/>
    <m/>
  </r>
  <r>
    <x v="3"/>
    <x v="1"/>
    <x v="1"/>
    <x v="3"/>
    <x v="6"/>
    <x v="1"/>
    <n v="756.73008176772873"/>
    <m/>
  </r>
  <r>
    <x v="3"/>
    <x v="1"/>
    <x v="1"/>
    <x v="3"/>
    <x v="1"/>
    <x v="0"/>
    <n v="397.26178429363102"/>
    <m/>
  </r>
  <r>
    <x v="3"/>
    <x v="1"/>
    <x v="1"/>
    <x v="3"/>
    <x v="1"/>
    <x v="1"/>
    <n v="1918.316387050186"/>
    <m/>
  </r>
  <r>
    <x v="3"/>
    <x v="1"/>
    <x v="1"/>
    <x v="4"/>
    <x v="2"/>
    <x v="0"/>
    <n v="1420.7976711211243"/>
    <m/>
  </r>
  <r>
    <x v="3"/>
    <x v="1"/>
    <x v="1"/>
    <x v="4"/>
    <x v="2"/>
    <x v="1"/>
    <n v="186997.22698110132"/>
    <n v="96077.362099999998"/>
  </r>
  <r>
    <x v="3"/>
    <x v="1"/>
    <x v="1"/>
    <x v="4"/>
    <x v="4"/>
    <x v="1"/>
    <n v="37.3658859562399"/>
    <m/>
  </r>
  <r>
    <x v="3"/>
    <x v="1"/>
    <x v="1"/>
    <x v="4"/>
    <x v="5"/>
    <x v="0"/>
    <n v="6.0036256176111999"/>
    <m/>
  </r>
  <r>
    <x v="3"/>
    <x v="1"/>
    <x v="1"/>
    <x v="4"/>
    <x v="5"/>
    <x v="1"/>
    <n v="719.98662817140405"/>
    <m/>
  </r>
  <r>
    <x v="3"/>
    <x v="1"/>
    <x v="1"/>
    <x v="4"/>
    <x v="6"/>
    <x v="1"/>
    <n v="391258.25949783332"/>
    <n v="139685.2519"/>
  </r>
  <r>
    <x v="3"/>
    <x v="1"/>
    <x v="2"/>
    <x v="5"/>
    <x v="2"/>
    <x v="0"/>
    <n v="1741.8612469327061"/>
    <n v="787.46770000000004"/>
  </r>
  <r>
    <x v="3"/>
    <x v="1"/>
    <x v="2"/>
    <x v="5"/>
    <x v="2"/>
    <x v="1"/>
    <n v="18212.52683889334"/>
    <n v="5081.1531000000004"/>
  </r>
  <r>
    <x v="3"/>
    <x v="1"/>
    <x v="2"/>
    <x v="5"/>
    <x v="8"/>
    <x v="0"/>
    <n v="69.793371267694496"/>
    <n v="34.140999999999998"/>
  </r>
  <r>
    <x v="3"/>
    <x v="1"/>
    <x v="2"/>
    <x v="5"/>
    <x v="8"/>
    <x v="1"/>
    <n v="5.1503008456095998"/>
    <m/>
  </r>
  <r>
    <x v="3"/>
    <x v="1"/>
    <x v="2"/>
    <x v="5"/>
    <x v="7"/>
    <x v="0"/>
    <n v="803.41804635016274"/>
    <n v="366.75450000000001"/>
  </r>
  <r>
    <x v="3"/>
    <x v="1"/>
    <x v="2"/>
    <x v="5"/>
    <x v="7"/>
    <x v="1"/>
    <n v="2668.0022086993072"/>
    <n v="689.97190000000001"/>
  </r>
  <r>
    <x v="3"/>
    <x v="1"/>
    <x v="2"/>
    <x v="5"/>
    <x v="1"/>
    <x v="0"/>
    <n v="3.2385544461297999"/>
    <m/>
  </r>
  <r>
    <x v="3"/>
    <x v="1"/>
    <x v="2"/>
    <x v="5"/>
    <x v="1"/>
    <x v="1"/>
    <n v="19.9724293161064"/>
    <m/>
  </r>
  <r>
    <x v="3"/>
    <x v="1"/>
    <x v="2"/>
    <x v="5"/>
    <x v="9"/>
    <x v="0"/>
    <n v="5.7981608657300003E-2"/>
    <m/>
  </r>
  <r>
    <x v="3"/>
    <x v="1"/>
    <x v="2"/>
    <x v="5"/>
    <x v="9"/>
    <x v="1"/>
    <n v="2.2073967249363"/>
    <m/>
  </r>
  <r>
    <x v="3"/>
    <x v="1"/>
    <x v="2"/>
    <x v="6"/>
    <x v="0"/>
    <x v="0"/>
    <n v="797.23214962191435"/>
    <n v="247.84110000000001"/>
  </r>
  <r>
    <x v="3"/>
    <x v="1"/>
    <x v="2"/>
    <x v="6"/>
    <x v="0"/>
    <x v="1"/>
    <n v="1441.018351094332"/>
    <n v="302.4341"/>
  </r>
  <r>
    <x v="3"/>
    <x v="1"/>
    <x v="2"/>
    <x v="6"/>
    <x v="1"/>
    <x v="0"/>
    <n v="3676.0570751387149"/>
    <n v="1136.6045999999999"/>
  </r>
  <r>
    <x v="3"/>
    <x v="1"/>
    <x v="2"/>
    <x v="6"/>
    <x v="1"/>
    <x v="1"/>
    <n v="8041.7605687627401"/>
    <n v="2223.8798000000002"/>
  </r>
  <r>
    <x v="3"/>
    <x v="1"/>
    <x v="2"/>
    <x v="7"/>
    <x v="2"/>
    <x v="1"/>
    <n v="14472.903327276003"/>
    <n v="4919.9233000000004"/>
  </r>
  <r>
    <x v="3"/>
    <x v="2"/>
    <x v="0"/>
    <x v="0"/>
    <x v="0"/>
    <x v="0"/>
    <n v="54.449095994912"/>
    <n v="10.5021"/>
  </r>
  <r>
    <x v="3"/>
    <x v="2"/>
    <x v="0"/>
    <x v="0"/>
    <x v="0"/>
    <x v="1"/>
    <n v="233.05945378625159"/>
    <n v="29.918700000000001"/>
  </r>
  <r>
    <x v="3"/>
    <x v="2"/>
    <x v="0"/>
    <x v="0"/>
    <x v="1"/>
    <x v="0"/>
    <n v="16235.3512788853"/>
    <n v="1898.9761000000001"/>
  </r>
  <r>
    <x v="3"/>
    <x v="2"/>
    <x v="0"/>
    <x v="0"/>
    <x v="1"/>
    <x v="1"/>
    <n v="5265.4760473559099"/>
    <n v="620.48800000000006"/>
  </r>
  <r>
    <x v="3"/>
    <x v="2"/>
    <x v="0"/>
    <x v="1"/>
    <x v="0"/>
    <x v="0"/>
    <n v="75.435968006737895"/>
    <n v="15.1379"/>
  </r>
  <r>
    <x v="3"/>
    <x v="2"/>
    <x v="0"/>
    <x v="1"/>
    <x v="0"/>
    <x v="1"/>
    <n v="165.47411970455809"/>
    <n v="34.6158"/>
  </r>
  <r>
    <x v="3"/>
    <x v="2"/>
    <x v="0"/>
    <x v="1"/>
    <x v="1"/>
    <x v="0"/>
    <n v="9750.8712662799207"/>
    <n v="1561.7285999999999"/>
  </r>
  <r>
    <x v="3"/>
    <x v="2"/>
    <x v="0"/>
    <x v="1"/>
    <x v="1"/>
    <x v="1"/>
    <n v="11221.341937839939"/>
    <n v="2273.1055999999999"/>
  </r>
  <r>
    <x v="3"/>
    <x v="2"/>
    <x v="1"/>
    <x v="2"/>
    <x v="2"/>
    <x v="0"/>
    <n v="2178.13691153127"/>
    <n v="1324.9029"/>
  </r>
  <r>
    <x v="3"/>
    <x v="2"/>
    <x v="1"/>
    <x v="2"/>
    <x v="2"/>
    <x v="1"/>
    <n v="41225.663760079602"/>
    <n v="23602.215800000002"/>
  </r>
  <r>
    <x v="3"/>
    <x v="2"/>
    <x v="1"/>
    <x v="2"/>
    <x v="4"/>
    <x v="0"/>
    <n v="7.0665706051300001E-2"/>
    <m/>
  </r>
  <r>
    <x v="3"/>
    <x v="2"/>
    <x v="1"/>
    <x v="2"/>
    <x v="4"/>
    <x v="1"/>
    <n v="0.23183837787950001"/>
    <m/>
  </r>
  <r>
    <x v="3"/>
    <x v="2"/>
    <x v="1"/>
    <x v="2"/>
    <x v="5"/>
    <x v="0"/>
    <n v="13.7055506494375"/>
    <m/>
  </r>
  <r>
    <x v="3"/>
    <x v="2"/>
    <x v="1"/>
    <x v="2"/>
    <x v="5"/>
    <x v="1"/>
    <n v="39.441291253481197"/>
    <m/>
  </r>
  <r>
    <x v="3"/>
    <x v="2"/>
    <x v="1"/>
    <x v="2"/>
    <x v="6"/>
    <x v="0"/>
    <n v="294.90408763926598"/>
    <m/>
  </r>
  <r>
    <x v="3"/>
    <x v="2"/>
    <x v="1"/>
    <x v="2"/>
    <x v="6"/>
    <x v="1"/>
    <n v="1053.2210114322661"/>
    <m/>
  </r>
  <r>
    <x v="3"/>
    <x v="2"/>
    <x v="1"/>
    <x v="2"/>
    <x v="1"/>
    <x v="0"/>
    <n v="60.175362429795797"/>
    <n v="0.13250000000000001"/>
  </r>
  <r>
    <x v="3"/>
    <x v="2"/>
    <x v="1"/>
    <x v="2"/>
    <x v="1"/>
    <x v="1"/>
    <n v="133.03459920841931"/>
    <m/>
  </r>
  <r>
    <x v="3"/>
    <x v="2"/>
    <x v="1"/>
    <x v="3"/>
    <x v="2"/>
    <x v="0"/>
    <n v="2639.7198307318399"/>
    <n v="799.67870000000005"/>
  </r>
  <r>
    <x v="3"/>
    <x v="2"/>
    <x v="1"/>
    <x v="3"/>
    <x v="2"/>
    <x v="1"/>
    <n v="32952.044486221799"/>
    <n v="11204.128699999999"/>
  </r>
  <r>
    <x v="3"/>
    <x v="2"/>
    <x v="1"/>
    <x v="3"/>
    <x v="3"/>
    <x v="0"/>
    <n v="20.925698903012101"/>
    <m/>
  </r>
  <r>
    <x v="3"/>
    <x v="2"/>
    <x v="1"/>
    <x v="3"/>
    <x v="3"/>
    <x v="1"/>
    <n v="55.389744221417899"/>
    <m/>
  </r>
  <r>
    <x v="3"/>
    <x v="2"/>
    <x v="1"/>
    <x v="3"/>
    <x v="7"/>
    <x v="0"/>
    <n v="1691.8372873824576"/>
    <n v="620.82000000000005"/>
  </r>
  <r>
    <x v="3"/>
    <x v="2"/>
    <x v="1"/>
    <x v="3"/>
    <x v="7"/>
    <x v="1"/>
    <n v="10522.427430760148"/>
    <n v="4465.9813000000004"/>
  </r>
  <r>
    <x v="3"/>
    <x v="2"/>
    <x v="1"/>
    <x v="3"/>
    <x v="5"/>
    <x v="0"/>
    <n v="429.99147395028399"/>
    <m/>
  </r>
  <r>
    <x v="3"/>
    <x v="2"/>
    <x v="1"/>
    <x v="3"/>
    <x v="5"/>
    <x v="1"/>
    <n v="1048.496517281505"/>
    <m/>
  </r>
  <r>
    <x v="3"/>
    <x v="2"/>
    <x v="1"/>
    <x v="3"/>
    <x v="6"/>
    <x v="0"/>
    <n v="140.7765227508348"/>
    <m/>
  </r>
  <r>
    <x v="3"/>
    <x v="2"/>
    <x v="1"/>
    <x v="3"/>
    <x v="6"/>
    <x v="1"/>
    <n v="371.465180955542"/>
    <m/>
  </r>
  <r>
    <x v="3"/>
    <x v="2"/>
    <x v="1"/>
    <x v="3"/>
    <x v="1"/>
    <x v="0"/>
    <n v="205.08388446780469"/>
    <n v="0.1421"/>
  </r>
  <r>
    <x v="3"/>
    <x v="2"/>
    <x v="1"/>
    <x v="3"/>
    <x v="1"/>
    <x v="1"/>
    <n v="761.10695788491898"/>
    <m/>
  </r>
  <r>
    <x v="3"/>
    <x v="2"/>
    <x v="1"/>
    <x v="4"/>
    <x v="2"/>
    <x v="1"/>
    <n v="17788.603698647428"/>
    <n v="12622.531999999999"/>
  </r>
  <r>
    <x v="3"/>
    <x v="2"/>
    <x v="1"/>
    <x v="4"/>
    <x v="5"/>
    <x v="0"/>
    <n v="0.15187332165920001"/>
    <m/>
  </r>
  <r>
    <x v="3"/>
    <x v="2"/>
    <x v="1"/>
    <x v="4"/>
    <x v="5"/>
    <x v="1"/>
    <n v="0.15187332165920001"/>
    <m/>
  </r>
  <r>
    <x v="3"/>
    <x v="2"/>
    <x v="1"/>
    <x v="4"/>
    <x v="6"/>
    <x v="1"/>
    <n v="17319.931818360441"/>
    <n v="10752.5272"/>
  </r>
  <r>
    <x v="3"/>
    <x v="2"/>
    <x v="2"/>
    <x v="5"/>
    <x v="2"/>
    <x v="0"/>
    <n v="875.15389592024201"/>
    <n v="220.70740000000001"/>
  </r>
  <r>
    <x v="3"/>
    <x v="2"/>
    <x v="2"/>
    <x v="5"/>
    <x v="2"/>
    <x v="1"/>
    <n v="5006.4704264920301"/>
    <n v="2004.6706999999999"/>
  </r>
  <r>
    <x v="3"/>
    <x v="2"/>
    <x v="2"/>
    <x v="5"/>
    <x v="3"/>
    <x v="0"/>
    <n v="0.51817319400140005"/>
    <m/>
  </r>
  <r>
    <x v="3"/>
    <x v="2"/>
    <x v="2"/>
    <x v="5"/>
    <x v="8"/>
    <x v="0"/>
    <n v="6.9635582572999996E-2"/>
    <m/>
  </r>
  <r>
    <x v="3"/>
    <x v="2"/>
    <x v="2"/>
    <x v="5"/>
    <x v="8"/>
    <x v="1"/>
    <n v="4.1812277324600002E-2"/>
    <m/>
  </r>
  <r>
    <x v="3"/>
    <x v="2"/>
    <x v="2"/>
    <x v="5"/>
    <x v="7"/>
    <x v="0"/>
    <n v="302.94362286497761"/>
    <n v="90.148099999999999"/>
  </r>
  <r>
    <x v="3"/>
    <x v="2"/>
    <x v="2"/>
    <x v="5"/>
    <x v="7"/>
    <x v="1"/>
    <n v="606.70308344759064"/>
    <n v="222.76589999999999"/>
  </r>
  <r>
    <x v="3"/>
    <x v="2"/>
    <x v="2"/>
    <x v="5"/>
    <x v="1"/>
    <x v="0"/>
    <n v="2.0508261933082998"/>
    <m/>
  </r>
  <r>
    <x v="3"/>
    <x v="2"/>
    <x v="2"/>
    <x v="5"/>
    <x v="1"/>
    <x v="1"/>
    <n v="5.1231934788793003"/>
    <n v="0.22270000000000001"/>
  </r>
  <r>
    <x v="3"/>
    <x v="2"/>
    <x v="2"/>
    <x v="5"/>
    <x v="9"/>
    <x v="0"/>
    <n v="1.7377672130374"/>
    <m/>
  </r>
  <r>
    <x v="3"/>
    <x v="2"/>
    <x v="2"/>
    <x v="5"/>
    <x v="9"/>
    <x v="1"/>
    <n v="2.5371228364055001"/>
    <m/>
  </r>
  <r>
    <x v="3"/>
    <x v="2"/>
    <x v="2"/>
    <x v="6"/>
    <x v="0"/>
    <x v="0"/>
    <n v="130.03044849710079"/>
    <n v="36.334800000000001"/>
  </r>
  <r>
    <x v="3"/>
    <x v="2"/>
    <x v="2"/>
    <x v="6"/>
    <x v="0"/>
    <x v="1"/>
    <n v="440.23207975512929"/>
    <n v="99.588999999999999"/>
  </r>
  <r>
    <x v="3"/>
    <x v="2"/>
    <x v="2"/>
    <x v="6"/>
    <x v="1"/>
    <x v="0"/>
    <n v="1529.327368336026"/>
    <n v="358.6087"/>
  </r>
  <r>
    <x v="3"/>
    <x v="2"/>
    <x v="2"/>
    <x v="6"/>
    <x v="1"/>
    <x v="1"/>
    <n v="1525.582473330323"/>
    <n v="453.68310000000002"/>
  </r>
  <r>
    <x v="3"/>
    <x v="2"/>
    <x v="2"/>
    <x v="7"/>
    <x v="2"/>
    <x v="1"/>
    <n v="3609.5110975408602"/>
    <n v="1297.7496000000001"/>
  </r>
  <r>
    <x v="3"/>
    <x v="3"/>
    <x v="0"/>
    <x v="0"/>
    <x v="0"/>
    <x v="0"/>
    <n v="922.45118037180987"/>
    <n v="181.64750000000001"/>
  </r>
  <r>
    <x v="3"/>
    <x v="3"/>
    <x v="0"/>
    <x v="0"/>
    <x v="0"/>
    <x v="1"/>
    <n v="550.33953065163303"/>
    <n v="114.46120000000001"/>
  </r>
  <r>
    <x v="3"/>
    <x v="3"/>
    <x v="0"/>
    <x v="0"/>
    <x v="1"/>
    <x v="0"/>
    <n v="109481.69679584513"/>
    <n v="24487.720499999999"/>
  </r>
  <r>
    <x v="3"/>
    <x v="3"/>
    <x v="0"/>
    <x v="0"/>
    <x v="1"/>
    <x v="1"/>
    <n v="59386.545732671468"/>
    <n v="10218.356400000001"/>
  </r>
  <r>
    <x v="3"/>
    <x v="3"/>
    <x v="0"/>
    <x v="1"/>
    <x v="0"/>
    <x v="0"/>
    <n v="1432.3756547484554"/>
    <n v="310.84199999999998"/>
  </r>
  <r>
    <x v="3"/>
    <x v="3"/>
    <x v="0"/>
    <x v="1"/>
    <x v="0"/>
    <x v="1"/>
    <n v="1260.3681848921151"/>
    <n v="312.09280000000001"/>
  </r>
  <r>
    <x v="3"/>
    <x v="3"/>
    <x v="0"/>
    <x v="1"/>
    <x v="1"/>
    <x v="0"/>
    <n v="37151.421697263409"/>
    <n v="7625.0128999999997"/>
  </r>
  <r>
    <x v="3"/>
    <x v="3"/>
    <x v="0"/>
    <x v="1"/>
    <x v="1"/>
    <x v="1"/>
    <n v="35676.126942394862"/>
    <n v="7163.6527999999998"/>
  </r>
  <r>
    <x v="3"/>
    <x v="3"/>
    <x v="1"/>
    <x v="2"/>
    <x v="2"/>
    <x v="0"/>
    <n v="88624.193715912712"/>
    <n v="36296.946900000003"/>
  </r>
  <r>
    <x v="3"/>
    <x v="3"/>
    <x v="1"/>
    <x v="2"/>
    <x v="2"/>
    <x v="1"/>
    <n v="484479.7464622868"/>
    <n v="190635.8211"/>
  </r>
  <r>
    <x v="3"/>
    <x v="3"/>
    <x v="1"/>
    <x v="2"/>
    <x v="3"/>
    <x v="0"/>
    <n v="22.857048216349899"/>
    <m/>
  </r>
  <r>
    <x v="3"/>
    <x v="3"/>
    <x v="1"/>
    <x v="2"/>
    <x v="3"/>
    <x v="1"/>
    <n v="13.2906710348138"/>
    <m/>
  </r>
  <r>
    <x v="3"/>
    <x v="3"/>
    <x v="1"/>
    <x v="2"/>
    <x v="5"/>
    <x v="0"/>
    <n v="427.79529199942817"/>
    <m/>
  </r>
  <r>
    <x v="3"/>
    <x v="3"/>
    <x v="1"/>
    <x v="2"/>
    <x v="5"/>
    <x v="1"/>
    <n v="2125.9903402364707"/>
    <m/>
  </r>
  <r>
    <x v="3"/>
    <x v="3"/>
    <x v="1"/>
    <x v="2"/>
    <x v="6"/>
    <x v="0"/>
    <n v="4072.6777435585309"/>
    <m/>
  </r>
  <r>
    <x v="3"/>
    <x v="3"/>
    <x v="1"/>
    <x v="2"/>
    <x v="6"/>
    <x v="1"/>
    <n v="21032.629714889365"/>
    <m/>
  </r>
  <r>
    <x v="3"/>
    <x v="3"/>
    <x v="1"/>
    <x v="2"/>
    <x v="1"/>
    <x v="0"/>
    <n v="163.74410998726529"/>
    <n v="1.5864"/>
  </r>
  <r>
    <x v="3"/>
    <x v="3"/>
    <x v="1"/>
    <x v="2"/>
    <x v="1"/>
    <x v="1"/>
    <n v="745.25154463811714"/>
    <m/>
  </r>
  <r>
    <x v="3"/>
    <x v="3"/>
    <x v="1"/>
    <x v="3"/>
    <x v="2"/>
    <x v="0"/>
    <n v="16614.229090896421"/>
    <n v="8379.1090000000004"/>
  </r>
  <r>
    <x v="3"/>
    <x v="3"/>
    <x v="1"/>
    <x v="3"/>
    <x v="2"/>
    <x v="1"/>
    <n v="147950.96433413721"/>
    <n v="69505.276700000002"/>
  </r>
  <r>
    <x v="3"/>
    <x v="3"/>
    <x v="1"/>
    <x v="3"/>
    <x v="3"/>
    <x v="0"/>
    <n v="31.648650235006201"/>
    <m/>
  </r>
  <r>
    <x v="3"/>
    <x v="3"/>
    <x v="1"/>
    <x v="3"/>
    <x v="3"/>
    <x v="1"/>
    <n v="160.29959279009799"/>
    <m/>
  </r>
  <r>
    <x v="3"/>
    <x v="3"/>
    <x v="1"/>
    <x v="3"/>
    <x v="7"/>
    <x v="0"/>
    <n v="28865.11900874701"/>
    <n v="12476.1675"/>
  </r>
  <r>
    <x v="3"/>
    <x v="3"/>
    <x v="1"/>
    <x v="3"/>
    <x v="7"/>
    <x v="1"/>
    <n v="93839.116752047805"/>
    <n v="37827.125999999997"/>
  </r>
  <r>
    <x v="3"/>
    <x v="3"/>
    <x v="1"/>
    <x v="3"/>
    <x v="5"/>
    <x v="0"/>
    <n v="95.354461382442295"/>
    <m/>
  </r>
  <r>
    <x v="3"/>
    <x v="3"/>
    <x v="1"/>
    <x v="3"/>
    <x v="5"/>
    <x v="1"/>
    <n v="506.73966573605088"/>
    <m/>
  </r>
  <r>
    <x v="3"/>
    <x v="3"/>
    <x v="1"/>
    <x v="3"/>
    <x v="6"/>
    <x v="0"/>
    <n v="159.2176006452479"/>
    <m/>
  </r>
  <r>
    <x v="3"/>
    <x v="3"/>
    <x v="1"/>
    <x v="3"/>
    <x v="6"/>
    <x v="1"/>
    <n v="806.14021154787372"/>
    <m/>
  </r>
  <r>
    <x v="3"/>
    <x v="3"/>
    <x v="1"/>
    <x v="3"/>
    <x v="1"/>
    <x v="0"/>
    <n v="100.5216344402869"/>
    <m/>
  </r>
  <r>
    <x v="3"/>
    <x v="3"/>
    <x v="1"/>
    <x v="3"/>
    <x v="1"/>
    <x v="1"/>
    <n v="580.36561010884031"/>
    <m/>
  </r>
  <r>
    <x v="3"/>
    <x v="3"/>
    <x v="1"/>
    <x v="4"/>
    <x v="2"/>
    <x v="0"/>
    <n v="2812.9763951726177"/>
    <n v="1018.0638"/>
  </r>
  <r>
    <x v="3"/>
    <x v="3"/>
    <x v="1"/>
    <x v="4"/>
    <x v="2"/>
    <x v="1"/>
    <n v="244576.65910502349"/>
    <n v="97911.843900000007"/>
  </r>
  <r>
    <x v="3"/>
    <x v="3"/>
    <x v="1"/>
    <x v="4"/>
    <x v="6"/>
    <x v="0"/>
    <n v="440.62210840210003"/>
    <n v="102.854"/>
  </r>
  <r>
    <x v="3"/>
    <x v="3"/>
    <x v="1"/>
    <x v="4"/>
    <x v="6"/>
    <x v="1"/>
    <n v="38869.597847966004"/>
    <n v="7660.3501999999999"/>
  </r>
  <r>
    <x v="3"/>
    <x v="3"/>
    <x v="2"/>
    <x v="5"/>
    <x v="2"/>
    <x v="0"/>
    <n v="6940.5767926301687"/>
    <n v="2697.3168000000001"/>
  </r>
  <r>
    <x v="3"/>
    <x v="3"/>
    <x v="2"/>
    <x v="5"/>
    <x v="2"/>
    <x v="1"/>
    <n v="19949.12848271984"/>
    <n v="5416.5312999999996"/>
  </r>
  <r>
    <x v="3"/>
    <x v="3"/>
    <x v="2"/>
    <x v="5"/>
    <x v="3"/>
    <x v="0"/>
    <n v="7.3794659820600003E-2"/>
    <m/>
  </r>
  <r>
    <x v="3"/>
    <x v="3"/>
    <x v="2"/>
    <x v="5"/>
    <x v="3"/>
    <x v="1"/>
    <n v="1.5701070431913"/>
    <m/>
  </r>
  <r>
    <x v="3"/>
    <x v="3"/>
    <x v="2"/>
    <x v="5"/>
    <x v="8"/>
    <x v="0"/>
    <n v="13.5170356715587"/>
    <m/>
  </r>
  <r>
    <x v="3"/>
    <x v="3"/>
    <x v="2"/>
    <x v="5"/>
    <x v="8"/>
    <x v="1"/>
    <n v="1.2877379235768001"/>
    <m/>
  </r>
  <r>
    <x v="3"/>
    <x v="3"/>
    <x v="2"/>
    <x v="5"/>
    <x v="7"/>
    <x v="0"/>
    <n v="8284.5386366408457"/>
    <n v="3119.9832000000001"/>
  </r>
  <r>
    <x v="3"/>
    <x v="3"/>
    <x v="2"/>
    <x v="5"/>
    <x v="7"/>
    <x v="1"/>
    <n v="30365.328730521269"/>
    <n v="6397.9539999999997"/>
  </r>
  <r>
    <x v="3"/>
    <x v="3"/>
    <x v="2"/>
    <x v="5"/>
    <x v="1"/>
    <x v="0"/>
    <n v="10.987015826807101"/>
    <m/>
  </r>
  <r>
    <x v="3"/>
    <x v="3"/>
    <x v="2"/>
    <x v="5"/>
    <x v="1"/>
    <x v="1"/>
    <n v="19.666347436954599"/>
    <m/>
  </r>
  <r>
    <x v="3"/>
    <x v="3"/>
    <x v="2"/>
    <x v="5"/>
    <x v="9"/>
    <x v="0"/>
    <n v="0.78663991359249996"/>
    <m/>
  </r>
  <r>
    <x v="3"/>
    <x v="3"/>
    <x v="2"/>
    <x v="5"/>
    <x v="9"/>
    <x v="1"/>
    <n v="11.493229414272999"/>
    <m/>
  </r>
  <r>
    <x v="3"/>
    <x v="3"/>
    <x v="2"/>
    <x v="6"/>
    <x v="0"/>
    <x v="0"/>
    <n v="2148.4344727132252"/>
    <n v="758.75199999999995"/>
  </r>
  <r>
    <x v="3"/>
    <x v="3"/>
    <x v="2"/>
    <x v="6"/>
    <x v="0"/>
    <x v="1"/>
    <n v="3227.9593639168402"/>
    <n v="951.40470000000005"/>
  </r>
  <r>
    <x v="3"/>
    <x v="3"/>
    <x v="2"/>
    <x v="6"/>
    <x v="1"/>
    <x v="0"/>
    <n v="9776.8144482905755"/>
    <n v="3970.9875999999999"/>
  </r>
  <r>
    <x v="3"/>
    <x v="3"/>
    <x v="2"/>
    <x v="6"/>
    <x v="1"/>
    <x v="1"/>
    <n v="8905.0222003569525"/>
    <n v="3270.5288999999998"/>
  </r>
  <r>
    <x v="3"/>
    <x v="3"/>
    <x v="2"/>
    <x v="7"/>
    <x v="2"/>
    <x v="1"/>
    <n v="14350.921944154081"/>
    <n v="3687.1356999999998"/>
  </r>
  <r>
    <x v="3"/>
    <x v="4"/>
    <x v="0"/>
    <x v="0"/>
    <x v="0"/>
    <x v="0"/>
    <n v="224.74942409034199"/>
    <n v="48.345999999999997"/>
  </r>
  <r>
    <x v="3"/>
    <x v="4"/>
    <x v="0"/>
    <x v="0"/>
    <x v="0"/>
    <x v="1"/>
    <n v="817.50091144911005"/>
    <n v="97.612200000000001"/>
  </r>
  <r>
    <x v="3"/>
    <x v="4"/>
    <x v="0"/>
    <x v="0"/>
    <x v="1"/>
    <x v="0"/>
    <n v="14408.5613050273"/>
    <n v="2643.8600999999999"/>
  </r>
  <r>
    <x v="3"/>
    <x v="4"/>
    <x v="0"/>
    <x v="0"/>
    <x v="1"/>
    <x v="1"/>
    <n v="7417.2308266935297"/>
    <n v="688.37519999999995"/>
  </r>
  <r>
    <x v="3"/>
    <x v="4"/>
    <x v="0"/>
    <x v="1"/>
    <x v="0"/>
    <x v="0"/>
    <n v="339.88131619803102"/>
    <n v="57.124099999999999"/>
  </r>
  <r>
    <x v="3"/>
    <x v="4"/>
    <x v="0"/>
    <x v="1"/>
    <x v="0"/>
    <x v="1"/>
    <n v="549.93801292472097"/>
    <n v="83.403499999999994"/>
  </r>
  <r>
    <x v="3"/>
    <x v="4"/>
    <x v="0"/>
    <x v="1"/>
    <x v="1"/>
    <x v="0"/>
    <n v="18730.01612855"/>
    <n v="2776.4279000000001"/>
  </r>
  <r>
    <x v="3"/>
    <x v="4"/>
    <x v="0"/>
    <x v="1"/>
    <x v="1"/>
    <x v="1"/>
    <n v="12490.577171917699"/>
    <n v="2189.5999000000002"/>
  </r>
  <r>
    <x v="3"/>
    <x v="4"/>
    <x v="1"/>
    <x v="2"/>
    <x v="2"/>
    <x v="0"/>
    <n v="618.87438976000999"/>
    <n v="287.97140000000002"/>
  </r>
  <r>
    <x v="3"/>
    <x v="4"/>
    <x v="1"/>
    <x v="2"/>
    <x v="2"/>
    <x v="1"/>
    <n v="14296.6972771864"/>
    <n v="6646.7861999999996"/>
  </r>
  <r>
    <x v="3"/>
    <x v="4"/>
    <x v="1"/>
    <x v="2"/>
    <x v="3"/>
    <x v="0"/>
    <n v="4.0614989194900003E-2"/>
    <m/>
  </r>
  <r>
    <x v="3"/>
    <x v="4"/>
    <x v="1"/>
    <x v="2"/>
    <x v="3"/>
    <x v="1"/>
    <n v="0.41776758091529997"/>
    <m/>
  </r>
  <r>
    <x v="3"/>
    <x v="4"/>
    <x v="1"/>
    <x v="2"/>
    <x v="4"/>
    <x v="0"/>
    <n v="0.11409537908679999"/>
    <m/>
  </r>
  <r>
    <x v="3"/>
    <x v="4"/>
    <x v="1"/>
    <x v="2"/>
    <x v="4"/>
    <x v="1"/>
    <n v="4.6130990965486003"/>
    <m/>
  </r>
  <r>
    <x v="3"/>
    <x v="4"/>
    <x v="1"/>
    <x v="2"/>
    <x v="5"/>
    <x v="0"/>
    <n v="297.36430420942497"/>
    <m/>
  </r>
  <r>
    <x v="3"/>
    <x v="4"/>
    <x v="1"/>
    <x v="2"/>
    <x v="5"/>
    <x v="1"/>
    <n v="1955.7143675985201"/>
    <m/>
  </r>
  <r>
    <x v="3"/>
    <x v="4"/>
    <x v="1"/>
    <x v="2"/>
    <x v="6"/>
    <x v="0"/>
    <n v="445.80078139326503"/>
    <m/>
  </r>
  <r>
    <x v="3"/>
    <x v="4"/>
    <x v="1"/>
    <x v="2"/>
    <x v="6"/>
    <x v="1"/>
    <n v="1755.8019276622599"/>
    <m/>
  </r>
  <r>
    <x v="3"/>
    <x v="4"/>
    <x v="1"/>
    <x v="2"/>
    <x v="1"/>
    <x v="0"/>
    <n v="13.5427343825435"/>
    <n v="0.14410000000000001"/>
  </r>
  <r>
    <x v="3"/>
    <x v="4"/>
    <x v="1"/>
    <x v="2"/>
    <x v="1"/>
    <x v="1"/>
    <n v="17.9273683335161"/>
    <m/>
  </r>
  <r>
    <x v="3"/>
    <x v="4"/>
    <x v="1"/>
    <x v="3"/>
    <x v="2"/>
    <x v="0"/>
    <n v="2186.2987843289502"/>
    <n v="489.88529999999997"/>
  </r>
  <r>
    <x v="3"/>
    <x v="4"/>
    <x v="1"/>
    <x v="3"/>
    <x v="2"/>
    <x v="1"/>
    <n v="29428.938592068698"/>
    <n v="7561.9845999999998"/>
  </r>
  <r>
    <x v="3"/>
    <x v="4"/>
    <x v="1"/>
    <x v="3"/>
    <x v="3"/>
    <x v="0"/>
    <n v="1.9689035636856"/>
    <m/>
  </r>
  <r>
    <x v="3"/>
    <x v="4"/>
    <x v="1"/>
    <x v="3"/>
    <x v="3"/>
    <x v="1"/>
    <n v="16.659880787328099"/>
    <m/>
  </r>
  <r>
    <x v="3"/>
    <x v="4"/>
    <x v="1"/>
    <x v="3"/>
    <x v="7"/>
    <x v="0"/>
    <n v="4624.1974973774104"/>
    <n v="1447.7498000000001"/>
  </r>
  <r>
    <x v="3"/>
    <x v="4"/>
    <x v="1"/>
    <x v="3"/>
    <x v="7"/>
    <x v="1"/>
    <n v="42170.1781545985"/>
    <n v="13935.401900000001"/>
  </r>
  <r>
    <x v="3"/>
    <x v="4"/>
    <x v="1"/>
    <x v="3"/>
    <x v="5"/>
    <x v="0"/>
    <n v="461.83459182666098"/>
    <m/>
  </r>
  <r>
    <x v="3"/>
    <x v="4"/>
    <x v="1"/>
    <x v="3"/>
    <x v="5"/>
    <x v="1"/>
    <n v="3041.5922945145398"/>
    <m/>
  </r>
  <r>
    <x v="3"/>
    <x v="4"/>
    <x v="1"/>
    <x v="3"/>
    <x v="6"/>
    <x v="0"/>
    <n v="497.72083054665399"/>
    <m/>
  </r>
  <r>
    <x v="3"/>
    <x v="4"/>
    <x v="1"/>
    <x v="3"/>
    <x v="6"/>
    <x v="1"/>
    <n v="3413.9710956884201"/>
    <m/>
  </r>
  <r>
    <x v="3"/>
    <x v="4"/>
    <x v="1"/>
    <x v="3"/>
    <x v="1"/>
    <x v="0"/>
    <n v="6.6280493502507998"/>
    <n v="0.96930000000000005"/>
  </r>
  <r>
    <x v="3"/>
    <x v="4"/>
    <x v="1"/>
    <x v="3"/>
    <x v="1"/>
    <x v="1"/>
    <n v="20.050339144704001"/>
    <m/>
  </r>
  <r>
    <x v="3"/>
    <x v="4"/>
    <x v="1"/>
    <x v="4"/>
    <x v="2"/>
    <x v="0"/>
    <n v="2849.45403856353"/>
    <n v="1925.8430000000001"/>
  </r>
  <r>
    <x v="3"/>
    <x v="4"/>
    <x v="1"/>
    <x v="4"/>
    <x v="2"/>
    <x v="1"/>
    <n v="5293.6822551912001"/>
    <n v="3029.1325000000002"/>
  </r>
  <r>
    <x v="3"/>
    <x v="4"/>
    <x v="1"/>
    <x v="4"/>
    <x v="5"/>
    <x v="0"/>
    <n v="204.80960924434399"/>
    <n v="0"/>
  </r>
  <r>
    <x v="3"/>
    <x v="4"/>
    <x v="1"/>
    <x v="4"/>
    <x v="5"/>
    <x v="1"/>
    <n v="595.54851232618705"/>
    <n v="2.4519000000000002"/>
  </r>
  <r>
    <x v="3"/>
    <x v="4"/>
    <x v="1"/>
    <x v="4"/>
    <x v="6"/>
    <x v="0"/>
    <n v="417.23362433641603"/>
    <n v="0"/>
  </r>
  <r>
    <x v="3"/>
    <x v="4"/>
    <x v="1"/>
    <x v="4"/>
    <x v="6"/>
    <x v="1"/>
    <n v="2323.07533394963"/>
    <n v="248.20959999999999"/>
  </r>
  <r>
    <x v="3"/>
    <x v="4"/>
    <x v="1"/>
    <x v="4"/>
    <x v="1"/>
    <x v="0"/>
    <n v="3.5072515919301002"/>
    <n v="0.38519999999999999"/>
  </r>
  <r>
    <x v="3"/>
    <x v="4"/>
    <x v="1"/>
    <x v="4"/>
    <x v="1"/>
    <x v="1"/>
    <n v="7.8170060603633003"/>
    <m/>
  </r>
  <r>
    <x v="3"/>
    <x v="4"/>
    <x v="2"/>
    <x v="5"/>
    <x v="2"/>
    <x v="0"/>
    <n v="790.58033255970997"/>
    <n v="140.79589999999999"/>
  </r>
  <r>
    <x v="3"/>
    <x v="4"/>
    <x v="2"/>
    <x v="5"/>
    <x v="2"/>
    <x v="1"/>
    <n v="10283.9107139685"/>
    <n v="3524.8027999999999"/>
  </r>
  <r>
    <x v="3"/>
    <x v="4"/>
    <x v="2"/>
    <x v="5"/>
    <x v="8"/>
    <x v="0"/>
    <n v="44.266333375695503"/>
    <n v="23.7256"/>
  </r>
  <r>
    <x v="3"/>
    <x v="4"/>
    <x v="2"/>
    <x v="5"/>
    <x v="8"/>
    <x v="1"/>
    <n v="14.931129531151299"/>
    <n v="3.6857000000000002"/>
  </r>
  <r>
    <x v="3"/>
    <x v="4"/>
    <x v="2"/>
    <x v="5"/>
    <x v="7"/>
    <x v="0"/>
    <n v="1603.02475701717"/>
    <n v="425.62299999999999"/>
  </r>
  <r>
    <x v="3"/>
    <x v="4"/>
    <x v="2"/>
    <x v="5"/>
    <x v="7"/>
    <x v="1"/>
    <n v="8450.4758203081292"/>
    <n v="2602.1374999999998"/>
  </r>
  <r>
    <x v="3"/>
    <x v="4"/>
    <x v="2"/>
    <x v="5"/>
    <x v="1"/>
    <x v="0"/>
    <n v="66.023329530948104"/>
    <n v="8.9870000000000001"/>
  </r>
  <r>
    <x v="3"/>
    <x v="4"/>
    <x v="2"/>
    <x v="5"/>
    <x v="1"/>
    <x v="1"/>
    <n v="197.34237938291599"/>
    <n v="12.2858"/>
  </r>
  <r>
    <x v="3"/>
    <x v="4"/>
    <x v="2"/>
    <x v="5"/>
    <x v="9"/>
    <x v="0"/>
    <n v="12.989925224440899"/>
    <m/>
  </r>
  <r>
    <x v="3"/>
    <x v="4"/>
    <x v="2"/>
    <x v="5"/>
    <x v="9"/>
    <x v="1"/>
    <n v="31.905566805401001"/>
    <m/>
  </r>
  <r>
    <x v="3"/>
    <x v="4"/>
    <x v="2"/>
    <x v="6"/>
    <x v="0"/>
    <x v="0"/>
    <n v="382.723244074798"/>
    <n v="133.46469999999999"/>
  </r>
  <r>
    <x v="3"/>
    <x v="4"/>
    <x v="2"/>
    <x v="6"/>
    <x v="0"/>
    <x v="1"/>
    <n v="1928.42509520198"/>
    <n v="404.86529999999999"/>
  </r>
  <r>
    <x v="3"/>
    <x v="4"/>
    <x v="2"/>
    <x v="6"/>
    <x v="1"/>
    <x v="0"/>
    <n v="5267.8322302828101"/>
    <n v="1894.8744999999999"/>
  </r>
  <r>
    <x v="3"/>
    <x v="4"/>
    <x v="2"/>
    <x v="6"/>
    <x v="1"/>
    <x v="1"/>
    <n v="5049.5344432607399"/>
    <n v="1227.9436000000001"/>
  </r>
  <r>
    <x v="3"/>
    <x v="4"/>
    <x v="2"/>
    <x v="7"/>
    <x v="2"/>
    <x v="1"/>
    <n v="138.15595726902299"/>
    <n v="84.496300000000005"/>
  </r>
  <r>
    <x v="3"/>
    <x v="5"/>
    <x v="0"/>
    <x v="0"/>
    <x v="0"/>
    <x v="0"/>
    <n v="255.3997140282423"/>
    <n v="74.870999999999995"/>
  </r>
  <r>
    <x v="3"/>
    <x v="5"/>
    <x v="0"/>
    <x v="0"/>
    <x v="0"/>
    <x v="1"/>
    <n v="486.7752998117731"/>
    <n v="47.683700000000002"/>
  </r>
  <r>
    <x v="3"/>
    <x v="5"/>
    <x v="0"/>
    <x v="0"/>
    <x v="1"/>
    <x v="0"/>
    <n v="30743.923131218511"/>
    <n v="4647.9555"/>
  </r>
  <r>
    <x v="3"/>
    <x v="5"/>
    <x v="0"/>
    <x v="0"/>
    <x v="1"/>
    <x v="1"/>
    <n v="21379.06928908273"/>
    <n v="1918.4521"/>
  </r>
  <r>
    <x v="3"/>
    <x v="5"/>
    <x v="0"/>
    <x v="1"/>
    <x v="0"/>
    <x v="0"/>
    <n v="403.47174544374752"/>
    <n v="66.824600000000004"/>
  </r>
  <r>
    <x v="3"/>
    <x v="5"/>
    <x v="0"/>
    <x v="1"/>
    <x v="0"/>
    <x v="1"/>
    <n v="892.9404448504971"/>
    <n v="112.16379999999999"/>
  </r>
  <r>
    <x v="3"/>
    <x v="5"/>
    <x v="0"/>
    <x v="1"/>
    <x v="1"/>
    <x v="0"/>
    <n v="25149.046893816248"/>
    <n v="3828.42"/>
  </r>
  <r>
    <x v="3"/>
    <x v="5"/>
    <x v="0"/>
    <x v="1"/>
    <x v="1"/>
    <x v="1"/>
    <n v="65291.554929105179"/>
    <n v="5374.4444999999996"/>
  </r>
  <r>
    <x v="3"/>
    <x v="5"/>
    <x v="1"/>
    <x v="2"/>
    <x v="2"/>
    <x v="0"/>
    <n v="17776.041800103816"/>
    <n v="4662.5891000000001"/>
  </r>
  <r>
    <x v="3"/>
    <x v="5"/>
    <x v="1"/>
    <x v="2"/>
    <x v="2"/>
    <x v="1"/>
    <n v="265943.27598711243"/>
    <n v="80294.780499999993"/>
  </r>
  <r>
    <x v="3"/>
    <x v="5"/>
    <x v="1"/>
    <x v="2"/>
    <x v="3"/>
    <x v="0"/>
    <n v="382.40004997955918"/>
    <m/>
  </r>
  <r>
    <x v="3"/>
    <x v="5"/>
    <x v="1"/>
    <x v="2"/>
    <x v="3"/>
    <x v="1"/>
    <n v="177.28137366424971"/>
    <m/>
  </r>
  <r>
    <x v="3"/>
    <x v="5"/>
    <x v="1"/>
    <x v="2"/>
    <x v="4"/>
    <x v="0"/>
    <n v="80.759317637967996"/>
    <m/>
  </r>
  <r>
    <x v="3"/>
    <x v="5"/>
    <x v="1"/>
    <x v="2"/>
    <x v="4"/>
    <x v="1"/>
    <n v="941.88885773052391"/>
    <m/>
  </r>
  <r>
    <x v="3"/>
    <x v="5"/>
    <x v="1"/>
    <x v="2"/>
    <x v="5"/>
    <x v="0"/>
    <n v="385.58657516365543"/>
    <m/>
  </r>
  <r>
    <x v="3"/>
    <x v="5"/>
    <x v="1"/>
    <x v="2"/>
    <x v="5"/>
    <x v="1"/>
    <n v="1007.6749484510126"/>
    <m/>
  </r>
  <r>
    <x v="3"/>
    <x v="5"/>
    <x v="1"/>
    <x v="2"/>
    <x v="6"/>
    <x v="0"/>
    <n v="14181.368908851233"/>
    <m/>
  </r>
  <r>
    <x v="3"/>
    <x v="5"/>
    <x v="1"/>
    <x v="2"/>
    <x v="6"/>
    <x v="1"/>
    <n v="58026.546384008718"/>
    <m/>
  </r>
  <r>
    <x v="3"/>
    <x v="5"/>
    <x v="1"/>
    <x v="2"/>
    <x v="1"/>
    <x v="0"/>
    <n v="386.71316970631312"/>
    <n v="65.382099999999994"/>
  </r>
  <r>
    <x v="3"/>
    <x v="5"/>
    <x v="1"/>
    <x v="2"/>
    <x v="1"/>
    <x v="1"/>
    <n v="2190.561314959672"/>
    <m/>
  </r>
  <r>
    <x v="3"/>
    <x v="5"/>
    <x v="1"/>
    <x v="3"/>
    <x v="2"/>
    <x v="0"/>
    <n v="9232.5660272027235"/>
    <n v="3904.8002000000001"/>
  </r>
  <r>
    <x v="3"/>
    <x v="5"/>
    <x v="1"/>
    <x v="3"/>
    <x v="2"/>
    <x v="1"/>
    <n v="78942.593610603464"/>
    <n v="31811.874599999999"/>
  </r>
  <r>
    <x v="3"/>
    <x v="5"/>
    <x v="1"/>
    <x v="3"/>
    <x v="3"/>
    <x v="0"/>
    <n v="541.8661540463703"/>
    <m/>
  </r>
  <r>
    <x v="3"/>
    <x v="5"/>
    <x v="1"/>
    <x v="3"/>
    <x v="3"/>
    <x v="1"/>
    <n v="1089.1132695535116"/>
    <m/>
  </r>
  <r>
    <x v="3"/>
    <x v="5"/>
    <x v="1"/>
    <x v="3"/>
    <x v="7"/>
    <x v="0"/>
    <n v="8206.4296179835037"/>
    <n v="3504.0387000000001"/>
  </r>
  <r>
    <x v="3"/>
    <x v="5"/>
    <x v="1"/>
    <x v="3"/>
    <x v="7"/>
    <x v="1"/>
    <n v="10245.269313008817"/>
    <n v="4226.2062999999998"/>
  </r>
  <r>
    <x v="3"/>
    <x v="5"/>
    <x v="1"/>
    <x v="3"/>
    <x v="5"/>
    <x v="0"/>
    <n v="71.599810459221999"/>
    <m/>
  </r>
  <r>
    <x v="3"/>
    <x v="5"/>
    <x v="1"/>
    <x v="3"/>
    <x v="5"/>
    <x v="1"/>
    <n v="184.42473221845171"/>
    <m/>
  </r>
  <r>
    <x v="3"/>
    <x v="5"/>
    <x v="1"/>
    <x v="3"/>
    <x v="6"/>
    <x v="0"/>
    <n v="109.93224904624449"/>
    <m/>
  </r>
  <r>
    <x v="3"/>
    <x v="5"/>
    <x v="1"/>
    <x v="3"/>
    <x v="6"/>
    <x v="1"/>
    <n v="284.63593453006968"/>
    <m/>
  </r>
  <r>
    <x v="3"/>
    <x v="5"/>
    <x v="1"/>
    <x v="3"/>
    <x v="1"/>
    <x v="0"/>
    <n v="373.72985391244572"/>
    <n v="8.6517999999999997"/>
  </r>
  <r>
    <x v="3"/>
    <x v="5"/>
    <x v="1"/>
    <x v="3"/>
    <x v="1"/>
    <x v="1"/>
    <n v="1974.9703666112021"/>
    <m/>
  </r>
  <r>
    <x v="3"/>
    <x v="5"/>
    <x v="1"/>
    <x v="4"/>
    <x v="2"/>
    <x v="1"/>
    <n v="21369.314399038343"/>
    <n v="10168.668100000001"/>
  </r>
  <r>
    <x v="3"/>
    <x v="5"/>
    <x v="1"/>
    <x v="4"/>
    <x v="4"/>
    <x v="1"/>
    <n v="161.2027701964075"/>
    <m/>
  </r>
  <r>
    <x v="3"/>
    <x v="5"/>
    <x v="1"/>
    <x v="4"/>
    <x v="6"/>
    <x v="0"/>
    <n v="12.661075454395901"/>
    <m/>
  </r>
  <r>
    <x v="3"/>
    <x v="5"/>
    <x v="1"/>
    <x v="4"/>
    <x v="6"/>
    <x v="1"/>
    <n v="60908.788603582703"/>
    <n v="11293.134400000001"/>
  </r>
  <r>
    <x v="3"/>
    <x v="5"/>
    <x v="1"/>
    <x v="4"/>
    <x v="1"/>
    <x v="1"/>
    <n v="14.774620048395199"/>
    <m/>
  </r>
  <r>
    <x v="3"/>
    <x v="5"/>
    <x v="2"/>
    <x v="5"/>
    <x v="2"/>
    <x v="0"/>
    <n v="3085.9743487936389"/>
    <n v="645.74800000000005"/>
  </r>
  <r>
    <x v="3"/>
    <x v="5"/>
    <x v="2"/>
    <x v="5"/>
    <x v="2"/>
    <x v="1"/>
    <n v="21821.53888375072"/>
    <n v="4413.7946000000002"/>
  </r>
  <r>
    <x v="3"/>
    <x v="5"/>
    <x v="2"/>
    <x v="5"/>
    <x v="3"/>
    <x v="0"/>
    <n v="2.5542860274950998"/>
    <m/>
  </r>
  <r>
    <x v="3"/>
    <x v="5"/>
    <x v="2"/>
    <x v="5"/>
    <x v="3"/>
    <x v="1"/>
    <n v="45.296964159419403"/>
    <m/>
  </r>
  <r>
    <x v="3"/>
    <x v="5"/>
    <x v="2"/>
    <x v="5"/>
    <x v="8"/>
    <x v="0"/>
    <n v="131.35746617315789"/>
    <n v="60.549500000000002"/>
  </r>
  <r>
    <x v="3"/>
    <x v="5"/>
    <x v="2"/>
    <x v="5"/>
    <x v="8"/>
    <x v="1"/>
    <n v="67.736055841489502"/>
    <n v="31.929400000000001"/>
  </r>
  <r>
    <x v="3"/>
    <x v="5"/>
    <x v="2"/>
    <x v="5"/>
    <x v="7"/>
    <x v="0"/>
    <n v="853.99781068095876"/>
    <n v="187.52010000000001"/>
  </r>
  <r>
    <x v="3"/>
    <x v="5"/>
    <x v="2"/>
    <x v="5"/>
    <x v="7"/>
    <x v="1"/>
    <n v="4384.5600295839176"/>
    <n v="724.86900000000003"/>
  </r>
  <r>
    <x v="3"/>
    <x v="5"/>
    <x v="2"/>
    <x v="5"/>
    <x v="1"/>
    <x v="0"/>
    <n v="21.315570595987801"/>
    <n v="0"/>
  </r>
  <r>
    <x v="3"/>
    <x v="5"/>
    <x v="2"/>
    <x v="5"/>
    <x v="1"/>
    <x v="1"/>
    <n v="69.322622072531303"/>
    <n v="0"/>
  </r>
  <r>
    <x v="3"/>
    <x v="5"/>
    <x v="2"/>
    <x v="5"/>
    <x v="9"/>
    <x v="0"/>
    <n v="5.3288640774333"/>
    <m/>
  </r>
  <r>
    <x v="3"/>
    <x v="5"/>
    <x v="2"/>
    <x v="5"/>
    <x v="9"/>
    <x v="1"/>
    <n v="13.336688517031501"/>
    <m/>
  </r>
  <r>
    <x v="3"/>
    <x v="5"/>
    <x v="2"/>
    <x v="6"/>
    <x v="0"/>
    <x v="0"/>
    <n v="559.24504132680943"/>
    <n v="163.5752"/>
  </r>
  <r>
    <x v="3"/>
    <x v="5"/>
    <x v="2"/>
    <x v="6"/>
    <x v="0"/>
    <x v="1"/>
    <n v="1128.6129507359165"/>
    <n v="407.31599999999997"/>
  </r>
  <r>
    <x v="3"/>
    <x v="5"/>
    <x v="2"/>
    <x v="6"/>
    <x v="1"/>
    <x v="0"/>
    <n v="3915.2434241412561"/>
    <n v="1487.2771"/>
  </r>
  <r>
    <x v="3"/>
    <x v="5"/>
    <x v="2"/>
    <x v="6"/>
    <x v="1"/>
    <x v="1"/>
    <n v="5618.486289460373"/>
    <n v="1904.6836000000001"/>
  </r>
  <r>
    <x v="3"/>
    <x v="5"/>
    <x v="2"/>
    <x v="7"/>
    <x v="2"/>
    <x v="1"/>
    <n v="10673.128731824292"/>
    <n v="5480.7062999999998"/>
  </r>
  <r>
    <x v="3"/>
    <x v="6"/>
    <x v="0"/>
    <x v="0"/>
    <x v="0"/>
    <x v="0"/>
    <n v="462.33978778379202"/>
    <n v="109.0844"/>
  </r>
  <r>
    <x v="3"/>
    <x v="6"/>
    <x v="0"/>
    <x v="0"/>
    <x v="0"/>
    <x v="1"/>
    <n v="339.34381488969609"/>
    <n v="47.497700000000002"/>
  </r>
  <r>
    <x v="3"/>
    <x v="6"/>
    <x v="0"/>
    <x v="0"/>
    <x v="1"/>
    <x v="0"/>
    <n v="9289.7311904139751"/>
    <n v="2292.9492"/>
  </r>
  <r>
    <x v="3"/>
    <x v="6"/>
    <x v="0"/>
    <x v="0"/>
    <x v="1"/>
    <x v="1"/>
    <n v="8119.4353923933113"/>
    <n v="1177.7973999999999"/>
  </r>
  <r>
    <x v="3"/>
    <x v="6"/>
    <x v="0"/>
    <x v="1"/>
    <x v="0"/>
    <x v="0"/>
    <n v="777.46061713123004"/>
    <n v="136.37780000000001"/>
  </r>
  <r>
    <x v="3"/>
    <x v="6"/>
    <x v="0"/>
    <x v="1"/>
    <x v="0"/>
    <x v="1"/>
    <n v="414.8004939293524"/>
    <n v="68.484499999999997"/>
  </r>
  <r>
    <x v="3"/>
    <x v="6"/>
    <x v="0"/>
    <x v="1"/>
    <x v="1"/>
    <x v="0"/>
    <n v="5999.3831345445369"/>
    <n v="1334.4453000000001"/>
  </r>
  <r>
    <x v="3"/>
    <x v="6"/>
    <x v="0"/>
    <x v="1"/>
    <x v="1"/>
    <x v="1"/>
    <n v="9647.8673548560491"/>
    <n v="1743.2414000000001"/>
  </r>
  <r>
    <x v="3"/>
    <x v="6"/>
    <x v="1"/>
    <x v="2"/>
    <x v="2"/>
    <x v="0"/>
    <n v="3326.6777386672829"/>
    <n v="725.66150000000005"/>
  </r>
  <r>
    <x v="3"/>
    <x v="6"/>
    <x v="1"/>
    <x v="2"/>
    <x v="2"/>
    <x v="1"/>
    <n v="23664.353347504079"/>
    <n v="6595.0781999999999"/>
  </r>
  <r>
    <x v="3"/>
    <x v="6"/>
    <x v="1"/>
    <x v="2"/>
    <x v="3"/>
    <x v="0"/>
    <n v="29.101787154209799"/>
    <m/>
  </r>
  <r>
    <x v="3"/>
    <x v="6"/>
    <x v="1"/>
    <x v="2"/>
    <x v="3"/>
    <x v="1"/>
    <n v="7.2754467885523999"/>
    <m/>
  </r>
  <r>
    <x v="3"/>
    <x v="6"/>
    <x v="1"/>
    <x v="2"/>
    <x v="5"/>
    <x v="0"/>
    <n v="11.6892064966853"/>
    <m/>
  </r>
  <r>
    <x v="3"/>
    <x v="6"/>
    <x v="1"/>
    <x v="2"/>
    <x v="5"/>
    <x v="1"/>
    <n v="53.257374171339301"/>
    <m/>
  </r>
  <r>
    <x v="3"/>
    <x v="6"/>
    <x v="1"/>
    <x v="2"/>
    <x v="6"/>
    <x v="0"/>
    <n v="349.8107172760898"/>
    <m/>
  </r>
  <r>
    <x v="3"/>
    <x v="6"/>
    <x v="1"/>
    <x v="2"/>
    <x v="6"/>
    <x v="1"/>
    <n v="2080.1072074243625"/>
    <m/>
  </r>
  <r>
    <x v="3"/>
    <x v="6"/>
    <x v="1"/>
    <x v="2"/>
    <x v="1"/>
    <x v="0"/>
    <n v="47.100648526072"/>
    <n v="0.54869999999999997"/>
  </r>
  <r>
    <x v="3"/>
    <x v="6"/>
    <x v="1"/>
    <x v="2"/>
    <x v="1"/>
    <x v="1"/>
    <n v="239.08656769032049"/>
    <m/>
  </r>
  <r>
    <x v="3"/>
    <x v="6"/>
    <x v="1"/>
    <x v="3"/>
    <x v="2"/>
    <x v="0"/>
    <n v="4753.0597875298545"/>
    <n v="1209.3380999999999"/>
  </r>
  <r>
    <x v="3"/>
    <x v="6"/>
    <x v="1"/>
    <x v="3"/>
    <x v="2"/>
    <x v="1"/>
    <n v="35767.722139120233"/>
    <n v="13003.469800000001"/>
  </r>
  <r>
    <x v="3"/>
    <x v="6"/>
    <x v="1"/>
    <x v="3"/>
    <x v="3"/>
    <x v="0"/>
    <n v="27.540938878098402"/>
    <m/>
  </r>
  <r>
    <x v="3"/>
    <x v="6"/>
    <x v="1"/>
    <x v="3"/>
    <x v="3"/>
    <x v="1"/>
    <n v="91.055014772754305"/>
    <m/>
  </r>
  <r>
    <x v="3"/>
    <x v="6"/>
    <x v="1"/>
    <x v="3"/>
    <x v="7"/>
    <x v="0"/>
    <n v="5843.8936254291057"/>
    <n v="2148.6163999999999"/>
  </r>
  <r>
    <x v="3"/>
    <x v="6"/>
    <x v="1"/>
    <x v="3"/>
    <x v="7"/>
    <x v="1"/>
    <n v="17812.430849637469"/>
    <n v="6851.9544999999998"/>
  </r>
  <r>
    <x v="3"/>
    <x v="6"/>
    <x v="1"/>
    <x v="3"/>
    <x v="5"/>
    <x v="0"/>
    <n v="18.905811507575802"/>
    <m/>
  </r>
  <r>
    <x v="3"/>
    <x v="6"/>
    <x v="1"/>
    <x v="3"/>
    <x v="5"/>
    <x v="1"/>
    <n v="61.8289394799042"/>
    <m/>
  </r>
  <r>
    <x v="3"/>
    <x v="6"/>
    <x v="1"/>
    <x v="3"/>
    <x v="6"/>
    <x v="0"/>
    <n v="89.680833705644304"/>
    <m/>
  </r>
  <r>
    <x v="3"/>
    <x v="6"/>
    <x v="1"/>
    <x v="3"/>
    <x v="6"/>
    <x v="1"/>
    <n v="291.93907706390632"/>
    <m/>
  </r>
  <r>
    <x v="3"/>
    <x v="6"/>
    <x v="1"/>
    <x v="3"/>
    <x v="1"/>
    <x v="0"/>
    <n v="28.210927869037501"/>
    <m/>
  </r>
  <r>
    <x v="3"/>
    <x v="6"/>
    <x v="1"/>
    <x v="3"/>
    <x v="1"/>
    <x v="1"/>
    <n v="130.34700344372331"/>
    <m/>
  </r>
  <r>
    <x v="3"/>
    <x v="6"/>
    <x v="1"/>
    <x v="4"/>
    <x v="2"/>
    <x v="1"/>
    <n v="3906.4035851177769"/>
    <n v="1372.2809"/>
  </r>
  <r>
    <x v="3"/>
    <x v="6"/>
    <x v="1"/>
    <x v="4"/>
    <x v="6"/>
    <x v="1"/>
    <n v="5793.4496609193884"/>
    <m/>
  </r>
  <r>
    <x v="3"/>
    <x v="6"/>
    <x v="2"/>
    <x v="5"/>
    <x v="2"/>
    <x v="0"/>
    <n v="1787.7793914364386"/>
    <n v="1017.1796000000001"/>
  </r>
  <r>
    <x v="3"/>
    <x v="6"/>
    <x v="2"/>
    <x v="5"/>
    <x v="2"/>
    <x v="1"/>
    <n v="8107.9542443321216"/>
    <n v="2594.3517000000002"/>
  </r>
  <r>
    <x v="3"/>
    <x v="6"/>
    <x v="2"/>
    <x v="5"/>
    <x v="3"/>
    <x v="1"/>
    <n v="0.38239776169520001"/>
    <m/>
  </r>
  <r>
    <x v="3"/>
    <x v="6"/>
    <x v="2"/>
    <x v="5"/>
    <x v="8"/>
    <x v="0"/>
    <n v="239.13399975507261"/>
    <n v="132.27539999999999"/>
  </r>
  <r>
    <x v="3"/>
    <x v="6"/>
    <x v="2"/>
    <x v="5"/>
    <x v="8"/>
    <x v="1"/>
    <n v="76.555944628362496"/>
    <n v="35.953299999999999"/>
  </r>
  <r>
    <x v="3"/>
    <x v="6"/>
    <x v="2"/>
    <x v="5"/>
    <x v="7"/>
    <x v="0"/>
    <n v="932.34946723360758"/>
    <n v="484.9581"/>
  </r>
  <r>
    <x v="3"/>
    <x v="6"/>
    <x v="2"/>
    <x v="5"/>
    <x v="7"/>
    <x v="1"/>
    <n v="4972.6398608996133"/>
    <n v="1528.0241000000001"/>
  </r>
  <r>
    <x v="3"/>
    <x v="6"/>
    <x v="2"/>
    <x v="5"/>
    <x v="1"/>
    <x v="0"/>
    <n v="2.6524932830683001"/>
    <m/>
  </r>
  <r>
    <x v="3"/>
    <x v="6"/>
    <x v="2"/>
    <x v="5"/>
    <x v="1"/>
    <x v="1"/>
    <n v="7.3506240207901001"/>
    <m/>
  </r>
  <r>
    <x v="3"/>
    <x v="6"/>
    <x v="2"/>
    <x v="5"/>
    <x v="9"/>
    <x v="0"/>
    <n v="0.75589432596920003"/>
    <m/>
  </r>
  <r>
    <x v="3"/>
    <x v="6"/>
    <x v="2"/>
    <x v="5"/>
    <x v="9"/>
    <x v="1"/>
    <n v="7.8030385865212004"/>
    <m/>
  </r>
  <r>
    <x v="3"/>
    <x v="6"/>
    <x v="2"/>
    <x v="6"/>
    <x v="0"/>
    <x v="0"/>
    <n v="1143.2974073153819"/>
    <n v="364.38290000000001"/>
  </r>
  <r>
    <x v="3"/>
    <x v="6"/>
    <x v="2"/>
    <x v="6"/>
    <x v="0"/>
    <x v="1"/>
    <n v="1446.3931849788521"/>
    <n v="378.8492"/>
  </r>
  <r>
    <x v="3"/>
    <x v="6"/>
    <x v="2"/>
    <x v="6"/>
    <x v="1"/>
    <x v="0"/>
    <n v="2775.5142950183622"/>
    <n v="1141.8097"/>
  </r>
  <r>
    <x v="3"/>
    <x v="6"/>
    <x v="2"/>
    <x v="6"/>
    <x v="1"/>
    <x v="1"/>
    <n v="4599.9934024821478"/>
    <n v="1475.3099"/>
  </r>
  <r>
    <x v="3"/>
    <x v="6"/>
    <x v="2"/>
    <x v="7"/>
    <x v="2"/>
    <x v="1"/>
    <n v="85.722501201553399"/>
    <n v="16.499199999999998"/>
  </r>
  <r>
    <x v="3"/>
    <x v="7"/>
    <x v="0"/>
    <x v="0"/>
    <x v="0"/>
    <x v="0"/>
    <n v="43.260642835489797"/>
    <n v="11.922000000000001"/>
  </r>
  <r>
    <x v="3"/>
    <x v="7"/>
    <x v="0"/>
    <x v="0"/>
    <x v="0"/>
    <x v="1"/>
    <n v="101.67096943114581"/>
    <n v="18.875299999999999"/>
  </r>
  <r>
    <x v="3"/>
    <x v="7"/>
    <x v="0"/>
    <x v="0"/>
    <x v="1"/>
    <x v="0"/>
    <n v="12402.125262916101"/>
    <n v="2838.8072999999999"/>
  </r>
  <r>
    <x v="3"/>
    <x v="7"/>
    <x v="0"/>
    <x v="0"/>
    <x v="1"/>
    <x v="1"/>
    <n v="3541.407913244474"/>
    <n v="533.57180000000005"/>
  </r>
  <r>
    <x v="3"/>
    <x v="7"/>
    <x v="0"/>
    <x v="1"/>
    <x v="0"/>
    <x v="0"/>
    <n v="117.6541506898822"/>
    <n v="15.504799999999999"/>
  </r>
  <r>
    <x v="3"/>
    <x v="7"/>
    <x v="0"/>
    <x v="1"/>
    <x v="0"/>
    <x v="1"/>
    <n v="214.77943569517541"/>
    <n v="39.348100000000002"/>
  </r>
  <r>
    <x v="3"/>
    <x v="7"/>
    <x v="0"/>
    <x v="1"/>
    <x v="1"/>
    <x v="0"/>
    <n v="15083.63594542272"/>
    <n v="1718.4105999999999"/>
  </r>
  <r>
    <x v="3"/>
    <x v="7"/>
    <x v="0"/>
    <x v="1"/>
    <x v="1"/>
    <x v="1"/>
    <n v="18278.916472721226"/>
    <n v="2605.6489000000001"/>
  </r>
  <r>
    <x v="3"/>
    <x v="7"/>
    <x v="1"/>
    <x v="2"/>
    <x v="2"/>
    <x v="0"/>
    <n v="5049.8385637658257"/>
    <n v="1669.7836"/>
  </r>
  <r>
    <x v="3"/>
    <x v="7"/>
    <x v="1"/>
    <x v="2"/>
    <x v="2"/>
    <x v="1"/>
    <n v="78882.848628306994"/>
    <n v="28418.331699999999"/>
  </r>
  <r>
    <x v="3"/>
    <x v="7"/>
    <x v="1"/>
    <x v="2"/>
    <x v="3"/>
    <x v="0"/>
    <n v="408.29673179397747"/>
    <m/>
  </r>
  <r>
    <x v="3"/>
    <x v="7"/>
    <x v="1"/>
    <x v="2"/>
    <x v="3"/>
    <x v="1"/>
    <n v="345.75399380021321"/>
    <m/>
  </r>
  <r>
    <x v="3"/>
    <x v="7"/>
    <x v="1"/>
    <x v="2"/>
    <x v="5"/>
    <x v="0"/>
    <n v="343.1266442780028"/>
    <m/>
  </r>
  <r>
    <x v="3"/>
    <x v="7"/>
    <x v="1"/>
    <x v="2"/>
    <x v="5"/>
    <x v="1"/>
    <n v="944.81570727615747"/>
    <m/>
  </r>
  <r>
    <x v="3"/>
    <x v="7"/>
    <x v="1"/>
    <x v="2"/>
    <x v="6"/>
    <x v="0"/>
    <n v="5702.2747722760023"/>
    <m/>
  </r>
  <r>
    <x v="3"/>
    <x v="7"/>
    <x v="1"/>
    <x v="2"/>
    <x v="6"/>
    <x v="1"/>
    <n v="18226.919355587495"/>
    <m/>
  </r>
  <r>
    <x v="3"/>
    <x v="7"/>
    <x v="1"/>
    <x v="2"/>
    <x v="1"/>
    <x v="0"/>
    <n v="59.290813151079902"/>
    <m/>
  </r>
  <r>
    <x v="3"/>
    <x v="7"/>
    <x v="1"/>
    <x v="2"/>
    <x v="1"/>
    <x v="1"/>
    <n v="244.16589909325069"/>
    <m/>
  </r>
  <r>
    <x v="3"/>
    <x v="7"/>
    <x v="1"/>
    <x v="3"/>
    <x v="2"/>
    <x v="0"/>
    <n v="7577.620195807006"/>
    <n v="2013.3869999999999"/>
  </r>
  <r>
    <x v="3"/>
    <x v="7"/>
    <x v="1"/>
    <x v="3"/>
    <x v="2"/>
    <x v="1"/>
    <n v="65497.973148353783"/>
    <n v="20362.9375"/>
  </r>
  <r>
    <x v="3"/>
    <x v="7"/>
    <x v="1"/>
    <x v="3"/>
    <x v="3"/>
    <x v="0"/>
    <n v="1410.7473493711886"/>
    <m/>
  </r>
  <r>
    <x v="3"/>
    <x v="7"/>
    <x v="1"/>
    <x v="3"/>
    <x v="3"/>
    <x v="1"/>
    <n v="3569.973333102897"/>
    <m/>
  </r>
  <r>
    <x v="3"/>
    <x v="7"/>
    <x v="1"/>
    <x v="3"/>
    <x v="7"/>
    <x v="0"/>
    <n v="2589.0625426664378"/>
    <n v="719.90430000000003"/>
  </r>
  <r>
    <x v="3"/>
    <x v="7"/>
    <x v="1"/>
    <x v="3"/>
    <x v="7"/>
    <x v="1"/>
    <n v="22562.116411612082"/>
    <n v="9201.5776000000005"/>
  </r>
  <r>
    <x v="3"/>
    <x v="7"/>
    <x v="1"/>
    <x v="3"/>
    <x v="5"/>
    <x v="0"/>
    <n v="878.48751047239557"/>
    <m/>
  </r>
  <r>
    <x v="3"/>
    <x v="7"/>
    <x v="1"/>
    <x v="3"/>
    <x v="5"/>
    <x v="1"/>
    <n v="1979.8092642335962"/>
    <m/>
  </r>
  <r>
    <x v="3"/>
    <x v="7"/>
    <x v="1"/>
    <x v="3"/>
    <x v="6"/>
    <x v="0"/>
    <n v="150.2804370352379"/>
    <m/>
  </r>
  <r>
    <x v="3"/>
    <x v="7"/>
    <x v="1"/>
    <x v="3"/>
    <x v="6"/>
    <x v="1"/>
    <n v="364.16119090285162"/>
    <m/>
  </r>
  <r>
    <x v="3"/>
    <x v="7"/>
    <x v="1"/>
    <x v="3"/>
    <x v="1"/>
    <x v="0"/>
    <n v="96.872002158334396"/>
    <m/>
  </r>
  <r>
    <x v="3"/>
    <x v="7"/>
    <x v="1"/>
    <x v="3"/>
    <x v="1"/>
    <x v="1"/>
    <n v="330.01268015817408"/>
    <m/>
  </r>
  <r>
    <x v="3"/>
    <x v="7"/>
    <x v="1"/>
    <x v="4"/>
    <x v="2"/>
    <x v="1"/>
    <n v="36432.121836410268"/>
    <n v="13720.715899999999"/>
  </r>
  <r>
    <x v="3"/>
    <x v="7"/>
    <x v="1"/>
    <x v="4"/>
    <x v="6"/>
    <x v="1"/>
    <n v="146307.1523618752"/>
    <n v="30329.882900000001"/>
  </r>
  <r>
    <x v="3"/>
    <x v="7"/>
    <x v="2"/>
    <x v="5"/>
    <x v="2"/>
    <x v="0"/>
    <n v="1860.335889987389"/>
    <n v="575.22619999999995"/>
  </r>
  <r>
    <x v="3"/>
    <x v="7"/>
    <x v="2"/>
    <x v="5"/>
    <x v="2"/>
    <x v="1"/>
    <n v="12682.638418823792"/>
    <n v="5404.6986999999999"/>
  </r>
  <r>
    <x v="3"/>
    <x v="7"/>
    <x v="2"/>
    <x v="5"/>
    <x v="3"/>
    <x v="1"/>
    <n v="0.75135928556090004"/>
    <m/>
  </r>
  <r>
    <x v="3"/>
    <x v="7"/>
    <x v="2"/>
    <x v="5"/>
    <x v="8"/>
    <x v="0"/>
    <n v="7.2649972814222004"/>
    <m/>
  </r>
  <r>
    <x v="3"/>
    <x v="7"/>
    <x v="2"/>
    <x v="5"/>
    <x v="8"/>
    <x v="1"/>
    <n v="8.9723323507248001"/>
    <n v="4.8041999999999998"/>
  </r>
  <r>
    <x v="3"/>
    <x v="7"/>
    <x v="2"/>
    <x v="5"/>
    <x v="7"/>
    <x v="0"/>
    <n v="152.18594410055931"/>
    <n v="40.384900000000002"/>
  </r>
  <r>
    <x v="3"/>
    <x v="7"/>
    <x v="2"/>
    <x v="5"/>
    <x v="7"/>
    <x v="1"/>
    <n v="1162.6651929341961"/>
    <n v="422.4581"/>
  </r>
  <r>
    <x v="3"/>
    <x v="7"/>
    <x v="2"/>
    <x v="5"/>
    <x v="1"/>
    <x v="0"/>
    <n v="22.965815473569702"/>
    <m/>
  </r>
  <r>
    <x v="3"/>
    <x v="7"/>
    <x v="2"/>
    <x v="5"/>
    <x v="1"/>
    <x v="1"/>
    <n v="53.078947171279196"/>
    <n v="14.009"/>
  </r>
  <r>
    <x v="3"/>
    <x v="7"/>
    <x v="2"/>
    <x v="5"/>
    <x v="9"/>
    <x v="0"/>
    <n v="1.3315744685258"/>
    <m/>
  </r>
  <r>
    <x v="3"/>
    <x v="7"/>
    <x v="2"/>
    <x v="5"/>
    <x v="9"/>
    <x v="1"/>
    <n v="3.0092158666543001"/>
    <m/>
  </r>
  <r>
    <x v="3"/>
    <x v="7"/>
    <x v="2"/>
    <x v="6"/>
    <x v="0"/>
    <x v="0"/>
    <n v="56.803909518597997"/>
    <n v="11.728"/>
  </r>
  <r>
    <x v="3"/>
    <x v="7"/>
    <x v="2"/>
    <x v="6"/>
    <x v="0"/>
    <x v="1"/>
    <n v="553.30497895235726"/>
    <n v="208.71870000000001"/>
  </r>
  <r>
    <x v="3"/>
    <x v="7"/>
    <x v="2"/>
    <x v="6"/>
    <x v="1"/>
    <x v="0"/>
    <n v="1186.8371881186119"/>
    <n v="433.16359999999997"/>
  </r>
  <r>
    <x v="3"/>
    <x v="7"/>
    <x v="2"/>
    <x v="6"/>
    <x v="1"/>
    <x v="1"/>
    <n v="2445.5142461588748"/>
    <n v="1072.8268"/>
  </r>
  <r>
    <x v="3"/>
    <x v="7"/>
    <x v="2"/>
    <x v="7"/>
    <x v="2"/>
    <x v="1"/>
    <n v="7829.2368777471211"/>
    <n v="3660.4225000000001"/>
  </r>
  <r>
    <x v="3"/>
    <x v="8"/>
    <x v="0"/>
    <x v="0"/>
    <x v="0"/>
    <x v="0"/>
    <n v="3666.378931860645"/>
    <n v="849.01229999999998"/>
  </r>
  <r>
    <x v="3"/>
    <x v="8"/>
    <x v="0"/>
    <x v="0"/>
    <x v="0"/>
    <x v="1"/>
    <n v="6869.9954456968662"/>
    <n v="453.26670000000001"/>
  </r>
  <r>
    <x v="3"/>
    <x v="8"/>
    <x v="0"/>
    <x v="0"/>
    <x v="1"/>
    <x v="0"/>
    <n v="66753.955115492223"/>
    <n v="13735.9794"/>
  </r>
  <r>
    <x v="3"/>
    <x v="8"/>
    <x v="0"/>
    <x v="0"/>
    <x v="1"/>
    <x v="1"/>
    <n v="38731.409343326312"/>
    <n v="3363.2537000000002"/>
  </r>
  <r>
    <x v="3"/>
    <x v="8"/>
    <x v="0"/>
    <x v="1"/>
    <x v="0"/>
    <x v="0"/>
    <n v="5223.4770304381982"/>
    <n v="1249.9666999999999"/>
  </r>
  <r>
    <x v="3"/>
    <x v="8"/>
    <x v="0"/>
    <x v="1"/>
    <x v="0"/>
    <x v="1"/>
    <n v="4435.9727778399147"/>
    <n v="437.31479999999999"/>
  </r>
  <r>
    <x v="3"/>
    <x v="8"/>
    <x v="0"/>
    <x v="1"/>
    <x v="1"/>
    <x v="0"/>
    <n v="46301.793197366809"/>
    <n v="10284.569600000001"/>
  </r>
  <r>
    <x v="3"/>
    <x v="8"/>
    <x v="0"/>
    <x v="1"/>
    <x v="1"/>
    <x v="1"/>
    <n v="55872.19765462006"/>
    <n v="7464.0415000000003"/>
  </r>
  <r>
    <x v="3"/>
    <x v="8"/>
    <x v="1"/>
    <x v="2"/>
    <x v="2"/>
    <x v="0"/>
    <n v="4147.5631652676093"/>
    <n v="2331.7251999999999"/>
  </r>
  <r>
    <x v="3"/>
    <x v="8"/>
    <x v="1"/>
    <x v="2"/>
    <x v="2"/>
    <x v="1"/>
    <n v="72452.708159513379"/>
    <n v="40673.988899999997"/>
  </r>
  <r>
    <x v="3"/>
    <x v="8"/>
    <x v="1"/>
    <x v="2"/>
    <x v="3"/>
    <x v="0"/>
    <n v="326.48941264521397"/>
    <n v="22.145199999999999"/>
  </r>
  <r>
    <x v="3"/>
    <x v="8"/>
    <x v="1"/>
    <x v="2"/>
    <x v="3"/>
    <x v="1"/>
    <n v="15.299225405500099"/>
    <m/>
  </r>
  <r>
    <x v="3"/>
    <x v="8"/>
    <x v="1"/>
    <x v="2"/>
    <x v="4"/>
    <x v="0"/>
    <n v="14.602371299265901"/>
    <m/>
  </r>
  <r>
    <x v="3"/>
    <x v="8"/>
    <x v="1"/>
    <x v="2"/>
    <x v="4"/>
    <x v="1"/>
    <n v="0.93979556236060002"/>
    <m/>
  </r>
  <r>
    <x v="3"/>
    <x v="8"/>
    <x v="1"/>
    <x v="2"/>
    <x v="5"/>
    <x v="0"/>
    <n v="0.4276041196475"/>
    <m/>
  </r>
  <r>
    <x v="3"/>
    <x v="8"/>
    <x v="1"/>
    <x v="2"/>
    <x v="5"/>
    <x v="1"/>
    <n v="4.7534829596919002"/>
    <m/>
  </r>
  <r>
    <x v="3"/>
    <x v="8"/>
    <x v="1"/>
    <x v="2"/>
    <x v="6"/>
    <x v="0"/>
    <n v="70.631080416952898"/>
    <m/>
  </r>
  <r>
    <x v="3"/>
    <x v="8"/>
    <x v="1"/>
    <x v="2"/>
    <x v="6"/>
    <x v="1"/>
    <n v="2394.3303029772551"/>
    <m/>
  </r>
  <r>
    <x v="3"/>
    <x v="8"/>
    <x v="1"/>
    <x v="2"/>
    <x v="1"/>
    <x v="0"/>
    <n v="9.9114269321975996"/>
    <n v="1.6E-2"/>
  </r>
  <r>
    <x v="3"/>
    <x v="8"/>
    <x v="1"/>
    <x v="2"/>
    <x v="1"/>
    <x v="1"/>
    <n v="139.582831875415"/>
    <m/>
  </r>
  <r>
    <x v="3"/>
    <x v="8"/>
    <x v="1"/>
    <x v="3"/>
    <x v="2"/>
    <x v="0"/>
    <n v="12330.058747101502"/>
    <n v="6628.6819999999998"/>
  </r>
  <r>
    <x v="3"/>
    <x v="8"/>
    <x v="1"/>
    <x v="3"/>
    <x v="2"/>
    <x v="1"/>
    <n v="105533.93779355042"/>
    <n v="54257.531000000003"/>
  </r>
  <r>
    <x v="3"/>
    <x v="8"/>
    <x v="1"/>
    <x v="3"/>
    <x v="3"/>
    <x v="0"/>
    <n v="53.9697245506839"/>
    <m/>
  </r>
  <r>
    <x v="3"/>
    <x v="8"/>
    <x v="1"/>
    <x v="3"/>
    <x v="3"/>
    <x v="1"/>
    <n v="289.1208817529826"/>
    <m/>
  </r>
  <r>
    <x v="3"/>
    <x v="8"/>
    <x v="1"/>
    <x v="3"/>
    <x v="7"/>
    <x v="0"/>
    <n v="23554.49212648379"/>
    <n v="12957.4897"/>
  </r>
  <r>
    <x v="3"/>
    <x v="8"/>
    <x v="1"/>
    <x v="3"/>
    <x v="7"/>
    <x v="1"/>
    <n v="117785.84668944444"/>
    <n v="62949.959000000003"/>
  </r>
  <r>
    <x v="3"/>
    <x v="8"/>
    <x v="1"/>
    <x v="3"/>
    <x v="5"/>
    <x v="0"/>
    <n v="1.4206917016608001"/>
    <m/>
  </r>
  <r>
    <x v="3"/>
    <x v="8"/>
    <x v="1"/>
    <x v="3"/>
    <x v="5"/>
    <x v="1"/>
    <n v="7.5197390913064996"/>
    <m/>
  </r>
  <r>
    <x v="3"/>
    <x v="8"/>
    <x v="1"/>
    <x v="3"/>
    <x v="6"/>
    <x v="0"/>
    <n v="31.756577688842501"/>
    <m/>
  </r>
  <r>
    <x v="3"/>
    <x v="8"/>
    <x v="1"/>
    <x v="3"/>
    <x v="6"/>
    <x v="1"/>
    <n v="168.0729627107919"/>
    <m/>
  </r>
  <r>
    <x v="3"/>
    <x v="8"/>
    <x v="1"/>
    <x v="3"/>
    <x v="1"/>
    <x v="0"/>
    <n v="247.255411842656"/>
    <n v="9.4600000000000004E-2"/>
  </r>
  <r>
    <x v="3"/>
    <x v="8"/>
    <x v="1"/>
    <x v="3"/>
    <x v="1"/>
    <x v="1"/>
    <n v="566.19234348676071"/>
    <m/>
  </r>
  <r>
    <x v="3"/>
    <x v="8"/>
    <x v="1"/>
    <x v="4"/>
    <x v="2"/>
    <x v="0"/>
    <n v="186.4491215205874"/>
    <m/>
  </r>
  <r>
    <x v="3"/>
    <x v="8"/>
    <x v="1"/>
    <x v="4"/>
    <x v="2"/>
    <x v="1"/>
    <n v="15680.292558952868"/>
    <n v="9020.1964000000007"/>
  </r>
  <r>
    <x v="3"/>
    <x v="8"/>
    <x v="1"/>
    <x v="4"/>
    <x v="4"/>
    <x v="1"/>
    <n v="0.44562080697329998"/>
    <m/>
  </r>
  <r>
    <x v="3"/>
    <x v="8"/>
    <x v="1"/>
    <x v="4"/>
    <x v="6"/>
    <x v="1"/>
    <n v="20613.569014163633"/>
    <n v="10363.5195"/>
  </r>
  <r>
    <x v="3"/>
    <x v="8"/>
    <x v="2"/>
    <x v="5"/>
    <x v="2"/>
    <x v="0"/>
    <n v="5022.4701856333368"/>
    <n v="1883.9188999999999"/>
  </r>
  <r>
    <x v="3"/>
    <x v="8"/>
    <x v="2"/>
    <x v="5"/>
    <x v="2"/>
    <x v="1"/>
    <n v="43702.877024401452"/>
    <n v="15218.085800000001"/>
  </r>
  <r>
    <x v="3"/>
    <x v="8"/>
    <x v="2"/>
    <x v="5"/>
    <x v="3"/>
    <x v="0"/>
    <n v="3.4636431140514001"/>
    <m/>
  </r>
  <r>
    <x v="3"/>
    <x v="8"/>
    <x v="2"/>
    <x v="5"/>
    <x v="3"/>
    <x v="1"/>
    <n v="51.218510541649202"/>
    <m/>
  </r>
  <r>
    <x v="3"/>
    <x v="8"/>
    <x v="2"/>
    <x v="5"/>
    <x v="8"/>
    <x v="0"/>
    <n v="18615.665493023651"/>
    <n v="9501.8367999999991"/>
  </r>
  <r>
    <x v="3"/>
    <x v="8"/>
    <x v="2"/>
    <x v="5"/>
    <x v="8"/>
    <x v="1"/>
    <n v="7003.8392680215038"/>
    <n v="3048.0009"/>
  </r>
  <r>
    <x v="3"/>
    <x v="8"/>
    <x v="2"/>
    <x v="5"/>
    <x v="7"/>
    <x v="0"/>
    <n v="12733.920707326552"/>
    <n v="5927.9022999999997"/>
  </r>
  <r>
    <x v="3"/>
    <x v="8"/>
    <x v="2"/>
    <x v="5"/>
    <x v="7"/>
    <x v="1"/>
    <n v="37368.401985920311"/>
    <n v="11083.588900000001"/>
  </r>
  <r>
    <x v="3"/>
    <x v="8"/>
    <x v="2"/>
    <x v="5"/>
    <x v="5"/>
    <x v="0"/>
    <n v="5.0132752130981997"/>
    <m/>
  </r>
  <r>
    <x v="3"/>
    <x v="8"/>
    <x v="2"/>
    <x v="5"/>
    <x v="5"/>
    <x v="1"/>
    <n v="141.18022468445619"/>
    <m/>
  </r>
  <r>
    <x v="3"/>
    <x v="8"/>
    <x v="2"/>
    <x v="5"/>
    <x v="1"/>
    <x v="0"/>
    <n v="64.167794628908595"/>
    <m/>
  </r>
  <r>
    <x v="3"/>
    <x v="8"/>
    <x v="2"/>
    <x v="5"/>
    <x v="1"/>
    <x v="1"/>
    <n v="154.7179342705933"/>
    <n v="0"/>
  </r>
  <r>
    <x v="3"/>
    <x v="8"/>
    <x v="2"/>
    <x v="5"/>
    <x v="9"/>
    <x v="0"/>
    <n v="63.260252843415302"/>
    <m/>
  </r>
  <r>
    <x v="3"/>
    <x v="8"/>
    <x v="2"/>
    <x v="5"/>
    <x v="9"/>
    <x v="1"/>
    <n v="220.91519396797551"/>
    <m/>
  </r>
  <r>
    <x v="3"/>
    <x v="8"/>
    <x v="2"/>
    <x v="6"/>
    <x v="0"/>
    <x v="0"/>
    <n v="5232.444970939795"/>
    <n v="2106.6392999999998"/>
  </r>
  <r>
    <x v="3"/>
    <x v="8"/>
    <x v="2"/>
    <x v="6"/>
    <x v="0"/>
    <x v="1"/>
    <n v="10349.071881606835"/>
    <n v="2633.9488000000001"/>
  </r>
  <r>
    <x v="3"/>
    <x v="8"/>
    <x v="2"/>
    <x v="6"/>
    <x v="1"/>
    <x v="0"/>
    <n v="21066.070538129541"/>
    <n v="11111.2682"/>
  </r>
  <r>
    <x v="3"/>
    <x v="8"/>
    <x v="2"/>
    <x v="6"/>
    <x v="1"/>
    <x v="1"/>
    <n v="26262.385376597649"/>
    <n v="8650.4269999999997"/>
  </r>
  <r>
    <x v="3"/>
    <x v="8"/>
    <x v="2"/>
    <x v="7"/>
    <x v="2"/>
    <x v="1"/>
    <n v="8552.7092153952726"/>
    <n v="1367.0373"/>
  </r>
  <r>
    <x v="3"/>
    <x v="9"/>
    <x v="0"/>
    <x v="0"/>
    <x v="0"/>
    <x v="0"/>
    <n v="33.994757385060197"/>
    <n v="4.1563999999999997"/>
  </r>
  <r>
    <x v="3"/>
    <x v="9"/>
    <x v="0"/>
    <x v="0"/>
    <x v="0"/>
    <x v="1"/>
    <n v="105.1725029218866"/>
    <n v="11.8605"/>
  </r>
  <r>
    <x v="3"/>
    <x v="9"/>
    <x v="0"/>
    <x v="0"/>
    <x v="1"/>
    <x v="0"/>
    <n v="9753.6789943502899"/>
    <n v="1096.7968000000001"/>
  </r>
  <r>
    <x v="3"/>
    <x v="9"/>
    <x v="0"/>
    <x v="0"/>
    <x v="1"/>
    <x v="1"/>
    <n v="1845.090948384234"/>
    <n v="100.7021"/>
  </r>
  <r>
    <x v="3"/>
    <x v="9"/>
    <x v="0"/>
    <x v="1"/>
    <x v="0"/>
    <x v="0"/>
    <n v="57.114024983911101"/>
    <n v="5.0282999999999998"/>
  </r>
  <r>
    <x v="3"/>
    <x v="9"/>
    <x v="0"/>
    <x v="1"/>
    <x v="0"/>
    <x v="1"/>
    <n v="94.201689760211806"/>
    <n v="12.7105"/>
  </r>
  <r>
    <x v="3"/>
    <x v="9"/>
    <x v="0"/>
    <x v="1"/>
    <x v="1"/>
    <x v="0"/>
    <n v="6516.5974662717699"/>
    <n v="790.47730000000001"/>
  </r>
  <r>
    <x v="3"/>
    <x v="9"/>
    <x v="0"/>
    <x v="1"/>
    <x v="1"/>
    <x v="1"/>
    <n v="6238.2064268179101"/>
    <n v="737.90830000000005"/>
  </r>
  <r>
    <x v="3"/>
    <x v="9"/>
    <x v="1"/>
    <x v="2"/>
    <x v="2"/>
    <x v="0"/>
    <n v="6410.8210930418836"/>
    <n v="2103.1799999999998"/>
  </r>
  <r>
    <x v="3"/>
    <x v="9"/>
    <x v="1"/>
    <x v="2"/>
    <x v="2"/>
    <x v="1"/>
    <n v="103641.8202075336"/>
    <n v="36569.198199999999"/>
  </r>
  <r>
    <x v="3"/>
    <x v="9"/>
    <x v="1"/>
    <x v="2"/>
    <x v="3"/>
    <x v="0"/>
    <n v="301.72532159028327"/>
    <n v="6.4640000000000004"/>
  </r>
  <r>
    <x v="3"/>
    <x v="9"/>
    <x v="1"/>
    <x v="2"/>
    <x v="3"/>
    <x v="1"/>
    <n v="307.23130184909797"/>
    <m/>
  </r>
  <r>
    <x v="3"/>
    <x v="9"/>
    <x v="1"/>
    <x v="2"/>
    <x v="5"/>
    <x v="0"/>
    <n v="391.838036737935"/>
    <m/>
  </r>
  <r>
    <x v="3"/>
    <x v="9"/>
    <x v="1"/>
    <x v="2"/>
    <x v="5"/>
    <x v="1"/>
    <n v="1032.824345342226"/>
    <m/>
  </r>
  <r>
    <x v="3"/>
    <x v="9"/>
    <x v="1"/>
    <x v="2"/>
    <x v="6"/>
    <x v="0"/>
    <n v="6557.7908694288999"/>
    <m/>
  </r>
  <r>
    <x v="3"/>
    <x v="9"/>
    <x v="1"/>
    <x v="2"/>
    <x v="6"/>
    <x v="1"/>
    <n v="19088.183876499501"/>
    <m/>
  </r>
  <r>
    <x v="3"/>
    <x v="9"/>
    <x v="1"/>
    <x v="2"/>
    <x v="1"/>
    <x v="0"/>
    <n v="49.8146118581571"/>
    <m/>
  </r>
  <r>
    <x v="3"/>
    <x v="9"/>
    <x v="1"/>
    <x v="2"/>
    <x v="1"/>
    <x v="1"/>
    <n v="230.99590303632769"/>
    <m/>
  </r>
  <r>
    <x v="3"/>
    <x v="9"/>
    <x v="1"/>
    <x v="3"/>
    <x v="2"/>
    <x v="0"/>
    <n v="7595.9114576976299"/>
    <n v="2463.2707"/>
  </r>
  <r>
    <x v="3"/>
    <x v="9"/>
    <x v="1"/>
    <x v="3"/>
    <x v="2"/>
    <x v="1"/>
    <n v="67617.928160580632"/>
    <n v="23389.5216"/>
  </r>
  <r>
    <x v="3"/>
    <x v="9"/>
    <x v="1"/>
    <x v="3"/>
    <x v="3"/>
    <x v="0"/>
    <n v="838.85655054694496"/>
    <m/>
  </r>
  <r>
    <x v="3"/>
    <x v="9"/>
    <x v="1"/>
    <x v="3"/>
    <x v="3"/>
    <x v="1"/>
    <n v="2130.4332165763908"/>
    <m/>
  </r>
  <r>
    <x v="3"/>
    <x v="9"/>
    <x v="1"/>
    <x v="3"/>
    <x v="7"/>
    <x v="0"/>
    <n v="833.52619281923705"/>
    <n v="151.4794"/>
  </r>
  <r>
    <x v="3"/>
    <x v="9"/>
    <x v="1"/>
    <x v="3"/>
    <x v="7"/>
    <x v="1"/>
    <n v="4365.6748470542298"/>
    <n v="1216.1368"/>
  </r>
  <r>
    <x v="3"/>
    <x v="9"/>
    <x v="1"/>
    <x v="3"/>
    <x v="5"/>
    <x v="0"/>
    <n v="486.63282256729599"/>
    <m/>
  </r>
  <r>
    <x v="3"/>
    <x v="9"/>
    <x v="1"/>
    <x v="3"/>
    <x v="5"/>
    <x v="1"/>
    <n v="1112.7014483799851"/>
    <m/>
  </r>
  <r>
    <x v="3"/>
    <x v="9"/>
    <x v="1"/>
    <x v="3"/>
    <x v="6"/>
    <x v="0"/>
    <n v="80.935678789240995"/>
    <m/>
  </r>
  <r>
    <x v="3"/>
    <x v="9"/>
    <x v="1"/>
    <x v="3"/>
    <x v="6"/>
    <x v="1"/>
    <n v="190.00717893969701"/>
    <m/>
  </r>
  <r>
    <x v="3"/>
    <x v="9"/>
    <x v="1"/>
    <x v="3"/>
    <x v="1"/>
    <x v="0"/>
    <n v="116.0907028257644"/>
    <m/>
  </r>
  <r>
    <x v="3"/>
    <x v="9"/>
    <x v="1"/>
    <x v="3"/>
    <x v="1"/>
    <x v="1"/>
    <n v="472.90972410612102"/>
    <m/>
  </r>
  <r>
    <x v="3"/>
    <x v="9"/>
    <x v="1"/>
    <x v="4"/>
    <x v="2"/>
    <x v="0"/>
    <n v="23.540999016882299"/>
    <m/>
  </r>
  <r>
    <x v="3"/>
    <x v="9"/>
    <x v="1"/>
    <x v="4"/>
    <x v="2"/>
    <x v="1"/>
    <n v="37081.235917667793"/>
    <n v="15322.617399999999"/>
  </r>
  <r>
    <x v="3"/>
    <x v="9"/>
    <x v="1"/>
    <x v="4"/>
    <x v="6"/>
    <x v="0"/>
    <n v="1553.49793739407"/>
    <m/>
  </r>
  <r>
    <x v="3"/>
    <x v="9"/>
    <x v="1"/>
    <x v="4"/>
    <x v="6"/>
    <x v="1"/>
    <n v="139963.9993234385"/>
    <n v="29348.813699999999"/>
  </r>
  <r>
    <x v="3"/>
    <x v="9"/>
    <x v="2"/>
    <x v="5"/>
    <x v="2"/>
    <x v="0"/>
    <n v="623.45867485466601"/>
    <n v="176.5538"/>
  </r>
  <r>
    <x v="3"/>
    <x v="9"/>
    <x v="2"/>
    <x v="5"/>
    <x v="2"/>
    <x v="1"/>
    <n v="2751.5709488002399"/>
    <n v="897.91340000000002"/>
  </r>
  <r>
    <x v="3"/>
    <x v="9"/>
    <x v="2"/>
    <x v="5"/>
    <x v="3"/>
    <x v="0"/>
    <n v="0.1415277096258"/>
    <m/>
  </r>
  <r>
    <x v="3"/>
    <x v="9"/>
    <x v="2"/>
    <x v="5"/>
    <x v="3"/>
    <x v="1"/>
    <n v="2.0012051761795999"/>
    <m/>
  </r>
  <r>
    <x v="3"/>
    <x v="9"/>
    <x v="2"/>
    <x v="5"/>
    <x v="8"/>
    <x v="0"/>
    <n v="3.8642191115151001"/>
    <m/>
  </r>
  <r>
    <x v="3"/>
    <x v="9"/>
    <x v="2"/>
    <x v="5"/>
    <x v="8"/>
    <x v="1"/>
    <n v="3.4855842014144001"/>
    <m/>
  </r>
  <r>
    <x v="3"/>
    <x v="9"/>
    <x v="2"/>
    <x v="5"/>
    <x v="7"/>
    <x v="0"/>
    <n v="144.3671481334427"/>
    <n v="38.859099999999998"/>
  </r>
  <r>
    <x v="3"/>
    <x v="9"/>
    <x v="2"/>
    <x v="5"/>
    <x v="7"/>
    <x v="1"/>
    <n v="668.30863574971704"/>
    <n v="248.89429999999999"/>
  </r>
  <r>
    <x v="3"/>
    <x v="9"/>
    <x v="2"/>
    <x v="5"/>
    <x v="1"/>
    <x v="0"/>
    <n v="8.0127546616473992"/>
    <m/>
  </r>
  <r>
    <x v="3"/>
    <x v="9"/>
    <x v="2"/>
    <x v="5"/>
    <x v="1"/>
    <x v="1"/>
    <n v="8.2898643986337994"/>
    <n v="1.3754"/>
  </r>
  <r>
    <x v="3"/>
    <x v="9"/>
    <x v="2"/>
    <x v="5"/>
    <x v="9"/>
    <x v="0"/>
    <n v="2.4131006207899"/>
    <m/>
  </r>
  <r>
    <x v="3"/>
    <x v="9"/>
    <x v="2"/>
    <x v="5"/>
    <x v="9"/>
    <x v="1"/>
    <n v="2.2160476935158"/>
    <m/>
  </r>
  <r>
    <x v="3"/>
    <x v="9"/>
    <x v="2"/>
    <x v="6"/>
    <x v="0"/>
    <x v="0"/>
    <n v="30.486797423434901"/>
    <n v="4.3010000000000002"/>
  </r>
  <r>
    <x v="3"/>
    <x v="9"/>
    <x v="2"/>
    <x v="6"/>
    <x v="0"/>
    <x v="1"/>
    <n v="342.34306581635599"/>
    <n v="75.327100000000002"/>
  </r>
  <r>
    <x v="3"/>
    <x v="9"/>
    <x v="2"/>
    <x v="6"/>
    <x v="1"/>
    <x v="0"/>
    <n v="316.75430716323399"/>
    <n v="123.52330000000001"/>
  </r>
  <r>
    <x v="3"/>
    <x v="9"/>
    <x v="2"/>
    <x v="6"/>
    <x v="1"/>
    <x v="1"/>
    <n v="678.86476110364504"/>
    <n v="203.85419999999999"/>
  </r>
  <r>
    <x v="3"/>
    <x v="9"/>
    <x v="2"/>
    <x v="7"/>
    <x v="2"/>
    <x v="1"/>
    <n v="4536.7144035582796"/>
    <n v="2239.1660000000002"/>
  </r>
  <r>
    <x v="3"/>
    <x v="10"/>
    <x v="0"/>
    <x v="0"/>
    <x v="0"/>
    <x v="0"/>
    <n v="1090.1986205178398"/>
    <n v="151.2972"/>
  </r>
  <r>
    <x v="3"/>
    <x v="10"/>
    <x v="0"/>
    <x v="0"/>
    <x v="0"/>
    <x v="1"/>
    <n v="4887.6882114152913"/>
    <n v="856.96349999999995"/>
  </r>
  <r>
    <x v="3"/>
    <x v="10"/>
    <x v="0"/>
    <x v="0"/>
    <x v="1"/>
    <x v="0"/>
    <n v="60835.622391784149"/>
    <n v="9935.1910000000007"/>
  </r>
  <r>
    <x v="3"/>
    <x v="10"/>
    <x v="0"/>
    <x v="0"/>
    <x v="1"/>
    <x v="1"/>
    <n v="24998.133425657801"/>
    <n v="2885.2849999999999"/>
  </r>
  <r>
    <x v="3"/>
    <x v="10"/>
    <x v="0"/>
    <x v="1"/>
    <x v="0"/>
    <x v="0"/>
    <n v="1215.898031283831"/>
    <n v="320.60329999999999"/>
  </r>
  <r>
    <x v="3"/>
    <x v="10"/>
    <x v="0"/>
    <x v="1"/>
    <x v="0"/>
    <x v="1"/>
    <n v="2423.2065121659989"/>
    <n v="498.16750000000002"/>
  </r>
  <r>
    <x v="3"/>
    <x v="10"/>
    <x v="0"/>
    <x v="1"/>
    <x v="1"/>
    <x v="0"/>
    <n v="34526.297005360662"/>
    <n v="10346.629999999999"/>
  </r>
  <r>
    <x v="3"/>
    <x v="10"/>
    <x v="0"/>
    <x v="1"/>
    <x v="1"/>
    <x v="1"/>
    <n v="51216.878722480673"/>
    <n v="8559.4230000000007"/>
  </r>
  <r>
    <x v="3"/>
    <x v="10"/>
    <x v="1"/>
    <x v="2"/>
    <x v="2"/>
    <x v="0"/>
    <n v="19891.219138669327"/>
    <n v="5677.7739000000001"/>
  </r>
  <r>
    <x v="3"/>
    <x v="10"/>
    <x v="1"/>
    <x v="2"/>
    <x v="2"/>
    <x v="1"/>
    <n v="130495.01825159138"/>
    <n v="48202.398699999998"/>
  </r>
  <r>
    <x v="3"/>
    <x v="10"/>
    <x v="1"/>
    <x v="2"/>
    <x v="3"/>
    <x v="0"/>
    <n v="547.68528530029175"/>
    <n v="14.5563"/>
  </r>
  <r>
    <x v="3"/>
    <x v="10"/>
    <x v="1"/>
    <x v="2"/>
    <x v="3"/>
    <x v="1"/>
    <n v="600.80674114184899"/>
    <m/>
  </r>
  <r>
    <x v="3"/>
    <x v="10"/>
    <x v="1"/>
    <x v="2"/>
    <x v="4"/>
    <x v="0"/>
    <n v="4.3192604737476996"/>
    <m/>
  </r>
  <r>
    <x v="3"/>
    <x v="10"/>
    <x v="1"/>
    <x v="2"/>
    <x v="4"/>
    <x v="1"/>
    <n v="68.911814678973499"/>
    <m/>
  </r>
  <r>
    <x v="3"/>
    <x v="10"/>
    <x v="1"/>
    <x v="2"/>
    <x v="5"/>
    <x v="0"/>
    <n v="454.08385182975132"/>
    <m/>
  </r>
  <r>
    <x v="3"/>
    <x v="10"/>
    <x v="1"/>
    <x v="2"/>
    <x v="5"/>
    <x v="1"/>
    <n v="1173.4573132670996"/>
    <n v="17.382000000000001"/>
  </r>
  <r>
    <x v="3"/>
    <x v="10"/>
    <x v="1"/>
    <x v="2"/>
    <x v="6"/>
    <x v="0"/>
    <n v="8726.4128403559025"/>
    <m/>
  </r>
  <r>
    <x v="3"/>
    <x v="10"/>
    <x v="1"/>
    <x v="2"/>
    <x v="6"/>
    <x v="1"/>
    <n v="21783.734713640137"/>
    <m/>
  </r>
  <r>
    <x v="3"/>
    <x v="10"/>
    <x v="1"/>
    <x v="2"/>
    <x v="1"/>
    <x v="0"/>
    <n v="1726.77474129454"/>
    <n v="90.140900000000002"/>
  </r>
  <r>
    <x v="3"/>
    <x v="10"/>
    <x v="1"/>
    <x v="2"/>
    <x v="1"/>
    <x v="1"/>
    <n v="4253.0419068030387"/>
    <m/>
  </r>
  <r>
    <x v="3"/>
    <x v="10"/>
    <x v="1"/>
    <x v="3"/>
    <x v="2"/>
    <x v="0"/>
    <n v="34229.667013546008"/>
    <n v="9048.8241999999991"/>
  </r>
  <r>
    <x v="3"/>
    <x v="10"/>
    <x v="1"/>
    <x v="3"/>
    <x v="2"/>
    <x v="1"/>
    <n v="142452.98735288475"/>
    <n v="42177.0962"/>
  </r>
  <r>
    <x v="3"/>
    <x v="10"/>
    <x v="1"/>
    <x v="3"/>
    <x v="3"/>
    <x v="0"/>
    <n v="1796.0214064915272"/>
    <m/>
  </r>
  <r>
    <x v="3"/>
    <x v="10"/>
    <x v="1"/>
    <x v="3"/>
    <x v="3"/>
    <x v="1"/>
    <n v="4436.4646238988762"/>
    <m/>
  </r>
  <r>
    <x v="3"/>
    <x v="10"/>
    <x v="1"/>
    <x v="3"/>
    <x v="7"/>
    <x v="0"/>
    <n v="31365.541923895878"/>
    <n v="8612.2448000000004"/>
  </r>
  <r>
    <x v="3"/>
    <x v="10"/>
    <x v="1"/>
    <x v="3"/>
    <x v="7"/>
    <x v="1"/>
    <n v="87719.682398729652"/>
    <n v="28813.8953"/>
  </r>
  <r>
    <x v="3"/>
    <x v="10"/>
    <x v="1"/>
    <x v="3"/>
    <x v="5"/>
    <x v="0"/>
    <n v="1535.2691152565972"/>
    <m/>
  </r>
  <r>
    <x v="3"/>
    <x v="10"/>
    <x v="1"/>
    <x v="3"/>
    <x v="5"/>
    <x v="1"/>
    <n v="3936.4114148677181"/>
    <m/>
  </r>
  <r>
    <x v="3"/>
    <x v="10"/>
    <x v="1"/>
    <x v="3"/>
    <x v="6"/>
    <x v="0"/>
    <n v="8.6158291899200004E-2"/>
    <m/>
  </r>
  <r>
    <x v="3"/>
    <x v="10"/>
    <x v="1"/>
    <x v="3"/>
    <x v="6"/>
    <x v="1"/>
    <n v="0.2215718741828"/>
    <m/>
  </r>
  <r>
    <x v="3"/>
    <x v="10"/>
    <x v="1"/>
    <x v="3"/>
    <x v="1"/>
    <x v="0"/>
    <n v="1291.9465345220697"/>
    <n v="35.475000000000001"/>
  </r>
  <r>
    <x v="3"/>
    <x v="10"/>
    <x v="1"/>
    <x v="3"/>
    <x v="1"/>
    <x v="1"/>
    <n v="2619.4797088438859"/>
    <m/>
  </r>
  <r>
    <x v="3"/>
    <x v="10"/>
    <x v="1"/>
    <x v="4"/>
    <x v="2"/>
    <x v="0"/>
    <n v="8.6886170299999994E-5"/>
    <m/>
  </r>
  <r>
    <x v="3"/>
    <x v="10"/>
    <x v="1"/>
    <x v="4"/>
    <x v="2"/>
    <x v="1"/>
    <n v="7056.8458896563307"/>
    <n v="6069.1857"/>
  </r>
  <r>
    <x v="3"/>
    <x v="10"/>
    <x v="1"/>
    <x v="4"/>
    <x v="5"/>
    <x v="1"/>
    <n v="0.77920631313459998"/>
    <m/>
  </r>
  <r>
    <x v="3"/>
    <x v="10"/>
    <x v="1"/>
    <x v="4"/>
    <x v="6"/>
    <x v="0"/>
    <n v="5.0408185793000002E-3"/>
    <m/>
  </r>
  <r>
    <x v="3"/>
    <x v="10"/>
    <x v="1"/>
    <x v="4"/>
    <x v="6"/>
    <x v="1"/>
    <n v="10959.637070358987"/>
    <n v="9401.2371999999996"/>
  </r>
  <r>
    <x v="3"/>
    <x v="10"/>
    <x v="2"/>
    <x v="5"/>
    <x v="2"/>
    <x v="0"/>
    <n v="3982.993479248591"/>
    <n v="1736.5279"/>
  </r>
  <r>
    <x v="3"/>
    <x v="10"/>
    <x v="2"/>
    <x v="5"/>
    <x v="2"/>
    <x v="1"/>
    <n v="45850.799879122016"/>
    <n v="16988.483400000001"/>
  </r>
  <r>
    <x v="3"/>
    <x v="10"/>
    <x v="2"/>
    <x v="5"/>
    <x v="3"/>
    <x v="0"/>
    <n v="6.7636284345998998"/>
    <m/>
  </r>
  <r>
    <x v="3"/>
    <x v="10"/>
    <x v="2"/>
    <x v="5"/>
    <x v="8"/>
    <x v="0"/>
    <n v="909.59947962665831"/>
    <n v="409.60660000000001"/>
  </r>
  <r>
    <x v="3"/>
    <x v="10"/>
    <x v="2"/>
    <x v="5"/>
    <x v="8"/>
    <x v="1"/>
    <n v="539.2181650388917"/>
    <n v="255.608"/>
  </r>
  <r>
    <x v="3"/>
    <x v="10"/>
    <x v="2"/>
    <x v="5"/>
    <x v="7"/>
    <x v="0"/>
    <n v="5669.7210962206009"/>
    <n v="2306.2087999999999"/>
  </r>
  <r>
    <x v="3"/>
    <x v="10"/>
    <x v="2"/>
    <x v="5"/>
    <x v="7"/>
    <x v="1"/>
    <n v="18813.376078467954"/>
    <n v="5286.7573000000002"/>
  </r>
  <r>
    <x v="3"/>
    <x v="10"/>
    <x v="2"/>
    <x v="5"/>
    <x v="1"/>
    <x v="0"/>
    <n v="112.15803123010291"/>
    <n v="37.057600000000001"/>
  </r>
  <r>
    <x v="3"/>
    <x v="10"/>
    <x v="2"/>
    <x v="5"/>
    <x v="1"/>
    <x v="1"/>
    <n v="175.62025250629461"/>
    <n v="54.633699999999997"/>
  </r>
  <r>
    <x v="3"/>
    <x v="10"/>
    <x v="2"/>
    <x v="5"/>
    <x v="9"/>
    <x v="0"/>
    <n v="11.049251837039201"/>
    <m/>
  </r>
  <r>
    <x v="3"/>
    <x v="10"/>
    <x v="2"/>
    <x v="5"/>
    <x v="9"/>
    <x v="1"/>
    <n v="114.29390990529269"/>
    <m/>
  </r>
  <r>
    <x v="3"/>
    <x v="10"/>
    <x v="2"/>
    <x v="6"/>
    <x v="0"/>
    <x v="0"/>
    <n v="2067.3580271463388"/>
    <n v="541.27560000000005"/>
  </r>
  <r>
    <x v="3"/>
    <x v="10"/>
    <x v="2"/>
    <x v="6"/>
    <x v="0"/>
    <x v="1"/>
    <n v="10831.062962070593"/>
    <n v="2228.4105"/>
  </r>
  <r>
    <x v="3"/>
    <x v="10"/>
    <x v="2"/>
    <x v="6"/>
    <x v="1"/>
    <x v="0"/>
    <n v="13238.528861211971"/>
    <n v="4860.9147999999996"/>
  </r>
  <r>
    <x v="3"/>
    <x v="10"/>
    <x v="2"/>
    <x v="6"/>
    <x v="1"/>
    <x v="1"/>
    <n v="18829.386063230693"/>
    <n v="6342.3985000000002"/>
  </r>
  <r>
    <x v="3"/>
    <x v="10"/>
    <x v="2"/>
    <x v="7"/>
    <x v="2"/>
    <x v="1"/>
    <n v="7523.7253501408486"/>
    <n v="3927.7750000000001"/>
  </r>
  <r>
    <x v="4"/>
    <x v="0"/>
    <x v="0"/>
    <x v="0"/>
    <x v="0"/>
    <x v="0"/>
    <n v="32.2808061935064"/>
    <n v="8.6172000000000004"/>
  </r>
  <r>
    <x v="4"/>
    <x v="0"/>
    <x v="0"/>
    <x v="0"/>
    <x v="0"/>
    <x v="1"/>
    <n v="174.0988858874347"/>
    <n v="35.388100000000001"/>
  </r>
  <r>
    <x v="4"/>
    <x v="0"/>
    <x v="0"/>
    <x v="0"/>
    <x v="1"/>
    <x v="0"/>
    <n v="12070.231799490994"/>
    <n v="1804.0752"/>
  </r>
  <r>
    <x v="4"/>
    <x v="0"/>
    <x v="0"/>
    <x v="0"/>
    <x v="1"/>
    <x v="1"/>
    <n v="3902.8201804495752"/>
    <n v="455.62709999999998"/>
  </r>
  <r>
    <x v="4"/>
    <x v="0"/>
    <x v="0"/>
    <x v="1"/>
    <x v="0"/>
    <x v="0"/>
    <n v="131.83189176086239"/>
    <n v="46.6327"/>
  </r>
  <r>
    <x v="4"/>
    <x v="0"/>
    <x v="0"/>
    <x v="1"/>
    <x v="0"/>
    <x v="1"/>
    <n v="196.6719296650021"/>
    <n v="71.572199999999995"/>
  </r>
  <r>
    <x v="4"/>
    <x v="0"/>
    <x v="0"/>
    <x v="1"/>
    <x v="1"/>
    <x v="0"/>
    <n v="9981.1528887810418"/>
    <n v="1840.3634"/>
  </r>
  <r>
    <x v="4"/>
    <x v="0"/>
    <x v="0"/>
    <x v="1"/>
    <x v="1"/>
    <x v="1"/>
    <n v="9471.5852166034674"/>
    <n v="1670.3345999999999"/>
  </r>
  <r>
    <x v="4"/>
    <x v="0"/>
    <x v="1"/>
    <x v="2"/>
    <x v="2"/>
    <x v="0"/>
    <n v="2967.9125457898399"/>
    <n v="1258.4302"/>
  </r>
  <r>
    <x v="4"/>
    <x v="0"/>
    <x v="1"/>
    <x v="2"/>
    <x v="2"/>
    <x v="1"/>
    <n v="23590.45977120809"/>
    <n v="9953.8233"/>
  </r>
  <r>
    <x v="4"/>
    <x v="0"/>
    <x v="1"/>
    <x v="2"/>
    <x v="3"/>
    <x v="1"/>
    <n v="4.5278493279073997"/>
    <m/>
  </r>
  <r>
    <x v="4"/>
    <x v="0"/>
    <x v="1"/>
    <x v="2"/>
    <x v="4"/>
    <x v="0"/>
    <n v="0.13378731894990001"/>
    <m/>
  </r>
  <r>
    <x v="4"/>
    <x v="0"/>
    <x v="1"/>
    <x v="2"/>
    <x v="4"/>
    <x v="1"/>
    <n v="6.2587951026606001"/>
    <m/>
  </r>
  <r>
    <x v="4"/>
    <x v="0"/>
    <x v="1"/>
    <x v="2"/>
    <x v="5"/>
    <x v="0"/>
    <n v="10.459181341720001"/>
    <m/>
  </r>
  <r>
    <x v="4"/>
    <x v="0"/>
    <x v="1"/>
    <x v="2"/>
    <x v="5"/>
    <x v="1"/>
    <n v="25.2591112263414"/>
    <m/>
  </r>
  <r>
    <x v="4"/>
    <x v="0"/>
    <x v="1"/>
    <x v="2"/>
    <x v="6"/>
    <x v="0"/>
    <n v="234.55644898677059"/>
    <m/>
  </r>
  <r>
    <x v="4"/>
    <x v="0"/>
    <x v="1"/>
    <x v="2"/>
    <x v="6"/>
    <x v="1"/>
    <n v="539.55917081318148"/>
    <m/>
  </r>
  <r>
    <x v="4"/>
    <x v="0"/>
    <x v="1"/>
    <x v="2"/>
    <x v="1"/>
    <x v="0"/>
    <n v="116.94827216022919"/>
    <m/>
  </r>
  <r>
    <x v="4"/>
    <x v="0"/>
    <x v="1"/>
    <x v="2"/>
    <x v="1"/>
    <x v="1"/>
    <n v="88.941974284086996"/>
    <m/>
  </r>
  <r>
    <x v="4"/>
    <x v="0"/>
    <x v="1"/>
    <x v="3"/>
    <x v="2"/>
    <x v="0"/>
    <n v="7230.4307480652251"/>
    <n v="2875.9494"/>
  </r>
  <r>
    <x v="4"/>
    <x v="0"/>
    <x v="1"/>
    <x v="3"/>
    <x v="2"/>
    <x v="1"/>
    <n v="47292.715945546079"/>
    <n v="19673.0779"/>
  </r>
  <r>
    <x v="4"/>
    <x v="0"/>
    <x v="1"/>
    <x v="3"/>
    <x v="3"/>
    <x v="0"/>
    <n v="5.9003675100592998"/>
    <m/>
  </r>
  <r>
    <x v="4"/>
    <x v="0"/>
    <x v="1"/>
    <x v="3"/>
    <x v="3"/>
    <x v="1"/>
    <n v="15.8691448626448"/>
    <m/>
  </r>
  <r>
    <x v="4"/>
    <x v="0"/>
    <x v="1"/>
    <x v="3"/>
    <x v="7"/>
    <x v="0"/>
    <n v="1300.344376409781"/>
    <n v="587.46749999999997"/>
  </r>
  <r>
    <x v="4"/>
    <x v="0"/>
    <x v="1"/>
    <x v="3"/>
    <x v="7"/>
    <x v="1"/>
    <n v="8978.8617385587622"/>
    <n v="4270.6221999999998"/>
  </r>
  <r>
    <x v="4"/>
    <x v="0"/>
    <x v="1"/>
    <x v="3"/>
    <x v="5"/>
    <x v="0"/>
    <n v="94.188072401901394"/>
    <m/>
  </r>
  <r>
    <x v="4"/>
    <x v="0"/>
    <x v="1"/>
    <x v="3"/>
    <x v="5"/>
    <x v="1"/>
    <n v="243.44655579046011"/>
    <m/>
  </r>
  <r>
    <x v="4"/>
    <x v="0"/>
    <x v="1"/>
    <x v="3"/>
    <x v="6"/>
    <x v="0"/>
    <n v="33.396947730641799"/>
    <m/>
  </r>
  <r>
    <x v="4"/>
    <x v="0"/>
    <x v="1"/>
    <x v="3"/>
    <x v="6"/>
    <x v="1"/>
    <n v="90.932080714722801"/>
    <m/>
  </r>
  <r>
    <x v="4"/>
    <x v="0"/>
    <x v="1"/>
    <x v="3"/>
    <x v="1"/>
    <x v="0"/>
    <n v="130.40710846812121"/>
    <n v="2.9409000000000001"/>
  </r>
  <r>
    <x v="4"/>
    <x v="0"/>
    <x v="1"/>
    <x v="3"/>
    <x v="1"/>
    <x v="1"/>
    <n v="219.2115851231558"/>
    <m/>
  </r>
  <r>
    <x v="4"/>
    <x v="0"/>
    <x v="1"/>
    <x v="4"/>
    <x v="2"/>
    <x v="1"/>
    <n v="12244.258114170259"/>
    <n v="11534.861000000001"/>
  </r>
  <r>
    <x v="4"/>
    <x v="0"/>
    <x v="1"/>
    <x v="4"/>
    <x v="6"/>
    <x v="1"/>
    <n v="5792.4454751780222"/>
    <n v="6085.8141999999998"/>
  </r>
  <r>
    <x v="4"/>
    <x v="0"/>
    <x v="1"/>
    <x v="4"/>
    <x v="1"/>
    <x v="1"/>
    <n v="1.92377284E-5"/>
    <m/>
  </r>
  <r>
    <x v="4"/>
    <x v="0"/>
    <x v="2"/>
    <x v="5"/>
    <x v="2"/>
    <x v="0"/>
    <n v="2261.419463060723"/>
    <n v="565.40530000000001"/>
  </r>
  <r>
    <x v="4"/>
    <x v="0"/>
    <x v="2"/>
    <x v="5"/>
    <x v="2"/>
    <x v="1"/>
    <n v="11619.6482119057"/>
    <n v="2847.0216999999998"/>
  </r>
  <r>
    <x v="4"/>
    <x v="0"/>
    <x v="2"/>
    <x v="5"/>
    <x v="3"/>
    <x v="0"/>
    <n v="0.51912777017760003"/>
    <m/>
  </r>
  <r>
    <x v="4"/>
    <x v="0"/>
    <x v="2"/>
    <x v="5"/>
    <x v="8"/>
    <x v="0"/>
    <n v="7.8551439151412996"/>
    <n v="2.9710000000000001"/>
  </r>
  <r>
    <x v="4"/>
    <x v="0"/>
    <x v="2"/>
    <x v="5"/>
    <x v="8"/>
    <x v="1"/>
    <n v="6.7010381063826001"/>
    <n v="3.2183999999999999"/>
  </r>
  <r>
    <x v="4"/>
    <x v="0"/>
    <x v="2"/>
    <x v="5"/>
    <x v="7"/>
    <x v="0"/>
    <n v="193.83534918061989"/>
    <n v="48.747399999999999"/>
  </r>
  <r>
    <x v="4"/>
    <x v="0"/>
    <x v="2"/>
    <x v="5"/>
    <x v="7"/>
    <x v="1"/>
    <n v="1201.551937114971"/>
    <n v="287.40530000000001"/>
  </r>
  <r>
    <x v="4"/>
    <x v="0"/>
    <x v="2"/>
    <x v="5"/>
    <x v="1"/>
    <x v="0"/>
    <n v="10.525527333888901"/>
    <m/>
  </r>
  <r>
    <x v="4"/>
    <x v="0"/>
    <x v="2"/>
    <x v="5"/>
    <x v="1"/>
    <x v="1"/>
    <n v="31.3992710873029"/>
    <m/>
  </r>
  <r>
    <x v="4"/>
    <x v="0"/>
    <x v="2"/>
    <x v="5"/>
    <x v="9"/>
    <x v="0"/>
    <n v="0.56126858902809995"/>
    <m/>
  </r>
  <r>
    <x v="4"/>
    <x v="0"/>
    <x v="2"/>
    <x v="5"/>
    <x v="9"/>
    <x v="1"/>
    <n v="2.6380884352396001"/>
    <m/>
  </r>
  <r>
    <x v="4"/>
    <x v="0"/>
    <x v="2"/>
    <x v="6"/>
    <x v="0"/>
    <x v="0"/>
    <n v="171.6785421747403"/>
    <n v="63.4619"/>
  </r>
  <r>
    <x v="4"/>
    <x v="0"/>
    <x v="2"/>
    <x v="6"/>
    <x v="0"/>
    <x v="1"/>
    <n v="875.27199850606507"/>
    <n v="296.6397"/>
  </r>
  <r>
    <x v="4"/>
    <x v="0"/>
    <x v="2"/>
    <x v="6"/>
    <x v="1"/>
    <x v="0"/>
    <n v="2189.84452626645"/>
    <n v="765.12580000000003"/>
  </r>
  <r>
    <x v="4"/>
    <x v="0"/>
    <x v="2"/>
    <x v="6"/>
    <x v="1"/>
    <x v="1"/>
    <n v="2534.2486851708668"/>
    <n v="719.21010000000001"/>
  </r>
  <r>
    <x v="4"/>
    <x v="0"/>
    <x v="2"/>
    <x v="7"/>
    <x v="2"/>
    <x v="1"/>
    <n v="9771.3834711010004"/>
    <n v="1765.2822000000001"/>
  </r>
  <r>
    <x v="4"/>
    <x v="1"/>
    <x v="0"/>
    <x v="0"/>
    <x v="0"/>
    <x v="0"/>
    <n v="212.915615777098"/>
    <n v="55.539200000000001"/>
  </r>
  <r>
    <x v="4"/>
    <x v="1"/>
    <x v="0"/>
    <x v="0"/>
    <x v="0"/>
    <x v="1"/>
    <n v="144.02968401646439"/>
    <n v="34.161900000000003"/>
  </r>
  <r>
    <x v="4"/>
    <x v="1"/>
    <x v="0"/>
    <x v="0"/>
    <x v="1"/>
    <x v="0"/>
    <n v="25768.386746333701"/>
    <n v="5762.4898000000003"/>
  </r>
  <r>
    <x v="4"/>
    <x v="1"/>
    <x v="0"/>
    <x v="0"/>
    <x v="1"/>
    <x v="1"/>
    <n v="16588.967253192241"/>
    <n v="2931.471"/>
  </r>
  <r>
    <x v="4"/>
    <x v="1"/>
    <x v="0"/>
    <x v="1"/>
    <x v="0"/>
    <x v="0"/>
    <n v="389.8603811271974"/>
    <n v="84.118300000000005"/>
  </r>
  <r>
    <x v="4"/>
    <x v="1"/>
    <x v="0"/>
    <x v="1"/>
    <x v="0"/>
    <x v="1"/>
    <n v="195.29656802670661"/>
    <n v="40.424500000000002"/>
  </r>
  <r>
    <x v="4"/>
    <x v="1"/>
    <x v="0"/>
    <x v="1"/>
    <x v="1"/>
    <x v="0"/>
    <n v="21001.9889472127"/>
    <n v="4453.1361999999999"/>
  </r>
  <r>
    <x v="4"/>
    <x v="1"/>
    <x v="0"/>
    <x v="1"/>
    <x v="1"/>
    <x v="1"/>
    <n v="29695.960050561491"/>
    <n v="6255.3429999999998"/>
  </r>
  <r>
    <x v="4"/>
    <x v="1"/>
    <x v="1"/>
    <x v="2"/>
    <x v="2"/>
    <x v="0"/>
    <n v="50690.05616840742"/>
    <n v="21819.224699999999"/>
  </r>
  <r>
    <x v="4"/>
    <x v="1"/>
    <x v="1"/>
    <x v="2"/>
    <x v="2"/>
    <x v="1"/>
    <n v="453722.5595403628"/>
    <n v="194359.82089999999"/>
  </r>
  <r>
    <x v="4"/>
    <x v="1"/>
    <x v="1"/>
    <x v="2"/>
    <x v="3"/>
    <x v="0"/>
    <n v="97.204422728133494"/>
    <m/>
  </r>
  <r>
    <x v="4"/>
    <x v="1"/>
    <x v="1"/>
    <x v="2"/>
    <x v="3"/>
    <x v="1"/>
    <n v="133.3873317044507"/>
    <m/>
  </r>
  <r>
    <x v="4"/>
    <x v="1"/>
    <x v="1"/>
    <x v="2"/>
    <x v="5"/>
    <x v="0"/>
    <n v="187.2595090999107"/>
    <m/>
  </r>
  <r>
    <x v="4"/>
    <x v="1"/>
    <x v="1"/>
    <x v="2"/>
    <x v="5"/>
    <x v="1"/>
    <n v="997.76903886475156"/>
    <m/>
  </r>
  <r>
    <x v="4"/>
    <x v="1"/>
    <x v="1"/>
    <x v="2"/>
    <x v="6"/>
    <x v="0"/>
    <n v="4267.135011917002"/>
    <m/>
  </r>
  <r>
    <x v="4"/>
    <x v="1"/>
    <x v="1"/>
    <x v="2"/>
    <x v="6"/>
    <x v="1"/>
    <n v="27159.769497878111"/>
    <m/>
  </r>
  <r>
    <x v="4"/>
    <x v="1"/>
    <x v="1"/>
    <x v="2"/>
    <x v="1"/>
    <x v="0"/>
    <n v="224.22287918692979"/>
    <n v="1.3066"/>
  </r>
  <r>
    <x v="4"/>
    <x v="1"/>
    <x v="1"/>
    <x v="2"/>
    <x v="1"/>
    <x v="1"/>
    <n v="1261.585992874338"/>
    <m/>
  </r>
  <r>
    <x v="4"/>
    <x v="1"/>
    <x v="1"/>
    <x v="3"/>
    <x v="2"/>
    <x v="0"/>
    <n v="16415.92967486817"/>
    <n v="5536.7646999999997"/>
  </r>
  <r>
    <x v="4"/>
    <x v="1"/>
    <x v="1"/>
    <x v="3"/>
    <x v="2"/>
    <x v="1"/>
    <n v="118397.6936695941"/>
    <n v="43084.011700000003"/>
  </r>
  <r>
    <x v="4"/>
    <x v="1"/>
    <x v="1"/>
    <x v="3"/>
    <x v="3"/>
    <x v="0"/>
    <n v="431.324209093295"/>
    <m/>
  </r>
  <r>
    <x v="4"/>
    <x v="1"/>
    <x v="1"/>
    <x v="3"/>
    <x v="3"/>
    <x v="1"/>
    <n v="2217.7356740898149"/>
    <m/>
  </r>
  <r>
    <x v="4"/>
    <x v="1"/>
    <x v="1"/>
    <x v="3"/>
    <x v="7"/>
    <x v="0"/>
    <n v="6684.83316412363"/>
    <n v="2378.6428999999998"/>
  </r>
  <r>
    <x v="4"/>
    <x v="1"/>
    <x v="1"/>
    <x v="3"/>
    <x v="7"/>
    <x v="1"/>
    <n v="24548.407837736318"/>
    <n v="8648.6744999999992"/>
  </r>
  <r>
    <x v="4"/>
    <x v="1"/>
    <x v="1"/>
    <x v="3"/>
    <x v="5"/>
    <x v="0"/>
    <n v="137.3560900058344"/>
    <m/>
  </r>
  <r>
    <x v="4"/>
    <x v="1"/>
    <x v="1"/>
    <x v="3"/>
    <x v="5"/>
    <x v="1"/>
    <n v="686.06654100696926"/>
    <m/>
  </r>
  <r>
    <x v="4"/>
    <x v="1"/>
    <x v="1"/>
    <x v="3"/>
    <x v="6"/>
    <x v="0"/>
    <n v="116.1768336874713"/>
    <m/>
  </r>
  <r>
    <x v="4"/>
    <x v="1"/>
    <x v="1"/>
    <x v="3"/>
    <x v="6"/>
    <x v="1"/>
    <n v="567.21728320372438"/>
    <m/>
  </r>
  <r>
    <x v="4"/>
    <x v="1"/>
    <x v="1"/>
    <x v="3"/>
    <x v="1"/>
    <x v="0"/>
    <n v="297.77295159367219"/>
    <m/>
  </r>
  <r>
    <x v="4"/>
    <x v="1"/>
    <x v="1"/>
    <x v="3"/>
    <x v="1"/>
    <x v="1"/>
    <n v="1437.9000327910489"/>
    <m/>
  </r>
  <r>
    <x v="4"/>
    <x v="1"/>
    <x v="1"/>
    <x v="4"/>
    <x v="2"/>
    <x v="0"/>
    <n v="744.70217417582035"/>
    <m/>
  </r>
  <r>
    <x v="4"/>
    <x v="1"/>
    <x v="1"/>
    <x v="4"/>
    <x v="2"/>
    <x v="1"/>
    <n v="218200.87657851219"/>
    <n v="116135.2934"/>
  </r>
  <r>
    <x v="4"/>
    <x v="1"/>
    <x v="1"/>
    <x v="4"/>
    <x v="4"/>
    <x v="1"/>
    <n v="19.5850943995849"/>
    <m/>
  </r>
  <r>
    <x v="4"/>
    <x v="1"/>
    <x v="1"/>
    <x v="4"/>
    <x v="5"/>
    <x v="0"/>
    <n v="3.1467626539990001"/>
    <m/>
  </r>
  <r>
    <x v="4"/>
    <x v="1"/>
    <x v="1"/>
    <x v="4"/>
    <x v="5"/>
    <x v="1"/>
    <n v="377.37646835645302"/>
    <m/>
  </r>
  <r>
    <x v="4"/>
    <x v="1"/>
    <x v="1"/>
    <x v="4"/>
    <x v="6"/>
    <x v="1"/>
    <n v="323976.89263690374"/>
    <n v="114892.5344"/>
  </r>
  <r>
    <x v="4"/>
    <x v="1"/>
    <x v="2"/>
    <x v="5"/>
    <x v="2"/>
    <x v="0"/>
    <n v="1882.8656030222401"/>
    <n v="795.57899999999995"/>
  </r>
  <r>
    <x v="4"/>
    <x v="1"/>
    <x v="2"/>
    <x v="5"/>
    <x v="2"/>
    <x v="1"/>
    <n v="19355.950100315371"/>
    <n v="5593.0093999999999"/>
  </r>
  <r>
    <x v="4"/>
    <x v="1"/>
    <x v="2"/>
    <x v="5"/>
    <x v="8"/>
    <x v="0"/>
    <n v="87.808314353743896"/>
    <n v="44.593699999999998"/>
  </r>
  <r>
    <x v="4"/>
    <x v="1"/>
    <x v="2"/>
    <x v="5"/>
    <x v="8"/>
    <x v="1"/>
    <n v="3.9127706140073002"/>
    <m/>
  </r>
  <r>
    <x v="4"/>
    <x v="1"/>
    <x v="2"/>
    <x v="5"/>
    <x v="7"/>
    <x v="0"/>
    <n v="880.33392424955446"/>
    <n v="379.16989999999998"/>
  </r>
  <r>
    <x v="4"/>
    <x v="1"/>
    <x v="2"/>
    <x v="5"/>
    <x v="7"/>
    <x v="1"/>
    <n v="2813.5688355071338"/>
    <n v="797.10670000000005"/>
  </r>
  <r>
    <x v="4"/>
    <x v="1"/>
    <x v="2"/>
    <x v="5"/>
    <x v="1"/>
    <x v="0"/>
    <n v="2.0623755514863999"/>
    <m/>
  </r>
  <r>
    <x v="4"/>
    <x v="1"/>
    <x v="2"/>
    <x v="5"/>
    <x v="1"/>
    <x v="1"/>
    <n v="15.1733921689283"/>
    <m/>
  </r>
  <r>
    <x v="4"/>
    <x v="1"/>
    <x v="2"/>
    <x v="5"/>
    <x v="9"/>
    <x v="0"/>
    <n v="3.69238356556E-2"/>
    <m/>
  </r>
  <r>
    <x v="4"/>
    <x v="1"/>
    <x v="2"/>
    <x v="5"/>
    <x v="9"/>
    <x v="1"/>
    <n v="1.6769966061592001"/>
    <m/>
  </r>
  <r>
    <x v="4"/>
    <x v="1"/>
    <x v="2"/>
    <x v="6"/>
    <x v="0"/>
    <x v="0"/>
    <n v="940.48475064738295"/>
    <n v="290.57010000000002"/>
  </r>
  <r>
    <x v="4"/>
    <x v="1"/>
    <x v="2"/>
    <x v="6"/>
    <x v="0"/>
    <x v="1"/>
    <n v="1559.2771140755531"/>
    <n v="351.99079999999998"/>
  </r>
  <r>
    <x v="4"/>
    <x v="1"/>
    <x v="2"/>
    <x v="6"/>
    <x v="1"/>
    <x v="0"/>
    <n v="4240.2036341920766"/>
    <n v="1241.3363999999999"/>
  </r>
  <r>
    <x v="4"/>
    <x v="1"/>
    <x v="2"/>
    <x v="6"/>
    <x v="1"/>
    <x v="1"/>
    <n v="9088.0284558517396"/>
    <n v="2356.7631000000001"/>
  </r>
  <r>
    <x v="4"/>
    <x v="1"/>
    <x v="2"/>
    <x v="7"/>
    <x v="2"/>
    <x v="1"/>
    <n v="11905.709484772202"/>
    <n v="4210.1094999999996"/>
  </r>
  <r>
    <x v="4"/>
    <x v="2"/>
    <x v="0"/>
    <x v="0"/>
    <x v="0"/>
    <x v="0"/>
    <n v="52.576207448259503"/>
    <n v="11.171200000000001"/>
  </r>
  <r>
    <x v="4"/>
    <x v="2"/>
    <x v="0"/>
    <x v="0"/>
    <x v="0"/>
    <x v="1"/>
    <n v="200.0927532540579"/>
    <n v="30.6206"/>
  </r>
  <r>
    <x v="4"/>
    <x v="2"/>
    <x v="0"/>
    <x v="0"/>
    <x v="1"/>
    <x v="0"/>
    <n v="14132.552682326639"/>
    <n v="1850.6936000000001"/>
  </r>
  <r>
    <x v="4"/>
    <x v="2"/>
    <x v="0"/>
    <x v="0"/>
    <x v="1"/>
    <x v="1"/>
    <n v="4403.1642703838197"/>
    <n v="581.79100000000005"/>
  </r>
  <r>
    <x v="4"/>
    <x v="2"/>
    <x v="0"/>
    <x v="1"/>
    <x v="0"/>
    <x v="0"/>
    <n v="67.827083959510105"/>
    <n v="17.366099999999999"/>
  </r>
  <r>
    <x v="4"/>
    <x v="2"/>
    <x v="0"/>
    <x v="1"/>
    <x v="0"/>
    <x v="1"/>
    <n v="149.77193569511601"/>
    <n v="42.156500000000001"/>
  </r>
  <r>
    <x v="4"/>
    <x v="2"/>
    <x v="0"/>
    <x v="1"/>
    <x v="1"/>
    <x v="0"/>
    <n v="8069.2364830386196"/>
    <n v="1605.6307999999999"/>
  </r>
  <r>
    <x v="4"/>
    <x v="2"/>
    <x v="0"/>
    <x v="1"/>
    <x v="1"/>
    <x v="1"/>
    <n v="9554.3153999004098"/>
    <n v="2299.8706999999999"/>
  </r>
  <r>
    <x v="4"/>
    <x v="2"/>
    <x v="1"/>
    <x v="2"/>
    <x v="2"/>
    <x v="0"/>
    <n v="2316.6695589115002"/>
    <n v="1309.9033999999999"/>
  </r>
  <r>
    <x v="4"/>
    <x v="2"/>
    <x v="1"/>
    <x v="2"/>
    <x v="2"/>
    <x v="1"/>
    <n v="42471.1262880699"/>
    <n v="23407.484700000001"/>
  </r>
  <r>
    <x v="4"/>
    <x v="2"/>
    <x v="1"/>
    <x v="2"/>
    <x v="4"/>
    <x v="0"/>
    <n v="3.2924966807899997E-2"/>
    <m/>
  </r>
  <r>
    <x v="4"/>
    <x v="2"/>
    <x v="1"/>
    <x v="2"/>
    <x v="4"/>
    <x v="1"/>
    <n v="0.1080194527588"/>
    <m/>
  </r>
  <r>
    <x v="4"/>
    <x v="2"/>
    <x v="1"/>
    <x v="2"/>
    <x v="5"/>
    <x v="0"/>
    <n v="6.3857679408015002"/>
    <m/>
  </r>
  <r>
    <x v="4"/>
    <x v="2"/>
    <x v="1"/>
    <x v="2"/>
    <x v="5"/>
    <x v="1"/>
    <n v="18.3767102594039"/>
    <m/>
  </r>
  <r>
    <x v="4"/>
    <x v="2"/>
    <x v="1"/>
    <x v="2"/>
    <x v="6"/>
    <x v="0"/>
    <n v="137.40338616277711"/>
    <m/>
  </r>
  <r>
    <x v="4"/>
    <x v="2"/>
    <x v="1"/>
    <x v="2"/>
    <x v="6"/>
    <x v="1"/>
    <n v="490.72271092287701"/>
    <m/>
  </r>
  <r>
    <x v="4"/>
    <x v="2"/>
    <x v="1"/>
    <x v="2"/>
    <x v="1"/>
    <x v="0"/>
    <n v="28.037246372591099"/>
    <m/>
  </r>
  <r>
    <x v="4"/>
    <x v="2"/>
    <x v="1"/>
    <x v="2"/>
    <x v="1"/>
    <x v="1"/>
    <n v="61.9842354657508"/>
    <m/>
  </r>
  <r>
    <x v="4"/>
    <x v="2"/>
    <x v="1"/>
    <x v="3"/>
    <x v="2"/>
    <x v="0"/>
    <n v="2668.6353798105501"/>
    <n v="804.40369999999996"/>
  </r>
  <r>
    <x v="4"/>
    <x v="2"/>
    <x v="1"/>
    <x v="3"/>
    <x v="2"/>
    <x v="1"/>
    <n v="34400.1423336195"/>
    <n v="11141.591399999999"/>
  </r>
  <r>
    <x v="4"/>
    <x v="2"/>
    <x v="1"/>
    <x v="3"/>
    <x v="3"/>
    <x v="0"/>
    <n v="14.853287333248799"/>
    <m/>
  </r>
  <r>
    <x v="4"/>
    <x v="2"/>
    <x v="1"/>
    <x v="3"/>
    <x v="3"/>
    <x v="1"/>
    <n v="39.316239330838002"/>
    <m/>
  </r>
  <r>
    <x v="4"/>
    <x v="2"/>
    <x v="1"/>
    <x v="3"/>
    <x v="7"/>
    <x v="0"/>
    <n v="1825.5867575926118"/>
    <n v="632.14440000000002"/>
  </r>
  <r>
    <x v="4"/>
    <x v="2"/>
    <x v="1"/>
    <x v="3"/>
    <x v="7"/>
    <x v="1"/>
    <n v="12036.358592895464"/>
    <n v="4621.8373000000001"/>
  </r>
  <r>
    <x v="4"/>
    <x v="2"/>
    <x v="1"/>
    <x v="3"/>
    <x v="5"/>
    <x v="0"/>
    <n v="305.21259734418732"/>
    <m/>
  </r>
  <r>
    <x v="4"/>
    <x v="2"/>
    <x v="1"/>
    <x v="3"/>
    <x v="5"/>
    <x v="1"/>
    <n v="744.23416447281295"/>
    <m/>
  </r>
  <r>
    <x v="4"/>
    <x v="2"/>
    <x v="1"/>
    <x v="3"/>
    <x v="6"/>
    <x v="0"/>
    <n v="99.924697946065194"/>
    <m/>
  </r>
  <r>
    <x v="4"/>
    <x v="2"/>
    <x v="1"/>
    <x v="3"/>
    <x v="6"/>
    <x v="1"/>
    <n v="263.67000178119332"/>
    <m/>
  </r>
  <r>
    <x v="4"/>
    <x v="2"/>
    <x v="1"/>
    <x v="3"/>
    <x v="1"/>
    <x v="0"/>
    <n v="145.71276685804659"/>
    <n v="0.14369999999999999"/>
  </r>
  <r>
    <x v="4"/>
    <x v="2"/>
    <x v="1"/>
    <x v="3"/>
    <x v="1"/>
    <x v="1"/>
    <n v="540.24194791278205"/>
    <m/>
  </r>
  <r>
    <x v="4"/>
    <x v="2"/>
    <x v="1"/>
    <x v="4"/>
    <x v="2"/>
    <x v="1"/>
    <n v="20303.019558219679"/>
    <n v="14172.844300000001"/>
  </r>
  <r>
    <x v="4"/>
    <x v="2"/>
    <x v="1"/>
    <x v="4"/>
    <x v="5"/>
    <x v="0"/>
    <n v="4.3348448015399998E-2"/>
    <m/>
  </r>
  <r>
    <x v="4"/>
    <x v="2"/>
    <x v="1"/>
    <x v="4"/>
    <x v="5"/>
    <x v="1"/>
    <n v="4.3348448015399998E-2"/>
    <m/>
  </r>
  <r>
    <x v="4"/>
    <x v="2"/>
    <x v="1"/>
    <x v="4"/>
    <x v="6"/>
    <x v="1"/>
    <n v="11784.0769803025"/>
    <n v="6367.5096999999996"/>
  </r>
  <r>
    <x v="4"/>
    <x v="2"/>
    <x v="2"/>
    <x v="5"/>
    <x v="2"/>
    <x v="0"/>
    <n v="889.323060316137"/>
    <n v="242.96279999999999"/>
  </r>
  <r>
    <x v="4"/>
    <x v="2"/>
    <x v="2"/>
    <x v="5"/>
    <x v="2"/>
    <x v="1"/>
    <n v="4438.8704354461297"/>
    <n v="1675.1893"/>
  </r>
  <r>
    <x v="4"/>
    <x v="2"/>
    <x v="2"/>
    <x v="5"/>
    <x v="3"/>
    <x v="0"/>
    <n v="0.38355822899789999"/>
    <m/>
  </r>
  <r>
    <x v="4"/>
    <x v="2"/>
    <x v="2"/>
    <x v="5"/>
    <x v="8"/>
    <x v="0"/>
    <n v="5.1545122434200001E-2"/>
    <m/>
  </r>
  <r>
    <x v="4"/>
    <x v="2"/>
    <x v="2"/>
    <x v="5"/>
    <x v="8"/>
    <x v="1"/>
    <n v="2.2109329392500002E-2"/>
    <m/>
  </r>
  <r>
    <x v="4"/>
    <x v="2"/>
    <x v="2"/>
    <x v="5"/>
    <x v="7"/>
    <x v="0"/>
    <n v="318.16831831271332"/>
    <n v="94.485500000000002"/>
  </r>
  <r>
    <x v="4"/>
    <x v="2"/>
    <x v="2"/>
    <x v="5"/>
    <x v="7"/>
    <x v="1"/>
    <n v="537.95167909272152"/>
    <n v="203.03620000000001"/>
  </r>
  <r>
    <x v="4"/>
    <x v="2"/>
    <x v="2"/>
    <x v="5"/>
    <x v="1"/>
    <x v="0"/>
    <n v="1.5180470001038999"/>
    <m/>
  </r>
  <r>
    <x v="4"/>
    <x v="2"/>
    <x v="2"/>
    <x v="5"/>
    <x v="1"/>
    <x v="1"/>
    <n v="2.7090218331538001"/>
    <m/>
  </r>
  <r>
    <x v="4"/>
    <x v="2"/>
    <x v="2"/>
    <x v="5"/>
    <x v="9"/>
    <x v="0"/>
    <n v="1.286316857683"/>
    <m/>
  </r>
  <r>
    <x v="4"/>
    <x v="2"/>
    <x v="2"/>
    <x v="5"/>
    <x v="9"/>
    <x v="1"/>
    <n v="1.3415697036526999"/>
    <m/>
  </r>
  <r>
    <x v="4"/>
    <x v="2"/>
    <x v="2"/>
    <x v="6"/>
    <x v="0"/>
    <x v="0"/>
    <n v="152.18007254214311"/>
    <n v="44.371200000000002"/>
  </r>
  <r>
    <x v="4"/>
    <x v="2"/>
    <x v="2"/>
    <x v="6"/>
    <x v="0"/>
    <x v="1"/>
    <n v="438.89644586062849"/>
    <n v="90.245800000000003"/>
  </r>
  <r>
    <x v="4"/>
    <x v="2"/>
    <x v="2"/>
    <x v="6"/>
    <x v="1"/>
    <x v="0"/>
    <n v="1673.4328101220499"/>
    <n v="403.82299999999998"/>
  </r>
  <r>
    <x v="4"/>
    <x v="2"/>
    <x v="2"/>
    <x v="6"/>
    <x v="1"/>
    <x v="1"/>
    <n v="1679.7823469880759"/>
    <n v="473.79059999999998"/>
  </r>
  <r>
    <x v="4"/>
    <x v="2"/>
    <x v="2"/>
    <x v="7"/>
    <x v="2"/>
    <x v="1"/>
    <n v="3022.11892524627"/>
    <n v="1105.2344000000001"/>
  </r>
  <r>
    <x v="4"/>
    <x v="3"/>
    <x v="0"/>
    <x v="0"/>
    <x v="0"/>
    <x v="0"/>
    <n v="905.2237775635748"/>
    <n v="189.75540000000001"/>
  </r>
  <r>
    <x v="4"/>
    <x v="3"/>
    <x v="0"/>
    <x v="0"/>
    <x v="0"/>
    <x v="1"/>
    <n v="511.513199073946"/>
    <n v="107.3004"/>
  </r>
  <r>
    <x v="4"/>
    <x v="3"/>
    <x v="0"/>
    <x v="0"/>
    <x v="1"/>
    <x v="0"/>
    <n v="110441.03317776987"/>
    <n v="25530.8763"/>
  </r>
  <r>
    <x v="4"/>
    <x v="3"/>
    <x v="0"/>
    <x v="0"/>
    <x v="1"/>
    <x v="1"/>
    <n v="53090.88822284346"/>
    <n v="9546.9549999999999"/>
  </r>
  <r>
    <x v="4"/>
    <x v="3"/>
    <x v="0"/>
    <x v="1"/>
    <x v="0"/>
    <x v="0"/>
    <n v="1306.5345003465407"/>
    <n v="312.12450000000001"/>
  </r>
  <r>
    <x v="4"/>
    <x v="3"/>
    <x v="0"/>
    <x v="1"/>
    <x v="0"/>
    <x v="1"/>
    <n v="1212.03234266239"/>
    <n v="315.08929999999998"/>
  </r>
  <r>
    <x v="4"/>
    <x v="3"/>
    <x v="0"/>
    <x v="1"/>
    <x v="1"/>
    <x v="0"/>
    <n v="33438.526491427721"/>
    <n v="7663.4539999999997"/>
  </r>
  <r>
    <x v="4"/>
    <x v="3"/>
    <x v="0"/>
    <x v="1"/>
    <x v="1"/>
    <x v="1"/>
    <n v="32567.873774294156"/>
    <n v="7230.4156000000003"/>
  </r>
  <r>
    <x v="4"/>
    <x v="3"/>
    <x v="1"/>
    <x v="2"/>
    <x v="2"/>
    <x v="0"/>
    <n v="97588.271008653479"/>
    <n v="39945.807999999997"/>
  </r>
  <r>
    <x v="4"/>
    <x v="3"/>
    <x v="1"/>
    <x v="2"/>
    <x v="2"/>
    <x v="1"/>
    <n v="510544.89849879232"/>
    <n v="195123.52669999999"/>
  </r>
  <r>
    <x v="4"/>
    <x v="3"/>
    <x v="1"/>
    <x v="2"/>
    <x v="3"/>
    <x v="0"/>
    <n v="15.0033648274228"/>
    <m/>
  </r>
  <r>
    <x v="4"/>
    <x v="3"/>
    <x v="1"/>
    <x v="2"/>
    <x v="3"/>
    <x v="1"/>
    <n v="8.7239955242311993"/>
    <m/>
  </r>
  <r>
    <x v="4"/>
    <x v="3"/>
    <x v="1"/>
    <x v="2"/>
    <x v="5"/>
    <x v="0"/>
    <n v="280.80479931481972"/>
    <m/>
  </r>
  <r>
    <x v="4"/>
    <x v="3"/>
    <x v="1"/>
    <x v="2"/>
    <x v="5"/>
    <x v="1"/>
    <n v="1395.4999084846093"/>
    <m/>
  </r>
  <r>
    <x v="4"/>
    <x v="3"/>
    <x v="1"/>
    <x v="2"/>
    <x v="6"/>
    <x v="0"/>
    <n v="2673.3053819007796"/>
    <m/>
  </r>
  <r>
    <x v="4"/>
    <x v="3"/>
    <x v="1"/>
    <x v="2"/>
    <x v="6"/>
    <x v="1"/>
    <n v="13805.816652513184"/>
    <m/>
  </r>
  <r>
    <x v="4"/>
    <x v="3"/>
    <x v="1"/>
    <x v="2"/>
    <x v="1"/>
    <x v="0"/>
    <n v="109.20423921523771"/>
    <n v="1.7458"/>
  </r>
  <r>
    <x v="4"/>
    <x v="3"/>
    <x v="1"/>
    <x v="2"/>
    <x v="1"/>
    <x v="1"/>
    <n v="489.18306102219981"/>
    <m/>
  </r>
  <r>
    <x v="4"/>
    <x v="3"/>
    <x v="1"/>
    <x v="3"/>
    <x v="2"/>
    <x v="0"/>
    <n v="17433.062175851897"/>
    <n v="7792.9080000000004"/>
  </r>
  <r>
    <x v="4"/>
    <x v="3"/>
    <x v="1"/>
    <x v="3"/>
    <x v="2"/>
    <x v="1"/>
    <n v="151594.61637789992"/>
    <n v="65731.768200000006"/>
  </r>
  <r>
    <x v="4"/>
    <x v="3"/>
    <x v="1"/>
    <x v="3"/>
    <x v="3"/>
    <x v="0"/>
    <n v="18.430679150593999"/>
    <m/>
  </r>
  <r>
    <x v="4"/>
    <x v="3"/>
    <x v="1"/>
    <x v="3"/>
    <x v="3"/>
    <x v="1"/>
    <n v="93.350911989835893"/>
    <m/>
  </r>
  <r>
    <x v="4"/>
    <x v="3"/>
    <x v="1"/>
    <x v="3"/>
    <x v="7"/>
    <x v="0"/>
    <n v="30419.7129205034"/>
    <n v="13671.764499999999"/>
  </r>
  <r>
    <x v="4"/>
    <x v="3"/>
    <x v="1"/>
    <x v="3"/>
    <x v="7"/>
    <x v="1"/>
    <n v="92042.64949553422"/>
    <n v="37564.800300000003"/>
  </r>
  <r>
    <x v="4"/>
    <x v="3"/>
    <x v="1"/>
    <x v="3"/>
    <x v="5"/>
    <x v="0"/>
    <n v="55.5299347766057"/>
    <m/>
  </r>
  <r>
    <x v="4"/>
    <x v="3"/>
    <x v="1"/>
    <x v="3"/>
    <x v="5"/>
    <x v="1"/>
    <n v="295.1012483221175"/>
    <m/>
  </r>
  <r>
    <x v="4"/>
    <x v="3"/>
    <x v="1"/>
    <x v="3"/>
    <x v="6"/>
    <x v="0"/>
    <n v="92.720810866498994"/>
    <m/>
  </r>
  <r>
    <x v="4"/>
    <x v="3"/>
    <x v="1"/>
    <x v="3"/>
    <x v="6"/>
    <x v="1"/>
    <n v="469.45798569940081"/>
    <m/>
  </r>
  <r>
    <x v="4"/>
    <x v="3"/>
    <x v="1"/>
    <x v="3"/>
    <x v="1"/>
    <x v="0"/>
    <n v="58.5390523230909"/>
    <m/>
  </r>
  <r>
    <x v="4"/>
    <x v="3"/>
    <x v="1"/>
    <x v="3"/>
    <x v="1"/>
    <x v="1"/>
    <n v="337.97752101678913"/>
    <m/>
  </r>
  <r>
    <x v="4"/>
    <x v="3"/>
    <x v="1"/>
    <x v="4"/>
    <x v="2"/>
    <x v="0"/>
    <n v="2607.7755353690332"/>
    <n v="1030.9193"/>
  </r>
  <r>
    <x v="4"/>
    <x v="3"/>
    <x v="1"/>
    <x v="4"/>
    <x v="2"/>
    <x v="1"/>
    <n v="231649.17965475089"/>
    <n v="94328.334099999993"/>
  </r>
  <r>
    <x v="4"/>
    <x v="3"/>
    <x v="1"/>
    <x v="4"/>
    <x v="6"/>
    <x v="0"/>
    <n v="332.55651782909217"/>
    <n v="88.953999999999994"/>
  </r>
  <r>
    <x v="4"/>
    <x v="3"/>
    <x v="1"/>
    <x v="4"/>
    <x v="6"/>
    <x v="1"/>
    <n v="27720.136723130556"/>
    <n v="6302.9521000000004"/>
  </r>
  <r>
    <x v="4"/>
    <x v="3"/>
    <x v="2"/>
    <x v="5"/>
    <x v="2"/>
    <x v="0"/>
    <n v="7477.7982417385174"/>
    <n v="2852.8924999999999"/>
  </r>
  <r>
    <x v="4"/>
    <x v="3"/>
    <x v="2"/>
    <x v="5"/>
    <x v="2"/>
    <x v="1"/>
    <n v="19320.447656836695"/>
    <n v="5029.5897999999997"/>
  </r>
  <r>
    <x v="4"/>
    <x v="3"/>
    <x v="2"/>
    <x v="5"/>
    <x v="3"/>
    <x v="0"/>
    <n v="4.9657366477400003E-2"/>
    <m/>
  </r>
  <r>
    <x v="4"/>
    <x v="3"/>
    <x v="2"/>
    <x v="5"/>
    <x v="3"/>
    <x v="1"/>
    <n v="1.1159650088135"/>
    <m/>
  </r>
  <r>
    <x v="4"/>
    <x v="3"/>
    <x v="2"/>
    <x v="5"/>
    <x v="8"/>
    <x v="0"/>
    <n v="9.0957854628377"/>
    <m/>
  </r>
  <r>
    <x v="4"/>
    <x v="3"/>
    <x v="2"/>
    <x v="5"/>
    <x v="8"/>
    <x v="1"/>
    <n v="0.91526910185239996"/>
    <m/>
  </r>
  <r>
    <x v="4"/>
    <x v="3"/>
    <x v="2"/>
    <x v="5"/>
    <x v="7"/>
    <x v="0"/>
    <n v="8579.5127937606394"/>
    <n v="3053.4362000000001"/>
  </r>
  <r>
    <x v="4"/>
    <x v="3"/>
    <x v="2"/>
    <x v="5"/>
    <x v="7"/>
    <x v="1"/>
    <n v="27648.21888866158"/>
    <n v="5933.8579"/>
  </r>
  <r>
    <x v="4"/>
    <x v="3"/>
    <x v="2"/>
    <x v="5"/>
    <x v="1"/>
    <x v="0"/>
    <n v="7.3933028857587999"/>
    <m/>
  </r>
  <r>
    <x v="4"/>
    <x v="3"/>
    <x v="2"/>
    <x v="5"/>
    <x v="1"/>
    <x v="1"/>
    <n v="13.977999580336"/>
    <m/>
  </r>
  <r>
    <x v="4"/>
    <x v="3"/>
    <x v="2"/>
    <x v="5"/>
    <x v="9"/>
    <x v="0"/>
    <n v="0.52934001687940002"/>
    <m/>
  </r>
  <r>
    <x v="4"/>
    <x v="3"/>
    <x v="2"/>
    <x v="5"/>
    <x v="9"/>
    <x v="1"/>
    <n v="8.1688964585022994"/>
    <m/>
  </r>
  <r>
    <x v="4"/>
    <x v="3"/>
    <x v="2"/>
    <x v="6"/>
    <x v="0"/>
    <x v="0"/>
    <n v="2280.2361222205809"/>
    <n v="759.20129999999995"/>
  </r>
  <r>
    <x v="4"/>
    <x v="3"/>
    <x v="2"/>
    <x v="6"/>
    <x v="0"/>
    <x v="1"/>
    <n v="3072.4377177871102"/>
    <n v="926.00800000000004"/>
  </r>
  <r>
    <x v="4"/>
    <x v="3"/>
    <x v="2"/>
    <x v="6"/>
    <x v="1"/>
    <x v="0"/>
    <n v="11199.662836053669"/>
    <n v="4302.634"/>
  </r>
  <r>
    <x v="4"/>
    <x v="3"/>
    <x v="2"/>
    <x v="6"/>
    <x v="1"/>
    <x v="1"/>
    <n v="9242.1060825328987"/>
    <n v="3324.4488999999999"/>
  </r>
  <r>
    <x v="4"/>
    <x v="3"/>
    <x v="2"/>
    <x v="7"/>
    <x v="2"/>
    <x v="1"/>
    <n v="13061.854982689068"/>
    <n v="3428.0441000000001"/>
  </r>
  <r>
    <x v="4"/>
    <x v="4"/>
    <x v="0"/>
    <x v="0"/>
    <x v="0"/>
    <x v="0"/>
    <n v="224.80086625291"/>
    <n v="46.918999999999997"/>
  </r>
  <r>
    <x v="4"/>
    <x v="4"/>
    <x v="0"/>
    <x v="0"/>
    <x v="0"/>
    <x v="1"/>
    <n v="773.45732299569295"/>
    <n v="95.313699999999997"/>
  </r>
  <r>
    <x v="4"/>
    <x v="4"/>
    <x v="0"/>
    <x v="0"/>
    <x v="1"/>
    <x v="0"/>
    <n v="14048.432601001799"/>
    <n v="2646.4859000000001"/>
  </r>
  <r>
    <x v="4"/>
    <x v="4"/>
    <x v="0"/>
    <x v="0"/>
    <x v="1"/>
    <x v="1"/>
    <n v="6781.8748806312396"/>
    <n v="632.99019999999996"/>
  </r>
  <r>
    <x v="4"/>
    <x v="4"/>
    <x v="0"/>
    <x v="1"/>
    <x v="0"/>
    <x v="0"/>
    <n v="305.04368062447901"/>
    <n v="56.050600000000003"/>
  </r>
  <r>
    <x v="4"/>
    <x v="4"/>
    <x v="0"/>
    <x v="1"/>
    <x v="0"/>
    <x v="1"/>
    <n v="508.349833717021"/>
    <n v="84.618099999999998"/>
  </r>
  <r>
    <x v="4"/>
    <x v="4"/>
    <x v="0"/>
    <x v="1"/>
    <x v="1"/>
    <x v="0"/>
    <n v="16543.002480295101"/>
    <n v="2832.2993000000001"/>
  </r>
  <r>
    <x v="4"/>
    <x v="4"/>
    <x v="0"/>
    <x v="1"/>
    <x v="1"/>
    <x v="1"/>
    <n v="11862.474656894299"/>
    <n v="2234.2440000000001"/>
  </r>
  <r>
    <x v="4"/>
    <x v="4"/>
    <x v="1"/>
    <x v="2"/>
    <x v="2"/>
    <x v="0"/>
    <n v="721.46345214264397"/>
    <n v="287.3186"/>
  </r>
  <r>
    <x v="4"/>
    <x v="4"/>
    <x v="1"/>
    <x v="2"/>
    <x v="2"/>
    <x v="1"/>
    <n v="16584.061220231499"/>
    <n v="6553.6012000000001"/>
  </r>
  <r>
    <x v="4"/>
    <x v="4"/>
    <x v="1"/>
    <x v="2"/>
    <x v="3"/>
    <x v="0"/>
    <n v="2.87671035175E-2"/>
    <m/>
  </r>
  <r>
    <x v="4"/>
    <x v="4"/>
    <x v="1"/>
    <x v="2"/>
    <x v="3"/>
    <x v="1"/>
    <n v="0.29589970315640002"/>
    <m/>
  </r>
  <r>
    <x v="4"/>
    <x v="4"/>
    <x v="1"/>
    <x v="2"/>
    <x v="4"/>
    <x v="0"/>
    <n v="8.08123711498E-2"/>
    <m/>
  </r>
  <r>
    <x v="4"/>
    <x v="4"/>
    <x v="1"/>
    <x v="2"/>
    <x v="4"/>
    <x v="1"/>
    <n v="3.2674020571657998"/>
    <m/>
  </r>
  <r>
    <x v="4"/>
    <x v="4"/>
    <x v="1"/>
    <x v="2"/>
    <x v="5"/>
    <x v="0"/>
    <n v="210.61952474172699"/>
    <m/>
  </r>
  <r>
    <x v="4"/>
    <x v="4"/>
    <x v="1"/>
    <x v="2"/>
    <x v="5"/>
    <x v="1"/>
    <n v="1385.2087315230399"/>
    <m/>
  </r>
  <r>
    <x v="4"/>
    <x v="4"/>
    <x v="1"/>
    <x v="2"/>
    <x v="6"/>
    <x v="0"/>
    <n v="315.75527855022199"/>
    <m/>
  </r>
  <r>
    <x v="4"/>
    <x v="4"/>
    <x v="1"/>
    <x v="2"/>
    <x v="6"/>
    <x v="1"/>
    <n v="1243.6131785488001"/>
    <m/>
  </r>
  <r>
    <x v="4"/>
    <x v="4"/>
    <x v="1"/>
    <x v="2"/>
    <x v="1"/>
    <x v="0"/>
    <n v="9.5921542665924999"/>
    <n v="0"/>
  </r>
  <r>
    <x v="4"/>
    <x v="4"/>
    <x v="1"/>
    <x v="2"/>
    <x v="1"/>
    <x v="1"/>
    <n v="12.697737236194399"/>
    <m/>
  </r>
  <r>
    <x v="4"/>
    <x v="4"/>
    <x v="1"/>
    <x v="3"/>
    <x v="2"/>
    <x v="0"/>
    <n v="1969.35756895949"/>
    <n v="426.2312"/>
  </r>
  <r>
    <x v="4"/>
    <x v="4"/>
    <x v="1"/>
    <x v="3"/>
    <x v="2"/>
    <x v="1"/>
    <n v="28250.462276926901"/>
    <n v="7467.1778999999997"/>
  </r>
  <r>
    <x v="4"/>
    <x v="4"/>
    <x v="1"/>
    <x v="3"/>
    <x v="3"/>
    <x v="0"/>
    <n v="1.3870566365387"/>
    <m/>
  </r>
  <r>
    <x v="4"/>
    <x v="4"/>
    <x v="1"/>
    <x v="3"/>
    <x v="3"/>
    <x v="1"/>
    <n v="11.736582043028699"/>
    <m/>
  </r>
  <r>
    <x v="4"/>
    <x v="4"/>
    <x v="1"/>
    <x v="3"/>
    <x v="7"/>
    <x v="0"/>
    <n v="4718.2089380847701"/>
    <n v="1450.6125999999999"/>
  </r>
  <r>
    <x v="4"/>
    <x v="4"/>
    <x v="1"/>
    <x v="3"/>
    <x v="7"/>
    <x v="1"/>
    <n v="43774.599743707797"/>
    <n v="13970.8087"/>
  </r>
  <r>
    <x v="4"/>
    <x v="4"/>
    <x v="1"/>
    <x v="3"/>
    <x v="5"/>
    <x v="0"/>
    <n v="325.35404343379997"/>
    <m/>
  </r>
  <r>
    <x v="4"/>
    <x v="4"/>
    <x v="1"/>
    <x v="3"/>
    <x v="5"/>
    <x v="1"/>
    <n v="2142.7462754215098"/>
    <m/>
  </r>
  <r>
    <x v="4"/>
    <x v="4"/>
    <x v="1"/>
    <x v="3"/>
    <x v="6"/>
    <x v="0"/>
    <n v="350.63524384150401"/>
    <m/>
  </r>
  <r>
    <x v="4"/>
    <x v="4"/>
    <x v="1"/>
    <x v="3"/>
    <x v="6"/>
    <x v="1"/>
    <n v="2405.0803465263998"/>
    <m/>
  </r>
  <r>
    <x v="4"/>
    <x v="4"/>
    <x v="1"/>
    <x v="3"/>
    <x v="1"/>
    <x v="0"/>
    <n v="4.6693398336697998"/>
    <n v="0"/>
  </r>
  <r>
    <x v="4"/>
    <x v="4"/>
    <x v="1"/>
    <x v="3"/>
    <x v="1"/>
    <x v="1"/>
    <n v="14.125098094420901"/>
    <m/>
  </r>
  <r>
    <x v="4"/>
    <x v="4"/>
    <x v="1"/>
    <x v="4"/>
    <x v="2"/>
    <x v="0"/>
    <n v="3374.4969089986698"/>
    <n v="1894.0751"/>
  </r>
  <r>
    <x v="4"/>
    <x v="4"/>
    <x v="1"/>
    <x v="4"/>
    <x v="2"/>
    <x v="1"/>
    <n v="5889.9821938556097"/>
    <n v="3151.41"/>
  </r>
  <r>
    <x v="4"/>
    <x v="4"/>
    <x v="1"/>
    <x v="4"/>
    <x v="5"/>
    <x v="0"/>
    <n v="102.058199073327"/>
    <m/>
  </r>
  <r>
    <x v="4"/>
    <x v="4"/>
    <x v="1"/>
    <x v="4"/>
    <x v="5"/>
    <x v="1"/>
    <n v="296.76639125021097"/>
    <m/>
  </r>
  <r>
    <x v="4"/>
    <x v="4"/>
    <x v="1"/>
    <x v="4"/>
    <x v="6"/>
    <x v="0"/>
    <n v="207.91071497924699"/>
    <m/>
  </r>
  <r>
    <x v="4"/>
    <x v="4"/>
    <x v="1"/>
    <x v="4"/>
    <x v="6"/>
    <x v="1"/>
    <n v="1157.60625572853"/>
    <n v="0"/>
  </r>
  <r>
    <x v="4"/>
    <x v="4"/>
    <x v="1"/>
    <x v="4"/>
    <x v="1"/>
    <x v="0"/>
    <n v="1.7476903671174999"/>
    <n v="0"/>
  </r>
  <r>
    <x v="4"/>
    <x v="4"/>
    <x v="1"/>
    <x v="4"/>
    <x v="1"/>
    <x v="1"/>
    <n v="3.8952740723906998"/>
    <m/>
  </r>
  <r>
    <x v="4"/>
    <x v="4"/>
    <x v="2"/>
    <x v="5"/>
    <x v="2"/>
    <x v="0"/>
    <n v="759.17749726318903"/>
    <n v="140.50649999999999"/>
  </r>
  <r>
    <x v="4"/>
    <x v="4"/>
    <x v="2"/>
    <x v="5"/>
    <x v="2"/>
    <x v="1"/>
    <n v="10920.4564306181"/>
    <n v="3472.5707000000002"/>
  </r>
  <r>
    <x v="4"/>
    <x v="4"/>
    <x v="2"/>
    <x v="5"/>
    <x v="8"/>
    <x v="0"/>
    <n v="65.087900863075802"/>
    <n v="30.532"/>
  </r>
  <r>
    <x v="4"/>
    <x v="4"/>
    <x v="2"/>
    <x v="5"/>
    <x v="8"/>
    <x v="1"/>
    <n v="14.464502030414099"/>
    <n v="3.6356000000000002"/>
  </r>
  <r>
    <x v="4"/>
    <x v="4"/>
    <x v="2"/>
    <x v="5"/>
    <x v="7"/>
    <x v="0"/>
    <n v="1675.75502634444"/>
    <n v="421.81580000000002"/>
  </r>
  <r>
    <x v="4"/>
    <x v="4"/>
    <x v="2"/>
    <x v="5"/>
    <x v="7"/>
    <x v="1"/>
    <n v="8706.0883281491606"/>
    <n v="2583.0691000000002"/>
  </r>
  <r>
    <x v="4"/>
    <x v="4"/>
    <x v="2"/>
    <x v="5"/>
    <x v="1"/>
    <x v="0"/>
    <n v="51.710682405284103"/>
    <m/>
  </r>
  <r>
    <x v="4"/>
    <x v="4"/>
    <x v="2"/>
    <x v="5"/>
    <x v="1"/>
    <x v="1"/>
    <n v="143.649265073685"/>
    <m/>
  </r>
  <r>
    <x v="4"/>
    <x v="4"/>
    <x v="2"/>
    <x v="5"/>
    <x v="9"/>
    <x v="0"/>
    <n v="10.173947641259"/>
    <m/>
  </r>
  <r>
    <x v="4"/>
    <x v="4"/>
    <x v="2"/>
    <x v="5"/>
    <x v="9"/>
    <x v="1"/>
    <n v="23.224667897928398"/>
    <m/>
  </r>
  <r>
    <x v="4"/>
    <x v="4"/>
    <x v="2"/>
    <x v="6"/>
    <x v="0"/>
    <x v="0"/>
    <n v="450.79033374559202"/>
    <n v="144.36680000000001"/>
  </r>
  <r>
    <x v="4"/>
    <x v="4"/>
    <x v="2"/>
    <x v="6"/>
    <x v="0"/>
    <x v="1"/>
    <n v="1980.0931582752701"/>
    <n v="452.94830000000002"/>
  </r>
  <r>
    <x v="4"/>
    <x v="4"/>
    <x v="2"/>
    <x v="6"/>
    <x v="1"/>
    <x v="0"/>
    <n v="6288.6157215135299"/>
    <n v="2073.2489999999998"/>
  </r>
  <r>
    <x v="4"/>
    <x v="4"/>
    <x v="2"/>
    <x v="6"/>
    <x v="1"/>
    <x v="1"/>
    <n v="5351.8316742305697"/>
    <n v="1354.6383000000001"/>
  </r>
  <r>
    <x v="4"/>
    <x v="4"/>
    <x v="2"/>
    <x v="7"/>
    <x v="2"/>
    <x v="1"/>
    <n v="137.604081251633"/>
    <n v="74.398700000000005"/>
  </r>
  <r>
    <x v="4"/>
    <x v="5"/>
    <x v="0"/>
    <x v="0"/>
    <x v="0"/>
    <x v="0"/>
    <n v="305.85203585404957"/>
    <n v="99.998699999999999"/>
  </r>
  <r>
    <x v="4"/>
    <x v="5"/>
    <x v="0"/>
    <x v="0"/>
    <x v="0"/>
    <x v="1"/>
    <n v="443.0769134323902"/>
    <n v="55.2378"/>
  </r>
  <r>
    <x v="4"/>
    <x v="5"/>
    <x v="0"/>
    <x v="0"/>
    <x v="1"/>
    <x v="0"/>
    <n v="29093.29750745212"/>
    <n v="4400.7981"/>
  </r>
  <r>
    <x v="4"/>
    <x v="5"/>
    <x v="0"/>
    <x v="0"/>
    <x v="1"/>
    <x v="1"/>
    <n v="18904.978549071213"/>
    <n v="1887.8134"/>
  </r>
  <r>
    <x v="4"/>
    <x v="5"/>
    <x v="0"/>
    <x v="1"/>
    <x v="0"/>
    <x v="0"/>
    <n v="389.74154943651467"/>
    <n v="72.551199999999994"/>
  </r>
  <r>
    <x v="4"/>
    <x v="5"/>
    <x v="0"/>
    <x v="1"/>
    <x v="0"/>
    <x v="1"/>
    <n v="823.64563629174245"/>
    <n v="109.7984"/>
  </r>
  <r>
    <x v="4"/>
    <x v="5"/>
    <x v="0"/>
    <x v="1"/>
    <x v="1"/>
    <x v="0"/>
    <n v="23527.7439788376"/>
    <n v="3768.7377999999999"/>
  </r>
  <r>
    <x v="4"/>
    <x v="5"/>
    <x v="0"/>
    <x v="1"/>
    <x v="1"/>
    <x v="1"/>
    <n v="57113.12639269224"/>
    <n v="5019.0887000000002"/>
  </r>
  <r>
    <x v="4"/>
    <x v="5"/>
    <x v="1"/>
    <x v="2"/>
    <x v="2"/>
    <x v="0"/>
    <n v="18376.571898320839"/>
    <n v="4579.8130000000001"/>
  </r>
  <r>
    <x v="4"/>
    <x v="5"/>
    <x v="1"/>
    <x v="2"/>
    <x v="2"/>
    <x v="1"/>
    <n v="290267.97832157172"/>
    <n v="83927.221799999999"/>
  </r>
  <r>
    <x v="4"/>
    <x v="5"/>
    <x v="1"/>
    <x v="2"/>
    <x v="3"/>
    <x v="0"/>
    <n v="297.24089961452881"/>
    <m/>
  </r>
  <r>
    <x v="4"/>
    <x v="5"/>
    <x v="1"/>
    <x v="2"/>
    <x v="3"/>
    <x v="1"/>
    <n v="137.80143333056009"/>
    <m/>
  </r>
  <r>
    <x v="4"/>
    <x v="5"/>
    <x v="1"/>
    <x v="2"/>
    <x v="4"/>
    <x v="0"/>
    <n v="62.774500757121402"/>
    <m/>
  </r>
  <r>
    <x v="4"/>
    <x v="5"/>
    <x v="1"/>
    <x v="2"/>
    <x v="4"/>
    <x v="1"/>
    <n v="732.13351155076316"/>
    <m/>
  </r>
  <r>
    <x v="4"/>
    <x v="5"/>
    <x v="1"/>
    <x v="2"/>
    <x v="5"/>
    <x v="0"/>
    <n v="299.71779681267492"/>
    <m/>
  </r>
  <r>
    <x v="4"/>
    <x v="5"/>
    <x v="1"/>
    <x v="2"/>
    <x v="5"/>
    <x v="1"/>
    <n v="783.26927052601934"/>
    <m/>
  </r>
  <r>
    <x v="4"/>
    <x v="5"/>
    <x v="1"/>
    <x v="2"/>
    <x v="6"/>
    <x v="0"/>
    <n v="11023.227775356658"/>
    <m/>
  </r>
  <r>
    <x v="4"/>
    <x v="5"/>
    <x v="1"/>
    <x v="2"/>
    <x v="6"/>
    <x v="1"/>
    <n v="45104.23795611137"/>
    <m/>
  </r>
  <r>
    <x v="4"/>
    <x v="5"/>
    <x v="1"/>
    <x v="2"/>
    <x v="1"/>
    <x v="0"/>
    <n v="308.87693764687708"/>
    <n v="8.3209"/>
  </r>
  <r>
    <x v="4"/>
    <x v="5"/>
    <x v="1"/>
    <x v="2"/>
    <x v="1"/>
    <x v="1"/>
    <n v="1702.7309906319399"/>
    <m/>
  </r>
  <r>
    <x v="4"/>
    <x v="5"/>
    <x v="1"/>
    <x v="3"/>
    <x v="2"/>
    <x v="0"/>
    <n v="9640.3052800766036"/>
    <n v="4094.9229999999998"/>
  </r>
  <r>
    <x v="4"/>
    <x v="5"/>
    <x v="1"/>
    <x v="3"/>
    <x v="2"/>
    <x v="1"/>
    <n v="78940.486880924072"/>
    <n v="31537.639800000001"/>
  </r>
  <r>
    <x v="4"/>
    <x v="5"/>
    <x v="1"/>
    <x v="3"/>
    <x v="3"/>
    <x v="0"/>
    <n v="324.58677729724661"/>
    <m/>
  </r>
  <r>
    <x v="4"/>
    <x v="5"/>
    <x v="1"/>
    <x v="3"/>
    <x v="3"/>
    <x v="1"/>
    <n v="652.39683939696624"/>
    <m/>
  </r>
  <r>
    <x v="4"/>
    <x v="5"/>
    <x v="1"/>
    <x v="3"/>
    <x v="7"/>
    <x v="0"/>
    <n v="8531.5325588369396"/>
    <n v="3602.6170000000002"/>
  </r>
  <r>
    <x v="4"/>
    <x v="5"/>
    <x v="1"/>
    <x v="3"/>
    <x v="7"/>
    <x v="1"/>
    <n v="10374.790529851274"/>
    <n v="4222.3180000000002"/>
  </r>
  <r>
    <x v="4"/>
    <x v="5"/>
    <x v="1"/>
    <x v="3"/>
    <x v="5"/>
    <x v="0"/>
    <n v="42.889469213948402"/>
    <m/>
  </r>
  <r>
    <x v="4"/>
    <x v="5"/>
    <x v="1"/>
    <x v="3"/>
    <x v="5"/>
    <x v="1"/>
    <n v="110.473461089382"/>
    <m/>
  </r>
  <r>
    <x v="4"/>
    <x v="5"/>
    <x v="1"/>
    <x v="3"/>
    <x v="6"/>
    <x v="0"/>
    <n v="65.851233136633994"/>
    <m/>
  </r>
  <r>
    <x v="4"/>
    <x v="5"/>
    <x v="1"/>
    <x v="3"/>
    <x v="6"/>
    <x v="1"/>
    <n v="170.5016266511434"/>
    <m/>
  </r>
  <r>
    <x v="4"/>
    <x v="5"/>
    <x v="1"/>
    <x v="3"/>
    <x v="1"/>
    <x v="0"/>
    <n v="227.20476321861989"/>
    <n v="3.3222999999999998"/>
  </r>
  <r>
    <x v="4"/>
    <x v="5"/>
    <x v="1"/>
    <x v="3"/>
    <x v="1"/>
    <x v="1"/>
    <n v="1183.0398739040495"/>
    <m/>
  </r>
  <r>
    <x v="4"/>
    <x v="5"/>
    <x v="1"/>
    <x v="4"/>
    <x v="2"/>
    <x v="1"/>
    <n v="30081.724170616468"/>
    <n v="14706.458699999999"/>
  </r>
  <r>
    <x v="4"/>
    <x v="5"/>
    <x v="1"/>
    <x v="4"/>
    <x v="4"/>
    <x v="1"/>
    <n v="115.4534257790019"/>
    <m/>
  </r>
  <r>
    <x v="4"/>
    <x v="5"/>
    <x v="1"/>
    <x v="4"/>
    <x v="6"/>
    <x v="0"/>
    <n v="9.0678623790113999"/>
    <m/>
  </r>
  <r>
    <x v="4"/>
    <x v="5"/>
    <x v="1"/>
    <x v="4"/>
    <x v="6"/>
    <x v="1"/>
    <n v="50901.296506608131"/>
    <n v="7243.6660000000002"/>
  </r>
  <r>
    <x v="4"/>
    <x v="5"/>
    <x v="1"/>
    <x v="4"/>
    <x v="1"/>
    <x v="1"/>
    <n v="10.5815830403661"/>
    <m/>
  </r>
  <r>
    <x v="4"/>
    <x v="5"/>
    <x v="2"/>
    <x v="5"/>
    <x v="2"/>
    <x v="0"/>
    <n v="3393.863403342601"/>
    <n v="739.44330000000002"/>
  </r>
  <r>
    <x v="4"/>
    <x v="5"/>
    <x v="2"/>
    <x v="5"/>
    <x v="2"/>
    <x v="1"/>
    <n v="23985.372939298592"/>
    <n v="4095.1010000000001"/>
  </r>
  <r>
    <x v="4"/>
    <x v="5"/>
    <x v="2"/>
    <x v="5"/>
    <x v="3"/>
    <x v="0"/>
    <n v="2.2034933249803998"/>
    <m/>
  </r>
  <r>
    <x v="4"/>
    <x v="5"/>
    <x v="2"/>
    <x v="5"/>
    <x v="3"/>
    <x v="1"/>
    <n v="41.346446964483803"/>
    <m/>
  </r>
  <r>
    <x v="4"/>
    <x v="5"/>
    <x v="2"/>
    <x v="5"/>
    <x v="8"/>
    <x v="0"/>
    <n v="151.57776365764829"/>
    <n v="38.665100000000002"/>
  </r>
  <r>
    <x v="4"/>
    <x v="5"/>
    <x v="2"/>
    <x v="5"/>
    <x v="8"/>
    <x v="1"/>
    <n v="79.731317497163204"/>
    <n v="18.026599999999998"/>
  </r>
  <r>
    <x v="4"/>
    <x v="5"/>
    <x v="2"/>
    <x v="5"/>
    <x v="7"/>
    <x v="0"/>
    <n v="898.76144739984795"/>
    <n v="163.762"/>
  </r>
  <r>
    <x v="4"/>
    <x v="5"/>
    <x v="2"/>
    <x v="5"/>
    <x v="7"/>
    <x v="1"/>
    <n v="4688.0947813019266"/>
    <n v="690.67280000000005"/>
  </r>
  <r>
    <x v="4"/>
    <x v="5"/>
    <x v="2"/>
    <x v="5"/>
    <x v="1"/>
    <x v="0"/>
    <n v="18.388198119092301"/>
    <m/>
  </r>
  <r>
    <x v="4"/>
    <x v="5"/>
    <x v="2"/>
    <x v="5"/>
    <x v="1"/>
    <x v="1"/>
    <n v="63.276737639046303"/>
    <m/>
  </r>
  <r>
    <x v="4"/>
    <x v="5"/>
    <x v="2"/>
    <x v="5"/>
    <x v="9"/>
    <x v="0"/>
    <n v="4.5970248820831001"/>
    <m/>
  </r>
  <r>
    <x v="4"/>
    <x v="5"/>
    <x v="2"/>
    <x v="5"/>
    <x v="9"/>
    <x v="1"/>
    <n v="12.1735461676985"/>
    <m/>
  </r>
  <r>
    <x v="4"/>
    <x v="5"/>
    <x v="2"/>
    <x v="6"/>
    <x v="0"/>
    <x v="0"/>
    <n v="803.82168393437212"/>
    <n v="259.53539999999998"/>
  </r>
  <r>
    <x v="4"/>
    <x v="5"/>
    <x v="2"/>
    <x v="6"/>
    <x v="0"/>
    <x v="1"/>
    <n v="1503.0928132898559"/>
    <n v="390.45659999999998"/>
  </r>
  <r>
    <x v="4"/>
    <x v="5"/>
    <x v="2"/>
    <x v="6"/>
    <x v="1"/>
    <x v="0"/>
    <n v="5396.2348623696471"/>
    <n v="1584.4871000000001"/>
  </r>
  <r>
    <x v="4"/>
    <x v="5"/>
    <x v="2"/>
    <x v="6"/>
    <x v="1"/>
    <x v="1"/>
    <n v="7845.9106246997189"/>
    <n v="2308.0039999999999"/>
  </r>
  <r>
    <x v="4"/>
    <x v="5"/>
    <x v="2"/>
    <x v="7"/>
    <x v="2"/>
    <x v="1"/>
    <n v="10655.199181946295"/>
    <n v="5335.7731000000003"/>
  </r>
  <r>
    <x v="4"/>
    <x v="6"/>
    <x v="0"/>
    <x v="0"/>
    <x v="0"/>
    <x v="0"/>
    <n v="452.43183187841402"/>
    <n v="106.23399999999999"/>
  </r>
  <r>
    <x v="4"/>
    <x v="6"/>
    <x v="0"/>
    <x v="0"/>
    <x v="0"/>
    <x v="1"/>
    <n v="324.67552348289598"/>
    <n v="46.379300000000001"/>
  </r>
  <r>
    <x v="4"/>
    <x v="6"/>
    <x v="0"/>
    <x v="0"/>
    <x v="1"/>
    <x v="0"/>
    <n v="9089.1067327733854"/>
    <n v="2133.009"/>
  </r>
  <r>
    <x v="4"/>
    <x v="6"/>
    <x v="0"/>
    <x v="0"/>
    <x v="1"/>
    <x v="1"/>
    <n v="7789.4274463838319"/>
    <n v="1130.5029"/>
  </r>
  <r>
    <x v="4"/>
    <x v="6"/>
    <x v="0"/>
    <x v="1"/>
    <x v="0"/>
    <x v="0"/>
    <n v="705.21607453256536"/>
    <n v="127.614"/>
  </r>
  <r>
    <x v="4"/>
    <x v="6"/>
    <x v="0"/>
    <x v="1"/>
    <x v="0"/>
    <x v="1"/>
    <n v="370.19403450838178"/>
    <n v="59.379800000000003"/>
  </r>
  <r>
    <x v="4"/>
    <x v="6"/>
    <x v="0"/>
    <x v="1"/>
    <x v="1"/>
    <x v="0"/>
    <n v="5707.1214080652844"/>
    <n v="1245.8882000000001"/>
  </r>
  <r>
    <x v="4"/>
    <x v="6"/>
    <x v="0"/>
    <x v="1"/>
    <x v="1"/>
    <x v="1"/>
    <n v="8894.0612596669507"/>
    <n v="1658.1759999999999"/>
  </r>
  <r>
    <x v="4"/>
    <x v="6"/>
    <x v="1"/>
    <x v="2"/>
    <x v="2"/>
    <x v="0"/>
    <n v="3232.6375328165541"/>
    <n v="693.69740000000002"/>
  </r>
  <r>
    <x v="4"/>
    <x v="6"/>
    <x v="1"/>
    <x v="2"/>
    <x v="2"/>
    <x v="1"/>
    <n v="24565.08123685281"/>
    <n v="6506.0387000000001"/>
  </r>
  <r>
    <x v="4"/>
    <x v="6"/>
    <x v="1"/>
    <x v="2"/>
    <x v="3"/>
    <x v="0"/>
    <n v="22.217344558733998"/>
    <m/>
  </r>
  <r>
    <x v="4"/>
    <x v="6"/>
    <x v="1"/>
    <x v="2"/>
    <x v="3"/>
    <x v="1"/>
    <n v="5.5543361396834001"/>
    <m/>
  </r>
  <r>
    <x v="4"/>
    <x v="6"/>
    <x v="1"/>
    <x v="2"/>
    <x v="5"/>
    <x v="0"/>
    <n v="8.9239580709901993"/>
    <m/>
  </r>
  <r>
    <x v="4"/>
    <x v="6"/>
    <x v="1"/>
    <x v="2"/>
    <x v="5"/>
    <x v="1"/>
    <n v="40.658583130586401"/>
    <m/>
  </r>
  <r>
    <x v="4"/>
    <x v="6"/>
    <x v="1"/>
    <x v="2"/>
    <x v="6"/>
    <x v="0"/>
    <n v="267.05800557463442"/>
    <m/>
  </r>
  <r>
    <x v="4"/>
    <x v="6"/>
    <x v="1"/>
    <x v="2"/>
    <x v="6"/>
    <x v="1"/>
    <n v="1588.0281957105835"/>
    <m/>
  </r>
  <r>
    <x v="4"/>
    <x v="6"/>
    <x v="1"/>
    <x v="2"/>
    <x v="1"/>
    <x v="0"/>
    <n v="35.958318700444401"/>
    <m/>
  </r>
  <r>
    <x v="4"/>
    <x v="6"/>
    <x v="1"/>
    <x v="2"/>
    <x v="1"/>
    <x v="1"/>
    <n v="182.52723193917501"/>
    <m/>
  </r>
  <r>
    <x v="4"/>
    <x v="6"/>
    <x v="1"/>
    <x v="3"/>
    <x v="2"/>
    <x v="0"/>
    <n v="4093.9455109507085"/>
    <n v="1091.9808"/>
  </r>
  <r>
    <x v="4"/>
    <x v="6"/>
    <x v="1"/>
    <x v="3"/>
    <x v="2"/>
    <x v="1"/>
    <n v="35543.545954123656"/>
    <n v="12921.788200000001"/>
  </r>
  <r>
    <x v="4"/>
    <x v="6"/>
    <x v="1"/>
    <x v="3"/>
    <x v="3"/>
    <x v="0"/>
    <n v="17.352265135149501"/>
    <m/>
  </r>
  <r>
    <x v="4"/>
    <x v="6"/>
    <x v="1"/>
    <x v="3"/>
    <x v="3"/>
    <x v="1"/>
    <n v="57.369531417037997"/>
    <m/>
  </r>
  <r>
    <x v="4"/>
    <x v="6"/>
    <x v="1"/>
    <x v="3"/>
    <x v="7"/>
    <x v="0"/>
    <n v="5664.9752951006367"/>
    <n v="1969.8720000000001"/>
  </r>
  <r>
    <x v="4"/>
    <x v="6"/>
    <x v="1"/>
    <x v="3"/>
    <x v="7"/>
    <x v="1"/>
    <n v="18018.649457028216"/>
    <n v="6750.8416999999999"/>
  </r>
  <r>
    <x v="4"/>
    <x v="6"/>
    <x v="1"/>
    <x v="3"/>
    <x v="5"/>
    <x v="0"/>
    <n v="11.911672849159901"/>
    <m/>
  </r>
  <r>
    <x v="4"/>
    <x v="6"/>
    <x v="1"/>
    <x v="3"/>
    <x v="5"/>
    <x v="1"/>
    <n v="38.955540173454203"/>
    <m/>
  </r>
  <r>
    <x v="4"/>
    <x v="6"/>
    <x v="1"/>
    <x v="3"/>
    <x v="6"/>
    <x v="0"/>
    <n v="56.503723816006698"/>
    <m/>
  </r>
  <r>
    <x v="4"/>
    <x v="6"/>
    <x v="1"/>
    <x v="3"/>
    <x v="6"/>
    <x v="1"/>
    <n v="183.93723942912709"/>
    <m/>
  </r>
  <r>
    <x v="4"/>
    <x v="6"/>
    <x v="1"/>
    <x v="3"/>
    <x v="1"/>
    <x v="0"/>
    <n v="17.774394048759302"/>
    <m/>
  </r>
  <r>
    <x v="4"/>
    <x v="6"/>
    <x v="1"/>
    <x v="3"/>
    <x v="1"/>
    <x v="1"/>
    <n v="82.125586688927797"/>
    <m/>
  </r>
  <r>
    <x v="4"/>
    <x v="6"/>
    <x v="1"/>
    <x v="4"/>
    <x v="2"/>
    <x v="1"/>
    <n v="4737.428146532071"/>
    <n v="1408.5367000000001"/>
  </r>
  <r>
    <x v="4"/>
    <x v="6"/>
    <x v="1"/>
    <x v="4"/>
    <x v="6"/>
    <x v="1"/>
    <n v="4936.1187960851648"/>
    <m/>
  </r>
  <r>
    <x v="4"/>
    <x v="6"/>
    <x v="2"/>
    <x v="5"/>
    <x v="2"/>
    <x v="0"/>
    <n v="1848.5793834817321"/>
    <n v="1018.6241"/>
  </r>
  <r>
    <x v="4"/>
    <x v="6"/>
    <x v="2"/>
    <x v="5"/>
    <x v="2"/>
    <x v="1"/>
    <n v="7980.8881214364474"/>
    <n v="2495.5315999999998"/>
  </r>
  <r>
    <x v="4"/>
    <x v="6"/>
    <x v="2"/>
    <x v="5"/>
    <x v="3"/>
    <x v="1"/>
    <n v="0.2581271553308"/>
    <m/>
  </r>
  <r>
    <x v="4"/>
    <x v="6"/>
    <x v="2"/>
    <x v="5"/>
    <x v="8"/>
    <x v="0"/>
    <n v="250.10024668192841"/>
    <n v="139.11850000000001"/>
  </r>
  <r>
    <x v="4"/>
    <x v="6"/>
    <x v="2"/>
    <x v="5"/>
    <x v="8"/>
    <x v="1"/>
    <n v="103.52687761459801"/>
    <n v="51.595500000000001"/>
  </r>
  <r>
    <x v="4"/>
    <x v="6"/>
    <x v="2"/>
    <x v="5"/>
    <x v="7"/>
    <x v="0"/>
    <n v="930.54294054656657"/>
    <n v="497.31619999999998"/>
  </r>
  <r>
    <x v="4"/>
    <x v="6"/>
    <x v="2"/>
    <x v="5"/>
    <x v="7"/>
    <x v="1"/>
    <n v="4883.8244771534437"/>
    <n v="1519.6874"/>
  </r>
  <r>
    <x v="4"/>
    <x v="6"/>
    <x v="2"/>
    <x v="5"/>
    <x v="1"/>
    <x v="0"/>
    <n v="1.2489759040054"/>
    <m/>
  </r>
  <r>
    <x v="4"/>
    <x v="6"/>
    <x v="2"/>
    <x v="5"/>
    <x v="1"/>
    <x v="1"/>
    <n v="4.9618377994217999"/>
    <m/>
  </r>
  <r>
    <x v="4"/>
    <x v="6"/>
    <x v="2"/>
    <x v="5"/>
    <x v="9"/>
    <x v="0"/>
    <n v="0.35592693302430001"/>
    <m/>
  </r>
  <r>
    <x v="4"/>
    <x v="6"/>
    <x v="2"/>
    <x v="5"/>
    <x v="9"/>
    <x v="1"/>
    <n v="5.2672278842504996"/>
    <m/>
  </r>
  <r>
    <x v="4"/>
    <x v="6"/>
    <x v="2"/>
    <x v="6"/>
    <x v="0"/>
    <x v="0"/>
    <n v="1270.313093109055"/>
    <n v="413.03699999999998"/>
  </r>
  <r>
    <x v="4"/>
    <x v="6"/>
    <x v="2"/>
    <x v="6"/>
    <x v="0"/>
    <x v="1"/>
    <n v="1550.4435415364781"/>
    <n v="420.91039999999998"/>
  </r>
  <r>
    <x v="4"/>
    <x v="6"/>
    <x v="2"/>
    <x v="6"/>
    <x v="1"/>
    <x v="0"/>
    <n v="3409.2853631266012"/>
    <n v="1339.3382999999999"/>
  </r>
  <r>
    <x v="4"/>
    <x v="6"/>
    <x v="2"/>
    <x v="6"/>
    <x v="1"/>
    <x v="1"/>
    <n v="5117.8025990069009"/>
    <n v="1528.9967999999999"/>
  </r>
  <r>
    <x v="4"/>
    <x v="6"/>
    <x v="2"/>
    <x v="7"/>
    <x v="2"/>
    <x v="1"/>
    <n v="37.790875039450398"/>
    <n v="13.4945"/>
  </r>
  <r>
    <x v="4"/>
    <x v="7"/>
    <x v="0"/>
    <x v="0"/>
    <x v="0"/>
    <x v="0"/>
    <n v="41.811290097013803"/>
    <n v="11.257899999999999"/>
  </r>
  <r>
    <x v="4"/>
    <x v="7"/>
    <x v="0"/>
    <x v="0"/>
    <x v="0"/>
    <x v="1"/>
    <n v="90.240376622279001"/>
    <n v="18.6815"/>
  </r>
  <r>
    <x v="4"/>
    <x v="7"/>
    <x v="0"/>
    <x v="0"/>
    <x v="1"/>
    <x v="0"/>
    <n v="11385.50600565427"/>
    <n v="2643.5569999999998"/>
  </r>
  <r>
    <x v="4"/>
    <x v="7"/>
    <x v="0"/>
    <x v="0"/>
    <x v="1"/>
    <x v="1"/>
    <n v="2979.951379558956"/>
    <n v="498.22570000000002"/>
  </r>
  <r>
    <x v="4"/>
    <x v="7"/>
    <x v="0"/>
    <x v="1"/>
    <x v="0"/>
    <x v="0"/>
    <n v="111.5470944012712"/>
    <n v="18.739699999999999"/>
  </r>
  <r>
    <x v="4"/>
    <x v="7"/>
    <x v="0"/>
    <x v="1"/>
    <x v="0"/>
    <x v="1"/>
    <n v="202.64021299081281"/>
    <n v="38.750100000000003"/>
  </r>
  <r>
    <x v="4"/>
    <x v="7"/>
    <x v="0"/>
    <x v="1"/>
    <x v="1"/>
    <x v="0"/>
    <n v="13545.20521755703"/>
    <n v="1667.2139"/>
  </r>
  <r>
    <x v="4"/>
    <x v="7"/>
    <x v="0"/>
    <x v="1"/>
    <x v="1"/>
    <x v="1"/>
    <n v="16477.120686824597"/>
    <n v="2551.2379999999998"/>
  </r>
  <r>
    <x v="4"/>
    <x v="7"/>
    <x v="1"/>
    <x v="2"/>
    <x v="2"/>
    <x v="0"/>
    <n v="5332.28124827994"/>
    <n v="1687.7998"/>
  </r>
  <r>
    <x v="4"/>
    <x v="7"/>
    <x v="1"/>
    <x v="2"/>
    <x v="2"/>
    <x v="1"/>
    <n v="86213.410258037125"/>
    <n v="29285.710200000001"/>
  </r>
  <r>
    <x v="4"/>
    <x v="7"/>
    <x v="1"/>
    <x v="2"/>
    <x v="3"/>
    <x v="0"/>
    <n v="294.77411782390681"/>
    <m/>
  </r>
  <r>
    <x v="4"/>
    <x v="7"/>
    <x v="1"/>
    <x v="2"/>
    <x v="3"/>
    <x v="1"/>
    <n v="249.6207306356248"/>
    <m/>
  </r>
  <r>
    <x v="4"/>
    <x v="7"/>
    <x v="1"/>
    <x v="2"/>
    <x v="5"/>
    <x v="0"/>
    <n v="247.72388802750049"/>
    <m/>
  </r>
  <r>
    <x v="4"/>
    <x v="7"/>
    <x v="1"/>
    <x v="2"/>
    <x v="5"/>
    <x v="1"/>
    <n v="682.11963244181084"/>
    <m/>
  </r>
  <r>
    <x v="4"/>
    <x v="7"/>
    <x v="1"/>
    <x v="2"/>
    <x v="6"/>
    <x v="0"/>
    <n v="4116.8172182072194"/>
    <m/>
  </r>
  <r>
    <x v="4"/>
    <x v="7"/>
    <x v="1"/>
    <x v="2"/>
    <x v="6"/>
    <x v="1"/>
    <n v="13159.116043088701"/>
    <m/>
  </r>
  <r>
    <x v="4"/>
    <x v="7"/>
    <x v="1"/>
    <x v="2"/>
    <x v="1"/>
    <x v="0"/>
    <n v="42.805625861562397"/>
    <m/>
  </r>
  <r>
    <x v="4"/>
    <x v="7"/>
    <x v="1"/>
    <x v="2"/>
    <x v="1"/>
    <x v="1"/>
    <n v="176.27813769572691"/>
    <m/>
  </r>
  <r>
    <x v="4"/>
    <x v="7"/>
    <x v="1"/>
    <x v="3"/>
    <x v="2"/>
    <x v="0"/>
    <n v="7591.9124188948963"/>
    <n v="2094.6954999999998"/>
  </r>
  <r>
    <x v="4"/>
    <x v="7"/>
    <x v="1"/>
    <x v="3"/>
    <x v="2"/>
    <x v="1"/>
    <n v="68089.918237718535"/>
    <n v="20607.444100000001"/>
  </r>
  <r>
    <x v="4"/>
    <x v="7"/>
    <x v="1"/>
    <x v="3"/>
    <x v="3"/>
    <x v="0"/>
    <n v="1028.6251635590647"/>
    <m/>
  </r>
  <r>
    <x v="4"/>
    <x v="7"/>
    <x v="1"/>
    <x v="3"/>
    <x v="3"/>
    <x v="1"/>
    <n v="2602.9922404612439"/>
    <m/>
  </r>
  <r>
    <x v="4"/>
    <x v="7"/>
    <x v="1"/>
    <x v="3"/>
    <x v="7"/>
    <x v="0"/>
    <n v="2825.4079939093381"/>
    <n v="950.28499999999997"/>
  </r>
  <r>
    <x v="4"/>
    <x v="7"/>
    <x v="1"/>
    <x v="3"/>
    <x v="7"/>
    <x v="1"/>
    <n v="27931.486544400439"/>
    <n v="11635.5859"/>
  </r>
  <r>
    <x v="4"/>
    <x v="7"/>
    <x v="1"/>
    <x v="3"/>
    <x v="5"/>
    <x v="0"/>
    <n v="640.53592554828379"/>
    <m/>
  </r>
  <r>
    <x v="4"/>
    <x v="7"/>
    <x v="1"/>
    <x v="3"/>
    <x v="5"/>
    <x v="1"/>
    <n v="1443.5480804878011"/>
    <m/>
  </r>
  <r>
    <x v="4"/>
    <x v="7"/>
    <x v="1"/>
    <x v="3"/>
    <x v="6"/>
    <x v="0"/>
    <n v="109.5747152698893"/>
    <m/>
  </r>
  <r>
    <x v="4"/>
    <x v="7"/>
    <x v="1"/>
    <x v="3"/>
    <x v="6"/>
    <x v="1"/>
    <n v="265.52264281855412"/>
    <m/>
  </r>
  <r>
    <x v="4"/>
    <x v="7"/>
    <x v="1"/>
    <x v="3"/>
    <x v="1"/>
    <x v="0"/>
    <n v="70.632760081970304"/>
    <m/>
  </r>
  <r>
    <x v="4"/>
    <x v="7"/>
    <x v="1"/>
    <x v="3"/>
    <x v="1"/>
    <x v="1"/>
    <n v="240.62377097895941"/>
    <m/>
  </r>
  <r>
    <x v="4"/>
    <x v="7"/>
    <x v="1"/>
    <x v="4"/>
    <x v="2"/>
    <x v="1"/>
    <n v="43266.888689160682"/>
    <n v="16831.0599"/>
  </r>
  <r>
    <x v="4"/>
    <x v="7"/>
    <x v="1"/>
    <x v="4"/>
    <x v="6"/>
    <x v="1"/>
    <n v="132401.87024797715"/>
    <n v="26718.275699999998"/>
  </r>
  <r>
    <x v="4"/>
    <x v="7"/>
    <x v="2"/>
    <x v="5"/>
    <x v="2"/>
    <x v="0"/>
    <n v="1724.735509734124"/>
    <n v="522.71460000000002"/>
  </r>
  <r>
    <x v="4"/>
    <x v="7"/>
    <x v="2"/>
    <x v="5"/>
    <x v="2"/>
    <x v="1"/>
    <n v="12200.455136126933"/>
    <n v="4843.0230000000001"/>
  </r>
  <r>
    <x v="4"/>
    <x v="7"/>
    <x v="2"/>
    <x v="5"/>
    <x v="3"/>
    <x v="1"/>
    <n v="0.43091795875"/>
    <m/>
  </r>
  <r>
    <x v="4"/>
    <x v="7"/>
    <x v="2"/>
    <x v="5"/>
    <x v="8"/>
    <x v="0"/>
    <n v="4.6298801243285999"/>
    <m/>
  </r>
  <r>
    <x v="4"/>
    <x v="7"/>
    <x v="2"/>
    <x v="5"/>
    <x v="8"/>
    <x v="1"/>
    <n v="10.588268597609799"/>
    <n v="5.35"/>
  </r>
  <r>
    <x v="4"/>
    <x v="7"/>
    <x v="2"/>
    <x v="5"/>
    <x v="7"/>
    <x v="0"/>
    <n v="148.06711799467109"/>
    <n v="49.522199999999998"/>
  </r>
  <r>
    <x v="4"/>
    <x v="7"/>
    <x v="2"/>
    <x v="5"/>
    <x v="7"/>
    <x v="1"/>
    <n v="1145.9353116291679"/>
    <n v="470.98500000000001"/>
  </r>
  <r>
    <x v="4"/>
    <x v="7"/>
    <x v="2"/>
    <x v="5"/>
    <x v="1"/>
    <x v="0"/>
    <n v="14.635789730022299"/>
    <m/>
  </r>
  <r>
    <x v="4"/>
    <x v="7"/>
    <x v="2"/>
    <x v="5"/>
    <x v="1"/>
    <x v="1"/>
    <n v="30.4417234300569"/>
    <m/>
  </r>
  <r>
    <x v="4"/>
    <x v="7"/>
    <x v="2"/>
    <x v="5"/>
    <x v="9"/>
    <x v="0"/>
    <n v="0.84859359571350002"/>
    <m/>
  </r>
  <r>
    <x v="4"/>
    <x v="7"/>
    <x v="2"/>
    <x v="5"/>
    <x v="9"/>
    <x v="1"/>
    <n v="1.7258390008833999"/>
    <m/>
  </r>
  <r>
    <x v="4"/>
    <x v="7"/>
    <x v="2"/>
    <x v="6"/>
    <x v="0"/>
    <x v="0"/>
    <n v="59.609883796163103"/>
    <n v="17.649999999999999"/>
  </r>
  <r>
    <x v="4"/>
    <x v="7"/>
    <x v="2"/>
    <x v="6"/>
    <x v="0"/>
    <x v="1"/>
    <n v="683.46669237577362"/>
    <n v="256.4434"/>
  </r>
  <r>
    <x v="4"/>
    <x v="7"/>
    <x v="2"/>
    <x v="6"/>
    <x v="1"/>
    <x v="0"/>
    <n v="1340.9042326525159"/>
    <n v="466.71170000000001"/>
  </r>
  <r>
    <x v="4"/>
    <x v="7"/>
    <x v="2"/>
    <x v="6"/>
    <x v="1"/>
    <x v="1"/>
    <n v="3377.3727882271651"/>
    <n v="1506.0885000000001"/>
  </r>
  <r>
    <x v="4"/>
    <x v="7"/>
    <x v="2"/>
    <x v="7"/>
    <x v="2"/>
    <x v="1"/>
    <n v="7853.1806350138322"/>
    <n v="3503.6397999999999"/>
  </r>
  <r>
    <x v="4"/>
    <x v="8"/>
    <x v="0"/>
    <x v="0"/>
    <x v="0"/>
    <x v="0"/>
    <n v="3657.7733199739232"/>
    <n v="833.94669999999996"/>
  </r>
  <r>
    <x v="4"/>
    <x v="8"/>
    <x v="0"/>
    <x v="0"/>
    <x v="0"/>
    <x v="1"/>
    <n v="6261.468234373694"/>
    <n v="448.63490000000002"/>
  </r>
  <r>
    <x v="4"/>
    <x v="8"/>
    <x v="0"/>
    <x v="0"/>
    <x v="1"/>
    <x v="0"/>
    <n v="65170.03783603086"/>
    <n v="13764.2454"/>
  </r>
  <r>
    <x v="4"/>
    <x v="8"/>
    <x v="0"/>
    <x v="0"/>
    <x v="1"/>
    <x v="1"/>
    <n v="36042.690651240518"/>
    <n v="3261.7312000000002"/>
  </r>
  <r>
    <x v="4"/>
    <x v="8"/>
    <x v="0"/>
    <x v="1"/>
    <x v="0"/>
    <x v="0"/>
    <n v="4986.8087509707912"/>
    <n v="1135.2660000000001"/>
  </r>
  <r>
    <x v="4"/>
    <x v="8"/>
    <x v="0"/>
    <x v="1"/>
    <x v="0"/>
    <x v="1"/>
    <n v="4151.3126354313199"/>
    <n v="350.1703"/>
  </r>
  <r>
    <x v="4"/>
    <x v="8"/>
    <x v="0"/>
    <x v="1"/>
    <x v="1"/>
    <x v="0"/>
    <n v="44061.19818532018"/>
    <n v="9922.4542000000001"/>
  </r>
  <r>
    <x v="4"/>
    <x v="8"/>
    <x v="0"/>
    <x v="1"/>
    <x v="1"/>
    <x v="1"/>
    <n v="54374.784754212436"/>
    <n v="6489.0716000000002"/>
  </r>
  <r>
    <x v="4"/>
    <x v="8"/>
    <x v="1"/>
    <x v="2"/>
    <x v="2"/>
    <x v="0"/>
    <n v="4444.5331093821123"/>
    <n v="2469.9259000000002"/>
  </r>
  <r>
    <x v="4"/>
    <x v="8"/>
    <x v="1"/>
    <x v="2"/>
    <x v="2"/>
    <x v="1"/>
    <n v="75230.361659161747"/>
    <n v="40713.083400000003"/>
  </r>
  <r>
    <x v="4"/>
    <x v="8"/>
    <x v="1"/>
    <x v="2"/>
    <x v="3"/>
    <x v="0"/>
    <n v="157.3055647136211"/>
    <m/>
  </r>
  <r>
    <x v="4"/>
    <x v="8"/>
    <x v="1"/>
    <x v="2"/>
    <x v="3"/>
    <x v="1"/>
    <n v="7.3713057725041002"/>
    <m/>
  </r>
  <r>
    <x v="4"/>
    <x v="8"/>
    <x v="1"/>
    <x v="2"/>
    <x v="4"/>
    <x v="0"/>
    <n v="7.0355551341725002"/>
    <m/>
  </r>
  <r>
    <x v="4"/>
    <x v="8"/>
    <x v="1"/>
    <x v="2"/>
    <x v="4"/>
    <x v="1"/>
    <n v="0.45280203867789998"/>
    <m/>
  </r>
  <r>
    <x v="4"/>
    <x v="8"/>
    <x v="1"/>
    <x v="2"/>
    <x v="5"/>
    <x v="0"/>
    <n v="0.20602354903350001"/>
    <m/>
  </r>
  <r>
    <x v="4"/>
    <x v="8"/>
    <x v="1"/>
    <x v="2"/>
    <x v="5"/>
    <x v="1"/>
    <n v="2.2902712687453"/>
    <m/>
  </r>
  <r>
    <x v="4"/>
    <x v="8"/>
    <x v="1"/>
    <x v="2"/>
    <x v="6"/>
    <x v="0"/>
    <n v="34.030696129787103"/>
    <m/>
  </r>
  <r>
    <x v="4"/>
    <x v="8"/>
    <x v="1"/>
    <x v="2"/>
    <x v="6"/>
    <x v="1"/>
    <n v="1153.6100891273229"/>
    <m/>
  </r>
  <r>
    <x v="4"/>
    <x v="8"/>
    <x v="1"/>
    <x v="2"/>
    <x v="1"/>
    <x v="0"/>
    <n v="4.7754155274289003"/>
    <m/>
  </r>
  <r>
    <x v="4"/>
    <x v="8"/>
    <x v="1"/>
    <x v="2"/>
    <x v="1"/>
    <x v="1"/>
    <n v="67.252276313011095"/>
    <m/>
  </r>
  <r>
    <x v="4"/>
    <x v="8"/>
    <x v="1"/>
    <x v="3"/>
    <x v="2"/>
    <x v="0"/>
    <n v="12595.45693652613"/>
    <n v="6725.6171999999997"/>
  </r>
  <r>
    <x v="4"/>
    <x v="8"/>
    <x v="1"/>
    <x v="3"/>
    <x v="2"/>
    <x v="1"/>
    <n v="103649.6515263555"/>
    <n v="53400.929799999998"/>
  </r>
  <r>
    <x v="4"/>
    <x v="8"/>
    <x v="1"/>
    <x v="3"/>
    <x v="3"/>
    <x v="0"/>
    <n v="25.751497524673098"/>
    <m/>
  </r>
  <r>
    <x v="4"/>
    <x v="8"/>
    <x v="1"/>
    <x v="3"/>
    <x v="3"/>
    <x v="1"/>
    <n v="137.95319010385589"/>
    <m/>
  </r>
  <r>
    <x v="4"/>
    <x v="8"/>
    <x v="1"/>
    <x v="3"/>
    <x v="7"/>
    <x v="0"/>
    <n v="24209.625284224971"/>
    <n v="12996.5851"/>
  </r>
  <r>
    <x v="4"/>
    <x v="8"/>
    <x v="1"/>
    <x v="3"/>
    <x v="7"/>
    <x v="1"/>
    <n v="120464.86534821683"/>
    <n v="64392.099099999999"/>
  </r>
  <r>
    <x v="4"/>
    <x v="8"/>
    <x v="1"/>
    <x v="3"/>
    <x v="5"/>
    <x v="0"/>
    <n v="0.67787892458639998"/>
    <m/>
  </r>
  <r>
    <x v="4"/>
    <x v="8"/>
    <x v="1"/>
    <x v="3"/>
    <x v="5"/>
    <x v="1"/>
    <n v="3.5880216956474"/>
    <m/>
  </r>
  <r>
    <x v="4"/>
    <x v="8"/>
    <x v="1"/>
    <x v="3"/>
    <x v="6"/>
    <x v="0"/>
    <n v="15.152558931041501"/>
    <m/>
  </r>
  <r>
    <x v="4"/>
    <x v="8"/>
    <x v="1"/>
    <x v="3"/>
    <x v="6"/>
    <x v="1"/>
    <n v="80.195526644698802"/>
    <m/>
  </r>
  <r>
    <x v="4"/>
    <x v="8"/>
    <x v="1"/>
    <x v="3"/>
    <x v="1"/>
    <x v="0"/>
    <n v="118.0256058539164"/>
    <n v="4.8500000000000001E-2"/>
  </r>
  <r>
    <x v="4"/>
    <x v="8"/>
    <x v="1"/>
    <x v="3"/>
    <x v="1"/>
    <x v="1"/>
    <n v="270.1570343961186"/>
    <m/>
  </r>
  <r>
    <x v="4"/>
    <x v="8"/>
    <x v="1"/>
    <x v="4"/>
    <x v="2"/>
    <x v="0"/>
    <n v="84.382444202318695"/>
    <m/>
  </r>
  <r>
    <x v="4"/>
    <x v="8"/>
    <x v="1"/>
    <x v="4"/>
    <x v="2"/>
    <x v="1"/>
    <n v="18404.380076183392"/>
    <n v="11161.0604"/>
  </r>
  <r>
    <x v="4"/>
    <x v="8"/>
    <x v="1"/>
    <x v="4"/>
    <x v="4"/>
    <x v="1"/>
    <n v="0.2016773936672"/>
    <m/>
  </r>
  <r>
    <x v="4"/>
    <x v="8"/>
    <x v="1"/>
    <x v="4"/>
    <x v="6"/>
    <x v="1"/>
    <n v="17155.508191058514"/>
    <n v="7724.7002000000002"/>
  </r>
  <r>
    <x v="4"/>
    <x v="8"/>
    <x v="2"/>
    <x v="5"/>
    <x v="2"/>
    <x v="0"/>
    <n v="5057.8525508566081"/>
    <n v="1902.5105000000001"/>
  </r>
  <r>
    <x v="4"/>
    <x v="8"/>
    <x v="2"/>
    <x v="5"/>
    <x v="2"/>
    <x v="1"/>
    <n v="43466.596112174782"/>
    <n v="15619.998"/>
  </r>
  <r>
    <x v="4"/>
    <x v="8"/>
    <x v="2"/>
    <x v="5"/>
    <x v="3"/>
    <x v="0"/>
    <n v="2.2265856286197998"/>
    <m/>
  </r>
  <r>
    <x v="4"/>
    <x v="8"/>
    <x v="2"/>
    <x v="5"/>
    <x v="3"/>
    <x v="1"/>
    <n v="32.483047041182203"/>
    <m/>
  </r>
  <r>
    <x v="4"/>
    <x v="8"/>
    <x v="2"/>
    <x v="5"/>
    <x v="8"/>
    <x v="0"/>
    <n v="22178.20698181312"/>
    <n v="10620.5641"/>
  </r>
  <r>
    <x v="4"/>
    <x v="8"/>
    <x v="2"/>
    <x v="5"/>
    <x v="8"/>
    <x v="1"/>
    <n v="7748.560944216556"/>
    <n v="3279.3951000000002"/>
  </r>
  <r>
    <x v="4"/>
    <x v="8"/>
    <x v="2"/>
    <x v="5"/>
    <x v="7"/>
    <x v="0"/>
    <n v="14208.68707794343"/>
    <n v="6264.1881999999996"/>
  </r>
  <r>
    <x v="4"/>
    <x v="8"/>
    <x v="2"/>
    <x v="5"/>
    <x v="7"/>
    <x v="1"/>
    <n v="35138.61872295932"/>
    <n v="11344.9589"/>
  </r>
  <r>
    <x v="4"/>
    <x v="8"/>
    <x v="2"/>
    <x v="5"/>
    <x v="5"/>
    <x v="0"/>
    <n v="3.2227588623423"/>
    <m/>
  </r>
  <r>
    <x v="4"/>
    <x v="8"/>
    <x v="2"/>
    <x v="5"/>
    <x v="5"/>
    <x v="1"/>
    <n v="89.537236268921106"/>
    <m/>
  </r>
  <r>
    <x v="4"/>
    <x v="8"/>
    <x v="2"/>
    <x v="5"/>
    <x v="1"/>
    <x v="0"/>
    <n v="41.249945400359401"/>
    <m/>
  </r>
  <r>
    <x v="4"/>
    <x v="8"/>
    <x v="2"/>
    <x v="5"/>
    <x v="1"/>
    <x v="1"/>
    <n v="98.122922433276599"/>
    <m/>
  </r>
  <r>
    <x v="4"/>
    <x v="8"/>
    <x v="2"/>
    <x v="5"/>
    <x v="9"/>
    <x v="0"/>
    <n v="40.666536708871199"/>
    <m/>
  </r>
  <r>
    <x v="4"/>
    <x v="8"/>
    <x v="2"/>
    <x v="5"/>
    <x v="9"/>
    <x v="1"/>
    <n v="140.10557046438001"/>
    <m/>
  </r>
  <r>
    <x v="4"/>
    <x v="8"/>
    <x v="2"/>
    <x v="6"/>
    <x v="0"/>
    <x v="0"/>
    <n v="5357.0753396858772"/>
    <n v="2184.4902000000002"/>
  </r>
  <r>
    <x v="4"/>
    <x v="8"/>
    <x v="2"/>
    <x v="6"/>
    <x v="0"/>
    <x v="1"/>
    <n v="10553.653422623009"/>
    <n v="2575.4344999999998"/>
  </r>
  <r>
    <x v="4"/>
    <x v="8"/>
    <x v="2"/>
    <x v="6"/>
    <x v="1"/>
    <x v="0"/>
    <n v="25034.859439907639"/>
    <n v="12423.434800000001"/>
  </r>
  <r>
    <x v="4"/>
    <x v="8"/>
    <x v="2"/>
    <x v="6"/>
    <x v="1"/>
    <x v="1"/>
    <n v="29461.792519159961"/>
    <n v="9263.8794999999991"/>
  </r>
  <r>
    <x v="4"/>
    <x v="8"/>
    <x v="2"/>
    <x v="7"/>
    <x v="2"/>
    <x v="1"/>
    <n v="7119.0306509621469"/>
    <n v="1386.7141999999999"/>
  </r>
  <r>
    <x v="4"/>
    <x v="9"/>
    <x v="0"/>
    <x v="0"/>
    <x v="0"/>
    <x v="0"/>
    <n v="32.874369188648899"/>
    <n v="4.4588999999999999"/>
  </r>
  <r>
    <x v="4"/>
    <x v="9"/>
    <x v="0"/>
    <x v="0"/>
    <x v="0"/>
    <x v="1"/>
    <n v="94.839590655260693"/>
    <n v="12.412000000000001"/>
  </r>
  <r>
    <x v="4"/>
    <x v="9"/>
    <x v="0"/>
    <x v="0"/>
    <x v="1"/>
    <x v="0"/>
    <n v="9349.7033158654103"/>
    <n v="1197.4280000000001"/>
  </r>
  <r>
    <x v="4"/>
    <x v="9"/>
    <x v="0"/>
    <x v="0"/>
    <x v="1"/>
    <x v="1"/>
    <n v="1544.897313632229"/>
    <n v="104.70440000000001"/>
  </r>
  <r>
    <x v="4"/>
    <x v="9"/>
    <x v="0"/>
    <x v="1"/>
    <x v="0"/>
    <x v="0"/>
    <n v="50.647149335893801"/>
    <n v="5.2291999999999996"/>
  </r>
  <r>
    <x v="4"/>
    <x v="9"/>
    <x v="0"/>
    <x v="1"/>
    <x v="0"/>
    <x v="1"/>
    <n v="86.523613342498393"/>
    <n v="13.004200000000001"/>
  </r>
  <r>
    <x v="4"/>
    <x v="9"/>
    <x v="0"/>
    <x v="1"/>
    <x v="1"/>
    <x v="0"/>
    <n v="6013.5415619349496"/>
    <n v="827.0779"/>
  </r>
  <r>
    <x v="4"/>
    <x v="9"/>
    <x v="0"/>
    <x v="1"/>
    <x v="1"/>
    <x v="1"/>
    <n v="5624.4305958260302"/>
    <n v="758.63760000000002"/>
  </r>
  <r>
    <x v="4"/>
    <x v="9"/>
    <x v="1"/>
    <x v="2"/>
    <x v="2"/>
    <x v="0"/>
    <n v="6852.8573362066518"/>
    <n v="2222.5221999999999"/>
  </r>
  <r>
    <x v="4"/>
    <x v="9"/>
    <x v="1"/>
    <x v="2"/>
    <x v="2"/>
    <x v="1"/>
    <n v="114424.9556658842"/>
    <n v="39592.218000000001"/>
  </r>
  <r>
    <x v="4"/>
    <x v="9"/>
    <x v="1"/>
    <x v="2"/>
    <x v="3"/>
    <x v="0"/>
    <n v="218.6267078240862"/>
    <m/>
  </r>
  <r>
    <x v="4"/>
    <x v="9"/>
    <x v="1"/>
    <x v="2"/>
    <x v="3"/>
    <x v="1"/>
    <n v="222.61627797678179"/>
    <m/>
  </r>
  <r>
    <x v="4"/>
    <x v="9"/>
    <x v="1"/>
    <x v="2"/>
    <x v="5"/>
    <x v="0"/>
    <n v="283.92134780320288"/>
    <m/>
  </r>
  <r>
    <x v="4"/>
    <x v="9"/>
    <x v="1"/>
    <x v="2"/>
    <x v="5"/>
    <x v="1"/>
    <n v="748.37267615662302"/>
    <m/>
  </r>
  <r>
    <x v="4"/>
    <x v="9"/>
    <x v="1"/>
    <x v="2"/>
    <x v="6"/>
    <x v="0"/>
    <n v="4751.7000589328863"/>
    <m/>
  </r>
  <r>
    <x v="4"/>
    <x v="9"/>
    <x v="1"/>
    <x v="2"/>
    <x v="6"/>
    <x v="1"/>
    <n v="13831.07913271769"/>
    <m/>
  </r>
  <r>
    <x v="4"/>
    <x v="9"/>
    <x v="1"/>
    <x v="2"/>
    <x v="1"/>
    <x v="0"/>
    <n v="36.095096476099897"/>
    <m/>
  </r>
  <r>
    <x v="4"/>
    <x v="9"/>
    <x v="1"/>
    <x v="2"/>
    <x v="1"/>
    <x v="1"/>
    <n v="167.37698226820149"/>
    <m/>
  </r>
  <r>
    <x v="4"/>
    <x v="9"/>
    <x v="1"/>
    <x v="3"/>
    <x v="2"/>
    <x v="0"/>
    <n v="8459.1509661924501"/>
    <n v="3060.3584999999998"/>
  </r>
  <r>
    <x v="4"/>
    <x v="9"/>
    <x v="1"/>
    <x v="3"/>
    <x v="2"/>
    <x v="1"/>
    <n v="76147.860302965797"/>
    <n v="28107.686000000002"/>
  </r>
  <r>
    <x v="4"/>
    <x v="9"/>
    <x v="1"/>
    <x v="3"/>
    <x v="3"/>
    <x v="0"/>
    <n v="603.74233257651895"/>
    <m/>
  </r>
  <r>
    <x v="4"/>
    <x v="9"/>
    <x v="1"/>
    <x v="3"/>
    <x v="3"/>
    <x v="1"/>
    <n v="1533.3166543620421"/>
    <m/>
  </r>
  <r>
    <x v="4"/>
    <x v="9"/>
    <x v="1"/>
    <x v="3"/>
    <x v="7"/>
    <x v="0"/>
    <n v="801.51963905330399"/>
    <n v="206.20500000000001"/>
  </r>
  <r>
    <x v="4"/>
    <x v="9"/>
    <x v="1"/>
    <x v="3"/>
    <x v="7"/>
    <x v="1"/>
    <n v="4633.5665125102796"/>
    <n v="1525.4662000000001"/>
  </r>
  <r>
    <x v="4"/>
    <x v="9"/>
    <x v="1"/>
    <x v="3"/>
    <x v="5"/>
    <x v="0"/>
    <n v="350.23966280469898"/>
    <m/>
  </r>
  <r>
    <x v="4"/>
    <x v="9"/>
    <x v="1"/>
    <x v="3"/>
    <x v="5"/>
    <x v="1"/>
    <n v="800.834144369726"/>
    <m/>
  </r>
  <r>
    <x v="4"/>
    <x v="9"/>
    <x v="1"/>
    <x v="3"/>
    <x v="6"/>
    <x v="0"/>
    <n v="58.251074595555103"/>
    <m/>
  </r>
  <r>
    <x v="4"/>
    <x v="9"/>
    <x v="1"/>
    <x v="3"/>
    <x v="6"/>
    <x v="1"/>
    <n v="136.7520791779483"/>
    <m/>
  </r>
  <r>
    <x v="4"/>
    <x v="9"/>
    <x v="1"/>
    <x v="3"/>
    <x v="1"/>
    <x v="0"/>
    <n v="83.552869282329098"/>
    <m/>
  </r>
  <r>
    <x v="4"/>
    <x v="9"/>
    <x v="1"/>
    <x v="3"/>
    <x v="1"/>
    <x v="1"/>
    <n v="340.36286626573798"/>
    <m/>
  </r>
  <r>
    <x v="4"/>
    <x v="9"/>
    <x v="1"/>
    <x v="4"/>
    <x v="2"/>
    <x v="0"/>
    <n v="16.5676535510805"/>
    <m/>
  </r>
  <r>
    <x v="4"/>
    <x v="9"/>
    <x v="1"/>
    <x v="4"/>
    <x v="2"/>
    <x v="1"/>
    <n v="43528.497603812328"/>
    <n v="17194.964899999999"/>
  </r>
  <r>
    <x v="4"/>
    <x v="9"/>
    <x v="1"/>
    <x v="4"/>
    <x v="6"/>
    <x v="0"/>
    <n v="1093.3187500074"/>
    <m/>
  </r>
  <r>
    <x v="4"/>
    <x v="9"/>
    <x v="1"/>
    <x v="4"/>
    <x v="6"/>
    <x v="1"/>
    <n v="126393.4747221385"/>
    <n v="27511.3243"/>
  </r>
  <r>
    <x v="4"/>
    <x v="9"/>
    <x v="2"/>
    <x v="5"/>
    <x v="2"/>
    <x v="0"/>
    <n v="675.33394745268299"/>
    <n v="199.52379999999999"/>
  </r>
  <r>
    <x v="4"/>
    <x v="9"/>
    <x v="2"/>
    <x v="5"/>
    <x v="2"/>
    <x v="1"/>
    <n v="2975.8548560652998"/>
    <n v="975.09640000000002"/>
  </r>
  <r>
    <x v="4"/>
    <x v="9"/>
    <x v="2"/>
    <x v="5"/>
    <x v="3"/>
    <x v="0"/>
    <n v="0.1085602096408"/>
    <m/>
  </r>
  <r>
    <x v="4"/>
    <x v="9"/>
    <x v="2"/>
    <x v="5"/>
    <x v="3"/>
    <x v="1"/>
    <n v="1.4710790900495001"/>
    <m/>
  </r>
  <r>
    <x v="4"/>
    <x v="9"/>
    <x v="2"/>
    <x v="5"/>
    <x v="8"/>
    <x v="0"/>
    <n v="2.9640869477313001"/>
    <m/>
  </r>
  <r>
    <x v="4"/>
    <x v="9"/>
    <x v="2"/>
    <x v="5"/>
    <x v="8"/>
    <x v="1"/>
    <n v="2.5622410417186998"/>
    <m/>
  </r>
  <r>
    <x v="4"/>
    <x v="9"/>
    <x v="2"/>
    <x v="5"/>
    <x v="7"/>
    <x v="0"/>
    <n v="141.31739828939851"/>
    <n v="30.954599999999999"/>
  </r>
  <r>
    <x v="4"/>
    <x v="9"/>
    <x v="2"/>
    <x v="5"/>
    <x v="7"/>
    <x v="1"/>
    <n v="799.27672180559"/>
    <n v="315.08580000000001"/>
  </r>
  <r>
    <x v="4"/>
    <x v="9"/>
    <x v="2"/>
    <x v="5"/>
    <x v="1"/>
    <x v="0"/>
    <n v="6.1462615919442998"/>
    <m/>
  </r>
  <r>
    <x v="4"/>
    <x v="9"/>
    <x v="2"/>
    <x v="5"/>
    <x v="1"/>
    <x v="1"/>
    <n v="6.0938510060502997"/>
    <m/>
  </r>
  <r>
    <x v="4"/>
    <x v="9"/>
    <x v="2"/>
    <x v="5"/>
    <x v="9"/>
    <x v="0"/>
    <n v="1.8509923602239999"/>
    <m/>
  </r>
  <r>
    <x v="4"/>
    <x v="9"/>
    <x v="2"/>
    <x v="5"/>
    <x v="9"/>
    <x v="1"/>
    <n v="1.6290090907653001"/>
    <m/>
  </r>
  <r>
    <x v="4"/>
    <x v="9"/>
    <x v="2"/>
    <x v="6"/>
    <x v="0"/>
    <x v="0"/>
    <n v="30.587707556450699"/>
    <n v="5.3198999999999996"/>
  </r>
  <r>
    <x v="4"/>
    <x v="9"/>
    <x v="2"/>
    <x v="6"/>
    <x v="0"/>
    <x v="1"/>
    <n v="378.91147435183001"/>
    <n v="83.5488"/>
  </r>
  <r>
    <x v="4"/>
    <x v="9"/>
    <x v="2"/>
    <x v="6"/>
    <x v="1"/>
    <x v="0"/>
    <n v="382.511328635859"/>
    <n v="121.5042"/>
  </r>
  <r>
    <x v="4"/>
    <x v="9"/>
    <x v="2"/>
    <x v="6"/>
    <x v="1"/>
    <x v="1"/>
    <n v="776.43491080828005"/>
    <n v="191.08580000000001"/>
  </r>
  <r>
    <x v="4"/>
    <x v="9"/>
    <x v="2"/>
    <x v="7"/>
    <x v="2"/>
    <x v="1"/>
    <n v="4854.0954880740501"/>
    <n v="2554.7831000000001"/>
  </r>
  <r>
    <x v="4"/>
    <x v="10"/>
    <x v="0"/>
    <x v="0"/>
    <x v="0"/>
    <x v="0"/>
    <n v="1034.7691810578817"/>
    <n v="169.2122"/>
  </r>
  <r>
    <x v="4"/>
    <x v="10"/>
    <x v="0"/>
    <x v="0"/>
    <x v="0"/>
    <x v="1"/>
    <n v="4696.1544536234069"/>
    <n v="863.2953"/>
  </r>
  <r>
    <x v="4"/>
    <x v="10"/>
    <x v="0"/>
    <x v="0"/>
    <x v="1"/>
    <x v="0"/>
    <n v="57528.880364717639"/>
    <n v="9231.4578000000001"/>
  </r>
  <r>
    <x v="4"/>
    <x v="10"/>
    <x v="0"/>
    <x v="0"/>
    <x v="1"/>
    <x v="1"/>
    <n v="22163.682648866088"/>
    <n v="2611.0549999999998"/>
  </r>
  <r>
    <x v="4"/>
    <x v="10"/>
    <x v="0"/>
    <x v="1"/>
    <x v="0"/>
    <x v="0"/>
    <n v="1106.616418091977"/>
    <n v="265.01530000000002"/>
  </r>
  <r>
    <x v="4"/>
    <x v="10"/>
    <x v="0"/>
    <x v="1"/>
    <x v="0"/>
    <x v="1"/>
    <n v="2393.5270204925096"/>
    <n v="553.21500000000003"/>
  </r>
  <r>
    <x v="4"/>
    <x v="10"/>
    <x v="0"/>
    <x v="1"/>
    <x v="1"/>
    <x v="0"/>
    <n v="32647.555779859824"/>
    <n v="8726.2319000000007"/>
  </r>
  <r>
    <x v="4"/>
    <x v="10"/>
    <x v="0"/>
    <x v="1"/>
    <x v="1"/>
    <x v="1"/>
    <n v="45557.105580783093"/>
    <n v="6822.9838"/>
  </r>
  <r>
    <x v="4"/>
    <x v="10"/>
    <x v="1"/>
    <x v="2"/>
    <x v="2"/>
    <x v="0"/>
    <n v="19936.869982905802"/>
    <n v="5814.5914000000002"/>
  </r>
  <r>
    <x v="4"/>
    <x v="10"/>
    <x v="1"/>
    <x v="2"/>
    <x v="2"/>
    <x v="1"/>
    <n v="142308.81429886469"/>
    <n v="49669.605900000002"/>
  </r>
  <r>
    <x v="4"/>
    <x v="10"/>
    <x v="1"/>
    <x v="2"/>
    <x v="3"/>
    <x v="0"/>
    <n v="388.96901216052203"/>
    <m/>
  </r>
  <r>
    <x v="4"/>
    <x v="10"/>
    <x v="1"/>
    <x v="2"/>
    <x v="3"/>
    <x v="1"/>
    <n v="426.69615356416529"/>
    <m/>
  </r>
  <r>
    <x v="4"/>
    <x v="10"/>
    <x v="1"/>
    <x v="2"/>
    <x v="4"/>
    <x v="0"/>
    <n v="3.0675618367510999"/>
    <m/>
  </r>
  <r>
    <x v="4"/>
    <x v="10"/>
    <x v="1"/>
    <x v="2"/>
    <x v="4"/>
    <x v="1"/>
    <n v="48.941538509972197"/>
    <m/>
  </r>
  <r>
    <x v="4"/>
    <x v="10"/>
    <x v="1"/>
    <x v="2"/>
    <x v="5"/>
    <x v="0"/>
    <n v="322.49277463684422"/>
    <m/>
  </r>
  <r>
    <x v="4"/>
    <x v="10"/>
    <x v="1"/>
    <x v="2"/>
    <x v="5"/>
    <x v="1"/>
    <n v="846.68019320805763"/>
    <n v="13.295"/>
  </r>
  <r>
    <x v="4"/>
    <x v="10"/>
    <x v="1"/>
    <x v="2"/>
    <x v="6"/>
    <x v="0"/>
    <n v="6197.5449648187223"/>
    <m/>
  </r>
  <r>
    <x v="4"/>
    <x v="10"/>
    <x v="1"/>
    <x v="2"/>
    <x v="6"/>
    <x v="1"/>
    <n v="15470.924635277859"/>
    <m/>
  </r>
  <r>
    <x v="4"/>
    <x v="10"/>
    <x v="1"/>
    <x v="2"/>
    <x v="1"/>
    <x v="0"/>
    <n v="1271.4519603873666"/>
    <n v="45.122799999999998"/>
  </r>
  <r>
    <x v="4"/>
    <x v="10"/>
    <x v="1"/>
    <x v="2"/>
    <x v="1"/>
    <x v="1"/>
    <n v="3020.5330571542354"/>
    <m/>
  </r>
  <r>
    <x v="4"/>
    <x v="10"/>
    <x v="1"/>
    <x v="3"/>
    <x v="2"/>
    <x v="0"/>
    <n v="33175.657928469467"/>
    <n v="8648.5097000000005"/>
  </r>
  <r>
    <x v="4"/>
    <x v="10"/>
    <x v="1"/>
    <x v="3"/>
    <x v="2"/>
    <x v="1"/>
    <n v="143147.41218426405"/>
    <n v="41068.489200000004"/>
  </r>
  <r>
    <x v="4"/>
    <x v="10"/>
    <x v="1"/>
    <x v="3"/>
    <x v="3"/>
    <x v="0"/>
    <n v="1286.5097568999317"/>
    <m/>
  </r>
  <r>
    <x v="4"/>
    <x v="10"/>
    <x v="1"/>
    <x v="3"/>
    <x v="3"/>
    <x v="1"/>
    <n v="3177.8880831586707"/>
    <m/>
  </r>
  <r>
    <x v="4"/>
    <x v="10"/>
    <x v="1"/>
    <x v="3"/>
    <x v="7"/>
    <x v="0"/>
    <n v="31178.293258147165"/>
    <n v="8702.6985999999997"/>
  </r>
  <r>
    <x v="4"/>
    <x v="10"/>
    <x v="1"/>
    <x v="3"/>
    <x v="7"/>
    <x v="1"/>
    <n v="91671.117789963915"/>
    <n v="28809.6891"/>
  </r>
  <r>
    <x v="4"/>
    <x v="10"/>
    <x v="1"/>
    <x v="3"/>
    <x v="5"/>
    <x v="0"/>
    <n v="1099.7300416942751"/>
    <m/>
  </r>
  <r>
    <x v="4"/>
    <x v="10"/>
    <x v="1"/>
    <x v="3"/>
    <x v="5"/>
    <x v="1"/>
    <n v="2819.6945059203977"/>
    <m/>
  </r>
  <r>
    <x v="4"/>
    <x v="10"/>
    <x v="1"/>
    <x v="3"/>
    <x v="6"/>
    <x v="0"/>
    <n v="6.1716125857600002E-2"/>
    <m/>
  </r>
  <r>
    <x v="4"/>
    <x v="10"/>
    <x v="1"/>
    <x v="3"/>
    <x v="6"/>
    <x v="1"/>
    <n v="0.1587143543833"/>
    <m/>
  </r>
  <r>
    <x v="4"/>
    <x v="10"/>
    <x v="1"/>
    <x v="3"/>
    <x v="1"/>
    <x v="0"/>
    <n v="934.16755269558007"/>
    <n v="8.7240000000000002"/>
  </r>
  <r>
    <x v="4"/>
    <x v="10"/>
    <x v="1"/>
    <x v="3"/>
    <x v="1"/>
    <x v="1"/>
    <n v="1876.3619360262617"/>
    <m/>
  </r>
  <r>
    <x v="4"/>
    <x v="10"/>
    <x v="1"/>
    <x v="4"/>
    <x v="2"/>
    <x v="0"/>
    <n v="3.0493941000000002E-6"/>
    <m/>
  </r>
  <r>
    <x v="4"/>
    <x v="10"/>
    <x v="1"/>
    <x v="4"/>
    <x v="2"/>
    <x v="1"/>
    <n v="6655.5379887349272"/>
    <n v="5536.2763000000004"/>
  </r>
  <r>
    <x v="4"/>
    <x v="10"/>
    <x v="1"/>
    <x v="4"/>
    <x v="5"/>
    <x v="1"/>
    <n v="2.7347357981099999E-2"/>
    <m/>
  </r>
  <r>
    <x v="4"/>
    <x v="10"/>
    <x v="1"/>
    <x v="4"/>
    <x v="6"/>
    <x v="0"/>
    <n v="1.7691472429999999E-4"/>
    <m/>
  </r>
  <r>
    <x v="4"/>
    <x v="10"/>
    <x v="1"/>
    <x v="4"/>
    <x v="6"/>
    <x v="1"/>
    <n v="9145.2793057351846"/>
    <n v="7569.0226000000002"/>
  </r>
  <r>
    <x v="4"/>
    <x v="10"/>
    <x v="2"/>
    <x v="5"/>
    <x v="2"/>
    <x v="0"/>
    <n v="4341.5828856287953"/>
    <n v="2125.3537000000001"/>
  </r>
  <r>
    <x v="4"/>
    <x v="10"/>
    <x v="2"/>
    <x v="5"/>
    <x v="2"/>
    <x v="1"/>
    <n v="45277.545965110927"/>
    <n v="16397.1839"/>
  </r>
  <r>
    <x v="4"/>
    <x v="10"/>
    <x v="2"/>
    <x v="5"/>
    <x v="3"/>
    <x v="0"/>
    <n v="3.8296333475450002"/>
    <m/>
  </r>
  <r>
    <x v="4"/>
    <x v="10"/>
    <x v="2"/>
    <x v="5"/>
    <x v="8"/>
    <x v="0"/>
    <n v="980.45201820532986"/>
    <n v="474.12369999999999"/>
  </r>
  <r>
    <x v="4"/>
    <x v="10"/>
    <x v="2"/>
    <x v="5"/>
    <x v="8"/>
    <x v="1"/>
    <n v="616.42389008458588"/>
    <n v="275.59480000000002"/>
  </r>
  <r>
    <x v="4"/>
    <x v="10"/>
    <x v="2"/>
    <x v="5"/>
    <x v="7"/>
    <x v="0"/>
    <n v="5790.497881284874"/>
    <n v="2628.4542000000001"/>
  </r>
  <r>
    <x v="4"/>
    <x v="10"/>
    <x v="2"/>
    <x v="5"/>
    <x v="7"/>
    <x v="1"/>
    <n v="17090.930887385508"/>
    <n v="5261.8657000000003"/>
  </r>
  <r>
    <x v="4"/>
    <x v="10"/>
    <x v="2"/>
    <x v="5"/>
    <x v="1"/>
    <x v="0"/>
    <n v="63.504987115580001"/>
    <m/>
  </r>
  <r>
    <x v="4"/>
    <x v="10"/>
    <x v="2"/>
    <x v="5"/>
    <x v="1"/>
    <x v="1"/>
    <n v="109.71758896066039"/>
    <m/>
  </r>
  <r>
    <x v="4"/>
    <x v="10"/>
    <x v="2"/>
    <x v="5"/>
    <x v="9"/>
    <x v="0"/>
    <n v="6.2561957253723"/>
    <m/>
  </r>
  <r>
    <x v="4"/>
    <x v="10"/>
    <x v="2"/>
    <x v="5"/>
    <x v="9"/>
    <x v="1"/>
    <n v="71.404362815422999"/>
    <m/>
  </r>
  <r>
    <x v="4"/>
    <x v="10"/>
    <x v="2"/>
    <x v="6"/>
    <x v="0"/>
    <x v="0"/>
    <n v="2638.6426559020274"/>
    <n v="1093.5328999999999"/>
  </r>
  <r>
    <x v="4"/>
    <x v="10"/>
    <x v="2"/>
    <x v="6"/>
    <x v="0"/>
    <x v="1"/>
    <n v="11427.978882733147"/>
    <n v="2500.3298"/>
  </r>
  <r>
    <x v="4"/>
    <x v="10"/>
    <x v="2"/>
    <x v="6"/>
    <x v="1"/>
    <x v="0"/>
    <n v="16247.720590663472"/>
    <n v="6328.4304000000002"/>
  </r>
  <r>
    <x v="4"/>
    <x v="10"/>
    <x v="2"/>
    <x v="6"/>
    <x v="1"/>
    <x v="1"/>
    <n v="24507.63879694185"/>
    <n v="9107.5154999999995"/>
  </r>
  <r>
    <x v="4"/>
    <x v="10"/>
    <x v="2"/>
    <x v="7"/>
    <x v="2"/>
    <x v="1"/>
    <n v="6698.1557913498791"/>
    <n v="3049.1587"/>
  </r>
  <r>
    <x v="5"/>
    <x v="0"/>
    <x v="0"/>
    <x v="0"/>
    <x v="0"/>
    <x v="0"/>
    <n v="37.914591091317099"/>
    <n v="10.843999999999999"/>
  </r>
  <r>
    <x v="5"/>
    <x v="0"/>
    <x v="0"/>
    <x v="0"/>
    <x v="0"/>
    <x v="1"/>
    <n v="194.52150689534761"/>
    <n v="40.335900000000002"/>
  </r>
  <r>
    <x v="5"/>
    <x v="0"/>
    <x v="0"/>
    <x v="0"/>
    <x v="1"/>
    <x v="0"/>
    <n v="11929.547218887677"/>
    <n v="1811.6337000000001"/>
  </r>
  <r>
    <x v="5"/>
    <x v="0"/>
    <x v="0"/>
    <x v="0"/>
    <x v="1"/>
    <x v="1"/>
    <n v="3911.9673904130518"/>
    <n v="455.18180000000001"/>
  </r>
  <r>
    <x v="5"/>
    <x v="0"/>
    <x v="0"/>
    <x v="1"/>
    <x v="0"/>
    <x v="0"/>
    <n v="169.18590884994961"/>
    <n v="58.6312"/>
  </r>
  <r>
    <x v="5"/>
    <x v="0"/>
    <x v="0"/>
    <x v="1"/>
    <x v="0"/>
    <x v="1"/>
    <n v="240.2344799304272"/>
    <n v="83.859499999999997"/>
  </r>
  <r>
    <x v="5"/>
    <x v="0"/>
    <x v="0"/>
    <x v="1"/>
    <x v="1"/>
    <x v="0"/>
    <n v="10123.72882263075"/>
    <n v="1746.0867000000001"/>
  </r>
  <r>
    <x v="5"/>
    <x v="0"/>
    <x v="0"/>
    <x v="1"/>
    <x v="1"/>
    <x v="1"/>
    <n v="9192.6112348665647"/>
    <n v="1674.2358999999999"/>
  </r>
  <r>
    <x v="5"/>
    <x v="0"/>
    <x v="1"/>
    <x v="2"/>
    <x v="2"/>
    <x v="0"/>
    <n v="2861.0881964601799"/>
    <n v="1201.6054999999999"/>
  </r>
  <r>
    <x v="5"/>
    <x v="0"/>
    <x v="1"/>
    <x v="2"/>
    <x v="2"/>
    <x v="1"/>
    <n v="22998.855239101729"/>
    <n v="9803.2518"/>
  </r>
  <r>
    <x v="5"/>
    <x v="0"/>
    <x v="1"/>
    <x v="2"/>
    <x v="3"/>
    <x v="1"/>
    <n v="2.4939137683146"/>
    <m/>
  </r>
  <r>
    <x v="5"/>
    <x v="0"/>
    <x v="1"/>
    <x v="2"/>
    <x v="4"/>
    <x v="0"/>
    <n v="7.3689297631599995E-2"/>
    <m/>
  </r>
  <r>
    <x v="5"/>
    <x v="0"/>
    <x v="1"/>
    <x v="2"/>
    <x v="4"/>
    <x v="1"/>
    <n v="3.4473088985932998"/>
    <m/>
  </r>
  <r>
    <x v="5"/>
    <x v="0"/>
    <x v="1"/>
    <x v="2"/>
    <x v="5"/>
    <x v="0"/>
    <n v="5.7608578520145999"/>
    <m/>
  </r>
  <r>
    <x v="5"/>
    <x v="0"/>
    <x v="1"/>
    <x v="2"/>
    <x v="5"/>
    <x v="1"/>
    <n v="13.912575419526201"/>
    <m/>
  </r>
  <r>
    <x v="5"/>
    <x v="0"/>
    <x v="1"/>
    <x v="2"/>
    <x v="6"/>
    <x v="0"/>
    <n v="129.19236379392399"/>
    <m/>
  </r>
  <r>
    <x v="5"/>
    <x v="0"/>
    <x v="1"/>
    <x v="2"/>
    <x v="6"/>
    <x v="1"/>
    <n v="297.18613572622849"/>
    <m/>
  </r>
  <r>
    <x v="5"/>
    <x v="0"/>
    <x v="1"/>
    <x v="2"/>
    <x v="1"/>
    <x v="0"/>
    <n v="64.414446020400604"/>
    <m/>
  </r>
  <r>
    <x v="5"/>
    <x v="0"/>
    <x v="1"/>
    <x v="2"/>
    <x v="1"/>
    <x v="1"/>
    <n v="48.988735751655597"/>
    <m/>
  </r>
  <r>
    <x v="5"/>
    <x v="0"/>
    <x v="1"/>
    <x v="3"/>
    <x v="2"/>
    <x v="0"/>
    <n v="7444.8068612820207"/>
    <n v="2697.8584000000001"/>
  </r>
  <r>
    <x v="5"/>
    <x v="0"/>
    <x v="1"/>
    <x v="3"/>
    <x v="2"/>
    <x v="1"/>
    <n v="49865.844550911352"/>
    <n v="18838.044999999998"/>
  </r>
  <r>
    <x v="5"/>
    <x v="0"/>
    <x v="1"/>
    <x v="3"/>
    <x v="3"/>
    <x v="0"/>
    <n v="3.9124911437362999"/>
    <m/>
  </r>
  <r>
    <x v="5"/>
    <x v="0"/>
    <x v="1"/>
    <x v="3"/>
    <x v="3"/>
    <x v="1"/>
    <n v="10.522715513553299"/>
    <m/>
  </r>
  <r>
    <x v="5"/>
    <x v="0"/>
    <x v="1"/>
    <x v="3"/>
    <x v="7"/>
    <x v="0"/>
    <n v="1438.8764383763908"/>
    <n v="586.96140000000003"/>
  </r>
  <r>
    <x v="5"/>
    <x v="0"/>
    <x v="1"/>
    <x v="3"/>
    <x v="7"/>
    <x v="1"/>
    <n v="10163.841587176224"/>
    <n v="4285.4723999999997"/>
  </r>
  <r>
    <x v="5"/>
    <x v="0"/>
    <x v="1"/>
    <x v="3"/>
    <x v="5"/>
    <x v="0"/>
    <n v="62.455431545540499"/>
    <m/>
  </r>
  <r>
    <x v="5"/>
    <x v="0"/>
    <x v="1"/>
    <x v="3"/>
    <x v="5"/>
    <x v="1"/>
    <n v="161.42765546035059"/>
    <m/>
  </r>
  <r>
    <x v="5"/>
    <x v="0"/>
    <x v="1"/>
    <x v="3"/>
    <x v="6"/>
    <x v="0"/>
    <n v="22.145275188570199"/>
    <m/>
  </r>
  <r>
    <x v="5"/>
    <x v="0"/>
    <x v="1"/>
    <x v="3"/>
    <x v="6"/>
    <x v="1"/>
    <n v="60.296406939285603"/>
    <m/>
  </r>
  <r>
    <x v="5"/>
    <x v="0"/>
    <x v="1"/>
    <x v="3"/>
    <x v="1"/>
    <x v="0"/>
    <n v="86.472013157137397"/>
    <m/>
  </r>
  <r>
    <x v="5"/>
    <x v="0"/>
    <x v="1"/>
    <x v="3"/>
    <x v="1"/>
    <x v="1"/>
    <n v="145.3576211882677"/>
    <m/>
  </r>
  <r>
    <x v="5"/>
    <x v="0"/>
    <x v="1"/>
    <x v="4"/>
    <x v="2"/>
    <x v="1"/>
    <n v="11889.218647115042"/>
    <n v="12642.762199999999"/>
  </r>
  <r>
    <x v="5"/>
    <x v="0"/>
    <x v="1"/>
    <x v="4"/>
    <x v="6"/>
    <x v="1"/>
    <n v="3208.8401174433052"/>
    <n v="4180.7431999999999"/>
  </r>
  <r>
    <x v="5"/>
    <x v="0"/>
    <x v="1"/>
    <x v="4"/>
    <x v="1"/>
    <x v="1"/>
    <n v="-7.9745514000000006E-6"/>
    <m/>
  </r>
  <r>
    <x v="5"/>
    <x v="0"/>
    <x v="2"/>
    <x v="5"/>
    <x v="2"/>
    <x v="0"/>
    <n v="2321.686685847526"/>
    <n v="580.94000000000005"/>
  </r>
  <r>
    <x v="5"/>
    <x v="0"/>
    <x v="2"/>
    <x v="5"/>
    <x v="2"/>
    <x v="1"/>
    <n v="12596.02239834857"/>
    <n v="2795.9177"/>
  </r>
  <r>
    <x v="5"/>
    <x v="0"/>
    <x v="2"/>
    <x v="5"/>
    <x v="3"/>
    <x v="0"/>
    <n v="0.40040173072969998"/>
    <m/>
  </r>
  <r>
    <x v="5"/>
    <x v="0"/>
    <x v="2"/>
    <x v="5"/>
    <x v="8"/>
    <x v="0"/>
    <n v="9.6464310781621005"/>
    <n v="3.6093999999999999"/>
  </r>
  <r>
    <x v="5"/>
    <x v="0"/>
    <x v="2"/>
    <x v="5"/>
    <x v="8"/>
    <x v="1"/>
    <n v="11.492500798658501"/>
    <n v="5.8879999999999999"/>
  </r>
  <r>
    <x v="5"/>
    <x v="0"/>
    <x v="2"/>
    <x v="5"/>
    <x v="7"/>
    <x v="0"/>
    <n v="202.82356068537919"/>
    <n v="53.6402"/>
  </r>
  <r>
    <x v="5"/>
    <x v="0"/>
    <x v="2"/>
    <x v="5"/>
    <x v="7"/>
    <x v="1"/>
    <n v="1302.6930820388459"/>
    <n v="289.29649999999998"/>
  </r>
  <r>
    <x v="5"/>
    <x v="0"/>
    <x v="2"/>
    <x v="5"/>
    <x v="1"/>
    <x v="0"/>
    <n v="8.1183084462820005"/>
    <m/>
  </r>
  <r>
    <x v="5"/>
    <x v="0"/>
    <x v="2"/>
    <x v="5"/>
    <x v="1"/>
    <x v="1"/>
    <n v="26.565818599475701"/>
    <m/>
  </r>
  <r>
    <x v="5"/>
    <x v="0"/>
    <x v="2"/>
    <x v="5"/>
    <x v="9"/>
    <x v="0"/>
    <n v="0.43290482105049999"/>
    <m/>
  </r>
  <r>
    <x v="5"/>
    <x v="0"/>
    <x v="2"/>
    <x v="5"/>
    <x v="9"/>
    <x v="1"/>
    <n v="2.2319938136488999"/>
    <m/>
  </r>
  <r>
    <x v="5"/>
    <x v="0"/>
    <x v="2"/>
    <x v="6"/>
    <x v="0"/>
    <x v="0"/>
    <n v="231.0731622703112"/>
    <n v="74.793899999999994"/>
  </r>
  <r>
    <x v="5"/>
    <x v="0"/>
    <x v="2"/>
    <x v="6"/>
    <x v="0"/>
    <x v="1"/>
    <n v="1124.7427622778591"/>
    <n v="342.18740000000003"/>
  </r>
  <r>
    <x v="5"/>
    <x v="0"/>
    <x v="2"/>
    <x v="6"/>
    <x v="1"/>
    <x v="0"/>
    <n v="2853.7467273314551"/>
    <n v="858.82960000000003"/>
  </r>
  <r>
    <x v="5"/>
    <x v="0"/>
    <x v="2"/>
    <x v="6"/>
    <x v="1"/>
    <x v="1"/>
    <n v="3039.2846729382718"/>
    <n v="770.10350000000005"/>
  </r>
  <r>
    <x v="5"/>
    <x v="0"/>
    <x v="2"/>
    <x v="7"/>
    <x v="2"/>
    <x v="1"/>
    <n v="10657.545527078291"/>
    <n v="1764.7195999999999"/>
  </r>
  <r>
    <x v="5"/>
    <x v="1"/>
    <x v="0"/>
    <x v="0"/>
    <x v="0"/>
    <x v="0"/>
    <n v="216.22238224143041"/>
    <n v="57.024099999999997"/>
  </r>
  <r>
    <x v="5"/>
    <x v="1"/>
    <x v="0"/>
    <x v="0"/>
    <x v="0"/>
    <x v="1"/>
    <n v="146.80007063791459"/>
    <n v="36.254100000000001"/>
  </r>
  <r>
    <x v="5"/>
    <x v="1"/>
    <x v="0"/>
    <x v="0"/>
    <x v="1"/>
    <x v="0"/>
    <n v="24946.781023538409"/>
    <n v="5689.9705999999996"/>
  </r>
  <r>
    <x v="5"/>
    <x v="1"/>
    <x v="0"/>
    <x v="0"/>
    <x v="1"/>
    <x v="1"/>
    <n v="15579.08171022979"/>
    <n v="2867.85"/>
  </r>
  <r>
    <x v="5"/>
    <x v="1"/>
    <x v="0"/>
    <x v="1"/>
    <x v="0"/>
    <x v="0"/>
    <n v="394.90317559636549"/>
    <n v="86.870099999999994"/>
  </r>
  <r>
    <x v="5"/>
    <x v="1"/>
    <x v="0"/>
    <x v="1"/>
    <x v="0"/>
    <x v="1"/>
    <n v="190.13311144809489"/>
    <n v="40.218499999999999"/>
  </r>
  <r>
    <x v="5"/>
    <x v="1"/>
    <x v="0"/>
    <x v="1"/>
    <x v="1"/>
    <x v="0"/>
    <n v="21070.243054609029"/>
    <n v="4476.1899000000003"/>
  </r>
  <r>
    <x v="5"/>
    <x v="1"/>
    <x v="0"/>
    <x v="1"/>
    <x v="1"/>
    <x v="1"/>
    <n v="29009.455322705511"/>
    <n v="6213.5255999999999"/>
  </r>
  <r>
    <x v="5"/>
    <x v="1"/>
    <x v="1"/>
    <x v="2"/>
    <x v="2"/>
    <x v="0"/>
    <n v="56167.056296416151"/>
    <n v="23469.198100000001"/>
  </r>
  <r>
    <x v="5"/>
    <x v="1"/>
    <x v="1"/>
    <x v="2"/>
    <x v="2"/>
    <x v="1"/>
    <n v="492460.14703695639"/>
    <n v="199589.8094"/>
  </r>
  <r>
    <x v="5"/>
    <x v="1"/>
    <x v="1"/>
    <x v="2"/>
    <x v="3"/>
    <x v="0"/>
    <n v="63.537232452811601"/>
    <m/>
  </r>
  <r>
    <x v="5"/>
    <x v="1"/>
    <x v="1"/>
    <x v="2"/>
    <x v="3"/>
    <x v="1"/>
    <n v="87.188027693652103"/>
    <m/>
  </r>
  <r>
    <x v="5"/>
    <x v="1"/>
    <x v="1"/>
    <x v="2"/>
    <x v="5"/>
    <x v="0"/>
    <n v="122.4013334450557"/>
    <m/>
  </r>
  <r>
    <x v="5"/>
    <x v="1"/>
    <x v="1"/>
    <x v="2"/>
    <x v="5"/>
    <x v="1"/>
    <n v="652.18723158179785"/>
    <m/>
  </r>
  <r>
    <x v="5"/>
    <x v="1"/>
    <x v="1"/>
    <x v="2"/>
    <x v="6"/>
    <x v="0"/>
    <n v="2789.1935526225038"/>
    <m/>
  </r>
  <r>
    <x v="5"/>
    <x v="1"/>
    <x v="1"/>
    <x v="2"/>
    <x v="6"/>
    <x v="1"/>
    <n v="17752.860821753686"/>
    <m/>
  </r>
  <r>
    <x v="5"/>
    <x v="1"/>
    <x v="1"/>
    <x v="2"/>
    <x v="1"/>
    <x v="0"/>
    <n v="146.5622735704531"/>
    <m/>
  </r>
  <r>
    <x v="5"/>
    <x v="1"/>
    <x v="1"/>
    <x v="2"/>
    <x v="1"/>
    <x v="1"/>
    <n v="824.62999356168427"/>
    <m/>
  </r>
  <r>
    <x v="5"/>
    <x v="1"/>
    <x v="1"/>
    <x v="3"/>
    <x v="2"/>
    <x v="0"/>
    <n v="18247.198804072661"/>
    <n v="6524.1691000000001"/>
  </r>
  <r>
    <x v="5"/>
    <x v="1"/>
    <x v="1"/>
    <x v="3"/>
    <x v="2"/>
    <x v="1"/>
    <n v="135130.80655071483"/>
    <n v="50681.716200000003"/>
  </r>
  <r>
    <x v="5"/>
    <x v="1"/>
    <x v="1"/>
    <x v="3"/>
    <x v="3"/>
    <x v="0"/>
    <n v="312.82563763298498"/>
    <m/>
  </r>
  <r>
    <x v="5"/>
    <x v="1"/>
    <x v="1"/>
    <x v="3"/>
    <x v="3"/>
    <x v="1"/>
    <n v="1608.4526713836869"/>
    <m/>
  </r>
  <r>
    <x v="5"/>
    <x v="1"/>
    <x v="1"/>
    <x v="3"/>
    <x v="7"/>
    <x v="0"/>
    <n v="7721.2814644825503"/>
    <n v="2955.8595999999998"/>
  </r>
  <r>
    <x v="5"/>
    <x v="1"/>
    <x v="1"/>
    <x v="3"/>
    <x v="7"/>
    <x v="1"/>
    <n v="28612.691531021519"/>
    <n v="11120.297699999999"/>
  </r>
  <r>
    <x v="5"/>
    <x v="1"/>
    <x v="1"/>
    <x v="3"/>
    <x v="5"/>
    <x v="0"/>
    <n v="99.619973868786204"/>
    <m/>
  </r>
  <r>
    <x v="5"/>
    <x v="1"/>
    <x v="1"/>
    <x v="3"/>
    <x v="5"/>
    <x v="1"/>
    <n v="497.58209398986008"/>
    <m/>
  </r>
  <r>
    <x v="5"/>
    <x v="1"/>
    <x v="1"/>
    <x v="3"/>
    <x v="6"/>
    <x v="0"/>
    <n v="84.259337431726607"/>
    <m/>
  </r>
  <r>
    <x v="5"/>
    <x v="1"/>
    <x v="1"/>
    <x v="3"/>
    <x v="6"/>
    <x v="1"/>
    <n v="411.38453291935372"/>
    <m/>
  </r>
  <r>
    <x v="5"/>
    <x v="1"/>
    <x v="1"/>
    <x v="3"/>
    <x v="1"/>
    <x v="0"/>
    <n v="215.96518694826679"/>
    <m/>
  </r>
  <r>
    <x v="5"/>
    <x v="1"/>
    <x v="1"/>
    <x v="3"/>
    <x v="1"/>
    <x v="1"/>
    <n v="1042.8628514868669"/>
    <m/>
  </r>
  <r>
    <x v="5"/>
    <x v="1"/>
    <x v="1"/>
    <x v="4"/>
    <x v="2"/>
    <x v="0"/>
    <n v="405.05226399387408"/>
    <m/>
  </r>
  <r>
    <x v="5"/>
    <x v="1"/>
    <x v="1"/>
    <x v="4"/>
    <x v="2"/>
    <x v="1"/>
    <n v="256884.81549844673"/>
    <n v="135843.12839999999"/>
  </r>
  <r>
    <x v="5"/>
    <x v="1"/>
    <x v="1"/>
    <x v="4"/>
    <x v="4"/>
    <x v="1"/>
    <n v="10.6525630005917"/>
    <m/>
  </r>
  <r>
    <x v="5"/>
    <x v="1"/>
    <x v="1"/>
    <x v="4"/>
    <x v="5"/>
    <x v="0"/>
    <n v="1.7115611870803"/>
    <m/>
  </r>
  <r>
    <x v="5"/>
    <x v="1"/>
    <x v="1"/>
    <x v="4"/>
    <x v="5"/>
    <x v="1"/>
    <n v="205.25949592528599"/>
    <m/>
  </r>
  <r>
    <x v="5"/>
    <x v="1"/>
    <x v="1"/>
    <x v="4"/>
    <x v="6"/>
    <x v="1"/>
    <n v="266586.82057714916"/>
    <n v="88828.975699999995"/>
  </r>
  <r>
    <x v="5"/>
    <x v="1"/>
    <x v="2"/>
    <x v="5"/>
    <x v="2"/>
    <x v="0"/>
    <n v="1916.712225991676"/>
    <n v="786.53599999999994"/>
  </r>
  <r>
    <x v="5"/>
    <x v="1"/>
    <x v="2"/>
    <x v="5"/>
    <x v="2"/>
    <x v="1"/>
    <n v="20845.34021058584"/>
    <n v="5839.7479999999996"/>
  </r>
  <r>
    <x v="5"/>
    <x v="1"/>
    <x v="2"/>
    <x v="5"/>
    <x v="8"/>
    <x v="0"/>
    <n v="106.8805487179695"/>
    <n v="54.385300000000001"/>
  </r>
  <r>
    <x v="5"/>
    <x v="1"/>
    <x v="2"/>
    <x v="5"/>
    <x v="8"/>
    <x v="1"/>
    <n v="3.0511959827515001"/>
    <m/>
  </r>
  <r>
    <x v="5"/>
    <x v="1"/>
    <x v="2"/>
    <x v="5"/>
    <x v="7"/>
    <x v="0"/>
    <n v="919.92978826105968"/>
    <n v="391.80259999999998"/>
  </r>
  <r>
    <x v="5"/>
    <x v="1"/>
    <x v="2"/>
    <x v="5"/>
    <x v="7"/>
    <x v="1"/>
    <n v="3094.2792835968339"/>
    <n v="914.06119999999999"/>
  </r>
  <r>
    <x v="5"/>
    <x v="1"/>
    <x v="2"/>
    <x v="5"/>
    <x v="1"/>
    <x v="0"/>
    <n v="1.2481953252207001"/>
    <m/>
  </r>
  <r>
    <x v="5"/>
    <x v="1"/>
    <x v="2"/>
    <x v="5"/>
    <x v="1"/>
    <x v="1"/>
    <n v="11.8322789137728"/>
    <m/>
  </r>
  <r>
    <x v="5"/>
    <x v="1"/>
    <x v="2"/>
    <x v="5"/>
    <x v="9"/>
    <x v="0"/>
    <n v="2.2347122482699999E-2"/>
    <m/>
  </r>
  <r>
    <x v="5"/>
    <x v="1"/>
    <x v="2"/>
    <x v="5"/>
    <x v="9"/>
    <x v="1"/>
    <n v="1.3077294358844"/>
    <m/>
  </r>
  <r>
    <x v="5"/>
    <x v="1"/>
    <x v="2"/>
    <x v="6"/>
    <x v="0"/>
    <x v="0"/>
    <n v="1100.7778078970709"/>
    <n v="338.35430000000002"/>
  </r>
  <r>
    <x v="5"/>
    <x v="1"/>
    <x v="2"/>
    <x v="6"/>
    <x v="0"/>
    <x v="1"/>
    <n v="1691.422180833596"/>
    <n v="399.78800000000001"/>
  </r>
  <r>
    <x v="5"/>
    <x v="1"/>
    <x v="2"/>
    <x v="6"/>
    <x v="1"/>
    <x v="0"/>
    <n v="4792.9872218923174"/>
    <n v="1352.1688999999999"/>
  </r>
  <r>
    <x v="5"/>
    <x v="1"/>
    <x v="2"/>
    <x v="6"/>
    <x v="1"/>
    <x v="1"/>
    <n v="10048.75810500481"/>
    <n v="2523.4142999999999"/>
  </r>
  <r>
    <x v="5"/>
    <x v="1"/>
    <x v="2"/>
    <x v="7"/>
    <x v="2"/>
    <x v="1"/>
    <n v="10295.7780106306"/>
    <n v="3616.1376"/>
  </r>
  <r>
    <x v="5"/>
    <x v="2"/>
    <x v="0"/>
    <x v="0"/>
    <x v="0"/>
    <x v="0"/>
    <n v="52.681874896148102"/>
    <n v="12.569100000000001"/>
  </r>
  <r>
    <x v="5"/>
    <x v="2"/>
    <x v="0"/>
    <x v="0"/>
    <x v="0"/>
    <x v="1"/>
    <n v="178.037759951032"/>
    <n v="31.385899999999999"/>
  </r>
  <r>
    <x v="5"/>
    <x v="2"/>
    <x v="0"/>
    <x v="0"/>
    <x v="1"/>
    <x v="0"/>
    <n v="12507.09348588705"/>
    <n v="1783.0224000000001"/>
  </r>
  <r>
    <x v="5"/>
    <x v="2"/>
    <x v="0"/>
    <x v="0"/>
    <x v="1"/>
    <x v="1"/>
    <n v="3757.9037499257302"/>
    <n v="539.26760000000002"/>
  </r>
  <r>
    <x v="5"/>
    <x v="2"/>
    <x v="0"/>
    <x v="1"/>
    <x v="0"/>
    <x v="0"/>
    <n v="68.784622660384599"/>
    <n v="19.493500000000001"/>
  </r>
  <r>
    <x v="5"/>
    <x v="2"/>
    <x v="0"/>
    <x v="1"/>
    <x v="0"/>
    <x v="1"/>
    <n v="152.04068812122179"/>
    <n v="47.9253"/>
  </r>
  <r>
    <x v="5"/>
    <x v="2"/>
    <x v="0"/>
    <x v="1"/>
    <x v="1"/>
    <x v="0"/>
    <n v="7480.3126857654497"/>
    <n v="1632.5008"/>
  </r>
  <r>
    <x v="5"/>
    <x v="2"/>
    <x v="0"/>
    <x v="1"/>
    <x v="1"/>
    <x v="1"/>
    <n v="8975.2143859809203"/>
    <n v="2348.3420000000001"/>
  </r>
  <r>
    <x v="5"/>
    <x v="2"/>
    <x v="1"/>
    <x v="2"/>
    <x v="2"/>
    <x v="0"/>
    <n v="2433.2436467154998"/>
    <n v="1353.4304999999999"/>
  </r>
  <r>
    <x v="5"/>
    <x v="2"/>
    <x v="1"/>
    <x v="2"/>
    <x v="2"/>
    <x v="1"/>
    <n v="43138.30126688"/>
    <n v="23335.673200000001"/>
  </r>
  <r>
    <x v="5"/>
    <x v="2"/>
    <x v="1"/>
    <x v="2"/>
    <x v="4"/>
    <x v="0"/>
    <n v="1.5432357548E-2"/>
    <m/>
  </r>
  <r>
    <x v="5"/>
    <x v="2"/>
    <x v="1"/>
    <x v="2"/>
    <x v="4"/>
    <x v="1"/>
    <n v="5.0630113823399998E-2"/>
    <m/>
  </r>
  <r>
    <x v="5"/>
    <x v="2"/>
    <x v="1"/>
    <x v="2"/>
    <x v="5"/>
    <x v="0"/>
    <n v="2.9930919795967998"/>
    <m/>
  </r>
  <r>
    <x v="5"/>
    <x v="2"/>
    <x v="1"/>
    <x v="2"/>
    <x v="5"/>
    <x v="1"/>
    <n v="8.6134016454555002"/>
    <m/>
  </r>
  <r>
    <x v="5"/>
    <x v="2"/>
    <x v="1"/>
    <x v="2"/>
    <x v="6"/>
    <x v="0"/>
    <n v="64.402743241816196"/>
    <m/>
  </r>
  <r>
    <x v="5"/>
    <x v="2"/>
    <x v="1"/>
    <x v="2"/>
    <x v="6"/>
    <x v="1"/>
    <n v="230.0080779454301"/>
    <m/>
  </r>
  <r>
    <x v="5"/>
    <x v="2"/>
    <x v="1"/>
    <x v="2"/>
    <x v="1"/>
    <x v="0"/>
    <n v="13.1414197987989"/>
    <m/>
  </r>
  <r>
    <x v="5"/>
    <x v="2"/>
    <x v="1"/>
    <x v="2"/>
    <x v="1"/>
    <x v="1"/>
    <n v="29.052812403122999"/>
    <m/>
  </r>
  <r>
    <x v="5"/>
    <x v="2"/>
    <x v="1"/>
    <x v="3"/>
    <x v="2"/>
    <x v="0"/>
    <n v="2722.2337658408501"/>
    <n v="835.95860000000005"/>
  </r>
  <r>
    <x v="5"/>
    <x v="2"/>
    <x v="1"/>
    <x v="3"/>
    <x v="2"/>
    <x v="1"/>
    <n v="35715.8543705833"/>
    <n v="11407.9542"/>
  </r>
  <r>
    <x v="5"/>
    <x v="2"/>
    <x v="1"/>
    <x v="3"/>
    <x v="3"/>
    <x v="0"/>
    <n v="10.5517697391406"/>
    <m/>
  </r>
  <r>
    <x v="5"/>
    <x v="2"/>
    <x v="1"/>
    <x v="3"/>
    <x v="3"/>
    <x v="1"/>
    <n v="27.9302416441713"/>
    <m/>
  </r>
  <r>
    <x v="5"/>
    <x v="2"/>
    <x v="1"/>
    <x v="3"/>
    <x v="7"/>
    <x v="0"/>
    <n v="1956.8560233345365"/>
    <n v="667.56410000000005"/>
  </r>
  <r>
    <x v="5"/>
    <x v="2"/>
    <x v="1"/>
    <x v="3"/>
    <x v="7"/>
    <x v="1"/>
    <n v="13425.592024229738"/>
    <n v="4931.1379999999999"/>
  </r>
  <r>
    <x v="5"/>
    <x v="2"/>
    <x v="1"/>
    <x v="3"/>
    <x v="5"/>
    <x v="0"/>
    <n v="216.82291444344489"/>
    <m/>
  </r>
  <r>
    <x v="5"/>
    <x v="2"/>
    <x v="1"/>
    <x v="3"/>
    <x v="5"/>
    <x v="1"/>
    <n v="528.703670731535"/>
    <m/>
  </r>
  <r>
    <x v="5"/>
    <x v="2"/>
    <x v="1"/>
    <x v="3"/>
    <x v="6"/>
    <x v="0"/>
    <n v="70.986467865591493"/>
    <m/>
  </r>
  <r>
    <x v="5"/>
    <x v="2"/>
    <x v="1"/>
    <x v="3"/>
    <x v="6"/>
    <x v="1"/>
    <n v="187.3110701686953"/>
    <m/>
  </r>
  <r>
    <x v="5"/>
    <x v="2"/>
    <x v="1"/>
    <x v="3"/>
    <x v="1"/>
    <x v="0"/>
    <n v="103.51429481186091"/>
    <m/>
  </r>
  <r>
    <x v="5"/>
    <x v="2"/>
    <x v="1"/>
    <x v="3"/>
    <x v="1"/>
    <x v="1"/>
    <n v="383.78767675489598"/>
    <m/>
  </r>
  <r>
    <x v="5"/>
    <x v="2"/>
    <x v="1"/>
    <x v="4"/>
    <x v="2"/>
    <x v="1"/>
    <n v="21172.649531589439"/>
    <n v="14570.8971"/>
  </r>
  <r>
    <x v="5"/>
    <x v="2"/>
    <x v="1"/>
    <x v="4"/>
    <x v="5"/>
    <x v="0"/>
    <n v="1.17209311648E-2"/>
    <m/>
  </r>
  <r>
    <x v="5"/>
    <x v="2"/>
    <x v="1"/>
    <x v="4"/>
    <x v="5"/>
    <x v="1"/>
    <n v="1.17209311648E-2"/>
    <m/>
  </r>
  <r>
    <x v="5"/>
    <x v="2"/>
    <x v="1"/>
    <x v="4"/>
    <x v="6"/>
    <x v="1"/>
    <n v="8138.7894562762203"/>
    <n v="4601.3359"/>
  </r>
  <r>
    <x v="5"/>
    <x v="2"/>
    <x v="2"/>
    <x v="5"/>
    <x v="2"/>
    <x v="0"/>
    <n v="927.90572333662703"/>
    <n v="266.97129999999999"/>
  </r>
  <r>
    <x v="5"/>
    <x v="2"/>
    <x v="2"/>
    <x v="5"/>
    <x v="2"/>
    <x v="1"/>
    <n v="4155.0464570601498"/>
    <n v="1509.5998999999999"/>
  </r>
  <r>
    <x v="5"/>
    <x v="2"/>
    <x v="2"/>
    <x v="5"/>
    <x v="3"/>
    <x v="0"/>
    <n v="0.28621781863630003"/>
    <m/>
  </r>
  <r>
    <x v="5"/>
    <x v="2"/>
    <x v="2"/>
    <x v="5"/>
    <x v="8"/>
    <x v="0"/>
    <n v="3.8463866472099997E-2"/>
    <m/>
  </r>
  <r>
    <x v="5"/>
    <x v="2"/>
    <x v="2"/>
    <x v="5"/>
    <x v="8"/>
    <x v="1"/>
    <n v="1.29616295387E-2"/>
    <m/>
  </r>
  <r>
    <x v="5"/>
    <x v="2"/>
    <x v="2"/>
    <x v="5"/>
    <x v="7"/>
    <x v="0"/>
    <n v="332.70635914571182"/>
    <n v="96.254900000000006"/>
  </r>
  <r>
    <x v="5"/>
    <x v="2"/>
    <x v="2"/>
    <x v="5"/>
    <x v="7"/>
    <x v="1"/>
    <n v="521.11905154811473"/>
    <n v="200.02629999999999"/>
  </r>
  <r>
    <x v="5"/>
    <x v="2"/>
    <x v="2"/>
    <x v="5"/>
    <x v="1"/>
    <x v="0"/>
    <n v="1.1327930627174001"/>
    <m/>
  </r>
  <r>
    <x v="5"/>
    <x v="2"/>
    <x v="2"/>
    <x v="5"/>
    <x v="1"/>
    <x v="1"/>
    <n v="1.5881683605312999"/>
    <m/>
  </r>
  <r>
    <x v="5"/>
    <x v="2"/>
    <x v="2"/>
    <x v="5"/>
    <x v="9"/>
    <x v="0"/>
    <n v="0.95987200181550003"/>
    <m/>
  </r>
  <r>
    <x v="5"/>
    <x v="2"/>
    <x v="2"/>
    <x v="5"/>
    <x v="9"/>
    <x v="1"/>
    <n v="0.78649737359560001"/>
    <m/>
  </r>
  <r>
    <x v="5"/>
    <x v="2"/>
    <x v="2"/>
    <x v="6"/>
    <x v="0"/>
    <x v="0"/>
    <n v="178.20209256199959"/>
    <n v="54.050899999999999"/>
  </r>
  <r>
    <x v="5"/>
    <x v="2"/>
    <x v="2"/>
    <x v="6"/>
    <x v="0"/>
    <x v="1"/>
    <n v="429.64759722900368"/>
    <n v="91.061099999999996"/>
  </r>
  <r>
    <x v="5"/>
    <x v="2"/>
    <x v="2"/>
    <x v="6"/>
    <x v="1"/>
    <x v="0"/>
    <n v="1804.6077427412661"/>
    <n v="437.32100000000003"/>
  </r>
  <r>
    <x v="5"/>
    <x v="2"/>
    <x v="2"/>
    <x v="6"/>
    <x v="1"/>
    <x v="1"/>
    <n v="1809.9402367162961"/>
    <n v="516.01300000000003"/>
  </r>
  <r>
    <x v="5"/>
    <x v="2"/>
    <x v="2"/>
    <x v="7"/>
    <x v="2"/>
    <x v="1"/>
    <n v="2614.2420292281799"/>
    <n v="1010.5178"/>
  </r>
  <r>
    <x v="5"/>
    <x v="3"/>
    <x v="0"/>
    <x v="0"/>
    <x v="0"/>
    <x v="0"/>
    <n v="894.66114337989427"/>
    <n v="187.71090000000001"/>
  </r>
  <r>
    <x v="5"/>
    <x v="3"/>
    <x v="0"/>
    <x v="0"/>
    <x v="0"/>
    <x v="1"/>
    <n v="492.19744453583348"/>
    <n v="107.1849"/>
  </r>
  <r>
    <x v="5"/>
    <x v="3"/>
    <x v="0"/>
    <x v="0"/>
    <x v="1"/>
    <x v="0"/>
    <n v="111533.50286205098"/>
    <n v="25287.63"/>
  </r>
  <r>
    <x v="5"/>
    <x v="3"/>
    <x v="0"/>
    <x v="0"/>
    <x v="1"/>
    <x v="1"/>
    <n v="49461.813480999699"/>
    <n v="9532.2139999999999"/>
  </r>
  <r>
    <x v="5"/>
    <x v="3"/>
    <x v="0"/>
    <x v="1"/>
    <x v="0"/>
    <x v="0"/>
    <n v="1212.2619321031618"/>
    <n v="322.5566"/>
  </r>
  <r>
    <x v="5"/>
    <x v="3"/>
    <x v="0"/>
    <x v="1"/>
    <x v="0"/>
    <x v="1"/>
    <n v="1169.432640487511"/>
    <n v="302.74400000000003"/>
  </r>
  <r>
    <x v="5"/>
    <x v="3"/>
    <x v="0"/>
    <x v="1"/>
    <x v="1"/>
    <x v="0"/>
    <n v="30679.589349079361"/>
    <n v="7919.8715000000002"/>
  </r>
  <r>
    <x v="5"/>
    <x v="3"/>
    <x v="0"/>
    <x v="1"/>
    <x v="1"/>
    <x v="1"/>
    <n v="30209.399974003478"/>
    <n v="6949.6458000000002"/>
  </r>
  <r>
    <x v="5"/>
    <x v="3"/>
    <x v="1"/>
    <x v="2"/>
    <x v="2"/>
    <x v="0"/>
    <n v="104798.97441361366"/>
    <n v="41559.3655"/>
  </r>
  <r>
    <x v="5"/>
    <x v="3"/>
    <x v="1"/>
    <x v="2"/>
    <x v="2"/>
    <x v="1"/>
    <n v="520427.38597610028"/>
    <n v="189422.63959999999"/>
  </r>
  <r>
    <x v="5"/>
    <x v="3"/>
    <x v="1"/>
    <x v="2"/>
    <x v="3"/>
    <x v="0"/>
    <n v="9.7588440345316005"/>
    <m/>
  </r>
  <r>
    <x v="5"/>
    <x v="3"/>
    <x v="1"/>
    <x v="2"/>
    <x v="3"/>
    <x v="1"/>
    <n v="5.6744678715878996"/>
    <m/>
  </r>
  <r>
    <x v="5"/>
    <x v="3"/>
    <x v="1"/>
    <x v="2"/>
    <x v="5"/>
    <x v="0"/>
    <n v="182.64771084234371"/>
    <m/>
  </r>
  <r>
    <x v="5"/>
    <x v="3"/>
    <x v="1"/>
    <x v="2"/>
    <x v="5"/>
    <x v="1"/>
    <n v="907.69411487035848"/>
    <m/>
  </r>
  <r>
    <x v="5"/>
    <x v="3"/>
    <x v="1"/>
    <x v="2"/>
    <x v="6"/>
    <x v="0"/>
    <n v="1738.8346266805561"/>
    <m/>
  </r>
  <r>
    <x v="5"/>
    <x v="3"/>
    <x v="1"/>
    <x v="2"/>
    <x v="6"/>
    <x v="1"/>
    <n v="8979.9063763991653"/>
    <m/>
  </r>
  <r>
    <x v="5"/>
    <x v="3"/>
    <x v="1"/>
    <x v="2"/>
    <x v="1"/>
    <x v="0"/>
    <n v="71.031208710150395"/>
    <m/>
  </r>
  <r>
    <x v="5"/>
    <x v="3"/>
    <x v="1"/>
    <x v="2"/>
    <x v="1"/>
    <x v="1"/>
    <n v="318.18603704983019"/>
    <m/>
  </r>
  <r>
    <x v="5"/>
    <x v="3"/>
    <x v="1"/>
    <x v="3"/>
    <x v="2"/>
    <x v="0"/>
    <n v="18107.068620620637"/>
    <n v="8167.4341999999997"/>
  </r>
  <r>
    <x v="5"/>
    <x v="3"/>
    <x v="1"/>
    <x v="3"/>
    <x v="2"/>
    <x v="1"/>
    <n v="152449.38284877365"/>
    <n v="66016.806899999996"/>
  </r>
  <r>
    <x v="5"/>
    <x v="3"/>
    <x v="1"/>
    <x v="3"/>
    <x v="3"/>
    <x v="0"/>
    <n v="10.5073871774777"/>
    <m/>
  </r>
  <r>
    <x v="5"/>
    <x v="3"/>
    <x v="1"/>
    <x v="3"/>
    <x v="3"/>
    <x v="1"/>
    <n v="53.2196435971399"/>
    <m/>
  </r>
  <r>
    <x v="5"/>
    <x v="3"/>
    <x v="1"/>
    <x v="3"/>
    <x v="7"/>
    <x v="0"/>
    <n v="31893.437614134418"/>
    <n v="14549.298500000001"/>
  </r>
  <r>
    <x v="5"/>
    <x v="3"/>
    <x v="1"/>
    <x v="3"/>
    <x v="7"/>
    <x v="1"/>
    <n v="89568.392525296018"/>
    <n v="37090.089599999999"/>
  </r>
  <r>
    <x v="5"/>
    <x v="3"/>
    <x v="1"/>
    <x v="3"/>
    <x v="5"/>
    <x v="0"/>
    <n v="31.657787532971799"/>
    <m/>
  </r>
  <r>
    <x v="5"/>
    <x v="3"/>
    <x v="1"/>
    <x v="3"/>
    <x v="5"/>
    <x v="1"/>
    <n v="168.2381342185941"/>
    <m/>
  </r>
  <r>
    <x v="5"/>
    <x v="3"/>
    <x v="1"/>
    <x v="3"/>
    <x v="6"/>
    <x v="0"/>
    <n v="52.860420998245203"/>
    <m/>
  </r>
  <r>
    <x v="5"/>
    <x v="3"/>
    <x v="1"/>
    <x v="3"/>
    <x v="6"/>
    <x v="1"/>
    <n v="267.6394493657819"/>
    <m/>
  </r>
  <r>
    <x v="5"/>
    <x v="3"/>
    <x v="1"/>
    <x v="3"/>
    <x v="1"/>
    <x v="0"/>
    <n v="33.373294751404401"/>
    <m/>
  </r>
  <r>
    <x v="5"/>
    <x v="3"/>
    <x v="1"/>
    <x v="3"/>
    <x v="1"/>
    <x v="1"/>
    <n v="192.68202986936771"/>
    <m/>
  </r>
  <r>
    <x v="5"/>
    <x v="3"/>
    <x v="1"/>
    <x v="4"/>
    <x v="2"/>
    <x v="0"/>
    <n v="2599.3578562526586"/>
    <n v="1066.2427"/>
  </r>
  <r>
    <x v="5"/>
    <x v="3"/>
    <x v="1"/>
    <x v="4"/>
    <x v="2"/>
    <x v="1"/>
    <n v="229169.44462739254"/>
    <n v="93008.403600000005"/>
  </r>
  <r>
    <x v="5"/>
    <x v="3"/>
    <x v="1"/>
    <x v="4"/>
    <x v="6"/>
    <x v="0"/>
    <n v="271.54627932795199"/>
    <n v="76.930700000000002"/>
  </r>
  <r>
    <x v="5"/>
    <x v="3"/>
    <x v="1"/>
    <x v="4"/>
    <x v="6"/>
    <x v="1"/>
    <n v="21406.751525108717"/>
    <n v="5202.9687000000004"/>
  </r>
  <r>
    <x v="5"/>
    <x v="3"/>
    <x v="2"/>
    <x v="5"/>
    <x v="2"/>
    <x v="0"/>
    <n v="8180.4548855165694"/>
    <n v="3046.8134"/>
  </r>
  <r>
    <x v="5"/>
    <x v="3"/>
    <x v="2"/>
    <x v="5"/>
    <x v="2"/>
    <x v="1"/>
    <n v="18254.728935752799"/>
    <n v="4717.8100000000004"/>
  </r>
  <r>
    <x v="5"/>
    <x v="3"/>
    <x v="2"/>
    <x v="5"/>
    <x v="3"/>
    <x v="0"/>
    <n v="3.4409086508699997E-2"/>
    <m/>
  </r>
  <r>
    <x v="5"/>
    <x v="3"/>
    <x v="2"/>
    <x v="5"/>
    <x v="3"/>
    <x v="1"/>
    <n v="0.77377997101780005"/>
    <m/>
  </r>
  <r>
    <x v="5"/>
    <x v="3"/>
    <x v="2"/>
    <x v="5"/>
    <x v="8"/>
    <x v="0"/>
    <n v="6.3027440047264998"/>
    <m/>
  </r>
  <r>
    <x v="5"/>
    <x v="3"/>
    <x v="2"/>
    <x v="5"/>
    <x v="8"/>
    <x v="1"/>
    <n v="0.63462285422169995"/>
    <m/>
  </r>
  <r>
    <x v="5"/>
    <x v="3"/>
    <x v="2"/>
    <x v="5"/>
    <x v="7"/>
    <x v="0"/>
    <n v="8800.0293981575014"/>
    <n v="2900.6768000000002"/>
  </r>
  <r>
    <x v="5"/>
    <x v="3"/>
    <x v="2"/>
    <x v="5"/>
    <x v="7"/>
    <x v="1"/>
    <n v="24896.34460900323"/>
    <n v="5560.0657000000001"/>
  </r>
  <r>
    <x v="5"/>
    <x v="3"/>
    <x v="2"/>
    <x v="5"/>
    <x v="1"/>
    <x v="0"/>
    <n v="5.1230424935511998"/>
    <m/>
  </r>
  <r>
    <x v="5"/>
    <x v="3"/>
    <x v="2"/>
    <x v="5"/>
    <x v="1"/>
    <x v="1"/>
    <n v="9.6919670641444995"/>
    <m/>
  </r>
  <r>
    <x v="5"/>
    <x v="3"/>
    <x v="2"/>
    <x v="5"/>
    <x v="9"/>
    <x v="0"/>
    <n v="0.36679565843750001"/>
    <m/>
  </r>
  <r>
    <x v="5"/>
    <x v="3"/>
    <x v="2"/>
    <x v="5"/>
    <x v="9"/>
    <x v="1"/>
    <n v="5.6640919876396998"/>
    <m/>
  </r>
  <r>
    <x v="5"/>
    <x v="3"/>
    <x v="2"/>
    <x v="6"/>
    <x v="0"/>
    <x v="0"/>
    <n v="2422.3182440842802"/>
    <n v="757.52769999999998"/>
  </r>
  <r>
    <x v="5"/>
    <x v="3"/>
    <x v="2"/>
    <x v="6"/>
    <x v="0"/>
    <x v="1"/>
    <n v="3077.8885017610778"/>
    <n v="960.83690000000001"/>
  </r>
  <r>
    <x v="5"/>
    <x v="3"/>
    <x v="2"/>
    <x v="6"/>
    <x v="1"/>
    <x v="0"/>
    <n v="12557.894809354886"/>
    <n v="4397.2039000000004"/>
  </r>
  <r>
    <x v="5"/>
    <x v="3"/>
    <x v="2"/>
    <x v="6"/>
    <x v="1"/>
    <x v="1"/>
    <n v="9741.133125048922"/>
    <n v="3378.5769"/>
  </r>
  <r>
    <x v="5"/>
    <x v="3"/>
    <x v="2"/>
    <x v="7"/>
    <x v="2"/>
    <x v="1"/>
    <n v="12500.077704383288"/>
    <n v="3193.5502999999999"/>
  </r>
  <r>
    <x v="5"/>
    <x v="4"/>
    <x v="0"/>
    <x v="0"/>
    <x v="0"/>
    <x v="0"/>
    <n v="226.72726357725401"/>
    <n v="44.543300000000002"/>
  </r>
  <r>
    <x v="5"/>
    <x v="4"/>
    <x v="0"/>
    <x v="0"/>
    <x v="0"/>
    <x v="1"/>
    <n v="747.18303461757398"/>
    <n v="86.710099999999997"/>
  </r>
  <r>
    <x v="5"/>
    <x v="4"/>
    <x v="0"/>
    <x v="0"/>
    <x v="1"/>
    <x v="0"/>
    <n v="13714.5637164811"/>
    <n v="2331.4810000000002"/>
  </r>
  <r>
    <x v="5"/>
    <x v="4"/>
    <x v="0"/>
    <x v="0"/>
    <x v="1"/>
    <x v="1"/>
    <n v="6329.1942347867498"/>
    <n v="540.34749999999997"/>
  </r>
  <r>
    <x v="5"/>
    <x v="4"/>
    <x v="0"/>
    <x v="1"/>
    <x v="0"/>
    <x v="0"/>
    <n v="274.56697587870502"/>
    <n v="55.245800000000003"/>
  </r>
  <r>
    <x v="5"/>
    <x v="4"/>
    <x v="0"/>
    <x v="1"/>
    <x v="0"/>
    <x v="1"/>
    <n v="482.79322660741201"/>
    <n v="76.977999999999994"/>
  </r>
  <r>
    <x v="5"/>
    <x v="4"/>
    <x v="0"/>
    <x v="1"/>
    <x v="1"/>
    <x v="0"/>
    <n v="14662.7702358769"/>
    <n v="2777.8742000000002"/>
  </r>
  <r>
    <x v="5"/>
    <x v="4"/>
    <x v="0"/>
    <x v="1"/>
    <x v="1"/>
    <x v="1"/>
    <n v="11543.5410770339"/>
    <n v="2072.0902000000001"/>
  </r>
  <r>
    <x v="5"/>
    <x v="4"/>
    <x v="1"/>
    <x v="2"/>
    <x v="2"/>
    <x v="0"/>
    <n v="771.30609279317798"/>
    <n v="285.46699999999998"/>
  </r>
  <r>
    <x v="5"/>
    <x v="4"/>
    <x v="1"/>
    <x v="2"/>
    <x v="2"/>
    <x v="1"/>
    <n v="17647.0881254259"/>
    <n v="6479.1538"/>
  </r>
  <r>
    <x v="5"/>
    <x v="4"/>
    <x v="1"/>
    <x v="2"/>
    <x v="3"/>
    <x v="0"/>
    <n v="1.9385558152599999E-2"/>
    <m/>
  </r>
  <r>
    <x v="5"/>
    <x v="4"/>
    <x v="1"/>
    <x v="2"/>
    <x v="3"/>
    <x v="1"/>
    <n v="0.19940071128090001"/>
    <m/>
  </r>
  <r>
    <x v="5"/>
    <x v="4"/>
    <x v="1"/>
    <x v="2"/>
    <x v="4"/>
    <x v="0"/>
    <n v="5.4457791324799998E-2"/>
    <m/>
  </r>
  <r>
    <x v="5"/>
    <x v="4"/>
    <x v="1"/>
    <x v="2"/>
    <x v="4"/>
    <x v="1"/>
    <n v="2.2018349031433999"/>
    <m/>
  </r>
  <r>
    <x v="5"/>
    <x v="4"/>
    <x v="1"/>
    <x v="2"/>
    <x v="5"/>
    <x v="0"/>
    <n v="141.93215672456199"/>
    <m/>
  </r>
  <r>
    <x v="5"/>
    <x v="4"/>
    <x v="1"/>
    <x v="2"/>
    <x v="5"/>
    <x v="1"/>
    <n v="933.46361416325101"/>
    <m/>
  </r>
  <r>
    <x v="5"/>
    <x v="4"/>
    <x v="1"/>
    <x v="2"/>
    <x v="6"/>
    <x v="0"/>
    <n v="212.78097430308699"/>
    <m/>
  </r>
  <r>
    <x v="5"/>
    <x v="4"/>
    <x v="1"/>
    <x v="2"/>
    <x v="6"/>
    <x v="1"/>
    <n v="838.045289385979"/>
    <m/>
  </r>
  <r>
    <x v="5"/>
    <x v="4"/>
    <x v="1"/>
    <x v="2"/>
    <x v="1"/>
    <x v="0"/>
    <n v="6.4639550600147002"/>
    <m/>
  </r>
  <r>
    <x v="5"/>
    <x v="4"/>
    <x v="1"/>
    <x v="2"/>
    <x v="1"/>
    <x v="1"/>
    <n v="8.5567434152403994"/>
    <m/>
  </r>
  <r>
    <x v="5"/>
    <x v="4"/>
    <x v="1"/>
    <x v="3"/>
    <x v="2"/>
    <x v="0"/>
    <n v="1781.43513224657"/>
    <n v="379.46600000000001"/>
  </r>
  <r>
    <x v="5"/>
    <x v="4"/>
    <x v="1"/>
    <x v="3"/>
    <x v="2"/>
    <x v="1"/>
    <n v="27463.784204299602"/>
    <n v="7344.5006000000003"/>
  </r>
  <r>
    <x v="5"/>
    <x v="4"/>
    <x v="1"/>
    <x v="3"/>
    <x v="3"/>
    <x v="0"/>
    <n v="0.9863069604843"/>
    <m/>
  </r>
  <r>
    <x v="5"/>
    <x v="4"/>
    <x v="1"/>
    <x v="3"/>
    <x v="3"/>
    <x v="1"/>
    <n v="8.3456379908325005"/>
    <m/>
  </r>
  <r>
    <x v="5"/>
    <x v="4"/>
    <x v="1"/>
    <x v="3"/>
    <x v="7"/>
    <x v="0"/>
    <n v="4819.3305631198"/>
    <n v="1458.162"/>
  </r>
  <r>
    <x v="5"/>
    <x v="4"/>
    <x v="1"/>
    <x v="3"/>
    <x v="7"/>
    <x v="1"/>
    <n v="44975.791007155298"/>
    <n v="13790.436299999999"/>
  </r>
  <r>
    <x v="5"/>
    <x v="4"/>
    <x v="1"/>
    <x v="3"/>
    <x v="5"/>
    <x v="0"/>
    <n v="231.35245469228701"/>
    <m/>
  </r>
  <r>
    <x v="5"/>
    <x v="4"/>
    <x v="1"/>
    <x v="3"/>
    <x v="5"/>
    <x v="1"/>
    <n v="1523.6620555551499"/>
    <m/>
  </r>
  <r>
    <x v="5"/>
    <x v="4"/>
    <x v="1"/>
    <x v="3"/>
    <x v="6"/>
    <x v="0"/>
    <n v="249.32938748267401"/>
    <m/>
  </r>
  <r>
    <x v="5"/>
    <x v="4"/>
    <x v="1"/>
    <x v="3"/>
    <x v="6"/>
    <x v="1"/>
    <n v="1710.20232614467"/>
    <m/>
  </r>
  <r>
    <x v="5"/>
    <x v="4"/>
    <x v="1"/>
    <x v="3"/>
    <x v="1"/>
    <x v="0"/>
    <n v="3.3202698848024998"/>
    <m/>
  </r>
  <r>
    <x v="5"/>
    <x v="4"/>
    <x v="1"/>
    <x v="3"/>
    <x v="1"/>
    <x v="1"/>
    <n v="10.044061793191"/>
    <m/>
  </r>
  <r>
    <x v="5"/>
    <x v="4"/>
    <x v="1"/>
    <x v="4"/>
    <x v="2"/>
    <x v="0"/>
    <n v="3582.9215467849499"/>
    <n v="1897.5971"/>
  </r>
  <r>
    <x v="5"/>
    <x v="4"/>
    <x v="1"/>
    <x v="4"/>
    <x v="2"/>
    <x v="1"/>
    <n v="5988.2236034916696"/>
    <n v="3054.9077000000002"/>
  </r>
  <r>
    <x v="5"/>
    <x v="4"/>
    <x v="1"/>
    <x v="4"/>
    <x v="5"/>
    <x v="0"/>
    <n v="49.1153363978759"/>
    <m/>
  </r>
  <r>
    <x v="5"/>
    <x v="4"/>
    <x v="1"/>
    <x v="4"/>
    <x v="5"/>
    <x v="1"/>
    <n v="142.81832591779599"/>
    <m/>
  </r>
  <r>
    <x v="5"/>
    <x v="4"/>
    <x v="1"/>
    <x v="4"/>
    <x v="6"/>
    <x v="0"/>
    <n v="100.056681380315"/>
    <m/>
  </r>
  <r>
    <x v="5"/>
    <x v="4"/>
    <x v="1"/>
    <x v="4"/>
    <x v="6"/>
    <x v="1"/>
    <n v="557.09606070494999"/>
    <n v="0"/>
  </r>
  <r>
    <x v="5"/>
    <x v="4"/>
    <x v="1"/>
    <x v="4"/>
    <x v="1"/>
    <x v="0"/>
    <n v="0.84107304537710004"/>
    <m/>
  </r>
  <r>
    <x v="5"/>
    <x v="4"/>
    <x v="1"/>
    <x v="4"/>
    <x v="1"/>
    <x v="1"/>
    <n v="1.8745940861638"/>
    <m/>
  </r>
  <r>
    <x v="5"/>
    <x v="4"/>
    <x v="2"/>
    <x v="5"/>
    <x v="2"/>
    <x v="0"/>
    <n v="731.894932953271"/>
    <n v="137.48179999999999"/>
  </r>
  <r>
    <x v="5"/>
    <x v="4"/>
    <x v="2"/>
    <x v="5"/>
    <x v="2"/>
    <x v="1"/>
    <n v="11195.208981972401"/>
    <n v="3423.6271000000002"/>
  </r>
  <r>
    <x v="5"/>
    <x v="4"/>
    <x v="2"/>
    <x v="5"/>
    <x v="8"/>
    <x v="0"/>
    <n v="82.154557960601096"/>
    <n v="31.245899999999999"/>
  </r>
  <r>
    <x v="5"/>
    <x v="4"/>
    <x v="2"/>
    <x v="5"/>
    <x v="8"/>
    <x v="1"/>
    <n v="13.8854146554621"/>
    <n v="3.5880999999999998"/>
  </r>
  <r>
    <x v="5"/>
    <x v="4"/>
    <x v="2"/>
    <x v="5"/>
    <x v="7"/>
    <x v="0"/>
    <n v="1732.5617674866"/>
    <n v="420.81689999999998"/>
  </r>
  <r>
    <x v="5"/>
    <x v="4"/>
    <x v="2"/>
    <x v="5"/>
    <x v="7"/>
    <x v="1"/>
    <n v="8749.3096122266707"/>
    <n v="2552.9195"/>
  </r>
  <r>
    <x v="5"/>
    <x v="4"/>
    <x v="2"/>
    <x v="5"/>
    <x v="1"/>
    <x v="0"/>
    <n v="40.513514766533298"/>
    <m/>
  </r>
  <r>
    <x v="5"/>
    <x v="4"/>
    <x v="2"/>
    <x v="5"/>
    <x v="1"/>
    <x v="1"/>
    <n v="102.399785851993"/>
    <m/>
  </r>
  <r>
    <x v="5"/>
    <x v="4"/>
    <x v="2"/>
    <x v="5"/>
    <x v="9"/>
    <x v="0"/>
    <n v="7.9709328677503999"/>
    <m/>
  </r>
  <r>
    <x v="5"/>
    <x v="4"/>
    <x v="2"/>
    <x v="5"/>
    <x v="9"/>
    <x v="1"/>
    <n v="16.5556086765333"/>
    <m/>
  </r>
  <r>
    <x v="5"/>
    <x v="4"/>
    <x v="2"/>
    <x v="6"/>
    <x v="0"/>
    <x v="0"/>
    <n v="506.30303501302399"/>
    <n v="145.99719999999999"/>
  </r>
  <r>
    <x v="5"/>
    <x v="4"/>
    <x v="2"/>
    <x v="6"/>
    <x v="0"/>
    <x v="1"/>
    <n v="2021.0610268533601"/>
    <n v="494.44080000000002"/>
  </r>
  <r>
    <x v="5"/>
    <x v="4"/>
    <x v="2"/>
    <x v="6"/>
    <x v="1"/>
    <x v="0"/>
    <n v="7236.5653954842101"/>
    <n v="2214.1673000000001"/>
  </r>
  <r>
    <x v="5"/>
    <x v="4"/>
    <x v="2"/>
    <x v="6"/>
    <x v="1"/>
    <x v="1"/>
    <n v="5613.2838859886797"/>
    <n v="1488.4213"/>
  </r>
  <r>
    <x v="5"/>
    <x v="4"/>
    <x v="2"/>
    <x v="7"/>
    <x v="2"/>
    <x v="1"/>
    <n v="118.55959765052"/>
    <n v="58.280500000000004"/>
  </r>
  <r>
    <x v="5"/>
    <x v="5"/>
    <x v="0"/>
    <x v="0"/>
    <x v="0"/>
    <x v="0"/>
    <n v="372.95981618551468"/>
    <n v="124.7914"/>
  </r>
  <r>
    <x v="5"/>
    <x v="5"/>
    <x v="0"/>
    <x v="0"/>
    <x v="0"/>
    <x v="1"/>
    <n v="396.58184814681249"/>
    <n v="58.725200000000001"/>
  </r>
  <r>
    <x v="5"/>
    <x v="5"/>
    <x v="0"/>
    <x v="0"/>
    <x v="1"/>
    <x v="0"/>
    <n v="27670.789521202209"/>
    <n v="4140.0907999999999"/>
  </r>
  <r>
    <x v="5"/>
    <x v="5"/>
    <x v="0"/>
    <x v="0"/>
    <x v="1"/>
    <x v="1"/>
    <n v="16258.638426067375"/>
    <n v="1872.8857"/>
  </r>
  <r>
    <x v="5"/>
    <x v="5"/>
    <x v="0"/>
    <x v="1"/>
    <x v="0"/>
    <x v="0"/>
    <n v="398.66217722360102"/>
    <n v="75.9101"/>
  </r>
  <r>
    <x v="5"/>
    <x v="5"/>
    <x v="0"/>
    <x v="1"/>
    <x v="0"/>
    <x v="1"/>
    <n v="716.20512970540733"/>
    <n v="115.35639999999999"/>
  </r>
  <r>
    <x v="5"/>
    <x v="5"/>
    <x v="0"/>
    <x v="1"/>
    <x v="1"/>
    <x v="0"/>
    <n v="23216.306266066211"/>
    <n v="3734.4492"/>
  </r>
  <r>
    <x v="5"/>
    <x v="5"/>
    <x v="0"/>
    <x v="1"/>
    <x v="1"/>
    <x v="1"/>
    <n v="46166.138488338547"/>
    <n v="4782.7253000000001"/>
  </r>
  <r>
    <x v="5"/>
    <x v="5"/>
    <x v="1"/>
    <x v="2"/>
    <x v="2"/>
    <x v="0"/>
    <n v="18084.688793915597"/>
    <n v="4030.3161"/>
  </r>
  <r>
    <x v="5"/>
    <x v="5"/>
    <x v="1"/>
    <x v="2"/>
    <x v="2"/>
    <x v="1"/>
    <n v="311527.04099256051"/>
    <n v="89638.763099999996"/>
  </r>
  <r>
    <x v="5"/>
    <x v="5"/>
    <x v="1"/>
    <x v="2"/>
    <x v="3"/>
    <x v="0"/>
    <n v="227.60090288074491"/>
    <m/>
  </r>
  <r>
    <x v="5"/>
    <x v="5"/>
    <x v="1"/>
    <x v="2"/>
    <x v="3"/>
    <x v="1"/>
    <n v="105.5162014546778"/>
    <m/>
  </r>
  <r>
    <x v="5"/>
    <x v="5"/>
    <x v="1"/>
    <x v="2"/>
    <x v="4"/>
    <x v="0"/>
    <n v="48.067184121489802"/>
    <m/>
  </r>
  <r>
    <x v="5"/>
    <x v="5"/>
    <x v="1"/>
    <x v="2"/>
    <x v="4"/>
    <x v="1"/>
    <n v="560.6033640535361"/>
    <m/>
  </r>
  <r>
    <x v="5"/>
    <x v="5"/>
    <x v="1"/>
    <x v="2"/>
    <x v="5"/>
    <x v="0"/>
    <n v="229.4974926144321"/>
    <m/>
  </r>
  <r>
    <x v="5"/>
    <x v="5"/>
    <x v="1"/>
    <x v="2"/>
    <x v="5"/>
    <x v="1"/>
    <n v="599.75862474395149"/>
    <m/>
  </r>
  <r>
    <x v="5"/>
    <x v="5"/>
    <x v="1"/>
    <x v="2"/>
    <x v="6"/>
    <x v="0"/>
    <n v="8440.6170132875341"/>
    <m/>
  </r>
  <r>
    <x v="5"/>
    <x v="5"/>
    <x v="1"/>
    <x v="2"/>
    <x v="6"/>
    <x v="1"/>
    <n v="34536.853090782257"/>
    <m/>
  </r>
  <r>
    <x v="5"/>
    <x v="5"/>
    <x v="1"/>
    <x v="2"/>
    <x v="1"/>
    <x v="0"/>
    <n v="236.51075601855931"/>
    <m/>
  </r>
  <r>
    <x v="5"/>
    <x v="5"/>
    <x v="1"/>
    <x v="2"/>
    <x v="1"/>
    <x v="1"/>
    <n v="1303.8014328897311"/>
    <m/>
  </r>
  <r>
    <x v="5"/>
    <x v="5"/>
    <x v="1"/>
    <x v="3"/>
    <x v="2"/>
    <x v="0"/>
    <n v="9770.0845252833806"/>
    <n v="3976.7701999999999"/>
  </r>
  <r>
    <x v="5"/>
    <x v="5"/>
    <x v="1"/>
    <x v="3"/>
    <x v="2"/>
    <x v="1"/>
    <n v="78938.374335305256"/>
    <n v="31501.2153"/>
  </r>
  <r>
    <x v="5"/>
    <x v="5"/>
    <x v="1"/>
    <x v="3"/>
    <x v="3"/>
    <x v="0"/>
    <n v="194.8196136818392"/>
    <m/>
  </r>
  <r>
    <x v="5"/>
    <x v="5"/>
    <x v="1"/>
    <x v="3"/>
    <x v="3"/>
    <x v="1"/>
    <n v="391.573869018626"/>
    <m/>
  </r>
  <r>
    <x v="5"/>
    <x v="5"/>
    <x v="1"/>
    <x v="3"/>
    <x v="7"/>
    <x v="0"/>
    <n v="8702.8163029106017"/>
    <n v="3575.7148999999999"/>
  </r>
  <r>
    <x v="5"/>
    <x v="5"/>
    <x v="1"/>
    <x v="3"/>
    <x v="7"/>
    <x v="1"/>
    <n v="10696.285458567849"/>
    <n v="4461.2591000000002"/>
  </r>
  <r>
    <x v="5"/>
    <x v="5"/>
    <x v="1"/>
    <x v="3"/>
    <x v="5"/>
    <x v="0"/>
    <n v="25.742606931978202"/>
    <m/>
  </r>
  <r>
    <x v="5"/>
    <x v="5"/>
    <x v="1"/>
    <x v="3"/>
    <x v="5"/>
    <x v="1"/>
    <n v="66.307066451507197"/>
    <m/>
  </r>
  <r>
    <x v="5"/>
    <x v="5"/>
    <x v="1"/>
    <x v="3"/>
    <x v="6"/>
    <x v="0"/>
    <n v="39.524443684910899"/>
    <m/>
  </r>
  <r>
    <x v="5"/>
    <x v="5"/>
    <x v="1"/>
    <x v="3"/>
    <x v="6"/>
    <x v="1"/>
    <n v="102.33645779686761"/>
    <m/>
  </r>
  <r>
    <x v="5"/>
    <x v="5"/>
    <x v="1"/>
    <x v="3"/>
    <x v="1"/>
    <x v="0"/>
    <n v="136.3701397989783"/>
    <m/>
  </r>
  <r>
    <x v="5"/>
    <x v="5"/>
    <x v="1"/>
    <x v="3"/>
    <x v="1"/>
    <x v="1"/>
    <n v="710.07011783826613"/>
    <m/>
  </r>
  <r>
    <x v="5"/>
    <x v="5"/>
    <x v="1"/>
    <x v="4"/>
    <x v="2"/>
    <x v="1"/>
    <n v="39462.361019448137"/>
    <n v="18021.380799999999"/>
  </r>
  <r>
    <x v="5"/>
    <x v="5"/>
    <x v="1"/>
    <x v="4"/>
    <x v="4"/>
    <x v="1"/>
    <n v="81.925377690571594"/>
    <m/>
  </r>
  <r>
    <x v="5"/>
    <x v="5"/>
    <x v="1"/>
    <x v="4"/>
    <x v="6"/>
    <x v="0"/>
    <n v="6.4345258292174998"/>
    <m/>
  </r>
  <r>
    <x v="5"/>
    <x v="5"/>
    <x v="1"/>
    <x v="4"/>
    <x v="6"/>
    <x v="1"/>
    <n v="40137.749659344052"/>
    <n v="3997.2635"/>
  </r>
  <r>
    <x v="5"/>
    <x v="5"/>
    <x v="1"/>
    <x v="4"/>
    <x v="1"/>
    <x v="1"/>
    <n v="7.5086571169014"/>
    <m/>
  </r>
  <r>
    <x v="5"/>
    <x v="5"/>
    <x v="2"/>
    <x v="5"/>
    <x v="2"/>
    <x v="0"/>
    <n v="3691.347777678503"/>
    <n v="762.96669999999995"/>
  </r>
  <r>
    <x v="5"/>
    <x v="5"/>
    <x v="2"/>
    <x v="5"/>
    <x v="2"/>
    <x v="1"/>
    <n v="26083.464240328431"/>
    <n v="3905.4274999999998"/>
  </r>
  <r>
    <x v="5"/>
    <x v="5"/>
    <x v="2"/>
    <x v="5"/>
    <x v="3"/>
    <x v="0"/>
    <n v="1.906237589501"/>
    <m/>
  </r>
  <r>
    <x v="5"/>
    <x v="5"/>
    <x v="2"/>
    <x v="5"/>
    <x v="3"/>
    <x v="1"/>
    <n v="38.267406101758802"/>
    <m/>
  </r>
  <r>
    <x v="5"/>
    <x v="5"/>
    <x v="2"/>
    <x v="5"/>
    <x v="8"/>
    <x v="0"/>
    <n v="192.66799765958919"/>
    <n v="62.161099999999998"/>
  </r>
  <r>
    <x v="5"/>
    <x v="5"/>
    <x v="2"/>
    <x v="5"/>
    <x v="8"/>
    <x v="1"/>
    <n v="96.356157545681796"/>
    <n v="22.685300000000002"/>
  </r>
  <r>
    <x v="5"/>
    <x v="5"/>
    <x v="2"/>
    <x v="5"/>
    <x v="7"/>
    <x v="0"/>
    <n v="953.37179159114078"/>
    <n v="177.63460000000001"/>
  </r>
  <r>
    <x v="5"/>
    <x v="5"/>
    <x v="2"/>
    <x v="5"/>
    <x v="7"/>
    <x v="1"/>
    <n v="5040.5557943158201"/>
    <n v="705.40250000000003"/>
  </r>
  <r>
    <x v="5"/>
    <x v="5"/>
    <x v="2"/>
    <x v="5"/>
    <x v="1"/>
    <x v="0"/>
    <n v="15.907592757566"/>
    <m/>
  </r>
  <r>
    <x v="5"/>
    <x v="5"/>
    <x v="2"/>
    <x v="5"/>
    <x v="1"/>
    <x v="1"/>
    <n v="58.564563434140503"/>
    <m/>
  </r>
  <r>
    <x v="5"/>
    <x v="5"/>
    <x v="2"/>
    <x v="5"/>
    <x v="9"/>
    <x v="0"/>
    <n v="3.9768768667250001"/>
    <m/>
  </r>
  <r>
    <x v="5"/>
    <x v="5"/>
    <x v="2"/>
    <x v="5"/>
    <x v="9"/>
    <x v="1"/>
    <n v="11.266990735576201"/>
    <m/>
  </r>
  <r>
    <x v="5"/>
    <x v="5"/>
    <x v="2"/>
    <x v="6"/>
    <x v="0"/>
    <x v="0"/>
    <n v="1090.667258254341"/>
    <n v="299.61900000000003"/>
  </r>
  <r>
    <x v="5"/>
    <x v="5"/>
    <x v="2"/>
    <x v="6"/>
    <x v="0"/>
    <x v="1"/>
    <n v="1936.6788533339457"/>
    <n v="481.82490000000001"/>
  </r>
  <r>
    <x v="5"/>
    <x v="5"/>
    <x v="2"/>
    <x v="6"/>
    <x v="1"/>
    <x v="0"/>
    <n v="7076.4944931906102"/>
    <n v="1765.3026"/>
  </r>
  <r>
    <x v="5"/>
    <x v="5"/>
    <x v="2"/>
    <x v="6"/>
    <x v="1"/>
    <x v="1"/>
    <n v="10417.02467907917"/>
    <n v="2824.7431000000001"/>
  </r>
  <r>
    <x v="5"/>
    <x v="5"/>
    <x v="2"/>
    <x v="7"/>
    <x v="2"/>
    <x v="1"/>
    <n v="10635.208457719104"/>
    <n v="5201.6342999999997"/>
  </r>
  <r>
    <x v="5"/>
    <x v="6"/>
    <x v="0"/>
    <x v="0"/>
    <x v="0"/>
    <x v="0"/>
    <n v="445.6926956375176"/>
    <n v="111.1576"/>
  </r>
  <r>
    <x v="5"/>
    <x v="6"/>
    <x v="0"/>
    <x v="0"/>
    <x v="0"/>
    <x v="1"/>
    <n v="317.71659055691981"/>
    <n v="49.343499999999999"/>
  </r>
  <r>
    <x v="5"/>
    <x v="6"/>
    <x v="0"/>
    <x v="0"/>
    <x v="1"/>
    <x v="0"/>
    <n v="8892.3694215272917"/>
    <n v="2172.0992999999999"/>
  </r>
  <r>
    <x v="5"/>
    <x v="6"/>
    <x v="0"/>
    <x v="0"/>
    <x v="1"/>
    <x v="1"/>
    <n v="7597.4895167871082"/>
    <n v="1158.9491"/>
  </r>
  <r>
    <x v="5"/>
    <x v="6"/>
    <x v="0"/>
    <x v="1"/>
    <x v="0"/>
    <x v="0"/>
    <n v="646.88244307049388"/>
    <n v="118.77"/>
  </r>
  <r>
    <x v="5"/>
    <x v="6"/>
    <x v="0"/>
    <x v="1"/>
    <x v="0"/>
    <x v="1"/>
    <n v="332.60922841570482"/>
    <n v="53.228999999999999"/>
  </r>
  <r>
    <x v="5"/>
    <x v="6"/>
    <x v="0"/>
    <x v="1"/>
    <x v="1"/>
    <x v="0"/>
    <n v="5441.3580585390282"/>
    <n v="1164.5882999999999"/>
  </r>
  <r>
    <x v="5"/>
    <x v="6"/>
    <x v="0"/>
    <x v="1"/>
    <x v="1"/>
    <x v="1"/>
    <n v="8252.8214991330569"/>
    <n v="1535.1333999999999"/>
  </r>
  <r>
    <x v="5"/>
    <x v="6"/>
    <x v="1"/>
    <x v="2"/>
    <x v="2"/>
    <x v="0"/>
    <n v="3158.449283877917"/>
    <n v="710.26819999999998"/>
  </r>
  <r>
    <x v="5"/>
    <x v="6"/>
    <x v="1"/>
    <x v="2"/>
    <x v="2"/>
    <x v="1"/>
    <n v="25261.230456374109"/>
    <n v="6658.317"/>
  </r>
  <r>
    <x v="5"/>
    <x v="6"/>
    <x v="1"/>
    <x v="2"/>
    <x v="3"/>
    <x v="0"/>
    <n v="16.8298557037044"/>
    <m/>
  </r>
  <r>
    <x v="5"/>
    <x v="6"/>
    <x v="1"/>
    <x v="2"/>
    <x v="3"/>
    <x v="1"/>
    <n v="4.2074639259259996"/>
    <m/>
  </r>
  <r>
    <x v="5"/>
    <x v="6"/>
    <x v="1"/>
    <x v="2"/>
    <x v="5"/>
    <x v="0"/>
    <n v="6.7599854808764999"/>
    <m/>
  </r>
  <r>
    <x v="5"/>
    <x v="6"/>
    <x v="1"/>
    <x v="2"/>
    <x v="5"/>
    <x v="1"/>
    <n v="30.7992742065043"/>
    <m/>
  </r>
  <r>
    <x v="5"/>
    <x v="6"/>
    <x v="1"/>
    <x v="2"/>
    <x v="6"/>
    <x v="0"/>
    <n v="202.29905002635871"/>
    <m/>
  </r>
  <r>
    <x v="5"/>
    <x v="6"/>
    <x v="1"/>
    <x v="2"/>
    <x v="6"/>
    <x v="1"/>
    <n v="1202.9468830790827"/>
    <m/>
  </r>
  <r>
    <x v="5"/>
    <x v="6"/>
    <x v="1"/>
    <x v="2"/>
    <x v="1"/>
    <x v="0"/>
    <n v="27.238777950103401"/>
    <m/>
  </r>
  <r>
    <x v="5"/>
    <x v="6"/>
    <x v="1"/>
    <x v="2"/>
    <x v="1"/>
    <x v="1"/>
    <n v="138.266162610566"/>
    <m/>
  </r>
  <r>
    <x v="5"/>
    <x v="6"/>
    <x v="1"/>
    <x v="3"/>
    <x v="2"/>
    <x v="0"/>
    <n v="3574.5830734280703"/>
    <n v="997.67949999999996"/>
  </r>
  <r>
    <x v="5"/>
    <x v="6"/>
    <x v="1"/>
    <x v="3"/>
    <x v="2"/>
    <x v="1"/>
    <n v="35492.096028039785"/>
    <n v="13097.0106"/>
  </r>
  <r>
    <x v="5"/>
    <x v="6"/>
    <x v="1"/>
    <x v="3"/>
    <x v="3"/>
    <x v="0"/>
    <n v="10.9008356311284"/>
    <m/>
  </r>
  <r>
    <x v="5"/>
    <x v="6"/>
    <x v="1"/>
    <x v="3"/>
    <x v="3"/>
    <x v="1"/>
    <n v="36.040011338070499"/>
    <m/>
  </r>
  <r>
    <x v="5"/>
    <x v="6"/>
    <x v="1"/>
    <x v="3"/>
    <x v="7"/>
    <x v="0"/>
    <n v="5406.4292962545851"/>
    <n v="1838.3339000000001"/>
  </r>
  <r>
    <x v="5"/>
    <x v="6"/>
    <x v="1"/>
    <x v="3"/>
    <x v="7"/>
    <x v="1"/>
    <n v="18175.285133022939"/>
    <n v="6821.2709999999997"/>
  </r>
  <r>
    <x v="5"/>
    <x v="6"/>
    <x v="1"/>
    <x v="3"/>
    <x v="5"/>
    <x v="0"/>
    <n v="7.4830108236094999"/>
    <m/>
  </r>
  <r>
    <x v="5"/>
    <x v="6"/>
    <x v="1"/>
    <x v="3"/>
    <x v="5"/>
    <x v="1"/>
    <n v="24.4721906359337"/>
    <m/>
  </r>
  <r>
    <x v="5"/>
    <x v="6"/>
    <x v="1"/>
    <x v="3"/>
    <x v="6"/>
    <x v="0"/>
    <n v="35.4961038842875"/>
    <m/>
  </r>
  <r>
    <x v="5"/>
    <x v="6"/>
    <x v="1"/>
    <x v="3"/>
    <x v="6"/>
    <x v="1"/>
    <n v="115.5508861721394"/>
    <m/>
  </r>
  <r>
    <x v="5"/>
    <x v="6"/>
    <x v="1"/>
    <x v="3"/>
    <x v="1"/>
    <x v="0"/>
    <n v="11.1660204854726"/>
    <m/>
  </r>
  <r>
    <x v="5"/>
    <x v="6"/>
    <x v="1"/>
    <x v="3"/>
    <x v="1"/>
    <x v="1"/>
    <n v="51.591968808300599"/>
    <m/>
  </r>
  <r>
    <x v="5"/>
    <x v="6"/>
    <x v="1"/>
    <x v="4"/>
    <x v="2"/>
    <x v="1"/>
    <n v="5451.2510194239658"/>
    <n v="1399.1170999999999"/>
  </r>
  <r>
    <x v="5"/>
    <x v="6"/>
    <x v="1"/>
    <x v="4"/>
    <x v="6"/>
    <x v="1"/>
    <n v="4222.078160340724"/>
    <m/>
  </r>
  <r>
    <x v="5"/>
    <x v="6"/>
    <x v="2"/>
    <x v="5"/>
    <x v="2"/>
    <x v="0"/>
    <n v="1885.9189956528951"/>
    <n v="1016.7014"/>
  </r>
  <r>
    <x v="5"/>
    <x v="6"/>
    <x v="2"/>
    <x v="5"/>
    <x v="2"/>
    <x v="1"/>
    <n v="7848.3614686605897"/>
    <n v="2465.3647000000001"/>
  </r>
  <r>
    <x v="5"/>
    <x v="6"/>
    <x v="2"/>
    <x v="5"/>
    <x v="3"/>
    <x v="1"/>
    <n v="0.17369998518400001"/>
    <m/>
  </r>
  <r>
    <x v="5"/>
    <x v="6"/>
    <x v="2"/>
    <x v="5"/>
    <x v="8"/>
    <x v="0"/>
    <n v="261.04601536796542"/>
    <n v="143.512"/>
  </r>
  <r>
    <x v="5"/>
    <x v="6"/>
    <x v="2"/>
    <x v="5"/>
    <x v="8"/>
    <x v="1"/>
    <n v="125.8375046680642"/>
    <n v="55.889200000000002"/>
  </r>
  <r>
    <x v="5"/>
    <x v="6"/>
    <x v="2"/>
    <x v="5"/>
    <x v="7"/>
    <x v="0"/>
    <n v="949.19808814334635"/>
    <n v="511.6474"/>
  </r>
  <r>
    <x v="5"/>
    <x v="6"/>
    <x v="2"/>
    <x v="5"/>
    <x v="7"/>
    <x v="1"/>
    <n v="4802.8614887711838"/>
    <n v="1508.7899"/>
  </r>
  <r>
    <x v="5"/>
    <x v="6"/>
    <x v="2"/>
    <x v="5"/>
    <x v="1"/>
    <x v="0"/>
    <n v="0.59479780357559997"/>
    <m/>
  </r>
  <r>
    <x v="5"/>
    <x v="6"/>
    <x v="2"/>
    <x v="5"/>
    <x v="1"/>
    <x v="1"/>
    <n v="3.3389402643080999"/>
    <m/>
  </r>
  <r>
    <x v="5"/>
    <x v="6"/>
    <x v="2"/>
    <x v="5"/>
    <x v="9"/>
    <x v="0"/>
    <n v="0.16950251587500001"/>
    <m/>
  </r>
  <r>
    <x v="5"/>
    <x v="6"/>
    <x v="2"/>
    <x v="5"/>
    <x v="9"/>
    <x v="1"/>
    <n v="3.5444446140622001"/>
    <m/>
  </r>
  <r>
    <x v="5"/>
    <x v="6"/>
    <x v="2"/>
    <x v="6"/>
    <x v="0"/>
    <x v="0"/>
    <n v="1402.8760344263051"/>
    <n v="453.76799999999997"/>
  </r>
  <r>
    <x v="5"/>
    <x v="6"/>
    <x v="2"/>
    <x v="6"/>
    <x v="0"/>
    <x v="1"/>
    <n v="1654.649731116649"/>
    <n v="455.51179999999999"/>
  </r>
  <r>
    <x v="5"/>
    <x v="6"/>
    <x v="2"/>
    <x v="6"/>
    <x v="1"/>
    <x v="0"/>
    <n v="3970.3749462255491"/>
    <n v="1429.0101999999999"/>
  </r>
  <r>
    <x v="5"/>
    <x v="6"/>
    <x v="2"/>
    <x v="6"/>
    <x v="1"/>
    <x v="1"/>
    <n v="5583.7918168928518"/>
    <n v="1627.6101000000001"/>
  </r>
  <r>
    <x v="5"/>
    <x v="6"/>
    <x v="2"/>
    <x v="7"/>
    <x v="2"/>
    <x v="1"/>
    <n v="24.687005899734999"/>
    <n v="11.385199999999999"/>
  </r>
  <r>
    <x v="5"/>
    <x v="7"/>
    <x v="0"/>
    <x v="0"/>
    <x v="0"/>
    <x v="0"/>
    <n v="40.244482623091102"/>
    <n v="11.6082"/>
  </r>
  <r>
    <x v="5"/>
    <x v="7"/>
    <x v="0"/>
    <x v="0"/>
    <x v="0"/>
    <x v="1"/>
    <n v="80.243113972623306"/>
    <n v="18.023800000000001"/>
  </r>
  <r>
    <x v="5"/>
    <x v="7"/>
    <x v="0"/>
    <x v="0"/>
    <x v="1"/>
    <x v="0"/>
    <n v="10366.72061527281"/>
    <n v="2589.0610999999999"/>
  </r>
  <r>
    <x v="5"/>
    <x v="7"/>
    <x v="0"/>
    <x v="0"/>
    <x v="1"/>
    <x v="1"/>
    <n v="2489.1389251307892"/>
    <n v="446.27339999999998"/>
  </r>
  <r>
    <x v="5"/>
    <x v="7"/>
    <x v="0"/>
    <x v="1"/>
    <x v="0"/>
    <x v="0"/>
    <n v="109.080978305282"/>
    <n v="19.634"/>
  </r>
  <r>
    <x v="5"/>
    <x v="7"/>
    <x v="0"/>
    <x v="1"/>
    <x v="0"/>
    <x v="1"/>
    <n v="195.11057661822949"/>
    <n v="39.0717"/>
  </r>
  <r>
    <x v="5"/>
    <x v="7"/>
    <x v="0"/>
    <x v="1"/>
    <x v="1"/>
    <x v="0"/>
    <n v="12483.58110621462"/>
    <n v="1635.9104"/>
  </r>
  <r>
    <x v="5"/>
    <x v="7"/>
    <x v="0"/>
    <x v="1"/>
    <x v="1"/>
    <x v="1"/>
    <n v="15142.78045334717"/>
    <n v="2470.7811999999999"/>
  </r>
  <r>
    <x v="5"/>
    <x v="7"/>
    <x v="1"/>
    <x v="2"/>
    <x v="2"/>
    <x v="0"/>
    <n v="5463.0749319836168"/>
    <n v="1583.8472999999999"/>
  </r>
  <r>
    <x v="5"/>
    <x v="7"/>
    <x v="1"/>
    <x v="2"/>
    <x v="2"/>
    <x v="1"/>
    <n v="90384.32937402658"/>
    <n v="27659.651999999998"/>
  </r>
  <r>
    <x v="5"/>
    <x v="7"/>
    <x v="1"/>
    <x v="2"/>
    <x v="3"/>
    <x v="0"/>
    <n v="214.25428564477519"/>
    <m/>
  </r>
  <r>
    <x v="5"/>
    <x v="7"/>
    <x v="1"/>
    <x v="2"/>
    <x v="3"/>
    <x v="1"/>
    <n v="181.43489570686219"/>
    <m/>
  </r>
  <r>
    <x v="5"/>
    <x v="7"/>
    <x v="1"/>
    <x v="2"/>
    <x v="5"/>
    <x v="0"/>
    <n v="180.05619034092069"/>
    <m/>
  </r>
  <r>
    <x v="5"/>
    <x v="7"/>
    <x v="1"/>
    <x v="2"/>
    <x v="5"/>
    <x v="1"/>
    <n v="495.79337443867013"/>
    <m/>
  </r>
  <r>
    <x v="5"/>
    <x v="7"/>
    <x v="1"/>
    <x v="2"/>
    <x v="6"/>
    <x v="0"/>
    <n v="2992.2767260863061"/>
    <m/>
  </r>
  <r>
    <x v="5"/>
    <x v="7"/>
    <x v="1"/>
    <x v="2"/>
    <x v="6"/>
    <x v="1"/>
    <n v="9564.6016290104944"/>
    <m/>
  </r>
  <r>
    <x v="5"/>
    <x v="7"/>
    <x v="1"/>
    <x v="2"/>
    <x v="1"/>
    <x v="0"/>
    <n v="31.112937791998998"/>
    <m/>
  </r>
  <r>
    <x v="5"/>
    <x v="7"/>
    <x v="1"/>
    <x v="2"/>
    <x v="1"/>
    <x v="1"/>
    <n v="128.1263997857219"/>
    <m/>
  </r>
  <r>
    <x v="5"/>
    <x v="7"/>
    <x v="1"/>
    <x v="3"/>
    <x v="2"/>
    <x v="0"/>
    <n v="7479.0594261040787"/>
    <n v="1977.1305"/>
  </r>
  <r>
    <x v="5"/>
    <x v="7"/>
    <x v="1"/>
    <x v="3"/>
    <x v="2"/>
    <x v="1"/>
    <n v="68880.296950537173"/>
    <n v="19555.886900000001"/>
  </r>
  <r>
    <x v="5"/>
    <x v="7"/>
    <x v="1"/>
    <x v="3"/>
    <x v="3"/>
    <x v="0"/>
    <n v="748.53639916354916"/>
    <m/>
  </r>
  <r>
    <x v="5"/>
    <x v="7"/>
    <x v="1"/>
    <x v="3"/>
    <x v="3"/>
    <x v="1"/>
    <n v="1894.2123017717122"/>
    <m/>
  </r>
  <r>
    <x v="5"/>
    <x v="7"/>
    <x v="1"/>
    <x v="3"/>
    <x v="7"/>
    <x v="0"/>
    <n v="3145.1942293141678"/>
    <n v="1101.8062"/>
  </r>
  <r>
    <x v="5"/>
    <x v="7"/>
    <x v="1"/>
    <x v="3"/>
    <x v="7"/>
    <x v="1"/>
    <n v="33885.80014320762"/>
    <n v="13717.7356"/>
  </r>
  <r>
    <x v="5"/>
    <x v="7"/>
    <x v="1"/>
    <x v="3"/>
    <x v="5"/>
    <x v="0"/>
    <n v="466.12164686487682"/>
    <m/>
  </r>
  <r>
    <x v="5"/>
    <x v="7"/>
    <x v="1"/>
    <x v="3"/>
    <x v="5"/>
    <x v="1"/>
    <n v="1050.4781726796127"/>
    <m/>
  </r>
  <r>
    <x v="5"/>
    <x v="7"/>
    <x v="1"/>
    <x v="3"/>
    <x v="6"/>
    <x v="0"/>
    <n v="79.738145354816098"/>
    <m/>
  </r>
  <r>
    <x v="5"/>
    <x v="7"/>
    <x v="1"/>
    <x v="3"/>
    <x v="6"/>
    <x v="1"/>
    <n v="193.22234181409621"/>
    <m/>
  </r>
  <r>
    <x v="5"/>
    <x v="7"/>
    <x v="1"/>
    <x v="3"/>
    <x v="1"/>
    <x v="0"/>
    <n v="51.399862425886603"/>
    <m/>
  </r>
  <r>
    <x v="5"/>
    <x v="7"/>
    <x v="1"/>
    <x v="3"/>
    <x v="1"/>
    <x v="1"/>
    <n v="175.1032907444548"/>
    <m/>
  </r>
  <r>
    <x v="5"/>
    <x v="7"/>
    <x v="1"/>
    <x v="4"/>
    <x v="2"/>
    <x v="1"/>
    <n v="50165.868689106828"/>
    <n v="18275.371800000001"/>
  </r>
  <r>
    <x v="5"/>
    <x v="7"/>
    <x v="1"/>
    <x v="4"/>
    <x v="6"/>
    <x v="1"/>
    <n v="118273.30389040621"/>
    <n v="21103.088199999998"/>
  </r>
  <r>
    <x v="5"/>
    <x v="7"/>
    <x v="2"/>
    <x v="5"/>
    <x v="2"/>
    <x v="0"/>
    <n v="1668.5225213514159"/>
    <n v="494.94170000000003"/>
  </r>
  <r>
    <x v="5"/>
    <x v="7"/>
    <x v="2"/>
    <x v="5"/>
    <x v="2"/>
    <x v="1"/>
    <n v="12221.318249791366"/>
    <n v="5069.2282999999998"/>
  </r>
  <r>
    <x v="5"/>
    <x v="7"/>
    <x v="2"/>
    <x v="5"/>
    <x v="3"/>
    <x v="1"/>
    <n v="0.2529288950709"/>
    <m/>
  </r>
  <r>
    <x v="5"/>
    <x v="7"/>
    <x v="2"/>
    <x v="5"/>
    <x v="8"/>
    <x v="0"/>
    <n v="3.1361305011707001"/>
    <m/>
  </r>
  <r>
    <x v="5"/>
    <x v="7"/>
    <x v="2"/>
    <x v="5"/>
    <x v="8"/>
    <x v="1"/>
    <n v="12.660643255851101"/>
    <n v="6.4573"/>
  </r>
  <r>
    <x v="5"/>
    <x v="7"/>
    <x v="2"/>
    <x v="5"/>
    <x v="7"/>
    <x v="0"/>
    <n v="151.84349960573201"/>
    <n v="51.001399999999997"/>
  </r>
  <r>
    <x v="5"/>
    <x v="7"/>
    <x v="2"/>
    <x v="5"/>
    <x v="7"/>
    <x v="1"/>
    <n v="1194.597802099709"/>
    <n v="522.91650000000004"/>
  </r>
  <r>
    <x v="5"/>
    <x v="7"/>
    <x v="2"/>
    <x v="5"/>
    <x v="1"/>
    <x v="0"/>
    <n v="9.9138088564876004"/>
    <m/>
  </r>
  <r>
    <x v="5"/>
    <x v="7"/>
    <x v="2"/>
    <x v="5"/>
    <x v="1"/>
    <x v="1"/>
    <n v="17.867882539770001"/>
    <m/>
  </r>
  <r>
    <x v="5"/>
    <x v="7"/>
    <x v="2"/>
    <x v="5"/>
    <x v="9"/>
    <x v="0"/>
    <n v="0.57480975471289997"/>
    <m/>
  </r>
  <r>
    <x v="5"/>
    <x v="7"/>
    <x v="2"/>
    <x v="5"/>
    <x v="9"/>
    <x v="1"/>
    <n v="1.0129876063419001"/>
    <m/>
  </r>
  <r>
    <x v="5"/>
    <x v="7"/>
    <x v="2"/>
    <x v="6"/>
    <x v="0"/>
    <x v="0"/>
    <n v="70.880219450664598"/>
    <n v="25.023800000000001"/>
  </r>
  <r>
    <x v="5"/>
    <x v="7"/>
    <x v="2"/>
    <x v="6"/>
    <x v="0"/>
    <x v="1"/>
    <n v="902.23633930322569"/>
    <n v="365.93380000000002"/>
  </r>
  <r>
    <x v="5"/>
    <x v="7"/>
    <x v="2"/>
    <x v="6"/>
    <x v="1"/>
    <x v="0"/>
    <n v="1498.1055003288459"/>
    <n v="464.46469999999999"/>
  </r>
  <r>
    <x v="5"/>
    <x v="7"/>
    <x v="2"/>
    <x v="6"/>
    <x v="1"/>
    <x v="1"/>
    <n v="4282.4519967537753"/>
    <n v="1625.9095"/>
  </r>
  <r>
    <x v="5"/>
    <x v="7"/>
    <x v="2"/>
    <x v="7"/>
    <x v="2"/>
    <x v="1"/>
    <n v="8278.8778155002656"/>
    <n v="3951.9267"/>
  </r>
  <r>
    <x v="5"/>
    <x v="8"/>
    <x v="0"/>
    <x v="0"/>
    <x v="0"/>
    <x v="0"/>
    <n v="3684.0482832079801"/>
    <n v="806.01930000000004"/>
  </r>
  <r>
    <x v="5"/>
    <x v="8"/>
    <x v="0"/>
    <x v="0"/>
    <x v="0"/>
    <x v="1"/>
    <n v="5748.2220391627334"/>
    <n v="453.4468"/>
  </r>
  <r>
    <x v="5"/>
    <x v="8"/>
    <x v="0"/>
    <x v="0"/>
    <x v="1"/>
    <x v="0"/>
    <n v="64325.205572775478"/>
    <n v="13051.1741"/>
  </r>
  <r>
    <x v="5"/>
    <x v="8"/>
    <x v="0"/>
    <x v="0"/>
    <x v="1"/>
    <x v="1"/>
    <n v="33713.121193970197"/>
    <n v="3227.5333000000001"/>
  </r>
  <r>
    <x v="5"/>
    <x v="8"/>
    <x v="0"/>
    <x v="1"/>
    <x v="0"/>
    <x v="0"/>
    <n v="4732.2308198354103"/>
    <n v="1000.0049"/>
  </r>
  <r>
    <x v="5"/>
    <x v="8"/>
    <x v="0"/>
    <x v="1"/>
    <x v="0"/>
    <x v="1"/>
    <n v="3960.894255862212"/>
    <n v="275.19819999999999"/>
  </r>
  <r>
    <x v="5"/>
    <x v="8"/>
    <x v="0"/>
    <x v="1"/>
    <x v="1"/>
    <x v="0"/>
    <n v="42698.471186716837"/>
    <n v="9714.3423000000003"/>
  </r>
  <r>
    <x v="5"/>
    <x v="8"/>
    <x v="0"/>
    <x v="1"/>
    <x v="1"/>
    <x v="1"/>
    <n v="54008.665813352913"/>
    <n v="5730.3144000000002"/>
  </r>
  <r>
    <x v="5"/>
    <x v="8"/>
    <x v="1"/>
    <x v="2"/>
    <x v="2"/>
    <x v="0"/>
    <n v="4667.9014237286037"/>
    <n v="2575.7876000000001"/>
  </r>
  <r>
    <x v="5"/>
    <x v="8"/>
    <x v="1"/>
    <x v="2"/>
    <x v="2"/>
    <x v="1"/>
    <n v="76486.816295037061"/>
    <n v="41062.944799999997"/>
  </r>
  <r>
    <x v="5"/>
    <x v="8"/>
    <x v="1"/>
    <x v="2"/>
    <x v="3"/>
    <x v="0"/>
    <n v="74.467578948472095"/>
    <m/>
  </r>
  <r>
    <x v="5"/>
    <x v="8"/>
    <x v="1"/>
    <x v="2"/>
    <x v="3"/>
    <x v="1"/>
    <n v="3.4895351322543"/>
    <m/>
  </r>
  <r>
    <x v="5"/>
    <x v="8"/>
    <x v="1"/>
    <x v="2"/>
    <x v="4"/>
    <x v="0"/>
    <n v="3.3305926484807999"/>
    <m/>
  </r>
  <r>
    <x v="5"/>
    <x v="8"/>
    <x v="1"/>
    <x v="2"/>
    <x v="4"/>
    <x v="1"/>
    <n v="0.21435396532000001"/>
    <m/>
  </r>
  <r>
    <x v="5"/>
    <x v="8"/>
    <x v="1"/>
    <x v="2"/>
    <x v="5"/>
    <x v="0"/>
    <n v="9.7530401615500001E-2"/>
    <m/>
  </r>
  <r>
    <x v="5"/>
    <x v="8"/>
    <x v="1"/>
    <x v="2"/>
    <x v="5"/>
    <x v="1"/>
    <n v="1.0842016735339"/>
    <m/>
  </r>
  <r>
    <x v="5"/>
    <x v="8"/>
    <x v="1"/>
    <x v="2"/>
    <x v="6"/>
    <x v="0"/>
    <n v="16.109942171021899"/>
    <m/>
  </r>
  <r>
    <x v="5"/>
    <x v="8"/>
    <x v="1"/>
    <x v="2"/>
    <x v="6"/>
    <x v="1"/>
    <n v="546.1125964884842"/>
    <m/>
  </r>
  <r>
    <x v="5"/>
    <x v="8"/>
    <x v="1"/>
    <x v="2"/>
    <x v="1"/>
    <x v="0"/>
    <n v="2.2606551360594"/>
    <m/>
  </r>
  <r>
    <x v="5"/>
    <x v="8"/>
    <x v="1"/>
    <x v="2"/>
    <x v="1"/>
    <x v="1"/>
    <n v="31.836853355575901"/>
    <m/>
  </r>
  <r>
    <x v="5"/>
    <x v="8"/>
    <x v="1"/>
    <x v="3"/>
    <x v="2"/>
    <x v="0"/>
    <n v="12780.140441447626"/>
    <n v="6834.1958999999997"/>
  </r>
  <r>
    <x v="5"/>
    <x v="8"/>
    <x v="1"/>
    <x v="3"/>
    <x v="2"/>
    <x v="1"/>
    <n v="101851.93241048828"/>
    <n v="52912.0962"/>
  </r>
  <r>
    <x v="5"/>
    <x v="8"/>
    <x v="1"/>
    <x v="3"/>
    <x v="3"/>
    <x v="0"/>
    <n v="12.1980383235805"/>
    <m/>
  </r>
  <r>
    <x v="5"/>
    <x v="8"/>
    <x v="1"/>
    <x v="3"/>
    <x v="3"/>
    <x v="1"/>
    <n v="65.346036599802702"/>
    <m/>
  </r>
  <r>
    <x v="5"/>
    <x v="8"/>
    <x v="1"/>
    <x v="3"/>
    <x v="7"/>
    <x v="0"/>
    <n v="24737.77367714759"/>
    <n v="13309.6381"/>
  </r>
  <r>
    <x v="5"/>
    <x v="8"/>
    <x v="1"/>
    <x v="3"/>
    <x v="7"/>
    <x v="1"/>
    <n v="123386.11012107342"/>
    <n v="66521.634000000005"/>
  </r>
  <r>
    <x v="5"/>
    <x v="8"/>
    <x v="1"/>
    <x v="3"/>
    <x v="5"/>
    <x v="0"/>
    <n v="0.32109950471530002"/>
    <m/>
  </r>
  <r>
    <x v="5"/>
    <x v="8"/>
    <x v="1"/>
    <x v="3"/>
    <x v="5"/>
    <x v="1"/>
    <n v="1.6995837274087999"/>
    <m/>
  </r>
  <r>
    <x v="5"/>
    <x v="8"/>
    <x v="1"/>
    <x v="3"/>
    <x v="6"/>
    <x v="0"/>
    <n v="7.1775047010008999"/>
    <m/>
  </r>
  <r>
    <x v="5"/>
    <x v="8"/>
    <x v="1"/>
    <x v="3"/>
    <x v="6"/>
    <x v="1"/>
    <n v="37.987231866981404"/>
    <m/>
  </r>
  <r>
    <x v="5"/>
    <x v="8"/>
    <x v="1"/>
    <x v="3"/>
    <x v="1"/>
    <x v="0"/>
    <n v="55.906685115709799"/>
    <m/>
  </r>
  <r>
    <x v="5"/>
    <x v="8"/>
    <x v="1"/>
    <x v="3"/>
    <x v="1"/>
    <x v="1"/>
    <n v="127.9687076757895"/>
    <m/>
  </r>
  <r>
    <x v="5"/>
    <x v="8"/>
    <x v="1"/>
    <x v="4"/>
    <x v="2"/>
    <x v="0"/>
    <n v="38.019806193558402"/>
    <m/>
  </r>
  <r>
    <x v="5"/>
    <x v="8"/>
    <x v="1"/>
    <x v="4"/>
    <x v="2"/>
    <x v="1"/>
    <n v="22019.9150955962"/>
    <n v="13561.373"/>
  </r>
  <r>
    <x v="5"/>
    <x v="8"/>
    <x v="1"/>
    <x v="4"/>
    <x v="4"/>
    <x v="1"/>
    <n v="9.0868847108299997E-2"/>
    <m/>
  </r>
  <r>
    <x v="5"/>
    <x v="8"/>
    <x v="1"/>
    <x v="4"/>
    <x v="6"/>
    <x v="1"/>
    <n v="12825.483039107336"/>
    <n v="5034.1228000000001"/>
  </r>
  <r>
    <x v="5"/>
    <x v="8"/>
    <x v="2"/>
    <x v="5"/>
    <x v="2"/>
    <x v="0"/>
    <n v="5048.9503265666581"/>
    <n v="1915.0554"/>
  </r>
  <r>
    <x v="5"/>
    <x v="8"/>
    <x v="2"/>
    <x v="5"/>
    <x v="2"/>
    <x v="1"/>
    <n v="42630.257370921812"/>
    <n v="15360.0627"/>
  </r>
  <r>
    <x v="5"/>
    <x v="8"/>
    <x v="2"/>
    <x v="5"/>
    <x v="3"/>
    <x v="0"/>
    <n v="1.4038205719582999"/>
    <m/>
  </r>
  <r>
    <x v="5"/>
    <x v="8"/>
    <x v="2"/>
    <x v="5"/>
    <x v="3"/>
    <x v="1"/>
    <n v="20.258937451928102"/>
    <m/>
  </r>
  <r>
    <x v="5"/>
    <x v="8"/>
    <x v="2"/>
    <x v="5"/>
    <x v="8"/>
    <x v="0"/>
    <n v="24998.429635181179"/>
    <n v="11341.1196"/>
  </r>
  <r>
    <x v="5"/>
    <x v="8"/>
    <x v="2"/>
    <x v="5"/>
    <x v="8"/>
    <x v="1"/>
    <n v="8310.8442791352008"/>
    <n v="3442.1482999999998"/>
  </r>
  <r>
    <x v="5"/>
    <x v="8"/>
    <x v="2"/>
    <x v="5"/>
    <x v="7"/>
    <x v="0"/>
    <n v="15250.62342666141"/>
    <n v="6478.3224"/>
  </r>
  <r>
    <x v="5"/>
    <x v="8"/>
    <x v="2"/>
    <x v="5"/>
    <x v="7"/>
    <x v="1"/>
    <n v="33259.531252827233"/>
    <n v="11226.650100000001"/>
  </r>
  <r>
    <x v="5"/>
    <x v="8"/>
    <x v="2"/>
    <x v="5"/>
    <x v="5"/>
    <x v="0"/>
    <n v="2.0318891540773998"/>
    <m/>
  </r>
  <r>
    <x v="5"/>
    <x v="8"/>
    <x v="2"/>
    <x v="5"/>
    <x v="5"/>
    <x v="1"/>
    <n v="55.842337293384702"/>
    <m/>
  </r>
  <r>
    <x v="5"/>
    <x v="8"/>
    <x v="2"/>
    <x v="5"/>
    <x v="1"/>
    <x v="0"/>
    <n v="26.007318650071099"/>
    <m/>
  </r>
  <r>
    <x v="5"/>
    <x v="8"/>
    <x v="2"/>
    <x v="5"/>
    <x v="1"/>
    <x v="1"/>
    <n v="61.197034430172501"/>
    <m/>
  </r>
  <r>
    <x v="5"/>
    <x v="8"/>
    <x v="2"/>
    <x v="5"/>
    <x v="9"/>
    <x v="0"/>
    <n v="25.6394903876215"/>
    <m/>
  </r>
  <r>
    <x v="5"/>
    <x v="8"/>
    <x v="2"/>
    <x v="5"/>
    <x v="9"/>
    <x v="1"/>
    <n v="87.380656904078194"/>
    <m/>
  </r>
  <r>
    <x v="5"/>
    <x v="8"/>
    <x v="2"/>
    <x v="6"/>
    <x v="0"/>
    <x v="0"/>
    <n v="5568.9216463079074"/>
    <n v="2225.2759000000001"/>
  </r>
  <r>
    <x v="5"/>
    <x v="8"/>
    <x v="2"/>
    <x v="6"/>
    <x v="0"/>
    <x v="1"/>
    <n v="10715.457581972774"/>
    <n v="2622.7231999999999"/>
  </r>
  <r>
    <x v="5"/>
    <x v="8"/>
    <x v="2"/>
    <x v="6"/>
    <x v="1"/>
    <x v="0"/>
    <n v="28213.58924873087"/>
    <n v="12662.716700000001"/>
  </r>
  <r>
    <x v="5"/>
    <x v="8"/>
    <x v="2"/>
    <x v="6"/>
    <x v="1"/>
    <x v="1"/>
    <n v="32285.251931888481"/>
    <n v="9729.2775000000001"/>
  </r>
  <r>
    <x v="5"/>
    <x v="8"/>
    <x v="2"/>
    <x v="7"/>
    <x v="2"/>
    <x v="1"/>
    <n v="6254.2838878138527"/>
    <n v="1361.7358999999999"/>
  </r>
  <r>
    <x v="5"/>
    <x v="9"/>
    <x v="0"/>
    <x v="0"/>
    <x v="0"/>
    <x v="0"/>
    <n v="32.002246398376002"/>
    <n v="4.6014999999999997"/>
  </r>
  <r>
    <x v="5"/>
    <x v="9"/>
    <x v="0"/>
    <x v="0"/>
    <x v="0"/>
    <x v="1"/>
    <n v="86.354771739380496"/>
    <n v="13.344200000000001"/>
  </r>
  <r>
    <x v="5"/>
    <x v="9"/>
    <x v="0"/>
    <x v="0"/>
    <x v="1"/>
    <x v="0"/>
    <n v="8979.8132143874209"/>
    <n v="1187.7165"/>
  </r>
  <r>
    <x v="5"/>
    <x v="9"/>
    <x v="0"/>
    <x v="0"/>
    <x v="1"/>
    <x v="1"/>
    <n v="1295.0625597737201"/>
    <n v="111.54089999999999"/>
  </r>
  <r>
    <x v="5"/>
    <x v="9"/>
    <x v="0"/>
    <x v="1"/>
    <x v="0"/>
    <x v="0"/>
    <n v="46.111120012312597"/>
    <n v="5.4592999999999998"/>
  </r>
  <r>
    <x v="5"/>
    <x v="9"/>
    <x v="0"/>
    <x v="1"/>
    <x v="0"/>
    <x v="1"/>
    <n v="81.349027087175102"/>
    <n v="13.271599999999999"/>
  </r>
  <r>
    <x v="5"/>
    <x v="9"/>
    <x v="0"/>
    <x v="1"/>
    <x v="1"/>
    <x v="0"/>
    <n v="5657.5102440630199"/>
    <n v="828.33810000000005"/>
  </r>
  <r>
    <x v="5"/>
    <x v="9"/>
    <x v="0"/>
    <x v="1"/>
    <x v="1"/>
    <x v="1"/>
    <n v="5170.0412501160599"/>
    <n v="747.09640000000002"/>
  </r>
  <r>
    <x v="5"/>
    <x v="9"/>
    <x v="1"/>
    <x v="2"/>
    <x v="2"/>
    <x v="0"/>
    <n v="7167.632349067193"/>
    <n v="2227.6282000000001"/>
  </r>
  <r>
    <x v="5"/>
    <x v="9"/>
    <x v="1"/>
    <x v="2"/>
    <x v="2"/>
    <x v="1"/>
    <n v="121851.02998432241"/>
    <n v="39374.536699999997"/>
  </r>
  <r>
    <x v="5"/>
    <x v="9"/>
    <x v="1"/>
    <x v="2"/>
    <x v="3"/>
    <x v="0"/>
    <n v="157.88706359527129"/>
    <m/>
  </r>
  <r>
    <x v="5"/>
    <x v="9"/>
    <x v="1"/>
    <x v="2"/>
    <x v="3"/>
    <x v="1"/>
    <n v="160.76823727567671"/>
    <m/>
  </r>
  <r>
    <x v="5"/>
    <x v="9"/>
    <x v="1"/>
    <x v="2"/>
    <x v="5"/>
    <x v="0"/>
    <n v="205.04131605333939"/>
    <m/>
  </r>
  <r>
    <x v="5"/>
    <x v="9"/>
    <x v="1"/>
    <x v="2"/>
    <x v="5"/>
    <x v="1"/>
    <n v="540.45713576942444"/>
    <m/>
  </r>
  <r>
    <x v="5"/>
    <x v="9"/>
    <x v="1"/>
    <x v="2"/>
    <x v="6"/>
    <x v="0"/>
    <n v="3431.5659639994801"/>
    <m/>
  </r>
  <r>
    <x v="5"/>
    <x v="9"/>
    <x v="1"/>
    <x v="2"/>
    <x v="6"/>
    <x v="1"/>
    <n v="9988.4798721652205"/>
    <m/>
  </r>
  <r>
    <x v="5"/>
    <x v="9"/>
    <x v="1"/>
    <x v="2"/>
    <x v="1"/>
    <x v="0"/>
    <n v="26.067029273408899"/>
    <m/>
  </r>
  <r>
    <x v="5"/>
    <x v="9"/>
    <x v="1"/>
    <x v="2"/>
    <x v="1"/>
    <x v="1"/>
    <n v="120.8757178241363"/>
    <m/>
  </r>
  <r>
    <x v="5"/>
    <x v="9"/>
    <x v="1"/>
    <x v="3"/>
    <x v="2"/>
    <x v="0"/>
    <n v="9232.5601016671808"/>
    <n v="3230.2159999999999"/>
  </r>
  <r>
    <x v="5"/>
    <x v="9"/>
    <x v="1"/>
    <x v="3"/>
    <x v="2"/>
    <x v="1"/>
    <n v="83923.275819332805"/>
    <n v="29908.0092"/>
  </r>
  <r>
    <x v="5"/>
    <x v="9"/>
    <x v="1"/>
    <x v="3"/>
    <x v="3"/>
    <x v="0"/>
    <n v="433.07023132032901"/>
    <m/>
  </r>
  <r>
    <x v="5"/>
    <x v="9"/>
    <x v="1"/>
    <x v="3"/>
    <x v="3"/>
    <x v="1"/>
    <n v="1099.8629089964011"/>
    <m/>
  </r>
  <r>
    <x v="5"/>
    <x v="9"/>
    <x v="1"/>
    <x v="3"/>
    <x v="7"/>
    <x v="0"/>
    <n v="842.91777013325895"/>
    <n v="273.52519999999998"/>
  </r>
  <r>
    <x v="5"/>
    <x v="9"/>
    <x v="1"/>
    <x v="3"/>
    <x v="7"/>
    <x v="1"/>
    <n v="5013.6234901141997"/>
    <n v="1724.8904"/>
  </r>
  <r>
    <x v="5"/>
    <x v="9"/>
    <x v="1"/>
    <x v="3"/>
    <x v="5"/>
    <x v="0"/>
    <n v="251.2303073748127"/>
    <m/>
  </r>
  <r>
    <x v="5"/>
    <x v="9"/>
    <x v="1"/>
    <x v="3"/>
    <x v="5"/>
    <x v="1"/>
    <n v="574.44609966530595"/>
    <m/>
  </r>
  <r>
    <x v="5"/>
    <x v="9"/>
    <x v="1"/>
    <x v="3"/>
    <x v="6"/>
    <x v="0"/>
    <n v="41.784060829555202"/>
    <m/>
  </r>
  <r>
    <x v="5"/>
    <x v="9"/>
    <x v="1"/>
    <x v="3"/>
    <x v="6"/>
    <x v="1"/>
    <n v="98.093592858380603"/>
    <m/>
  </r>
  <r>
    <x v="5"/>
    <x v="9"/>
    <x v="1"/>
    <x v="3"/>
    <x v="1"/>
    <x v="0"/>
    <n v="59.933283580027101"/>
    <m/>
  </r>
  <r>
    <x v="5"/>
    <x v="9"/>
    <x v="1"/>
    <x v="3"/>
    <x v="1"/>
    <x v="1"/>
    <n v="244.14558541473741"/>
    <m/>
  </r>
  <r>
    <x v="5"/>
    <x v="9"/>
    <x v="1"/>
    <x v="4"/>
    <x v="2"/>
    <x v="0"/>
    <n v="11.8939243630206"/>
    <m/>
  </r>
  <r>
    <x v="5"/>
    <x v="9"/>
    <x v="1"/>
    <x v="4"/>
    <x v="2"/>
    <x v="1"/>
    <n v="46870.139309153819"/>
    <n v="15423.3032"/>
  </r>
  <r>
    <x v="5"/>
    <x v="9"/>
    <x v="1"/>
    <x v="4"/>
    <x v="6"/>
    <x v="0"/>
    <n v="784.89391857256601"/>
    <m/>
  </r>
  <r>
    <x v="5"/>
    <x v="9"/>
    <x v="1"/>
    <x v="4"/>
    <x v="6"/>
    <x v="1"/>
    <n v="116240.46472588868"/>
    <n v="25179.763500000001"/>
  </r>
  <r>
    <x v="5"/>
    <x v="9"/>
    <x v="2"/>
    <x v="5"/>
    <x v="2"/>
    <x v="0"/>
    <n v="706.28481675035096"/>
    <n v="202.76179999999999"/>
  </r>
  <r>
    <x v="5"/>
    <x v="9"/>
    <x v="2"/>
    <x v="5"/>
    <x v="2"/>
    <x v="1"/>
    <n v="3210.6731835126402"/>
    <n v="1003.026"/>
  </r>
  <r>
    <x v="5"/>
    <x v="9"/>
    <x v="2"/>
    <x v="5"/>
    <x v="3"/>
    <x v="0"/>
    <n v="8.1134004434200005E-2"/>
    <m/>
  </r>
  <r>
    <x v="5"/>
    <x v="9"/>
    <x v="2"/>
    <x v="5"/>
    <x v="3"/>
    <x v="1"/>
    <n v="1.1028327952701"/>
    <m/>
  </r>
  <r>
    <x v="5"/>
    <x v="9"/>
    <x v="2"/>
    <x v="5"/>
    <x v="8"/>
    <x v="0"/>
    <n v="2.2152522029628998"/>
    <m/>
  </r>
  <r>
    <x v="5"/>
    <x v="9"/>
    <x v="2"/>
    <x v="5"/>
    <x v="8"/>
    <x v="1"/>
    <n v="1.9208508021819"/>
    <m/>
  </r>
  <r>
    <x v="5"/>
    <x v="9"/>
    <x v="2"/>
    <x v="5"/>
    <x v="7"/>
    <x v="0"/>
    <n v="133.45925379054529"/>
    <n v="28.0091"/>
  </r>
  <r>
    <x v="5"/>
    <x v="9"/>
    <x v="2"/>
    <x v="5"/>
    <x v="7"/>
    <x v="1"/>
    <n v="998.45021373412305"/>
    <n v="408.73829999999998"/>
  </r>
  <r>
    <x v="5"/>
    <x v="9"/>
    <x v="2"/>
    <x v="5"/>
    <x v="1"/>
    <x v="0"/>
    <n v="4.5934953230581996"/>
    <m/>
  </r>
  <r>
    <x v="5"/>
    <x v="9"/>
    <x v="2"/>
    <x v="5"/>
    <x v="1"/>
    <x v="1"/>
    <n v="4.5684142915364001"/>
    <m/>
  </r>
  <r>
    <x v="5"/>
    <x v="9"/>
    <x v="2"/>
    <x v="5"/>
    <x v="9"/>
    <x v="0"/>
    <n v="1.3833652574841"/>
    <m/>
  </r>
  <r>
    <x v="5"/>
    <x v="9"/>
    <x v="2"/>
    <x v="5"/>
    <x v="9"/>
    <x v="1"/>
    <n v="1.2212291380125"/>
    <m/>
  </r>
  <r>
    <x v="5"/>
    <x v="9"/>
    <x v="2"/>
    <x v="6"/>
    <x v="0"/>
    <x v="0"/>
    <n v="30.6452126689768"/>
    <n v="5.4256000000000002"/>
  </r>
  <r>
    <x v="5"/>
    <x v="9"/>
    <x v="2"/>
    <x v="6"/>
    <x v="0"/>
    <x v="1"/>
    <n v="418.31461122494102"/>
    <n v="90.11"/>
  </r>
  <r>
    <x v="5"/>
    <x v="9"/>
    <x v="2"/>
    <x v="6"/>
    <x v="1"/>
    <x v="0"/>
    <n v="453.91543295176001"/>
    <n v="140.12819999999999"/>
  </r>
  <r>
    <x v="5"/>
    <x v="9"/>
    <x v="2"/>
    <x v="6"/>
    <x v="1"/>
    <x v="1"/>
    <n v="872.61987766114896"/>
    <n v="200.28389999999999"/>
  </r>
  <r>
    <x v="5"/>
    <x v="9"/>
    <x v="2"/>
    <x v="7"/>
    <x v="2"/>
    <x v="1"/>
    <n v="5526.8559097368998"/>
    <n v="2765.2541000000001"/>
  </r>
  <r>
    <x v="5"/>
    <x v="10"/>
    <x v="0"/>
    <x v="0"/>
    <x v="0"/>
    <x v="0"/>
    <n v="1024.0723351856466"/>
    <n v="207.4907"/>
  </r>
  <r>
    <x v="5"/>
    <x v="10"/>
    <x v="0"/>
    <x v="0"/>
    <x v="0"/>
    <x v="1"/>
    <n v="4563.9272897678948"/>
    <n v="840.60119999999995"/>
  </r>
  <r>
    <x v="5"/>
    <x v="10"/>
    <x v="0"/>
    <x v="0"/>
    <x v="1"/>
    <x v="0"/>
    <n v="54174.657862351189"/>
    <n v="8813.8490000000002"/>
  </r>
  <r>
    <x v="5"/>
    <x v="10"/>
    <x v="0"/>
    <x v="0"/>
    <x v="1"/>
    <x v="1"/>
    <n v="19956.904241552325"/>
    <n v="2418.9931000000001"/>
  </r>
  <r>
    <x v="5"/>
    <x v="10"/>
    <x v="0"/>
    <x v="1"/>
    <x v="0"/>
    <x v="0"/>
    <n v="945.6170474778487"/>
    <n v="210.01669999999999"/>
  </r>
  <r>
    <x v="5"/>
    <x v="10"/>
    <x v="0"/>
    <x v="1"/>
    <x v="0"/>
    <x v="1"/>
    <n v="2238.7014010926746"/>
    <n v="437.22609999999997"/>
  </r>
  <r>
    <x v="5"/>
    <x v="10"/>
    <x v="0"/>
    <x v="1"/>
    <x v="1"/>
    <x v="0"/>
    <n v="28872.406966472772"/>
    <n v="7121.9988999999996"/>
  </r>
  <r>
    <x v="5"/>
    <x v="10"/>
    <x v="0"/>
    <x v="1"/>
    <x v="1"/>
    <x v="1"/>
    <n v="39278.607712463643"/>
    <n v="5139.6386000000002"/>
  </r>
  <r>
    <x v="5"/>
    <x v="10"/>
    <x v="1"/>
    <x v="2"/>
    <x v="2"/>
    <x v="0"/>
    <n v="19704.557721449375"/>
    <n v="5481.3566000000001"/>
  </r>
  <r>
    <x v="5"/>
    <x v="10"/>
    <x v="1"/>
    <x v="2"/>
    <x v="2"/>
    <x v="1"/>
    <n v="149143.89542029463"/>
    <n v="47600.522199999999"/>
  </r>
  <r>
    <x v="5"/>
    <x v="10"/>
    <x v="1"/>
    <x v="2"/>
    <x v="3"/>
    <x v="0"/>
    <n v="277.26086049657778"/>
    <m/>
  </r>
  <r>
    <x v="5"/>
    <x v="10"/>
    <x v="1"/>
    <x v="2"/>
    <x v="3"/>
    <x v="1"/>
    <n v="304.1531304785716"/>
    <m/>
  </r>
  <r>
    <x v="5"/>
    <x v="10"/>
    <x v="1"/>
    <x v="2"/>
    <x v="4"/>
    <x v="0"/>
    <n v="2.1865876403878"/>
    <m/>
  </r>
  <r>
    <x v="5"/>
    <x v="10"/>
    <x v="1"/>
    <x v="2"/>
    <x v="4"/>
    <x v="1"/>
    <n v="34.886000316398501"/>
    <m/>
  </r>
  <r>
    <x v="5"/>
    <x v="10"/>
    <x v="1"/>
    <x v="2"/>
    <x v="5"/>
    <x v="0"/>
    <n v="229.8759577352661"/>
    <m/>
  </r>
  <r>
    <x v="5"/>
    <x v="10"/>
    <x v="1"/>
    <x v="2"/>
    <x v="5"/>
    <x v="1"/>
    <n v="611.92747560432485"/>
    <n v="8.3872999999999998"/>
  </r>
  <r>
    <x v="5"/>
    <x v="10"/>
    <x v="1"/>
    <x v="2"/>
    <x v="6"/>
    <x v="0"/>
    <n v="4417.6697788016563"/>
    <m/>
  </r>
  <r>
    <x v="5"/>
    <x v="10"/>
    <x v="1"/>
    <x v="2"/>
    <x v="6"/>
    <x v="1"/>
    <n v="11027.824178663981"/>
    <m/>
  </r>
  <r>
    <x v="5"/>
    <x v="10"/>
    <x v="1"/>
    <x v="2"/>
    <x v="1"/>
    <x v="0"/>
    <n v="906.30321078528652"/>
    <m/>
  </r>
  <r>
    <x v="5"/>
    <x v="10"/>
    <x v="1"/>
    <x v="2"/>
    <x v="1"/>
    <x v="1"/>
    <n v="2153.0650730586431"/>
    <m/>
  </r>
  <r>
    <x v="5"/>
    <x v="10"/>
    <x v="1"/>
    <x v="3"/>
    <x v="2"/>
    <x v="0"/>
    <n v="32307.125101490481"/>
    <n v="8776.6849000000002"/>
  </r>
  <r>
    <x v="5"/>
    <x v="10"/>
    <x v="1"/>
    <x v="3"/>
    <x v="2"/>
    <x v="1"/>
    <n v="144093.41599943716"/>
    <n v="42561.325700000001"/>
  </r>
  <r>
    <x v="5"/>
    <x v="10"/>
    <x v="1"/>
    <x v="3"/>
    <x v="3"/>
    <x v="0"/>
    <n v="912.32245250907488"/>
    <m/>
  </r>
  <r>
    <x v="5"/>
    <x v="10"/>
    <x v="1"/>
    <x v="3"/>
    <x v="3"/>
    <x v="1"/>
    <n v="2253.5846574634179"/>
    <m/>
  </r>
  <r>
    <x v="5"/>
    <x v="10"/>
    <x v="1"/>
    <x v="3"/>
    <x v="7"/>
    <x v="0"/>
    <n v="30936.730833918929"/>
    <n v="8822.6911999999993"/>
  </r>
  <r>
    <x v="5"/>
    <x v="10"/>
    <x v="1"/>
    <x v="3"/>
    <x v="7"/>
    <x v="1"/>
    <n v="94597.260125762172"/>
    <n v="29575.376499999998"/>
  </r>
  <r>
    <x v="5"/>
    <x v="10"/>
    <x v="1"/>
    <x v="3"/>
    <x v="5"/>
    <x v="0"/>
    <n v="779.86848009149514"/>
    <m/>
  </r>
  <r>
    <x v="5"/>
    <x v="10"/>
    <x v="1"/>
    <x v="3"/>
    <x v="5"/>
    <x v="1"/>
    <n v="1999.5733364405048"/>
    <m/>
  </r>
  <r>
    <x v="5"/>
    <x v="10"/>
    <x v="1"/>
    <x v="3"/>
    <x v="6"/>
    <x v="0"/>
    <n v="4.3765705622899997E-2"/>
    <m/>
  </r>
  <r>
    <x v="5"/>
    <x v="10"/>
    <x v="1"/>
    <x v="3"/>
    <x v="6"/>
    <x v="1"/>
    <n v="0.1125515514068"/>
    <m/>
  </r>
  <r>
    <x v="5"/>
    <x v="10"/>
    <x v="1"/>
    <x v="3"/>
    <x v="1"/>
    <x v="0"/>
    <n v="662.46060564927564"/>
    <m/>
  </r>
  <r>
    <x v="5"/>
    <x v="10"/>
    <x v="1"/>
    <x v="3"/>
    <x v="1"/>
    <x v="1"/>
    <n v="1330.6134011724469"/>
    <m/>
  </r>
  <r>
    <x v="5"/>
    <x v="10"/>
    <x v="1"/>
    <x v="4"/>
    <x v="2"/>
    <x v="0"/>
    <n v="2.5723900000000002E-7"/>
    <m/>
  </r>
  <r>
    <x v="5"/>
    <x v="10"/>
    <x v="1"/>
    <x v="4"/>
    <x v="2"/>
    <x v="1"/>
    <n v="5718.8171565592011"/>
    <n v="4456.9363000000003"/>
  </r>
  <r>
    <x v="5"/>
    <x v="10"/>
    <x v="1"/>
    <x v="4"/>
    <x v="5"/>
    <x v="1"/>
    <n v="2.3069532482000001E-3"/>
    <m/>
  </r>
  <r>
    <x v="5"/>
    <x v="10"/>
    <x v="1"/>
    <x v="4"/>
    <x v="6"/>
    <x v="0"/>
    <n v="1.4924073900000001E-5"/>
    <m/>
  </r>
  <r>
    <x v="5"/>
    <x v="10"/>
    <x v="1"/>
    <x v="4"/>
    <x v="6"/>
    <x v="1"/>
    <n v="8063.0857974248311"/>
    <n v="6301.3198000000002"/>
  </r>
  <r>
    <x v="5"/>
    <x v="10"/>
    <x v="2"/>
    <x v="5"/>
    <x v="2"/>
    <x v="0"/>
    <n v="4952.5251267748308"/>
    <n v="2401.5070999999998"/>
  </r>
  <r>
    <x v="5"/>
    <x v="10"/>
    <x v="2"/>
    <x v="5"/>
    <x v="2"/>
    <x v="1"/>
    <n v="43969.248914763142"/>
    <n v="15876.0753"/>
  </r>
  <r>
    <x v="5"/>
    <x v="10"/>
    <x v="2"/>
    <x v="5"/>
    <x v="3"/>
    <x v="0"/>
    <n v="2.3228586537465001"/>
    <m/>
  </r>
  <r>
    <x v="5"/>
    <x v="10"/>
    <x v="2"/>
    <x v="5"/>
    <x v="8"/>
    <x v="0"/>
    <n v="1099.1560564203012"/>
    <n v="522.38"/>
  </r>
  <r>
    <x v="5"/>
    <x v="10"/>
    <x v="2"/>
    <x v="5"/>
    <x v="8"/>
    <x v="1"/>
    <n v="674.26102841305385"/>
    <n v="290.35980000000001"/>
  </r>
  <r>
    <x v="5"/>
    <x v="10"/>
    <x v="2"/>
    <x v="5"/>
    <x v="7"/>
    <x v="0"/>
    <n v="6270.7593603711803"/>
    <n v="2856.5088999999998"/>
  </r>
  <r>
    <x v="5"/>
    <x v="10"/>
    <x v="2"/>
    <x v="5"/>
    <x v="7"/>
    <x v="1"/>
    <n v="15544.318589036178"/>
    <n v="4959.8963000000003"/>
  </r>
  <r>
    <x v="5"/>
    <x v="10"/>
    <x v="2"/>
    <x v="5"/>
    <x v="1"/>
    <x v="0"/>
    <n v="38.518859507023301"/>
    <m/>
  </r>
  <r>
    <x v="5"/>
    <x v="10"/>
    <x v="2"/>
    <x v="5"/>
    <x v="1"/>
    <x v="1"/>
    <n v="67.334138241686802"/>
    <m/>
  </r>
  <r>
    <x v="5"/>
    <x v="10"/>
    <x v="2"/>
    <x v="5"/>
    <x v="9"/>
    <x v="0"/>
    <n v="3.7946866087139002"/>
    <m/>
  </r>
  <r>
    <x v="5"/>
    <x v="10"/>
    <x v="2"/>
    <x v="5"/>
    <x v="9"/>
    <x v="1"/>
    <n v="43.821152856331402"/>
    <m/>
  </r>
  <r>
    <x v="5"/>
    <x v="10"/>
    <x v="2"/>
    <x v="6"/>
    <x v="0"/>
    <x v="0"/>
    <n v="3425.6446727362563"/>
    <n v="1332.5853999999999"/>
  </r>
  <r>
    <x v="5"/>
    <x v="10"/>
    <x v="2"/>
    <x v="6"/>
    <x v="0"/>
    <x v="1"/>
    <n v="12291.454326433659"/>
    <n v="2741.1833999999999"/>
  </r>
  <r>
    <x v="5"/>
    <x v="10"/>
    <x v="2"/>
    <x v="6"/>
    <x v="1"/>
    <x v="0"/>
    <n v="19980.87241309166"/>
    <n v="7057.1091999999999"/>
  </r>
  <r>
    <x v="5"/>
    <x v="10"/>
    <x v="2"/>
    <x v="6"/>
    <x v="1"/>
    <x v="1"/>
    <n v="31560.50806848886"/>
    <n v="11208.859"/>
  </r>
  <r>
    <x v="5"/>
    <x v="10"/>
    <x v="2"/>
    <x v="7"/>
    <x v="2"/>
    <x v="1"/>
    <n v="5425.8697260567587"/>
    <n v="2360.6945000000001"/>
  </r>
  <r>
    <x v="6"/>
    <x v="0"/>
    <x v="0"/>
    <x v="0"/>
    <x v="0"/>
    <x v="0"/>
    <n v="45.189656719587703"/>
    <n v="13.362500000000001"/>
  </r>
  <r>
    <x v="6"/>
    <x v="0"/>
    <x v="0"/>
    <x v="0"/>
    <x v="0"/>
    <x v="1"/>
    <n v="213.9821784024264"/>
    <n v="38.933799999999998"/>
  </r>
  <r>
    <x v="6"/>
    <x v="0"/>
    <x v="0"/>
    <x v="0"/>
    <x v="1"/>
    <x v="0"/>
    <n v="11757.512763505012"/>
    <n v="1748.9413"/>
  </r>
  <r>
    <x v="6"/>
    <x v="0"/>
    <x v="0"/>
    <x v="0"/>
    <x v="1"/>
    <x v="1"/>
    <n v="3922.142356671859"/>
    <n v="401.52229999999997"/>
  </r>
  <r>
    <x v="6"/>
    <x v="0"/>
    <x v="0"/>
    <x v="1"/>
    <x v="0"/>
    <x v="0"/>
    <n v="210.0557901395166"/>
    <n v="68.386099999999999"/>
  </r>
  <r>
    <x v="6"/>
    <x v="0"/>
    <x v="0"/>
    <x v="1"/>
    <x v="0"/>
    <x v="1"/>
    <n v="276.45129850674908"/>
    <n v="83.589799999999997"/>
  </r>
  <r>
    <x v="6"/>
    <x v="0"/>
    <x v="0"/>
    <x v="1"/>
    <x v="1"/>
    <x v="0"/>
    <n v="10114.349303586479"/>
    <n v="1635.9199000000001"/>
  </r>
  <r>
    <x v="6"/>
    <x v="0"/>
    <x v="0"/>
    <x v="1"/>
    <x v="1"/>
    <x v="1"/>
    <n v="8905.6230436930055"/>
    <n v="1535.0481"/>
  </r>
  <r>
    <x v="6"/>
    <x v="0"/>
    <x v="1"/>
    <x v="2"/>
    <x v="2"/>
    <x v="0"/>
    <n v="2818.8696680715721"/>
    <n v="1181.1398999999999"/>
  </r>
  <r>
    <x v="6"/>
    <x v="0"/>
    <x v="1"/>
    <x v="2"/>
    <x v="2"/>
    <x v="1"/>
    <n v="23059.8000451189"/>
    <n v="9893.4352999999992"/>
  </r>
  <r>
    <x v="6"/>
    <x v="0"/>
    <x v="1"/>
    <x v="2"/>
    <x v="3"/>
    <x v="1"/>
    <n v="1.4237453860658"/>
    <m/>
  </r>
  <r>
    <x v="6"/>
    <x v="0"/>
    <x v="1"/>
    <x v="2"/>
    <x v="4"/>
    <x v="0"/>
    <n v="4.2068334053199999E-2"/>
    <m/>
  </r>
  <r>
    <x v="6"/>
    <x v="0"/>
    <x v="1"/>
    <x v="2"/>
    <x v="4"/>
    <x v="1"/>
    <n v="1.9680272032952999"/>
    <m/>
  </r>
  <r>
    <x v="6"/>
    <x v="0"/>
    <x v="1"/>
    <x v="2"/>
    <x v="5"/>
    <x v="0"/>
    <n v="3.2888044850605"/>
    <m/>
  </r>
  <r>
    <x v="6"/>
    <x v="0"/>
    <x v="1"/>
    <x v="2"/>
    <x v="5"/>
    <x v="1"/>
    <n v="7.9425220364496001"/>
    <m/>
  </r>
  <r>
    <x v="6"/>
    <x v="0"/>
    <x v="1"/>
    <x v="2"/>
    <x v="6"/>
    <x v="0"/>
    <n v="73.754367213286301"/>
    <m/>
  </r>
  <r>
    <x v="6"/>
    <x v="0"/>
    <x v="1"/>
    <x v="2"/>
    <x v="6"/>
    <x v="1"/>
    <n v="169.65999182438199"/>
    <m/>
  </r>
  <r>
    <x v="6"/>
    <x v="0"/>
    <x v="1"/>
    <x v="2"/>
    <x v="1"/>
    <x v="0"/>
    <n v="36.773432779720103"/>
    <m/>
  </r>
  <r>
    <x v="6"/>
    <x v="0"/>
    <x v="1"/>
    <x v="2"/>
    <x v="1"/>
    <x v="1"/>
    <n v="27.967080250235099"/>
    <m/>
  </r>
  <r>
    <x v="6"/>
    <x v="0"/>
    <x v="1"/>
    <x v="3"/>
    <x v="2"/>
    <x v="0"/>
    <n v="7606.9986595389"/>
    <n v="2660.8996999999999"/>
  </r>
  <r>
    <x v="6"/>
    <x v="0"/>
    <x v="1"/>
    <x v="3"/>
    <x v="2"/>
    <x v="1"/>
    <n v="52152.552488178851"/>
    <n v="19042.0236"/>
  </r>
  <r>
    <x v="6"/>
    <x v="0"/>
    <x v="1"/>
    <x v="3"/>
    <x v="3"/>
    <x v="0"/>
    <n v="2.6208940430490002"/>
    <m/>
  </r>
  <r>
    <x v="6"/>
    <x v="0"/>
    <x v="1"/>
    <x v="3"/>
    <x v="3"/>
    <x v="1"/>
    <n v="7.0489418104685999"/>
    <m/>
  </r>
  <r>
    <x v="6"/>
    <x v="0"/>
    <x v="1"/>
    <x v="3"/>
    <x v="7"/>
    <x v="0"/>
    <n v="1587.2641881977943"/>
    <n v="633.15170000000001"/>
  </r>
  <r>
    <x v="6"/>
    <x v="0"/>
    <x v="1"/>
    <x v="3"/>
    <x v="7"/>
    <x v="1"/>
    <n v="11326.817090394065"/>
    <n v="4589.0168999999996"/>
  </r>
  <r>
    <x v="6"/>
    <x v="0"/>
    <x v="1"/>
    <x v="3"/>
    <x v="5"/>
    <x v="0"/>
    <n v="41.837556298579898"/>
    <m/>
  </r>
  <r>
    <x v="6"/>
    <x v="0"/>
    <x v="1"/>
    <x v="3"/>
    <x v="5"/>
    <x v="1"/>
    <n v="108.1369299088993"/>
    <m/>
  </r>
  <r>
    <x v="6"/>
    <x v="0"/>
    <x v="1"/>
    <x v="3"/>
    <x v="6"/>
    <x v="0"/>
    <n v="14.834645674872499"/>
    <m/>
  </r>
  <r>
    <x v="6"/>
    <x v="0"/>
    <x v="1"/>
    <x v="3"/>
    <x v="6"/>
    <x v="1"/>
    <n v="40.391271943818097"/>
    <m/>
  </r>
  <r>
    <x v="6"/>
    <x v="0"/>
    <x v="1"/>
    <x v="3"/>
    <x v="1"/>
    <x v="0"/>
    <n v="57.925750077882398"/>
    <m/>
  </r>
  <r>
    <x v="6"/>
    <x v="0"/>
    <x v="1"/>
    <x v="3"/>
    <x v="1"/>
    <x v="1"/>
    <n v="97.371958041110005"/>
    <m/>
  </r>
  <r>
    <x v="6"/>
    <x v="0"/>
    <x v="1"/>
    <x v="4"/>
    <x v="2"/>
    <x v="1"/>
    <n v="9447.9802494106334"/>
    <n v="11271.225399999999"/>
  </r>
  <r>
    <x v="6"/>
    <x v="0"/>
    <x v="1"/>
    <x v="4"/>
    <x v="6"/>
    <x v="1"/>
    <n v="2248.8273853786318"/>
    <n v="2872.2565"/>
  </r>
  <r>
    <x v="6"/>
    <x v="0"/>
    <x v="1"/>
    <x v="4"/>
    <x v="1"/>
    <x v="1"/>
    <n v="7.0711274000000002E-6"/>
    <m/>
  </r>
  <r>
    <x v="6"/>
    <x v="0"/>
    <x v="2"/>
    <x v="5"/>
    <x v="2"/>
    <x v="0"/>
    <n v="2406.3662850258329"/>
    <n v="559.61099999999999"/>
  </r>
  <r>
    <x v="6"/>
    <x v="0"/>
    <x v="2"/>
    <x v="5"/>
    <x v="2"/>
    <x v="1"/>
    <n v="13242.73008109733"/>
    <n v="2597.2107000000001"/>
  </r>
  <r>
    <x v="6"/>
    <x v="0"/>
    <x v="2"/>
    <x v="5"/>
    <x v="3"/>
    <x v="0"/>
    <n v="0.31920700151499998"/>
    <m/>
  </r>
  <r>
    <x v="6"/>
    <x v="0"/>
    <x v="2"/>
    <x v="5"/>
    <x v="8"/>
    <x v="0"/>
    <n v="12.0973116936881"/>
    <n v="4.4398"/>
  </r>
  <r>
    <x v="6"/>
    <x v="0"/>
    <x v="2"/>
    <x v="5"/>
    <x v="8"/>
    <x v="1"/>
    <n v="18.366918915847101"/>
    <n v="8.6995000000000005"/>
  </r>
  <r>
    <x v="6"/>
    <x v="0"/>
    <x v="2"/>
    <x v="5"/>
    <x v="7"/>
    <x v="0"/>
    <n v="217.3918015458726"/>
    <n v="56.111800000000002"/>
  </r>
  <r>
    <x v="6"/>
    <x v="0"/>
    <x v="2"/>
    <x v="5"/>
    <x v="7"/>
    <x v="1"/>
    <n v="1373.6978179659679"/>
    <n v="272.75749999999999"/>
  </r>
  <r>
    <x v="6"/>
    <x v="0"/>
    <x v="2"/>
    <x v="5"/>
    <x v="1"/>
    <x v="0"/>
    <n v="6.4720521856630002"/>
    <m/>
  </r>
  <r>
    <x v="6"/>
    <x v="0"/>
    <x v="2"/>
    <x v="5"/>
    <x v="1"/>
    <x v="1"/>
    <n v="22.491422702874601"/>
    <m/>
  </r>
  <r>
    <x v="6"/>
    <x v="0"/>
    <x v="2"/>
    <x v="5"/>
    <x v="9"/>
    <x v="0"/>
    <n v="0.34511901239069998"/>
    <m/>
  </r>
  <r>
    <x v="6"/>
    <x v="0"/>
    <x v="2"/>
    <x v="5"/>
    <x v="9"/>
    <x v="1"/>
    <n v="1.8896732334824"/>
    <m/>
  </r>
  <r>
    <x v="6"/>
    <x v="0"/>
    <x v="2"/>
    <x v="6"/>
    <x v="0"/>
    <x v="0"/>
    <n v="298.30089966377318"/>
    <n v="84.319800000000001"/>
  </r>
  <r>
    <x v="6"/>
    <x v="0"/>
    <x v="2"/>
    <x v="6"/>
    <x v="0"/>
    <x v="1"/>
    <n v="1377.273058101641"/>
    <n v="385.78870000000001"/>
  </r>
  <r>
    <x v="6"/>
    <x v="0"/>
    <x v="2"/>
    <x v="6"/>
    <x v="1"/>
    <x v="0"/>
    <n v="3546.488730492279"/>
    <n v="902.22659999999996"/>
  </r>
  <r>
    <x v="6"/>
    <x v="0"/>
    <x v="2"/>
    <x v="6"/>
    <x v="1"/>
    <x v="1"/>
    <n v="3521.9268627426691"/>
    <n v="839.73360000000002"/>
  </r>
  <r>
    <x v="6"/>
    <x v="0"/>
    <x v="2"/>
    <x v="7"/>
    <x v="2"/>
    <x v="1"/>
    <n v="11097.825947113904"/>
    <n v="1728.6005"/>
  </r>
  <r>
    <x v="6"/>
    <x v="1"/>
    <x v="0"/>
    <x v="0"/>
    <x v="0"/>
    <x v="0"/>
    <n v="222.1656946818581"/>
    <n v="57.974400000000003"/>
  </r>
  <r>
    <x v="6"/>
    <x v="1"/>
    <x v="0"/>
    <x v="0"/>
    <x v="0"/>
    <x v="1"/>
    <n v="149.24106067637379"/>
    <n v="35.3399"/>
  </r>
  <r>
    <x v="6"/>
    <x v="1"/>
    <x v="0"/>
    <x v="0"/>
    <x v="1"/>
    <x v="0"/>
    <n v="24472.371103881811"/>
    <n v="5534.1077999999998"/>
  </r>
  <r>
    <x v="6"/>
    <x v="1"/>
    <x v="0"/>
    <x v="0"/>
    <x v="1"/>
    <x v="1"/>
    <n v="14833.32483556443"/>
    <n v="2757.3881999999999"/>
  </r>
  <r>
    <x v="6"/>
    <x v="1"/>
    <x v="0"/>
    <x v="1"/>
    <x v="0"/>
    <x v="0"/>
    <n v="395.89783160952987"/>
    <n v="85.264099999999999"/>
  </r>
  <r>
    <x v="6"/>
    <x v="1"/>
    <x v="0"/>
    <x v="1"/>
    <x v="0"/>
    <x v="1"/>
    <n v="186.7416748071949"/>
    <n v="40.271700000000003"/>
  </r>
  <r>
    <x v="6"/>
    <x v="1"/>
    <x v="0"/>
    <x v="1"/>
    <x v="1"/>
    <x v="0"/>
    <n v="20893.155636687989"/>
    <n v="4319.5577000000003"/>
  </r>
  <r>
    <x v="6"/>
    <x v="1"/>
    <x v="0"/>
    <x v="1"/>
    <x v="1"/>
    <x v="1"/>
    <n v="28279.452530471899"/>
    <n v="5933.1665999999996"/>
  </r>
  <r>
    <x v="6"/>
    <x v="1"/>
    <x v="1"/>
    <x v="2"/>
    <x v="2"/>
    <x v="0"/>
    <n v="61907.182674087861"/>
    <n v="26318.1149"/>
  </r>
  <r>
    <x v="6"/>
    <x v="1"/>
    <x v="1"/>
    <x v="2"/>
    <x v="2"/>
    <x v="1"/>
    <n v="526359.62920730095"/>
    <n v="214024.25959999999"/>
  </r>
  <r>
    <x v="6"/>
    <x v="1"/>
    <x v="1"/>
    <x v="2"/>
    <x v="3"/>
    <x v="0"/>
    <n v="40.790144654710097"/>
    <m/>
  </r>
  <r>
    <x v="6"/>
    <x v="1"/>
    <x v="1"/>
    <x v="2"/>
    <x v="3"/>
    <x v="1"/>
    <n v="55.973672829143901"/>
    <m/>
  </r>
  <r>
    <x v="6"/>
    <x v="1"/>
    <x v="1"/>
    <x v="2"/>
    <x v="5"/>
    <x v="0"/>
    <n v="78.5801947049126"/>
    <m/>
  </r>
  <r>
    <x v="6"/>
    <x v="1"/>
    <x v="1"/>
    <x v="2"/>
    <x v="5"/>
    <x v="1"/>
    <n v="418.69641612001448"/>
    <m/>
  </r>
  <r>
    <x v="6"/>
    <x v="1"/>
    <x v="1"/>
    <x v="2"/>
    <x v="6"/>
    <x v="0"/>
    <n v="1790.6289602077591"/>
    <m/>
  </r>
  <r>
    <x v="6"/>
    <x v="1"/>
    <x v="1"/>
    <x v="2"/>
    <x v="6"/>
    <x v="1"/>
    <n v="11397.12469365236"/>
    <m/>
  </r>
  <r>
    <x v="6"/>
    <x v="1"/>
    <x v="1"/>
    <x v="2"/>
    <x v="1"/>
    <x v="0"/>
    <n v="94.091229804540106"/>
    <m/>
  </r>
  <r>
    <x v="6"/>
    <x v="1"/>
    <x v="1"/>
    <x v="2"/>
    <x v="1"/>
    <x v="1"/>
    <n v="529.40261049260323"/>
    <m/>
  </r>
  <r>
    <x v="6"/>
    <x v="1"/>
    <x v="1"/>
    <x v="3"/>
    <x v="2"/>
    <x v="0"/>
    <n v="19642.66817897743"/>
    <n v="6781.3838999999998"/>
  </r>
  <r>
    <x v="6"/>
    <x v="1"/>
    <x v="1"/>
    <x v="3"/>
    <x v="2"/>
    <x v="1"/>
    <n v="147745.67400964297"/>
    <n v="52551.544699999999"/>
  </r>
  <r>
    <x v="6"/>
    <x v="1"/>
    <x v="1"/>
    <x v="3"/>
    <x v="3"/>
    <x v="0"/>
    <n v="223.03081610475911"/>
    <m/>
  </r>
  <r>
    <x v="6"/>
    <x v="1"/>
    <x v="1"/>
    <x v="3"/>
    <x v="3"/>
    <x v="1"/>
    <n v="1146.755472725863"/>
    <m/>
  </r>
  <r>
    <x v="6"/>
    <x v="1"/>
    <x v="1"/>
    <x v="3"/>
    <x v="7"/>
    <x v="0"/>
    <n v="8601.5810820089537"/>
    <n v="3165.8164000000002"/>
  </r>
  <r>
    <x v="6"/>
    <x v="1"/>
    <x v="1"/>
    <x v="3"/>
    <x v="7"/>
    <x v="1"/>
    <n v="32364.71675650181"/>
    <n v="12232.3892"/>
  </r>
  <r>
    <x v="6"/>
    <x v="1"/>
    <x v="1"/>
    <x v="3"/>
    <x v="5"/>
    <x v="0"/>
    <n v="71.024626499306294"/>
    <m/>
  </r>
  <r>
    <x v="6"/>
    <x v="1"/>
    <x v="1"/>
    <x v="3"/>
    <x v="5"/>
    <x v="1"/>
    <n v="354.75398161538652"/>
    <m/>
  </r>
  <r>
    <x v="6"/>
    <x v="1"/>
    <x v="1"/>
    <x v="3"/>
    <x v="6"/>
    <x v="0"/>
    <n v="60.073173458666403"/>
    <m/>
  </r>
  <r>
    <x v="6"/>
    <x v="1"/>
    <x v="1"/>
    <x v="3"/>
    <x v="6"/>
    <x v="1"/>
    <n v="293.29894059873561"/>
    <m/>
  </r>
  <r>
    <x v="6"/>
    <x v="1"/>
    <x v="1"/>
    <x v="3"/>
    <x v="1"/>
    <x v="0"/>
    <n v="153.973607341606"/>
    <m/>
  </r>
  <r>
    <x v="6"/>
    <x v="1"/>
    <x v="1"/>
    <x v="3"/>
    <x v="1"/>
    <x v="1"/>
    <n v="743.51499644454555"/>
    <m/>
  </r>
  <r>
    <x v="6"/>
    <x v="1"/>
    <x v="1"/>
    <x v="4"/>
    <x v="2"/>
    <x v="0"/>
    <n v="223.03456650265801"/>
    <m/>
  </r>
  <r>
    <x v="6"/>
    <x v="1"/>
    <x v="1"/>
    <x v="4"/>
    <x v="2"/>
    <x v="1"/>
    <n v="299052.69793384318"/>
    <n v="155734.19959999999"/>
  </r>
  <r>
    <x v="6"/>
    <x v="1"/>
    <x v="1"/>
    <x v="4"/>
    <x v="4"/>
    <x v="1"/>
    <n v="5.8656375539112"/>
    <m/>
  </r>
  <r>
    <x v="6"/>
    <x v="1"/>
    <x v="1"/>
    <x v="4"/>
    <x v="5"/>
    <x v="0"/>
    <n v="0.94243963393569996"/>
    <m/>
  </r>
  <r>
    <x v="6"/>
    <x v="1"/>
    <x v="1"/>
    <x v="4"/>
    <x v="5"/>
    <x v="1"/>
    <n v="113.02235973909499"/>
    <m/>
  </r>
  <r>
    <x v="6"/>
    <x v="1"/>
    <x v="1"/>
    <x v="4"/>
    <x v="6"/>
    <x v="1"/>
    <n v="211407.456407739"/>
    <n v="63849.810700000002"/>
  </r>
  <r>
    <x v="6"/>
    <x v="1"/>
    <x v="2"/>
    <x v="5"/>
    <x v="2"/>
    <x v="0"/>
    <n v="1907.9492516003779"/>
    <n v="768.79830000000004"/>
  </r>
  <r>
    <x v="6"/>
    <x v="1"/>
    <x v="2"/>
    <x v="5"/>
    <x v="2"/>
    <x v="1"/>
    <n v="22132.188437741221"/>
    <n v="6107.7434999999996"/>
  </r>
  <r>
    <x v="6"/>
    <x v="1"/>
    <x v="2"/>
    <x v="5"/>
    <x v="8"/>
    <x v="0"/>
    <n v="140.9358479440742"/>
    <n v="77.692599999999999"/>
  </r>
  <r>
    <x v="6"/>
    <x v="1"/>
    <x v="2"/>
    <x v="5"/>
    <x v="8"/>
    <x v="1"/>
    <n v="2.3575334848298"/>
    <m/>
  </r>
  <r>
    <x v="6"/>
    <x v="1"/>
    <x v="2"/>
    <x v="5"/>
    <x v="7"/>
    <x v="0"/>
    <n v="956.10893737763627"/>
    <n v="409.69690000000003"/>
  </r>
  <r>
    <x v="6"/>
    <x v="1"/>
    <x v="2"/>
    <x v="5"/>
    <x v="7"/>
    <x v="1"/>
    <n v="3412.8676341235341"/>
    <n v="1035.9349999999999"/>
  </r>
  <r>
    <x v="6"/>
    <x v="1"/>
    <x v="2"/>
    <x v="5"/>
    <x v="1"/>
    <x v="0"/>
    <n v="0.74583965123920004"/>
    <m/>
  </r>
  <r>
    <x v="6"/>
    <x v="1"/>
    <x v="2"/>
    <x v="5"/>
    <x v="1"/>
    <x v="1"/>
    <n v="9.1423146526008008"/>
    <m/>
  </r>
  <r>
    <x v="6"/>
    <x v="1"/>
    <x v="2"/>
    <x v="5"/>
    <x v="9"/>
    <x v="0"/>
    <n v="1.3353174540799999E-2"/>
    <m/>
  </r>
  <r>
    <x v="6"/>
    <x v="1"/>
    <x v="2"/>
    <x v="5"/>
    <x v="9"/>
    <x v="1"/>
    <n v="1.0104286816132"/>
    <m/>
  </r>
  <r>
    <x v="6"/>
    <x v="1"/>
    <x v="2"/>
    <x v="6"/>
    <x v="0"/>
    <x v="0"/>
    <n v="1254.1948255658531"/>
    <n v="375.6662"/>
  </r>
  <r>
    <x v="6"/>
    <x v="1"/>
    <x v="2"/>
    <x v="6"/>
    <x v="0"/>
    <x v="1"/>
    <n v="1836.1922220434201"/>
    <n v="456.3954"/>
  </r>
  <r>
    <x v="6"/>
    <x v="1"/>
    <x v="2"/>
    <x v="6"/>
    <x v="1"/>
    <x v="0"/>
    <n v="5264.3612300589948"/>
    <n v="1435.6569"/>
  </r>
  <r>
    <x v="6"/>
    <x v="1"/>
    <x v="2"/>
    <x v="6"/>
    <x v="1"/>
    <x v="1"/>
    <n v="10986.65924001428"/>
    <n v="2790.3798000000002"/>
  </r>
  <r>
    <x v="6"/>
    <x v="1"/>
    <x v="2"/>
    <x v="7"/>
    <x v="2"/>
    <x v="1"/>
    <n v="8922.5912363741136"/>
    <n v="3076.4216999999999"/>
  </r>
  <r>
    <x v="6"/>
    <x v="2"/>
    <x v="0"/>
    <x v="0"/>
    <x v="0"/>
    <x v="0"/>
    <n v="56.320552673748701"/>
    <n v="14.4482"/>
  </r>
  <r>
    <x v="6"/>
    <x v="2"/>
    <x v="0"/>
    <x v="0"/>
    <x v="0"/>
    <x v="1"/>
    <n v="172.1941188348911"/>
    <n v="37.862099999999998"/>
  </r>
  <r>
    <x v="6"/>
    <x v="2"/>
    <x v="0"/>
    <x v="0"/>
    <x v="1"/>
    <x v="0"/>
    <n v="11661.035641675149"/>
    <n v="1747.5325"/>
  </r>
  <r>
    <x v="6"/>
    <x v="2"/>
    <x v="0"/>
    <x v="0"/>
    <x v="1"/>
    <x v="1"/>
    <n v="3357.2029260409099"/>
    <n v="530.63729999999998"/>
  </r>
  <r>
    <x v="6"/>
    <x v="2"/>
    <x v="0"/>
    <x v="1"/>
    <x v="0"/>
    <x v="0"/>
    <n v="74.217099161239304"/>
    <n v="21.709700000000002"/>
  </r>
  <r>
    <x v="6"/>
    <x v="2"/>
    <x v="0"/>
    <x v="1"/>
    <x v="0"/>
    <x v="1"/>
    <n v="163.0186677966019"/>
    <n v="54.323099999999997"/>
  </r>
  <r>
    <x v="6"/>
    <x v="2"/>
    <x v="0"/>
    <x v="1"/>
    <x v="1"/>
    <x v="0"/>
    <n v="7355.6715414766104"/>
    <n v="1648.2674999999999"/>
  </r>
  <r>
    <x v="6"/>
    <x v="2"/>
    <x v="0"/>
    <x v="1"/>
    <x v="1"/>
    <x v="1"/>
    <n v="8771.1432538772206"/>
    <n v="2360.0383000000002"/>
  </r>
  <r>
    <x v="6"/>
    <x v="2"/>
    <x v="1"/>
    <x v="2"/>
    <x v="2"/>
    <x v="0"/>
    <n v="2484.2468371498699"/>
    <n v="1363.8465000000001"/>
  </r>
  <r>
    <x v="6"/>
    <x v="2"/>
    <x v="1"/>
    <x v="2"/>
    <x v="2"/>
    <x v="1"/>
    <n v="43369.027761405698"/>
    <n v="23505.020100000002"/>
  </r>
  <r>
    <x v="6"/>
    <x v="2"/>
    <x v="1"/>
    <x v="2"/>
    <x v="4"/>
    <x v="0"/>
    <n v="7.1154204884E-3"/>
    <m/>
  </r>
  <r>
    <x v="6"/>
    <x v="2"/>
    <x v="1"/>
    <x v="2"/>
    <x v="4"/>
    <x v="1"/>
    <n v="2.3344103330200001E-2"/>
    <m/>
  </r>
  <r>
    <x v="6"/>
    <x v="2"/>
    <x v="1"/>
    <x v="2"/>
    <x v="5"/>
    <x v="0"/>
    <n v="1.3800294562322"/>
    <m/>
  </r>
  <r>
    <x v="6"/>
    <x v="2"/>
    <x v="1"/>
    <x v="2"/>
    <x v="5"/>
    <x v="1"/>
    <n v="3.9713941536434998"/>
    <m/>
  </r>
  <r>
    <x v="6"/>
    <x v="2"/>
    <x v="1"/>
    <x v="2"/>
    <x v="6"/>
    <x v="0"/>
    <n v="29.6942704540085"/>
    <m/>
  </r>
  <r>
    <x v="6"/>
    <x v="2"/>
    <x v="1"/>
    <x v="2"/>
    <x v="6"/>
    <x v="1"/>
    <n v="106.0501731653513"/>
    <m/>
  </r>
  <r>
    <x v="6"/>
    <x v="2"/>
    <x v="1"/>
    <x v="2"/>
    <x v="1"/>
    <x v="0"/>
    <n v="6.0591343475850996"/>
    <m/>
  </r>
  <r>
    <x v="6"/>
    <x v="2"/>
    <x v="1"/>
    <x v="2"/>
    <x v="1"/>
    <x v="1"/>
    <n v="13.3954242555892"/>
    <m/>
  </r>
  <r>
    <x v="6"/>
    <x v="2"/>
    <x v="1"/>
    <x v="3"/>
    <x v="2"/>
    <x v="0"/>
    <n v="2741.7477650843298"/>
    <n v="832.25969999999995"/>
  </r>
  <r>
    <x v="6"/>
    <x v="2"/>
    <x v="1"/>
    <x v="3"/>
    <x v="2"/>
    <x v="1"/>
    <n v="36281.963233145201"/>
    <n v="11231.500899999999"/>
  </r>
  <r>
    <x v="6"/>
    <x v="2"/>
    <x v="1"/>
    <x v="3"/>
    <x v="3"/>
    <x v="0"/>
    <n v="7.4234017484933998"/>
    <m/>
  </r>
  <r>
    <x v="6"/>
    <x v="2"/>
    <x v="1"/>
    <x v="3"/>
    <x v="3"/>
    <x v="1"/>
    <n v="19.649538398102901"/>
    <m/>
  </r>
  <r>
    <x v="6"/>
    <x v="2"/>
    <x v="1"/>
    <x v="3"/>
    <x v="7"/>
    <x v="0"/>
    <n v="2044.8442413282805"/>
    <n v="672.73069999999996"/>
  </r>
  <r>
    <x v="6"/>
    <x v="2"/>
    <x v="1"/>
    <x v="3"/>
    <x v="7"/>
    <x v="1"/>
    <n v="14536.95621399373"/>
    <n v="5126.6419999999998"/>
  </r>
  <r>
    <x v="6"/>
    <x v="2"/>
    <x v="1"/>
    <x v="3"/>
    <x v="5"/>
    <x v="0"/>
    <n v="152.53968215610359"/>
    <m/>
  </r>
  <r>
    <x v="6"/>
    <x v="2"/>
    <x v="1"/>
    <x v="3"/>
    <x v="5"/>
    <x v="1"/>
    <n v="371.95464370159709"/>
    <m/>
  </r>
  <r>
    <x v="6"/>
    <x v="2"/>
    <x v="1"/>
    <x v="3"/>
    <x v="6"/>
    <x v="0"/>
    <n v="49.940539141798801"/>
    <m/>
  </r>
  <r>
    <x v="6"/>
    <x v="2"/>
    <x v="1"/>
    <x v="3"/>
    <x v="6"/>
    <x v="1"/>
    <n v="131.7774515723757"/>
    <m/>
  </r>
  <r>
    <x v="6"/>
    <x v="2"/>
    <x v="1"/>
    <x v="3"/>
    <x v="1"/>
    <x v="0"/>
    <n v="72.824579771678302"/>
    <m/>
  </r>
  <r>
    <x v="6"/>
    <x v="2"/>
    <x v="1"/>
    <x v="3"/>
    <x v="1"/>
    <x v="1"/>
    <n v="270.00305930714359"/>
    <m/>
  </r>
  <r>
    <x v="6"/>
    <x v="2"/>
    <x v="1"/>
    <x v="4"/>
    <x v="2"/>
    <x v="1"/>
    <n v="21003.49140777627"/>
    <n v="14285.4691"/>
  </r>
  <r>
    <x v="6"/>
    <x v="2"/>
    <x v="1"/>
    <x v="4"/>
    <x v="5"/>
    <x v="0"/>
    <n v="3.0277323253999999E-3"/>
    <m/>
  </r>
  <r>
    <x v="6"/>
    <x v="2"/>
    <x v="1"/>
    <x v="4"/>
    <x v="5"/>
    <x v="1"/>
    <n v="3.0277323253999999E-3"/>
    <m/>
  </r>
  <r>
    <x v="6"/>
    <x v="2"/>
    <x v="1"/>
    <x v="4"/>
    <x v="6"/>
    <x v="1"/>
    <n v="5512.3468921739104"/>
    <n v="3135.8346999999999"/>
  </r>
  <r>
    <x v="6"/>
    <x v="2"/>
    <x v="2"/>
    <x v="5"/>
    <x v="2"/>
    <x v="0"/>
    <n v="987.58911524243797"/>
    <n v="282.72669999999999"/>
  </r>
  <r>
    <x v="6"/>
    <x v="2"/>
    <x v="2"/>
    <x v="5"/>
    <x v="2"/>
    <x v="1"/>
    <n v="3703.9593145174899"/>
    <n v="1496.2117000000001"/>
  </r>
  <r>
    <x v="6"/>
    <x v="2"/>
    <x v="2"/>
    <x v="5"/>
    <x v="3"/>
    <x v="0"/>
    <n v="0.21850046454390001"/>
    <m/>
  </r>
  <r>
    <x v="6"/>
    <x v="2"/>
    <x v="2"/>
    <x v="5"/>
    <x v="8"/>
    <x v="0"/>
    <n v="2.9363555114599999E-2"/>
    <m/>
  </r>
  <r>
    <x v="6"/>
    <x v="2"/>
    <x v="2"/>
    <x v="5"/>
    <x v="8"/>
    <x v="1"/>
    <n v="6.5920666086E-3"/>
    <m/>
  </r>
  <r>
    <x v="6"/>
    <x v="2"/>
    <x v="2"/>
    <x v="5"/>
    <x v="7"/>
    <x v="0"/>
    <n v="347.56050039374321"/>
    <n v="94.745500000000007"/>
  </r>
  <r>
    <x v="6"/>
    <x v="2"/>
    <x v="2"/>
    <x v="5"/>
    <x v="7"/>
    <x v="1"/>
    <n v="494.78229292174512"/>
    <n v="216.09280000000001"/>
  </r>
  <r>
    <x v="6"/>
    <x v="2"/>
    <x v="2"/>
    <x v="5"/>
    <x v="1"/>
    <x v="0"/>
    <n v="0.86478127607559996"/>
    <m/>
  </r>
  <r>
    <x v="6"/>
    <x v="2"/>
    <x v="2"/>
    <x v="5"/>
    <x v="1"/>
    <x v="1"/>
    <n v="0.80771569555489997"/>
    <m/>
  </r>
  <r>
    <x v="6"/>
    <x v="2"/>
    <x v="2"/>
    <x v="5"/>
    <x v="9"/>
    <x v="0"/>
    <n v="0.73277226169450005"/>
    <m/>
  </r>
  <r>
    <x v="6"/>
    <x v="2"/>
    <x v="2"/>
    <x v="5"/>
    <x v="9"/>
    <x v="1"/>
    <n v="0.39999932560880003"/>
    <m/>
  </r>
  <r>
    <x v="6"/>
    <x v="2"/>
    <x v="2"/>
    <x v="6"/>
    <x v="0"/>
    <x v="0"/>
    <n v="202.37448243111751"/>
    <n v="59.398800000000001"/>
  </r>
  <r>
    <x v="6"/>
    <x v="2"/>
    <x v="2"/>
    <x v="6"/>
    <x v="0"/>
    <x v="1"/>
    <n v="405.09861117391341"/>
    <n v="86.734399999999994"/>
  </r>
  <r>
    <x v="6"/>
    <x v="2"/>
    <x v="2"/>
    <x v="6"/>
    <x v="1"/>
    <x v="0"/>
    <n v="1897.7367678008341"/>
    <n v="448.28339999999997"/>
  </r>
  <r>
    <x v="6"/>
    <x v="2"/>
    <x v="2"/>
    <x v="6"/>
    <x v="1"/>
    <x v="1"/>
    <n v="1934.9196104558689"/>
    <n v="596.21370000000002"/>
  </r>
  <r>
    <x v="6"/>
    <x v="2"/>
    <x v="2"/>
    <x v="7"/>
    <x v="2"/>
    <x v="1"/>
    <n v="2239.8792292206649"/>
    <n v="812.77859999999998"/>
  </r>
  <r>
    <x v="6"/>
    <x v="3"/>
    <x v="0"/>
    <x v="0"/>
    <x v="0"/>
    <x v="0"/>
    <n v="884.66559761554265"/>
    <n v="188.36949999999999"/>
  </r>
  <r>
    <x v="6"/>
    <x v="3"/>
    <x v="0"/>
    <x v="0"/>
    <x v="0"/>
    <x v="1"/>
    <n v="465.28717455804832"/>
    <n v="105.5416"/>
  </r>
  <r>
    <x v="6"/>
    <x v="3"/>
    <x v="0"/>
    <x v="0"/>
    <x v="1"/>
    <x v="0"/>
    <n v="112163.73903885132"/>
    <n v="25361.8115"/>
  </r>
  <r>
    <x v="6"/>
    <x v="3"/>
    <x v="0"/>
    <x v="0"/>
    <x v="1"/>
    <x v="1"/>
    <n v="45492.519258480075"/>
    <n v="9373.2865999999995"/>
  </r>
  <r>
    <x v="6"/>
    <x v="3"/>
    <x v="0"/>
    <x v="1"/>
    <x v="0"/>
    <x v="0"/>
    <n v="1185.6181789393845"/>
    <n v="339.64370000000002"/>
  </r>
  <r>
    <x v="6"/>
    <x v="3"/>
    <x v="0"/>
    <x v="1"/>
    <x v="0"/>
    <x v="1"/>
    <n v="1147.6647272719704"/>
    <n v="288.36110000000002"/>
  </r>
  <r>
    <x v="6"/>
    <x v="3"/>
    <x v="0"/>
    <x v="1"/>
    <x v="1"/>
    <x v="0"/>
    <n v="29758.084734763965"/>
    <n v="8350.7562999999991"/>
  </r>
  <r>
    <x v="6"/>
    <x v="3"/>
    <x v="0"/>
    <x v="1"/>
    <x v="1"/>
    <x v="1"/>
    <n v="28814.460804872822"/>
    <n v="6627.4254000000001"/>
  </r>
  <r>
    <x v="6"/>
    <x v="3"/>
    <x v="1"/>
    <x v="2"/>
    <x v="2"/>
    <x v="0"/>
    <n v="110797.0989858589"/>
    <n v="44608.227700000003"/>
  </r>
  <r>
    <x v="6"/>
    <x v="3"/>
    <x v="1"/>
    <x v="2"/>
    <x v="2"/>
    <x v="1"/>
    <n v="518972.08829262177"/>
    <n v="190280.10320000001"/>
  </r>
  <r>
    <x v="6"/>
    <x v="3"/>
    <x v="1"/>
    <x v="2"/>
    <x v="3"/>
    <x v="0"/>
    <n v="6.1635882804464996"/>
    <m/>
  </r>
  <r>
    <x v="6"/>
    <x v="3"/>
    <x v="1"/>
    <x v="2"/>
    <x v="3"/>
    <x v="1"/>
    <n v="3.5839371494544001"/>
    <m/>
  </r>
  <r>
    <x v="6"/>
    <x v="3"/>
    <x v="1"/>
    <x v="2"/>
    <x v="5"/>
    <x v="0"/>
    <n v="115.35846725439529"/>
    <m/>
  </r>
  <r>
    <x v="6"/>
    <x v="3"/>
    <x v="1"/>
    <x v="2"/>
    <x v="5"/>
    <x v="1"/>
    <n v="573.29052384161889"/>
    <m/>
  </r>
  <r>
    <x v="6"/>
    <x v="3"/>
    <x v="1"/>
    <x v="2"/>
    <x v="6"/>
    <x v="0"/>
    <n v="1098.2305577094351"/>
    <m/>
  </r>
  <r>
    <x v="6"/>
    <x v="3"/>
    <x v="1"/>
    <x v="2"/>
    <x v="6"/>
    <x v="1"/>
    <n v="5671.6190468083569"/>
    <m/>
  </r>
  <r>
    <x v="6"/>
    <x v="3"/>
    <x v="1"/>
    <x v="2"/>
    <x v="1"/>
    <x v="0"/>
    <n v="44.862600939482199"/>
    <m/>
  </r>
  <r>
    <x v="6"/>
    <x v="3"/>
    <x v="1"/>
    <x v="2"/>
    <x v="1"/>
    <x v="1"/>
    <n v="200.9631183798505"/>
    <m/>
  </r>
  <r>
    <x v="6"/>
    <x v="3"/>
    <x v="1"/>
    <x v="3"/>
    <x v="2"/>
    <x v="0"/>
    <n v="19538.403840170133"/>
    <n v="9582.4977999999992"/>
  </r>
  <r>
    <x v="6"/>
    <x v="3"/>
    <x v="1"/>
    <x v="3"/>
    <x v="2"/>
    <x v="1"/>
    <n v="155259.34054286583"/>
    <n v="71389.788499999995"/>
  </r>
  <r>
    <x v="6"/>
    <x v="3"/>
    <x v="1"/>
    <x v="3"/>
    <x v="3"/>
    <x v="0"/>
    <n v="5.8057664957839004"/>
    <m/>
  </r>
  <r>
    <x v="6"/>
    <x v="3"/>
    <x v="1"/>
    <x v="3"/>
    <x v="3"/>
    <x v="1"/>
    <n v="29.406056757490799"/>
    <m/>
  </r>
  <r>
    <x v="6"/>
    <x v="3"/>
    <x v="1"/>
    <x v="3"/>
    <x v="7"/>
    <x v="0"/>
    <n v="33296.222691804112"/>
    <n v="15754.335999999999"/>
  </r>
  <r>
    <x v="6"/>
    <x v="3"/>
    <x v="1"/>
    <x v="3"/>
    <x v="7"/>
    <x v="1"/>
    <n v="87711.446489672715"/>
    <n v="38417.645600000003"/>
  </r>
  <r>
    <x v="6"/>
    <x v="3"/>
    <x v="1"/>
    <x v="3"/>
    <x v="5"/>
    <x v="0"/>
    <n v="17.492238468526399"/>
    <m/>
  </r>
  <r>
    <x v="6"/>
    <x v="3"/>
    <x v="1"/>
    <x v="3"/>
    <x v="5"/>
    <x v="1"/>
    <n v="92.958535405753807"/>
    <m/>
  </r>
  <r>
    <x v="6"/>
    <x v="3"/>
    <x v="1"/>
    <x v="3"/>
    <x v="6"/>
    <x v="0"/>
    <n v="29.2075713972424"/>
    <m/>
  </r>
  <r>
    <x v="6"/>
    <x v="3"/>
    <x v="1"/>
    <x v="3"/>
    <x v="6"/>
    <x v="1"/>
    <n v="147.8818779428413"/>
    <m/>
  </r>
  <r>
    <x v="6"/>
    <x v="3"/>
    <x v="1"/>
    <x v="3"/>
    <x v="1"/>
    <x v="0"/>
    <n v="18.4401272408561"/>
    <m/>
  </r>
  <r>
    <x v="6"/>
    <x v="3"/>
    <x v="1"/>
    <x v="3"/>
    <x v="1"/>
    <x v="1"/>
    <n v="106.46479990316369"/>
    <m/>
  </r>
  <r>
    <x v="6"/>
    <x v="3"/>
    <x v="1"/>
    <x v="4"/>
    <x v="2"/>
    <x v="0"/>
    <n v="2682.0281496916796"/>
    <n v="1137.6210000000001"/>
  </r>
  <r>
    <x v="6"/>
    <x v="3"/>
    <x v="1"/>
    <x v="4"/>
    <x v="2"/>
    <x v="1"/>
    <n v="230819.84015240314"/>
    <n v="94684.1682"/>
  </r>
  <r>
    <x v="6"/>
    <x v="3"/>
    <x v="1"/>
    <x v="4"/>
    <x v="6"/>
    <x v="0"/>
    <n v="226.188699285371"/>
    <n v="65.091300000000004"/>
  </r>
  <r>
    <x v="6"/>
    <x v="3"/>
    <x v="1"/>
    <x v="4"/>
    <x v="6"/>
    <x v="1"/>
    <n v="16985.026577717195"/>
    <n v="4289.0558000000001"/>
  </r>
  <r>
    <x v="6"/>
    <x v="3"/>
    <x v="2"/>
    <x v="5"/>
    <x v="2"/>
    <x v="0"/>
    <n v="9187.7933927354661"/>
    <n v="3477.1846"/>
  </r>
  <r>
    <x v="6"/>
    <x v="3"/>
    <x v="2"/>
    <x v="5"/>
    <x v="2"/>
    <x v="1"/>
    <n v="17405.121891146151"/>
    <n v="4683.4251999999997"/>
  </r>
  <r>
    <x v="6"/>
    <x v="3"/>
    <x v="2"/>
    <x v="5"/>
    <x v="3"/>
    <x v="0"/>
    <n v="2.4321702538199999E-2"/>
    <m/>
  </r>
  <r>
    <x v="6"/>
    <x v="3"/>
    <x v="2"/>
    <x v="5"/>
    <x v="3"/>
    <x v="1"/>
    <n v="0.53447083932679995"/>
    <m/>
  </r>
  <r>
    <x v="6"/>
    <x v="3"/>
    <x v="2"/>
    <x v="5"/>
    <x v="8"/>
    <x v="0"/>
    <n v="4.4550286105034997"/>
    <m/>
  </r>
  <r>
    <x v="6"/>
    <x v="3"/>
    <x v="2"/>
    <x v="5"/>
    <x v="8"/>
    <x v="1"/>
    <n v="0.4383512397016"/>
    <m/>
  </r>
  <r>
    <x v="6"/>
    <x v="3"/>
    <x v="2"/>
    <x v="5"/>
    <x v="7"/>
    <x v="0"/>
    <n v="9186.1091534874395"/>
    <n v="3028.3099000000002"/>
  </r>
  <r>
    <x v="6"/>
    <x v="3"/>
    <x v="2"/>
    <x v="5"/>
    <x v="7"/>
    <x v="1"/>
    <n v="22845.564928849446"/>
    <n v="5516.2893999999997"/>
  </r>
  <r>
    <x v="6"/>
    <x v="3"/>
    <x v="2"/>
    <x v="5"/>
    <x v="1"/>
    <x v="0"/>
    <n v="3.621168948712"/>
    <m/>
  </r>
  <r>
    <x v="6"/>
    <x v="3"/>
    <x v="2"/>
    <x v="5"/>
    <x v="1"/>
    <x v="1"/>
    <n v="6.6945048534777998"/>
    <m/>
  </r>
  <r>
    <x v="6"/>
    <x v="3"/>
    <x v="2"/>
    <x v="5"/>
    <x v="9"/>
    <x v="0"/>
    <n v="0.25926567084469998"/>
    <m/>
  </r>
  <r>
    <x v="6"/>
    <x v="3"/>
    <x v="2"/>
    <x v="5"/>
    <x v="9"/>
    <x v="1"/>
    <n v="3.9123421541616001"/>
    <m/>
  </r>
  <r>
    <x v="6"/>
    <x v="3"/>
    <x v="2"/>
    <x v="6"/>
    <x v="0"/>
    <x v="0"/>
    <n v="2497.9927391768651"/>
    <n v="776.39300000000003"/>
  </r>
  <r>
    <x v="6"/>
    <x v="3"/>
    <x v="2"/>
    <x v="6"/>
    <x v="0"/>
    <x v="1"/>
    <n v="3310.6272531456611"/>
    <n v="971.29579999999999"/>
  </r>
  <r>
    <x v="6"/>
    <x v="3"/>
    <x v="2"/>
    <x v="6"/>
    <x v="1"/>
    <x v="0"/>
    <n v="13430.173800495315"/>
    <n v="4512.7617"/>
  </r>
  <r>
    <x v="6"/>
    <x v="3"/>
    <x v="2"/>
    <x v="6"/>
    <x v="1"/>
    <x v="1"/>
    <n v="10812.41006451214"/>
    <n v="3415.4632000000001"/>
  </r>
  <r>
    <x v="6"/>
    <x v="3"/>
    <x v="2"/>
    <x v="7"/>
    <x v="2"/>
    <x v="1"/>
    <n v="12088.566881295706"/>
    <n v="2860.9594999999999"/>
  </r>
  <r>
    <x v="6"/>
    <x v="4"/>
    <x v="0"/>
    <x v="0"/>
    <x v="0"/>
    <x v="0"/>
    <n v="231.63855484364501"/>
    <n v="41.722200000000001"/>
  </r>
  <r>
    <x v="6"/>
    <x v="4"/>
    <x v="0"/>
    <x v="0"/>
    <x v="0"/>
    <x v="1"/>
    <n v="732.72357839724702"/>
    <n v="85.895300000000006"/>
  </r>
  <r>
    <x v="6"/>
    <x v="4"/>
    <x v="0"/>
    <x v="0"/>
    <x v="1"/>
    <x v="0"/>
    <n v="13457.6925078477"/>
    <n v="1971.4803999999999"/>
  </r>
  <r>
    <x v="6"/>
    <x v="4"/>
    <x v="0"/>
    <x v="0"/>
    <x v="1"/>
    <x v="1"/>
    <n v="5976.9276813952602"/>
    <n v="499.59500000000003"/>
  </r>
  <r>
    <x v="6"/>
    <x v="4"/>
    <x v="0"/>
    <x v="1"/>
    <x v="0"/>
    <x v="0"/>
    <n v="257.01577042432598"/>
    <n v="53.597200000000001"/>
  </r>
  <r>
    <x v="6"/>
    <x v="4"/>
    <x v="0"/>
    <x v="1"/>
    <x v="0"/>
    <x v="1"/>
    <n v="463.29128498624402"/>
    <n v="71.408100000000005"/>
  </r>
  <r>
    <x v="6"/>
    <x v="4"/>
    <x v="0"/>
    <x v="1"/>
    <x v="1"/>
    <x v="0"/>
    <n v="13230.5245137646"/>
    <n v="2382.6397000000002"/>
  </r>
  <r>
    <x v="6"/>
    <x v="4"/>
    <x v="0"/>
    <x v="1"/>
    <x v="1"/>
    <x v="1"/>
    <n v="11231.11922834"/>
    <n v="1860.3833999999999"/>
  </r>
  <r>
    <x v="6"/>
    <x v="4"/>
    <x v="1"/>
    <x v="2"/>
    <x v="2"/>
    <x v="0"/>
    <n v="800.12945216897401"/>
    <n v="283.79250000000002"/>
  </r>
  <r>
    <x v="6"/>
    <x v="4"/>
    <x v="1"/>
    <x v="2"/>
    <x v="2"/>
    <x v="1"/>
    <n v="18217.354841492499"/>
    <n v="6403.9908999999998"/>
  </r>
  <r>
    <x v="6"/>
    <x v="4"/>
    <x v="1"/>
    <x v="2"/>
    <x v="3"/>
    <x v="0"/>
    <n v="1.29644215544E-2"/>
    <m/>
  </r>
  <r>
    <x v="6"/>
    <x v="4"/>
    <x v="1"/>
    <x v="2"/>
    <x v="3"/>
    <x v="1"/>
    <n v="0.13335261533080001"/>
    <m/>
  </r>
  <r>
    <x v="6"/>
    <x v="4"/>
    <x v="1"/>
    <x v="2"/>
    <x v="4"/>
    <x v="0"/>
    <n v="3.6419573689900002E-2"/>
    <m/>
  </r>
  <r>
    <x v="6"/>
    <x v="4"/>
    <x v="1"/>
    <x v="2"/>
    <x v="4"/>
    <x v="1"/>
    <n v="1.4725145210102999"/>
    <m/>
  </r>
  <r>
    <x v="6"/>
    <x v="4"/>
    <x v="1"/>
    <x v="2"/>
    <x v="5"/>
    <x v="0"/>
    <n v="94.919542549201097"/>
    <m/>
  </r>
  <r>
    <x v="6"/>
    <x v="4"/>
    <x v="1"/>
    <x v="2"/>
    <x v="5"/>
    <x v="1"/>
    <n v="624.26966014930201"/>
    <m/>
  </r>
  <r>
    <x v="6"/>
    <x v="4"/>
    <x v="1"/>
    <x v="2"/>
    <x v="6"/>
    <x v="0"/>
    <n v="142.30089368131999"/>
    <m/>
  </r>
  <r>
    <x v="6"/>
    <x v="4"/>
    <x v="1"/>
    <x v="2"/>
    <x v="6"/>
    <x v="1"/>
    <n v="560.45703341492401"/>
    <m/>
  </r>
  <r>
    <x v="6"/>
    <x v="4"/>
    <x v="1"/>
    <x v="2"/>
    <x v="1"/>
    <x v="0"/>
    <n v="4.3228798287470998"/>
    <m/>
  </r>
  <r>
    <x v="6"/>
    <x v="4"/>
    <x v="1"/>
    <x v="2"/>
    <x v="1"/>
    <x v="1"/>
    <n v="5.7224676171285003"/>
    <m/>
  </r>
  <r>
    <x v="6"/>
    <x v="4"/>
    <x v="1"/>
    <x v="3"/>
    <x v="2"/>
    <x v="0"/>
    <n v="1629.61226379454"/>
    <n v="355.5806"/>
  </r>
  <r>
    <x v="6"/>
    <x v="4"/>
    <x v="1"/>
    <x v="3"/>
    <x v="2"/>
    <x v="1"/>
    <n v="26979.108418705498"/>
    <n v="7333.8132999999998"/>
  </r>
  <r>
    <x v="6"/>
    <x v="4"/>
    <x v="1"/>
    <x v="3"/>
    <x v="3"/>
    <x v="0"/>
    <n v="0.70495566480609995"/>
    <m/>
  </r>
  <r>
    <x v="6"/>
    <x v="4"/>
    <x v="1"/>
    <x v="3"/>
    <x v="3"/>
    <x v="1"/>
    <n v="5.9649835332901002"/>
    <m/>
  </r>
  <r>
    <x v="6"/>
    <x v="4"/>
    <x v="1"/>
    <x v="3"/>
    <x v="7"/>
    <x v="0"/>
    <n v="4921.2326763104902"/>
    <n v="1473.4857"/>
  </r>
  <r>
    <x v="6"/>
    <x v="4"/>
    <x v="1"/>
    <x v="3"/>
    <x v="7"/>
    <x v="1"/>
    <n v="45962.246947727603"/>
    <n v="13786.509700000001"/>
  </r>
  <r>
    <x v="6"/>
    <x v="4"/>
    <x v="1"/>
    <x v="3"/>
    <x v="5"/>
    <x v="0"/>
    <n v="165.35746987128601"/>
    <m/>
  </r>
  <r>
    <x v="6"/>
    <x v="4"/>
    <x v="1"/>
    <x v="3"/>
    <x v="5"/>
    <x v="1"/>
    <n v="1089.0262771604901"/>
    <m/>
  </r>
  <r>
    <x v="6"/>
    <x v="4"/>
    <x v="1"/>
    <x v="3"/>
    <x v="6"/>
    <x v="0"/>
    <n v="178.20635071077601"/>
    <m/>
  </r>
  <r>
    <x v="6"/>
    <x v="4"/>
    <x v="1"/>
    <x v="3"/>
    <x v="6"/>
    <x v="1"/>
    <n v="1222.35456717071"/>
    <m/>
  </r>
  <r>
    <x v="6"/>
    <x v="4"/>
    <x v="1"/>
    <x v="3"/>
    <x v="1"/>
    <x v="0"/>
    <n v="2.3731385438335"/>
    <m/>
  </r>
  <r>
    <x v="6"/>
    <x v="4"/>
    <x v="1"/>
    <x v="3"/>
    <x v="1"/>
    <x v="1"/>
    <n v="7.1789194869877004"/>
    <m/>
  </r>
  <r>
    <x v="6"/>
    <x v="4"/>
    <x v="1"/>
    <x v="4"/>
    <x v="2"/>
    <x v="0"/>
    <n v="3628.85740612675"/>
    <n v="1859.6659"/>
  </r>
  <r>
    <x v="6"/>
    <x v="4"/>
    <x v="1"/>
    <x v="4"/>
    <x v="2"/>
    <x v="1"/>
    <n v="5961.5958835178399"/>
    <n v="3007.0104000000001"/>
  </r>
  <r>
    <x v="6"/>
    <x v="4"/>
    <x v="1"/>
    <x v="4"/>
    <x v="5"/>
    <x v="0"/>
    <n v="23.670609531743501"/>
    <m/>
  </r>
  <r>
    <x v="6"/>
    <x v="4"/>
    <x v="1"/>
    <x v="4"/>
    <x v="5"/>
    <x v="1"/>
    <n v="68.8297602075192"/>
    <m/>
  </r>
  <r>
    <x v="6"/>
    <x v="4"/>
    <x v="1"/>
    <x v="4"/>
    <x v="6"/>
    <x v="0"/>
    <n v="48.221244313780701"/>
    <m/>
  </r>
  <r>
    <x v="6"/>
    <x v="4"/>
    <x v="1"/>
    <x v="4"/>
    <x v="6"/>
    <x v="1"/>
    <n v="268.48647065745502"/>
    <n v="0"/>
  </r>
  <r>
    <x v="6"/>
    <x v="4"/>
    <x v="1"/>
    <x v="4"/>
    <x v="1"/>
    <x v="0"/>
    <n v="0.40534613228580002"/>
    <m/>
  </r>
  <r>
    <x v="6"/>
    <x v="4"/>
    <x v="1"/>
    <x v="4"/>
    <x v="1"/>
    <x v="1"/>
    <n v="0.9034405116284"/>
    <m/>
  </r>
  <r>
    <x v="6"/>
    <x v="4"/>
    <x v="2"/>
    <x v="5"/>
    <x v="2"/>
    <x v="0"/>
    <n v="674.33406850761605"/>
    <n v="135.8135"/>
  </r>
  <r>
    <x v="6"/>
    <x v="4"/>
    <x v="2"/>
    <x v="5"/>
    <x v="2"/>
    <x v="1"/>
    <n v="11306.3416992123"/>
    <n v="3357.2784000000001"/>
  </r>
  <r>
    <x v="6"/>
    <x v="4"/>
    <x v="2"/>
    <x v="5"/>
    <x v="8"/>
    <x v="0"/>
    <n v="92.240438745216494"/>
    <n v="31.611799999999999"/>
  </r>
  <r>
    <x v="6"/>
    <x v="4"/>
    <x v="2"/>
    <x v="5"/>
    <x v="8"/>
    <x v="1"/>
    <n v="13.3887696142473"/>
    <n v="3.5289999999999999"/>
  </r>
  <r>
    <x v="6"/>
    <x v="4"/>
    <x v="2"/>
    <x v="5"/>
    <x v="7"/>
    <x v="0"/>
    <n v="1693.8403673881701"/>
    <n v="417.9776"/>
  </r>
  <r>
    <x v="6"/>
    <x v="4"/>
    <x v="2"/>
    <x v="5"/>
    <x v="7"/>
    <x v="1"/>
    <n v="8733.3617519211002"/>
    <n v="2520.8996999999999"/>
  </r>
  <r>
    <x v="6"/>
    <x v="4"/>
    <x v="2"/>
    <x v="5"/>
    <x v="1"/>
    <x v="0"/>
    <n v="29.726652918639601"/>
    <m/>
  </r>
  <r>
    <x v="6"/>
    <x v="4"/>
    <x v="2"/>
    <x v="5"/>
    <x v="1"/>
    <x v="1"/>
    <n v="72.734627472561797"/>
    <m/>
  </r>
  <r>
    <x v="6"/>
    <x v="4"/>
    <x v="2"/>
    <x v="5"/>
    <x v="9"/>
    <x v="0"/>
    <n v="5.8486447340562"/>
    <m/>
  </r>
  <r>
    <x v="6"/>
    <x v="4"/>
    <x v="2"/>
    <x v="5"/>
    <x v="9"/>
    <x v="1"/>
    <n v="11.759458475915499"/>
    <m/>
  </r>
  <r>
    <x v="6"/>
    <x v="4"/>
    <x v="2"/>
    <x v="6"/>
    <x v="0"/>
    <x v="0"/>
    <n v="557.25844878412397"/>
    <n v="146.19149999999999"/>
  </r>
  <r>
    <x v="6"/>
    <x v="4"/>
    <x v="2"/>
    <x v="6"/>
    <x v="0"/>
    <x v="1"/>
    <n v="2122.50310765423"/>
    <n v="477.29939999999999"/>
  </r>
  <r>
    <x v="6"/>
    <x v="4"/>
    <x v="2"/>
    <x v="6"/>
    <x v="1"/>
    <x v="0"/>
    <n v="7964.5186757715501"/>
    <n v="2089.1527000000001"/>
  </r>
  <r>
    <x v="6"/>
    <x v="4"/>
    <x v="2"/>
    <x v="6"/>
    <x v="1"/>
    <x v="1"/>
    <n v="6014.6571697116497"/>
    <n v="1446.5682999999999"/>
  </r>
  <r>
    <x v="6"/>
    <x v="4"/>
    <x v="2"/>
    <x v="7"/>
    <x v="2"/>
    <x v="1"/>
    <n v="87.829235229694703"/>
    <n v="55.664900000000003"/>
  </r>
  <r>
    <x v="6"/>
    <x v="5"/>
    <x v="0"/>
    <x v="0"/>
    <x v="0"/>
    <x v="0"/>
    <n v="431.86050764708489"/>
    <n v="131.02699999999999"/>
  </r>
  <r>
    <x v="6"/>
    <x v="5"/>
    <x v="0"/>
    <x v="0"/>
    <x v="0"/>
    <x v="1"/>
    <n v="347.4749561607174"/>
    <n v="62.568399999999997"/>
  </r>
  <r>
    <x v="6"/>
    <x v="5"/>
    <x v="0"/>
    <x v="0"/>
    <x v="1"/>
    <x v="0"/>
    <n v="26307.727681271619"/>
    <n v="4045.4744999999998"/>
  </r>
  <r>
    <x v="6"/>
    <x v="5"/>
    <x v="0"/>
    <x v="0"/>
    <x v="1"/>
    <x v="1"/>
    <n v="13491.633329390477"/>
    <n v="1863.9032"/>
  </r>
  <r>
    <x v="6"/>
    <x v="5"/>
    <x v="0"/>
    <x v="1"/>
    <x v="0"/>
    <x v="0"/>
    <n v="414.47601824524162"/>
    <n v="83.935299999999998"/>
  </r>
  <r>
    <x v="6"/>
    <x v="5"/>
    <x v="0"/>
    <x v="1"/>
    <x v="0"/>
    <x v="1"/>
    <n v="598.77660554170643"/>
    <n v="128.71879999999999"/>
  </r>
  <r>
    <x v="6"/>
    <x v="5"/>
    <x v="0"/>
    <x v="1"/>
    <x v="1"/>
    <x v="0"/>
    <n v="22945.300413467961"/>
    <n v="3698.3344999999999"/>
  </r>
  <r>
    <x v="6"/>
    <x v="5"/>
    <x v="0"/>
    <x v="1"/>
    <x v="1"/>
    <x v="1"/>
    <n v="34029.37715677754"/>
    <n v="4518.6401999999998"/>
  </r>
  <r>
    <x v="6"/>
    <x v="5"/>
    <x v="1"/>
    <x v="2"/>
    <x v="2"/>
    <x v="0"/>
    <n v="17366.765181306651"/>
    <n v="3569.0165999999999"/>
  </r>
  <r>
    <x v="6"/>
    <x v="5"/>
    <x v="1"/>
    <x v="2"/>
    <x v="2"/>
    <x v="1"/>
    <n v="327946.86473327951"/>
    <n v="90350.947"/>
  </r>
  <r>
    <x v="6"/>
    <x v="5"/>
    <x v="1"/>
    <x v="2"/>
    <x v="3"/>
    <x v="0"/>
    <n v="173.77962075549061"/>
    <m/>
  </r>
  <r>
    <x v="6"/>
    <x v="5"/>
    <x v="1"/>
    <x v="2"/>
    <x v="3"/>
    <x v="1"/>
    <n v="80.564555062251202"/>
    <m/>
  </r>
  <r>
    <x v="6"/>
    <x v="5"/>
    <x v="1"/>
    <x v="2"/>
    <x v="4"/>
    <x v="0"/>
    <n v="36.700632210556698"/>
    <m/>
  </r>
  <r>
    <x v="6"/>
    <x v="5"/>
    <x v="1"/>
    <x v="2"/>
    <x v="4"/>
    <x v="1"/>
    <n v="428.03626332941798"/>
    <m/>
  </r>
  <r>
    <x v="6"/>
    <x v="5"/>
    <x v="1"/>
    <x v="2"/>
    <x v="5"/>
    <x v="0"/>
    <n v="175.2277197765284"/>
    <m/>
  </r>
  <r>
    <x v="6"/>
    <x v="5"/>
    <x v="1"/>
    <x v="2"/>
    <x v="5"/>
    <x v="1"/>
    <n v="457.93239408830289"/>
    <m/>
  </r>
  <r>
    <x v="6"/>
    <x v="5"/>
    <x v="1"/>
    <x v="2"/>
    <x v="6"/>
    <x v="0"/>
    <n v="6444.6458908821141"/>
    <m/>
  </r>
  <r>
    <x v="6"/>
    <x v="5"/>
    <x v="1"/>
    <x v="2"/>
    <x v="6"/>
    <x v="1"/>
    <n v="26369.848081617529"/>
    <m/>
  </r>
  <r>
    <x v="6"/>
    <x v="5"/>
    <x v="1"/>
    <x v="2"/>
    <x v="1"/>
    <x v="0"/>
    <n v="180.58254148066791"/>
    <m/>
  </r>
  <r>
    <x v="6"/>
    <x v="5"/>
    <x v="1"/>
    <x v="2"/>
    <x v="1"/>
    <x v="1"/>
    <n v="995.48866318320302"/>
    <m/>
  </r>
  <r>
    <x v="6"/>
    <x v="5"/>
    <x v="1"/>
    <x v="3"/>
    <x v="2"/>
    <x v="0"/>
    <n v="9829.8173215914103"/>
    <n v="3990.7817"/>
  </r>
  <r>
    <x v="6"/>
    <x v="5"/>
    <x v="1"/>
    <x v="3"/>
    <x v="2"/>
    <x v="1"/>
    <n v="78887.816881867184"/>
    <n v="31711.468000000001"/>
  </r>
  <r>
    <x v="6"/>
    <x v="5"/>
    <x v="1"/>
    <x v="3"/>
    <x v="3"/>
    <x v="0"/>
    <n v="116.32478550351409"/>
    <m/>
  </r>
  <r>
    <x v="6"/>
    <x v="5"/>
    <x v="1"/>
    <x v="3"/>
    <x v="3"/>
    <x v="1"/>
    <n v="233.8047256204928"/>
    <m/>
  </r>
  <r>
    <x v="6"/>
    <x v="5"/>
    <x v="1"/>
    <x v="3"/>
    <x v="7"/>
    <x v="0"/>
    <n v="8790.3745982704204"/>
    <n v="3589.1392000000001"/>
  </r>
  <r>
    <x v="6"/>
    <x v="5"/>
    <x v="1"/>
    <x v="3"/>
    <x v="7"/>
    <x v="1"/>
    <n v="10903.635644831702"/>
    <n v="4510.8688000000002"/>
  </r>
  <r>
    <x v="6"/>
    <x v="5"/>
    <x v="1"/>
    <x v="3"/>
    <x v="5"/>
    <x v="0"/>
    <n v="15.370645558069601"/>
    <m/>
  </r>
  <r>
    <x v="6"/>
    <x v="5"/>
    <x v="1"/>
    <x v="3"/>
    <x v="5"/>
    <x v="1"/>
    <n v="39.591266693173999"/>
    <m/>
  </r>
  <r>
    <x v="6"/>
    <x v="5"/>
    <x v="1"/>
    <x v="3"/>
    <x v="6"/>
    <x v="0"/>
    <n v="23.599638388060001"/>
    <m/>
  </r>
  <r>
    <x v="6"/>
    <x v="5"/>
    <x v="1"/>
    <x v="3"/>
    <x v="6"/>
    <x v="1"/>
    <n v="61.104045313686697"/>
    <m/>
  </r>
  <r>
    <x v="6"/>
    <x v="5"/>
    <x v="1"/>
    <x v="3"/>
    <x v="1"/>
    <x v="0"/>
    <n v="81.4252064327912"/>
    <m/>
  </r>
  <r>
    <x v="6"/>
    <x v="5"/>
    <x v="1"/>
    <x v="3"/>
    <x v="1"/>
    <x v="1"/>
    <n v="423.9755566135338"/>
    <m/>
  </r>
  <r>
    <x v="6"/>
    <x v="5"/>
    <x v="1"/>
    <x v="4"/>
    <x v="2"/>
    <x v="1"/>
    <n v="47296.608270859651"/>
    <n v="19761.090100000001"/>
  </r>
  <r>
    <x v="6"/>
    <x v="5"/>
    <x v="1"/>
    <x v="4"/>
    <x v="4"/>
    <x v="1"/>
    <n v="56.915179352429"/>
    <m/>
  </r>
  <r>
    <x v="6"/>
    <x v="5"/>
    <x v="1"/>
    <x v="4"/>
    <x v="6"/>
    <x v="0"/>
    <n v="4.4701922889016998"/>
    <m/>
  </r>
  <r>
    <x v="6"/>
    <x v="5"/>
    <x v="1"/>
    <x v="4"/>
    <x v="6"/>
    <x v="1"/>
    <n v="30805.25437568911"/>
    <n v="2903.1024000000002"/>
  </r>
  <r>
    <x v="6"/>
    <x v="5"/>
    <x v="1"/>
    <x v="4"/>
    <x v="1"/>
    <x v="1"/>
    <n v="5.2164125274886004"/>
    <m/>
  </r>
  <r>
    <x v="6"/>
    <x v="5"/>
    <x v="2"/>
    <x v="5"/>
    <x v="2"/>
    <x v="0"/>
    <n v="3999.8795201028452"/>
    <n v="801.95650000000001"/>
  </r>
  <r>
    <x v="6"/>
    <x v="5"/>
    <x v="2"/>
    <x v="5"/>
    <x v="2"/>
    <x v="1"/>
    <n v="28121.282435042402"/>
    <n v="3746.4962999999998"/>
  </r>
  <r>
    <x v="6"/>
    <x v="5"/>
    <x v="2"/>
    <x v="5"/>
    <x v="3"/>
    <x v="0"/>
    <n v="1.6553226656040001"/>
    <m/>
  </r>
  <r>
    <x v="6"/>
    <x v="5"/>
    <x v="2"/>
    <x v="5"/>
    <x v="3"/>
    <x v="1"/>
    <n v="35.784729110533497"/>
    <m/>
  </r>
  <r>
    <x v="6"/>
    <x v="5"/>
    <x v="2"/>
    <x v="5"/>
    <x v="8"/>
    <x v="0"/>
    <n v="247.23781766568649"/>
    <n v="80.688900000000004"/>
  </r>
  <r>
    <x v="6"/>
    <x v="5"/>
    <x v="2"/>
    <x v="5"/>
    <x v="8"/>
    <x v="1"/>
    <n v="114.98506415770881"/>
    <n v="24.99"/>
  </r>
  <r>
    <x v="6"/>
    <x v="5"/>
    <x v="2"/>
    <x v="5"/>
    <x v="7"/>
    <x v="0"/>
    <n v="997.98827754239585"/>
    <n v="171.72149999999999"/>
  </r>
  <r>
    <x v="6"/>
    <x v="5"/>
    <x v="2"/>
    <x v="5"/>
    <x v="7"/>
    <x v="1"/>
    <n v="5444.936000791643"/>
    <n v="734.6241"/>
  </r>
  <r>
    <x v="6"/>
    <x v="5"/>
    <x v="2"/>
    <x v="5"/>
    <x v="1"/>
    <x v="0"/>
    <n v="13.813702442879199"/>
    <m/>
  </r>
  <r>
    <x v="6"/>
    <x v="5"/>
    <x v="2"/>
    <x v="5"/>
    <x v="1"/>
    <x v="1"/>
    <n v="54.765066448312197"/>
    <m/>
  </r>
  <r>
    <x v="6"/>
    <x v="5"/>
    <x v="2"/>
    <x v="5"/>
    <x v="9"/>
    <x v="0"/>
    <n v="3.4534070947209998"/>
    <m/>
  </r>
  <r>
    <x v="6"/>
    <x v="5"/>
    <x v="2"/>
    <x v="5"/>
    <x v="9"/>
    <x v="1"/>
    <n v="10.5360214458057"/>
    <m/>
  </r>
  <r>
    <x v="6"/>
    <x v="5"/>
    <x v="2"/>
    <x v="6"/>
    <x v="0"/>
    <x v="0"/>
    <n v="1391.023052840658"/>
    <n v="360.4384"/>
  </r>
  <r>
    <x v="6"/>
    <x v="5"/>
    <x v="2"/>
    <x v="6"/>
    <x v="0"/>
    <x v="1"/>
    <n v="2347.6965587465033"/>
    <n v="554.37660000000005"/>
  </r>
  <r>
    <x v="6"/>
    <x v="5"/>
    <x v="2"/>
    <x v="6"/>
    <x v="1"/>
    <x v="0"/>
    <n v="8741.1219706393458"/>
    <n v="2052.0232000000001"/>
  </r>
  <r>
    <x v="6"/>
    <x v="5"/>
    <x v="2"/>
    <x v="6"/>
    <x v="1"/>
    <x v="1"/>
    <n v="12929.5136341536"/>
    <n v="3287.058"/>
  </r>
  <r>
    <x v="6"/>
    <x v="5"/>
    <x v="2"/>
    <x v="7"/>
    <x v="2"/>
    <x v="1"/>
    <n v="10607.018341362105"/>
    <n v="5078.1504999999997"/>
  </r>
  <r>
    <x v="6"/>
    <x v="6"/>
    <x v="0"/>
    <x v="0"/>
    <x v="0"/>
    <x v="0"/>
    <n v="436.01843333233342"/>
    <n v="105.2878"/>
  </r>
  <r>
    <x v="6"/>
    <x v="6"/>
    <x v="0"/>
    <x v="0"/>
    <x v="0"/>
    <x v="1"/>
    <n v="314.41613654698529"/>
    <n v="50.043999999999997"/>
  </r>
  <r>
    <x v="6"/>
    <x v="6"/>
    <x v="0"/>
    <x v="0"/>
    <x v="1"/>
    <x v="0"/>
    <n v="8672.6798850781888"/>
    <n v="2074.1876000000002"/>
  </r>
  <r>
    <x v="6"/>
    <x v="6"/>
    <x v="0"/>
    <x v="0"/>
    <x v="1"/>
    <x v="1"/>
    <n v="7469.759814222024"/>
    <n v="1148.0252"/>
  </r>
  <r>
    <x v="6"/>
    <x v="6"/>
    <x v="0"/>
    <x v="1"/>
    <x v="0"/>
    <x v="0"/>
    <n v="590.7751908103379"/>
    <n v="110.04940000000001"/>
  </r>
  <r>
    <x v="6"/>
    <x v="6"/>
    <x v="0"/>
    <x v="1"/>
    <x v="0"/>
    <x v="1"/>
    <n v="305.7045493582101"/>
    <n v="50.156799999999997"/>
  </r>
  <r>
    <x v="6"/>
    <x v="6"/>
    <x v="0"/>
    <x v="1"/>
    <x v="1"/>
    <x v="0"/>
    <n v="5133.5068156809666"/>
    <n v="1086.9575"/>
  </r>
  <r>
    <x v="6"/>
    <x v="6"/>
    <x v="0"/>
    <x v="1"/>
    <x v="1"/>
    <x v="1"/>
    <n v="7768.735506506815"/>
    <n v="1425.1351"/>
  </r>
  <r>
    <x v="6"/>
    <x v="6"/>
    <x v="1"/>
    <x v="2"/>
    <x v="2"/>
    <x v="0"/>
    <n v="3113.2171738470711"/>
    <n v="715.05200000000002"/>
  </r>
  <r>
    <x v="6"/>
    <x v="6"/>
    <x v="1"/>
    <x v="2"/>
    <x v="2"/>
    <x v="1"/>
    <n v="25882.22001792962"/>
    <n v="6703.1624000000002"/>
  </r>
  <r>
    <x v="6"/>
    <x v="6"/>
    <x v="1"/>
    <x v="2"/>
    <x v="3"/>
    <x v="0"/>
    <n v="12.7842108213137"/>
    <m/>
  </r>
  <r>
    <x v="6"/>
    <x v="6"/>
    <x v="1"/>
    <x v="2"/>
    <x v="3"/>
    <x v="1"/>
    <n v="3.1960527053284"/>
    <m/>
  </r>
  <r>
    <x v="6"/>
    <x v="6"/>
    <x v="1"/>
    <x v="2"/>
    <x v="5"/>
    <x v="0"/>
    <n v="5.1349863634019002"/>
    <m/>
  </r>
  <r>
    <x v="6"/>
    <x v="6"/>
    <x v="1"/>
    <x v="2"/>
    <x v="5"/>
    <x v="1"/>
    <n v="23.395590641501101"/>
    <m/>
  </r>
  <r>
    <x v="6"/>
    <x v="6"/>
    <x v="1"/>
    <x v="2"/>
    <x v="6"/>
    <x v="0"/>
    <n v="153.66939265671871"/>
    <m/>
  </r>
  <r>
    <x v="6"/>
    <x v="6"/>
    <x v="1"/>
    <x v="2"/>
    <x v="6"/>
    <x v="1"/>
    <n v="913.77649522807678"/>
    <m/>
  </r>
  <r>
    <x v="6"/>
    <x v="6"/>
    <x v="1"/>
    <x v="2"/>
    <x v="1"/>
    <x v="0"/>
    <n v="20.6909842817265"/>
    <m/>
  </r>
  <r>
    <x v="6"/>
    <x v="6"/>
    <x v="1"/>
    <x v="2"/>
    <x v="1"/>
    <x v="1"/>
    <n v="105.0290509548725"/>
    <m/>
  </r>
  <r>
    <x v="6"/>
    <x v="6"/>
    <x v="1"/>
    <x v="3"/>
    <x v="2"/>
    <x v="0"/>
    <n v="3215.2758907013149"/>
    <n v="1011.1617"/>
  </r>
  <r>
    <x v="6"/>
    <x v="6"/>
    <x v="1"/>
    <x v="3"/>
    <x v="2"/>
    <x v="1"/>
    <n v="35310.283519324556"/>
    <n v="13406.9228"/>
  </r>
  <r>
    <x v="6"/>
    <x v="6"/>
    <x v="1"/>
    <x v="3"/>
    <x v="3"/>
    <x v="0"/>
    <n v="6.704434134914"/>
    <m/>
  </r>
  <r>
    <x v="6"/>
    <x v="6"/>
    <x v="1"/>
    <x v="3"/>
    <x v="3"/>
    <x v="1"/>
    <n v="22.1659962973531"/>
    <m/>
  </r>
  <r>
    <x v="6"/>
    <x v="6"/>
    <x v="1"/>
    <x v="3"/>
    <x v="7"/>
    <x v="0"/>
    <n v="5137.7499198532469"/>
    <n v="1802.5905"/>
  </r>
  <r>
    <x v="6"/>
    <x v="6"/>
    <x v="1"/>
    <x v="3"/>
    <x v="7"/>
    <x v="1"/>
    <n v="18216.403943216948"/>
    <n v="6999.0866999999998"/>
  </r>
  <r>
    <x v="6"/>
    <x v="6"/>
    <x v="1"/>
    <x v="3"/>
    <x v="5"/>
    <x v="0"/>
    <n v="4.6023401228504"/>
    <m/>
  </r>
  <r>
    <x v="6"/>
    <x v="6"/>
    <x v="1"/>
    <x v="3"/>
    <x v="5"/>
    <x v="1"/>
    <n v="15.0513406318276"/>
    <m/>
  </r>
  <r>
    <x v="6"/>
    <x v="6"/>
    <x v="1"/>
    <x v="3"/>
    <x v="6"/>
    <x v="0"/>
    <n v="21.8314722459161"/>
    <m/>
  </r>
  <r>
    <x v="6"/>
    <x v="6"/>
    <x v="1"/>
    <x v="3"/>
    <x v="6"/>
    <x v="1"/>
    <n v="71.068249424825495"/>
    <m/>
  </r>
  <r>
    <x v="6"/>
    <x v="6"/>
    <x v="1"/>
    <x v="3"/>
    <x v="1"/>
    <x v="0"/>
    <n v="6.8675330430794004"/>
    <m/>
  </r>
  <r>
    <x v="6"/>
    <x v="6"/>
    <x v="1"/>
    <x v="3"/>
    <x v="1"/>
    <x v="1"/>
    <n v="31.7310496617391"/>
    <m/>
  </r>
  <r>
    <x v="6"/>
    <x v="6"/>
    <x v="1"/>
    <x v="4"/>
    <x v="2"/>
    <x v="1"/>
    <n v="6065.2507187869614"/>
    <n v="1405.3471"/>
  </r>
  <r>
    <x v="6"/>
    <x v="6"/>
    <x v="1"/>
    <x v="4"/>
    <x v="6"/>
    <x v="1"/>
    <n v="3609.1854462504771"/>
    <m/>
  </r>
  <r>
    <x v="6"/>
    <x v="6"/>
    <x v="2"/>
    <x v="5"/>
    <x v="2"/>
    <x v="0"/>
    <n v="1994.7687346411362"/>
    <n v="1031.9193"/>
  </r>
  <r>
    <x v="6"/>
    <x v="6"/>
    <x v="2"/>
    <x v="5"/>
    <x v="2"/>
    <x v="1"/>
    <n v="7745.9766132668919"/>
    <n v="2381.6694000000002"/>
  </r>
  <r>
    <x v="6"/>
    <x v="6"/>
    <x v="2"/>
    <x v="5"/>
    <x v="3"/>
    <x v="1"/>
    <n v="0.11856740763239999"/>
    <m/>
  </r>
  <r>
    <x v="6"/>
    <x v="6"/>
    <x v="2"/>
    <x v="5"/>
    <x v="8"/>
    <x v="0"/>
    <n v="283.96948079298778"/>
    <n v="150.90979999999999"/>
  </r>
  <r>
    <x v="6"/>
    <x v="6"/>
    <x v="2"/>
    <x v="5"/>
    <x v="8"/>
    <x v="1"/>
    <n v="149.4013930095482"/>
    <n v="63.318100000000001"/>
  </r>
  <r>
    <x v="6"/>
    <x v="6"/>
    <x v="2"/>
    <x v="5"/>
    <x v="7"/>
    <x v="0"/>
    <n v="1014.9512195460661"/>
    <n v="530.64359999999999"/>
  </r>
  <r>
    <x v="6"/>
    <x v="6"/>
    <x v="2"/>
    <x v="5"/>
    <x v="7"/>
    <x v="1"/>
    <n v="4767.2902951845717"/>
    <n v="1484.4840999999999"/>
  </r>
  <r>
    <x v="6"/>
    <x v="6"/>
    <x v="2"/>
    <x v="5"/>
    <x v="1"/>
    <x v="0"/>
    <n v="0.31239829484510001"/>
    <m/>
  </r>
  <r>
    <x v="6"/>
    <x v="6"/>
    <x v="2"/>
    <x v="5"/>
    <x v="1"/>
    <x v="1"/>
    <n v="2.2791567365982002"/>
    <m/>
  </r>
  <r>
    <x v="6"/>
    <x v="6"/>
    <x v="2"/>
    <x v="5"/>
    <x v="9"/>
    <x v="0"/>
    <n v="8.9025710271499997E-2"/>
    <m/>
  </r>
  <r>
    <x v="6"/>
    <x v="6"/>
    <x v="2"/>
    <x v="5"/>
    <x v="9"/>
    <x v="1"/>
    <n v="2.4194337664535999"/>
    <m/>
  </r>
  <r>
    <x v="6"/>
    <x v="6"/>
    <x v="2"/>
    <x v="6"/>
    <x v="0"/>
    <x v="0"/>
    <n v="1523.721207820216"/>
    <n v="489.12959999999998"/>
  </r>
  <r>
    <x v="6"/>
    <x v="6"/>
    <x v="2"/>
    <x v="6"/>
    <x v="0"/>
    <x v="1"/>
    <n v="1747.66413387374"/>
    <n v="471.59519999999998"/>
  </r>
  <r>
    <x v="6"/>
    <x v="6"/>
    <x v="2"/>
    <x v="6"/>
    <x v="1"/>
    <x v="0"/>
    <n v="4429.0333161472599"/>
    <n v="1503.6612"/>
  </r>
  <r>
    <x v="6"/>
    <x v="6"/>
    <x v="2"/>
    <x v="6"/>
    <x v="1"/>
    <x v="1"/>
    <n v="5946.5151147477218"/>
    <n v="1640.9074000000001"/>
  </r>
  <r>
    <x v="6"/>
    <x v="6"/>
    <x v="2"/>
    <x v="7"/>
    <x v="2"/>
    <x v="1"/>
    <n v="19.5916599181602"/>
    <n v="10.96"/>
  </r>
  <r>
    <x v="6"/>
    <x v="7"/>
    <x v="0"/>
    <x v="0"/>
    <x v="0"/>
    <x v="0"/>
    <n v="40.364099715923999"/>
    <n v="12.645799999999999"/>
  </r>
  <r>
    <x v="6"/>
    <x v="7"/>
    <x v="0"/>
    <x v="0"/>
    <x v="0"/>
    <x v="1"/>
    <n v="72.501447126856604"/>
    <n v="16.681799999999999"/>
  </r>
  <r>
    <x v="6"/>
    <x v="7"/>
    <x v="0"/>
    <x v="0"/>
    <x v="1"/>
    <x v="0"/>
    <n v="9676.44486863989"/>
    <n v="2553.5527000000002"/>
  </r>
  <r>
    <x v="6"/>
    <x v="7"/>
    <x v="0"/>
    <x v="0"/>
    <x v="1"/>
    <x v="1"/>
    <n v="2098.548369893997"/>
    <n v="377.09550000000002"/>
  </r>
  <r>
    <x v="6"/>
    <x v="7"/>
    <x v="0"/>
    <x v="1"/>
    <x v="0"/>
    <x v="0"/>
    <n v="108.9222039535149"/>
    <n v="19.571899999999999"/>
  </r>
  <r>
    <x v="6"/>
    <x v="7"/>
    <x v="0"/>
    <x v="1"/>
    <x v="0"/>
    <x v="1"/>
    <n v="191.50340567436101"/>
    <n v="38.030799999999999"/>
  </r>
  <r>
    <x v="6"/>
    <x v="7"/>
    <x v="0"/>
    <x v="1"/>
    <x v="1"/>
    <x v="0"/>
    <n v="11732.93137758368"/>
    <n v="1516.3607999999999"/>
  </r>
  <r>
    <x v="6"/>
    <x v="7"/>
    <x v="0"/>
    <x v="1"/>
    <x v="1"/>
    <x v="1"/>
    <n v="14199.886658339336"/>
    <n v="2298.6289000000002"/>
  </r>
  <r>
    <x v="6"/>
    <x v="7"/>
    <x v="1"/>
    <x v="2"/>
    <x v="2"/>
    <x v="0"/>
    <n v="5519.1139831540349"/>
    <n v="1578.7718"/>
  </r>
  <r>
    <x v="6"/>
    <x v="7"/>
    <x v="1"/>
    <x v="2"/>
    <x v="2"/>
    <x v="1"/>
    <n v="92767.748808280448"/>
    <n v="27571.015200000002"/>
  </r>
  <r>
    <x v="6"/>
    <x v="7"/>
    <x v="1"/>
    <x v="2"/>
    <x v="3"/>
    <x v="0"/>
    <n v="154.30470753611129"/>
    <m/>
  </r>
  <r>
    <x v="6"/>
    <x v="7"/>
    <x v="1"/>
    <x v="2"/>
    <x v="3"/>
    <x v="1"/>
    <n v="130.66837115832001"/>
    <m/>
  </r>
  <r>
    <x v="6"/>
    <x v="7"/>
    <x v="1"/>
    <x v="2"/>
    <x v="5"/>
    <x v="0"/>
    <n v="129.6754354621695"/>
    <m/>
  </r>
  <r>
    <x v="6"/>
    <x v="7"/>
    <x v="1"/>
    <x v="2"/>
    <x v="5"/>
    <x v="1"/>
    <n v="357.06754434746779"/>
    <m/>
  </r>
  <r>
    <x v="6"/>
    <x v="7"/>
    <x v="1"/>
    <x v="2"/>
    <x v="6"/>
    <x v="0"/>
    <n v="2155.0205341113965"/>
    <m/>
  </r>
  <r>
    <x v="6"/>
    <x v="7"/>
    <x v="1"/>
    <x v="2"/>
    <x v="6"/>
    <x v="1"/>
    <n v="6888.3712296462563"/>
    <m/>
  </r>
  <r>
    <x v="6"/>
    <x v="7"/>
    <x v="1"/>
    <x v="2"/>
    <x v="1"/>
    <x v="0"/>
    <n v="22.4073593306939"/>
    <m/>
  </r>
  <r>
    <x v="6"/>
    <x v="7"/>
    <x v="1"/>
    <x v="2"/>
    <x v="1"/>
    <x v="1"/>
    <n v="92.275898179089097"/>
    <m/>
  </r>
  <r>
    <x v="6"/>
    <x v="7"/>
    <x v="1"/>
    <x v="3"/>
    <x v="2"/>
    <x v="0"/>
    <n v="7258.7912552519811"/>
    <n v="1879.1850999999999"/>
  </r>
  <r>
    <x v="6"/>
    <x v="7"/>
    <x v="1"/>
    <x v="3"/>
    <x v="2"/>
    <x v="1"/>
    <n v="68119.345879535846"/>
    <n v="18587.106599999999"/>
  </r>
  <r>
    <x v="6"/>
    <x v="7"/>
    <x v="1"/>
    <x v="3"/>
    <x v="3"/>
    <x v="0"/>
    <n v="540.26650025367542"/>
    <m/>
  </r>
  <r>
    <x v="6"/>
    <x v="7"/>
    <x v="1"/>
    <x v="3"/>
    <x v="3"/>
    <x v="1"/>
    <n v="1367.1739305653452"/>
    <m/>
  </r>
  <r>
    <x v="6"/>
    <x v="7"/>
    <x v="1"/>
    <x v="3"/>
    <x v="7"/>
    <x v="0"/>
    <n v="3539.8057556215458"/>
    <n v="1282.3484000000001"/>
  </r>
  <r>
    <x v="6"/>
    <x v="7"/>
    <x v="1"/>
    <x v="3"/>
    <x v="7"/>
    <x v="1"/>
    <n v="40265.825952356281"/>
    <n v="15965.528399999999"/>
  </r>
  <r>
    <x v="6"/>
    <x v="7"/>
    <x v="1"/>
    <x v="3"/>
    <x v="5"/>
    <x v="0"/>
    <n v="336.42974626961779"/>
    <m/>
  </r>
  <r>
    <x v="6"/>
    <x v="7"/>
    <x v="1"/>
    <x v="3"/>
    <x v="5"/>
    <x v="1"/>
    <n v="758.1971519096254"/>
    <m/>
  </r>
  <r>
    <x v="6"/>
    <x v="7"/>
    <x v="1"/>
    <x v="3"/>
    <x v="6"/>
    <x v="0"/>
    <n v="57.552109390678801"/>
    <m/>
  </r>
  <r>
    <x v="6"/>
    <x v="7"/>
    <x v="1"/>
    <x v="3"/>
    <x v="6"/>
    <x v="1"/>
    <n v="139.4608979595022"/>
    <m/>
  </r>
  <r>
    <x v="6"/>
    <x v="7"/>
    <x v="1"/>
    <x v="3"/>
    <x v="1"/>
    <x v="0"/>
    <n v="37.098561696378603"/>
    <m/>
  </r>
  <r>
    <x v="6"/>
    <x v="7"/>
    <x v="1"/>
    <x v="3"/>
    <x v="1"/>
    <x v="1"/>
    <n v="126.38322221754549"/>
    <m/>
  </r>
  <r>
    <x v="6"/>
    <x v="7"/>
    <x v="1"/>
    <x v="4"/>
    <x v="2"/>
    <x v="1"/>
    <n v="54022.057991609312"/>
    <n v="17017.650900000001"/>
  </r>
  <r>
    <x v="6"/>
    <x v="7"/>
    <x v="1"/>
    <x v="4"/>
    <x v="6"/>
    <x v="1"/>
    <n v="106615.01234536069"/>
    <n v="19650.762599999998"/>
  </r>
  <r>
    <x v="6"/>
    <x v="7"/>
    <x v="2"/>
    <x v="5"/>
    <x v="2"/>
    <x v="0"/>
    <n v="1706.591085012469"/>
    <n v="566.88789999999995"/>
  </r>
  <r>
    <x v="6"/>
    <x v="7"/>
    <x v="2"/>
    <x v="5"/>
    <x v="2"/>
    <x v="1"/>
    <n v="12261.291730979052"/>
    <n v="5163.9762000000001"/>
  </r>
  <r>
    <x v="6"/>
    <x v="7"/>
    <x v="2"/>
    <x v="5"/>
    <x v="3"/>
    <x v="1"/>
    <n v="0.14724922111309999"/>
    <m/>
  </r>
  <r>
    <x v="6"/>
    <x v="7"/>
    <x v="2"/>
    <x v="5"/>
    <x v="8"/>
    <x v="0"/>
    <n v="2.1490663373948"/>
    <m/>
  </r>
  <r>
    <x v="6"/>
    <x v="7"/>
    <x v="2"/>
    <x v="5"/>
    <x v="8"/>
    <x v="1"/>
    <n v="14.1728025529617"/>
    <n v="6.8254000000000001"/>
  </r>
  <r>
    <x v="6"/>
    <x v="7"/>
    <x v="2"/>
    <x v="5"/>
    <x v="7"/>
    <x v="0"/>
    <n v="157.39850010502971"/>
    <n v="53.6937"/>
  </r>
  <r>
    <x v="6"/>
    <x v="7"/>
    <x v="2"/>
    <x v="5"/>
    <x v="7"/>
    <x v="1"/>
    <n v="1272.9224742001927"/>
    <n v="579.43600000000004"/>
  </r>
  <r>
    <x v="6"/>
    <x v="7"/>
    <x v="2"/>
    <x v="5"/>
    <x v="1"/>
    <x v="0"/>
    <n v="6.7935415573081004"/>
    <m/>
  </r>
  <r>
    <x v="6"/>
    <x v="7"/>
    <x v="2"/>
    <x v="5"/>
    <x v="1"/>
    <x v="1"/>
    <n v="10.4022586513295"/>
    <m/>
  </r>
  <r>
    <x v="6"/>
    <x v="7"/>
    <x v="2"/>
    <x v="5"/>
    <x v="9"/>
    <x v="0"/>
    <n v="0.39389441663800001"/>
    <m/>
  </r>
  <r>
    <x v="6"/>
    <x v="7"/>
    <x v="2"/>
    <x v="5"/>
    <x v="9"/>
    <x v="1"/>
    <n v="0.58973742794109996"/>
    <m/>
  </r>
  <r>
    <x v="6"/>
    <x v="7"/>
    <x v="2"/>
    <x v="6"/>
    <x v="0"/>
    <x v="0"/>
    <n v="80.276857099204605"/>
    <n v="26.9712"/>
  </r>
  <r>
    <x v="6"/>
    <x v="7"/>
    <x v="2"/>
    <x v="6"/>
    <x v="0"/>
    <x v="1"/>
    <n v="1130.1832340467765"/>
    <n v="440.81310000000002"/>
  </r>
  <r>
    <x v="6"/>
    <x v="7"/>
    <x v="2"/>
    <x v="6"/>
    <x v="1"/>
    <x v="0"/>
    <n v="1663.296893015666"/>
    <n v="535.89760000000001"/>
  </r>
  <r>
    <x v="6"/>
    <x v="7"/>
    <x v="2"/>
    <x v="6"/>
    <x v="1"/>
    <x v="1"/>
    <n v="5014.3431185206919"/>
    <n v="1731.4675999999999"/>
  </r>
  <r>
    <x v="6"/>
    <x v="7"/>
    <x v="2"/>
    <x v="7"/>
    <x v="2"/>
    <x v="1"/>
    <n v="8684.8620484629701"/>
    <n v="3984.2725999999998"/>
  </r>
  <r>
    <x v="6"/>
    <x v="8"/>
    <x v="0"/>
    <x v="0"/>
    <x v="0"/>
    <x v="0"/>
    <n v="3655.357460129806"/>
    <n v="771.34889999999996"/>
  </r>
  <r>
    <x v="6"/>
    <x v="8"/>
    <x v="0"/>
    <x v="0"/>
    <x v="0"/>
    <x v="1"/>
    <n v="5244.5504700329147"/>
    <n v="452.79349999999999"/>
  </r>
  <r>
    <x v="6"/>
    <x v="8"/>
    <x v="0"/>
    <x v="0"/>
    <x v="1"/>
    <x v="0"/>
    <n v="62890.501164375717"/>
    <n v="12538.921899999999"/>
  </r>
  <r>
    <x v="6"/>
    <x v="8"/>
    <x v="0"/>
    <x v="0"/>
    <x v="1"/>
    <x v="1"/>
    <n v="31347.67910852543"/>
    <n v="3235.9216000000001"/>
  </r>
  <r>
    <x v="6"/>
    <x v="8"/>
    <x v="0"/>
    <x v="1"/>
    <x v="0"/>
    <x v="0"/>
    <n v="4403.0394548762406"/>
    <n v="915.96929999999998"/>
  </r>
  <r>
    <x v="6"/>
    <x v="8"/>
    <x v="0"/>
    <x v="1"/>
    <x v="0"/>
    <x v="1"/>
    <n v="3559.8471980323902"/>
    <n v="264.11599999999999"/>
  </r>
  <r>
    <x v="6"/>
    <x v="8"/>
    <x v="0"/>
    <x v="1"/>
    <x v="1"/>
    <x v="0"/>
    <n v="40244.05967504732"/>
    <n v="8771.5717999999997"/>
  </r>
  <r>
    <x v="6"/>
    <x v="8"/>
    <x v="0"/>
    <x v="1"/>
    <x v="1"/>
    <x v="1"/>
    <n v="50383.370743707652"/>
    <n v="5419.7530999999999"/>
  </r>
  <r>
    <x v="6"/>
    <x v="8"/>
    <x v="1"/>
    <x v="2"/>
    <x v="2"/>
    <x v="0"/>
    <n v="4826.0437737969551"/>
    <n v="2638.5003000000002"/>
  </r>
  <r>
    <x v="6"/>
    <x v="8"/>
    <x v="1"/>
    <x v="2"/>
    <x v="2"/>
    <x v="1"/>
    <n v="76528.835475475003"/>
    <n v="40687.088300000003"/>
  </r>
  <r>
    <x v="6"/>
    <x v="8"/>
    <x v="1"/>
    <x v="2"/>
    <x v="3"/>
    <x v="0"/>
    <n v="34.853899567418601"/>
    <m/>
  </r>
  <r>
    <x v="6"/>
    <x v="8"/>
    <x v="1"/>
    <x v="2"/>
    <x v="3"/>
    <x v="1"/>
    <n v="1.6332464242018001"/>
    <m/>
  </r>
  <r>
    <x v="6"/>
    <x v="8"/>
    <x v="1"/>
    <x v="2"/>
    <x v="4"/>
    <x v="0"/>
    <n v="1.5588547836429001"/>
    <m/>
  </r>
  <r>
    <x v="6"/>
    <x v="8"/>
    <x v="1"/>
    <x v="2"/>
    <x v="4"/>
    <x v="1"/>
    <n v="0.10032650026540001"/>
    <m/>
  </r>
  <r>
    <x v="6"/>
    <x v="8"/>
    <x v="1"/>
    <x v="2"/>
    <x v="5"/>
    <x v="0"/>
    <n v="4.5648252174600001E-2"/>
    <m/>
  </r>
  <r>
    <x v="6"/>
    <x v="8"/>
    <x v="1"/>
    <x v="2"/>
    <x v="5"/>
    <x v="1"/>
    <n v="0.50745111864479997"/>
    <m/>
  </r>
  <r>
    <x v="6"/>
    <x v="8"/>
    <x v="1"/>
    <x v="2"/>
    <x v="6"/>
    <x v="0"/>
    <n v="7.5401176511222001"/>
    <m/>
  </r>
  <r>
    <x v="6"/>
    <x v="8"/>
    <x v="1"/>
    <x v="2"/>
    <x v="6"/>
    <x v="1"/>
    <n v="255.60322840202079"/>
    <m/>
  </r>
  <r>
    <x v="6"/>
    <x v="8"/>
    <x v="1"/>
    <x v="2"/>
    <x v="1"/>
    <x v="0"/>
    <n v="1.0580798809545999"/>
    <m/>
  </r>
  <r>
    <x v="6"/>
    <x v="8"/>
    <x v="1"/>
    <x v="2"/>
    <x v="1"/>
    <x v="1"/>
    <n v="14.9009609962705"/>
    <m/>
  </r>
  <r>
    <x v="6"/>
    <x v="8"/>
    <x v="1"/>
    <x v="3"/>
    <x v="2"/>
    <x v="0"/>
    <n v="12960.804834196948"/>
    <n v="6939.0577000000003"/>
  </r>
  <r>
    <x v="6"/>
    <x v="8"/>
    <x v="1"/>
    <x v="3"/>
    <x v="2"/>
    <x v="1"/>
    <n v="100535.2519885902"/>
    <n v="52538.713499999998"/>
  </r>
  <r>
    <x v="6"/>
    <x v="8"/>
    <x v="1"/>
    <x v="3"/>
    <x v="3"/>
    <x v="0"/>
    <n v="5.7617147329723002"/>
    <m/>
  </r>
  <r>
    <x v="6"/>
    <x v="8"/>
    <x v="1"/>
    <x v="3"/>
    <x v="3"/>
    <x v="1"/>
    <n v="30.866046804476898"/>
    <m/>
  </r>
  <r>
    <x v="6"/>
    <x v="8"/>
    <x v="1"/>
    <x v="3"/>
    <x v="7"/>
    <x v="0"/>
    <n v="25221.13942809758"/>
    <n v="13565.4822"/>
  </r>
  <r>
    <x v="6"/>
    <x v="8"/>
    <x v="1"/>
    <x v="3"/>
    <x v="7"/>
    <x v="1"/>
    <n v="125282.53328767135"/>
    <n v="67145.788499999995"/>
  </r>
  <r>
    <x v="6"/>
    <x v="8"/>
    <x v="1"/>
    <x v="3"/>
    <x v="5"/>
    <x v="0"/>
    <n v="0.15167059636890001"/>
    <m/>
  </r>
  <r>
    <x v="6"/>
    <x v="8"/>
    <x v="1"/>
    <x v="3"/>
    <x v="5"/>
    <x v="1"/>
    <n v="0.802794379093"/>
    <m/>
  </r>
  <r>
    <x v="6"/>
    <x v="8"/>
    <x v="1"/>
    <x v="3"/>
    <x v="6"/>
    <x v="0"/>
    <n v="3.3902774761569998"/>
    <m/>
  </r>
  <r>
    <x v="6"/>
    <x v="8"/>
    <x v="1"/>
    <x v="3"/>
    <x v="6"/>
    <x v="1"/>
    <n v="17.943179690599699"/>
    <m/>
  </r>
  <r>
    <x v="6"/>
    <x v="8"/>
    <x v="1"/>
    <x v="3"/>
    <x v="1"/>
    <x v="0"/>
    <n v="26.407391316367299"/>
    <m/>
  </r>
  <r>
    <x v="6"/>
    <x v="8"/>
    <x v="1"/>
    <x v="3"/>
    <x v="1"/>
    <x v="1"/>
    <n v="60.445718304532498"/>
    <m/>
  </r>
  <r>
    <x v="6"/>
    <x v="8"/>
    <x v="1"/>
    <x v="4"/>
    <x v="2"/>
    <x v="0"/>
    <n v="17.6208559692307"/>
    <m/>
  </r>
  <r>
    <x v="6"/>
    <x v="8"/>
    <x v="1"/>
    <x v="4"/>
    <x v="2"/>
    <x v="1"/>
    <n v="24614.844947672245"/>
    <n v="14279.5934"/>
  </r>
  <r>
    <x v="6"/>
    <x v="8"/>
    <x v="1"/>
    <x v="4"/>
    <x v="4"/>
    <x v="1"/>
    <n v="4.2114545740499998E-2"/>
    <m/>
  </r>
  <r>
    <x v="6"/>
    <x v="8"/>
    <x v="1"/>
    <x v="4"/>
    <x v="6"/>
    <x v="1"/>
    <n v="9679.4300807847394"/>
    <n v="3701.6212"/>
  </r>
  <r>
    <x v="6"/>
    <x v="8"/>
    <x v="2"/>
    <x v="5"/>
    <x v="2"/>
    <x v="0"/>
    <n v="5009.7216417589398"/>
    <n v="1917.3586"/>
  </r>
  <r>
    <x v="6"/>
    <x v="8"/>
    <x v="2"/>
    <x v="5"/>
    <x v="2"/>
    <x v="1"/>
    <n v="41934.490273710217"/>
    <n v="15161.272199999999"/>
  </r>
  <r>
    <x v="6"/>
    <x v="8"/>
    <x v="2"/>
    <x v="5"/>
    <x v="3"/>
    <x v="0"/>
    <n v="0.87031413382909995"/>
    <m/>
  </r>
  <r>
    <x v="6"/>
    <x v="8"/>
    <x v="2"/>
    <x v="5"/>
    <x v="3"/>
    <x v="1"/>
    <n v="12.668751821580599"/>
    <m/>
  </r>
  <r>
    <x v="6"/>
    <x v="8"/>
    <x v="2"/>
    <x v="5"/>
    <x v="8"/>
    <x v="0"/>
    <n v="26979.629449814918"/>
    <n v="11712.418799999999"/>
  </r>
  <r>
    <x v="6"/>
    <x v="8"/>
    <x v="2"/>
    <x v="5"/>
    <x v="8"/>
    <x v="1"/>
    <n v="8812.2703253346608"/>
    <n v="3587.9983000000002"/>
  </r>
  <r>
    <x v="6"/>
    <x v="8"/>
    <x v="2"/>
    <x v="5"/>
    <x v="7"/>
    <x v="0"/>
    <n v="15953.84325103353"/>
    <n v="6629.7169000000004"/>
  </r>
  <r>
    <x v="6"/>
    <x v="8"/>
    <x v="2"/>
    <x v="5"/>
    <x v="7"/>
    <x v="1"/>
    <n v="31898.714039736951"/>
    <n v="11016.768099999999"/>
  </r>
  <r>
    <x v="6"/>
    <x v="8"/>
    <x v="2"/>
    <x v="5"/>
    <x v="5"/>
    <x v="0"/>
    <n v="1.2596922174326"/>
    <m/>
  </r>
  <r>
    <x v="6"/>
    <x v="8"/>
    <x v="2"/>
    <x v="5"/>
    <x v="5"/>
    <x v="1"/>
    <n v="34.920524039603897"/>
    <m/>
  </r>
  <r>
    <x v="6"/>
    <x v="8"/>
    <x v="2"/>
    <x v="5"/>
    <x v="1"/>
    <x v="0"/>
    <n v="16.1235256529827"/>
    <m/>
  </r>
  <r>
    <x v="6"/>
    <x v="8"/>
    <x v="2"/>
    <x v="5"/>
    <x v="1"/>
    <x v="1"/>
    <n v="38.269037714946599"/>
    <m/>
  </r>
  <r>
    <x v="6"/>
    <x v="8"/>
    <x v="2"/>
    <x v="5"/>
    <x v="9"/>
    <x v="0"/>
    <n v="15.8954864419707"/>
    <m/>
  </r>
  <r>
    <x v="6"/>
    <x v="8"/>
    <x v="2"/>
    <x v="5"/>
    <x v="9"/>
    <x v="1"/>
    <n v="54.642740220272501"/>
    <m/>
  </r>
  <r>
    <x v="6"/>
    <x v="8"/>
    <x v="2"/>
    <x v="6"/>
    <x v="0"/>
    <x v="0"/>
    <n v="5775.7932753048863"/>
    <n v="2267.8168999999998"/>
  </r>
  <r>
    <x v="6"/>
    <x v="8"/>
    <x v="2"/>
    <x v="6"/>
    <x v="0"/>
    <x v="1"/>
    <n v="10789.702589300476"/>
    <n v="2599.1972000000001"/>
  </r>
  <r>
    <x v="6"/>
    <x v="8"/>
    <x v="2"/>
    <x v="6"/>
    <x v="1"/>
    <x v="0"/>
    <n v="30404.27245508234"/>
    <n v="12658.181699999999"/>
  </r>
  <r>
    <x v="6"/>
    <x v="8"/>
    <x v="2"/>
    <x v="6"/>
    <x v="1"/>
    <x v="1"/>
    <n v="34505.785444872927"/>
    <n v="9850.7960999999996"/>
  </r>
  <r>
    <x v="6"/>
    <x v="8"/>
    <x v="2"/>
    <x v="7"/>
    <x v="2"/>
    <x v="1"/>
    <n v="5579.0976199328388"/>
    <n v="1350.8130000000001"/>
  </r>
  <r>
    <x v="6"/>
    <x v="9"/>
    <x v="0"/>
    <x v="0"/>
    <x v="0"/>
    <x v="0"/>
    <n v="30.834323728969899"/>
    <n v="4.0804"/>
  </r>
  <r>
    <x v="6"/>
    <x v="9"/>
    <x v="0"/>
    <x v="0"/>
    <x v="0"/>
    <x v="1"/>
    <n v="81.900857773669202"/>
    <n v="15.08"/>
  </r>
  <r>
    <x v="6"/>
    <x v="9"/>
    <x v="0"/>
    <x v="0"/>
    <x v="1"/>
    <x v="0"/>
    <n v="8650.2094520742103"/>
    <n v="1143.085"/>
  </r>
  <r>
    <x v="6"/>
    <x v="9"/>
    <x v="0"/>
    <x v="0"/>
    <x v="1"/>
    <x v="1"/>
    <n v="1115.471611767151"/>
    <n v="117.9503"/>
  </r>
  <r>
    <x v="6"/>
    <x v="9"/>
    <x v="0"/>
    <x v="1"/>
    <x v="0"/>
    <x v="0"/>
    <n v="42.896969766682403"/>
    <n v="4.9804000000000004"/>
  </r>
  <r>
    <x v="6"/>
    <x v="9"/>
    <x v="0"/>
    <x v="1"/>
    <x v="0"/>
    <x v="1"/>
    <n v="79.020343133269904"/>
    <n v="13.805300000000001"/>
  </r>
  <r>
    <x v="6"/>
    <x v="9"/>
    <x v="0"/>
    <x v="1"/>
    <x v="1"/>
    <x v="0"/>
    <n v="5451.4767106029904"/>
    <n v="798.05880000000002"/>
  </r>
  <r>
    <x v="6"/>
    <x v="9"/>
    <x v="0"/>
    <x v="1"/>
    <x v="1"/>
    <x v="1"/>
    <n v="4845.8134189326001"/>
    <n v="703.62559999999996"/>
  </r>
  <r>
    <x v="6"/>
    <x v="9"/>
    <x v="1"/>
    <x v="2"/>
    <x v="2"/>
    <x v="0"/>
    <n v="7361.9616805677888"/>
    <n v="2181.2574"/>
  </r>
  <r>
    <x v="6"/>
    <x v="9"/>
    <x v="1"/>
    <x v="2"/>
    <x v="2"/>
    <x v="1"/>
    <n v="126625.22741283169"/>
    <n v="38554.908000000003"/>
  </r>
  <r>
    <x v="6"/>
    <x v="9"/>
    <x v="1"/>
    <x v="2"/>
    <x v="3"/>
    <x v="0"/>
    <n v="114.20354245230401"/>
    <m/>
  </r>
  <r>
    <x v="6"/>
    <x v="9"/>
    <x v="1"/>
    <x v="2"/>
    <x v="3"/>
    <x v="1"/>
    <n v="116.2875652546159"/>
    <m/>
  </r>
  <r>
    <x v="6"/>
    <x v="9"/>
    <x v="1"/>
    <x v="2"/>
    <x v="5"/>
    <x v="0"/>
    <n v="148.3113569228168"/>
    <m/>
  </r>
  <r>
    <x v="6"/>
    <x v="9"/>
    <x v="1"/>
    <x v="2"/>
    <x v="5"/>
    <x v="1"/>
    <n v="390.92575441590787"/>
    <m/>
  </r>
  <r>
    <x v="6"/>
    <x v="9"/>
    <x v="1"/>
    <x v="2"/>
    <x v="6"/>
    <x v="0"/>
    <n v="2482.1348901141509"/>
    <m/>
  </r>
  <r>
    <x v="6"/>
    <x v="9"/>
    <x v="1"/>
    <x v="2"/>
    <x v="6"/>
    <x v="1"/>
    <n v="7224.9097496608701"/>
    <m/>
  </r>
  <r>
    <x v="6"/>
    <x v="9"/>
    <x v="1"/>
    <x v="2"/>
    <x v="1"/>
    <x v="0"/>
    <n v="18.8549144967463"/>
    <m/>
  </r>
  <r>
    <x v="6"/>
    <x v="9"/>
    <x v="1"/>
    <x v="2"/>
    <x v="1"/>
    <x v="1"/>
    <n v="87.432338392002904"/>
    <m/>
  </r>
  <r>
    <x v="6"/>
    <x v="9"/>
    <x v="1"/>
    <x v="3"/>
    <x v="2"/>
    <x v="0"/>
    <n v="10086.418337551509"/>
    <n v="3521.2438999999999"/>
  </r>
  <r>
    <x v="6"/>
    <x v="9"/>
    <x v="1"/>
    <x v="3"/>
    <x v="2"/>
    <x v="1"/>
    <n v="92267.151259074206"/>
    <n v="32602.586500000001"/>
  </r>
  <r>
    <x v="6"/>
    <x v="9"/>
    <x v="1"/>
    <x v="3"/>
    <x v="3"/>
    <x v="0"/>
    <n v="311.38870165062298"/>
    <m/>
  </r>
  <r>
    <x v="6"/>
    <x v="9"/>
    <x v="1"/>
    <x v="3"/>
    <x v="3"/>
    <x v="1"/>
    <n v="790.82988960453599"/>
    <m/>
  </r>
  <r>
    <x v="6"/>
    <x v="9"/>
    <x v="1"/>
    <x v="3"/>
    <x v="7"/>
    <x v="0"/>
    <n v="891.73022992594099"/>
    <n v="291.72109999999998"/>
  </r>
  <r>
    <x v="6"/>
    <x v="9"/>
    <x v="1"/>
    <x v="3"/>
    <x v="7"/>
    <x v="1"/>
    <n v="5406.2789975305805"/>
    <n v="1839.6358"/>
  </r>
  <r>
    <x v="6"/>
    <x v="9"/>
    <x v="1"/>
    <x v="3"/>
    <x v="5"/>
    <x v="0"/>
    <n v="180.64109137731299"/>
    <m/>
  </r>
  <r>
    <x v="6"/>
    <x v="9"/>
    <x v="1"/>
    <x v="3"/>
    <x v="5"/>
    <x v="1"/>
    <n v="413.04160897343002"/>
    <m/>
  </r>
  <r>
    <x v="6"/>
    <x v="9"/>
    <x v="1"/>
    <x v="3"/>
    <x v="6"/>
    <x v="0"/>
    <n v="30.043820864200601"/>
    <m/>
  </r>
  <r>
    <x v="6"/>
    <x v="9"/>
    <x v="1"/>
    <x v="3"/>
    <x v="6"/>
    <x v="1"/>
    <n v="70.531831355137797"/>
    <m/>
  </r>
  <r>
    <x v="6"/>
    <x v="9"/>
    <x v="1"/>
    <x v="3"/>
    <x v="1"/>
    <x v="0"/>
    <n v="43.093581617802499"/>
    <m/>
  </r>
  <r>
    <x v="6"/>
    <x v="9"/>
    <x v="1"/>
    <x v="3"/>
    <x v="1"/>
    <x v="1"/>
    <n v="175.5469929767431"/>
    <m/>
  </r>
  <r>
    <x v="6"/>
    <x v="9"/>
    <x v="1"/>
    <x v="4"/>
    <x v="2"/>
    <x v="0"/>
    <n v="8.5830112670173992"/>
    <m/>
  </r>
  <r>
    <x v="6"/>
    <x v="9"/>
    <x v="1"/>
    <x v="4"/>
    <x v="2"/>
    <x v="1"/>
    <n v="48492.174350208159"/>
    <n v="14480.789699999999"/>
  </r>
  <r>
    <x v="6"/>
    <x v="9"/>
    <x v="1"/>
    <x v="4"/>
    <x v="6"/>
    <x v="0"/>
    <n v="566.40290798107003"/>
    <m/>
  </r>
  <r>
    <x v="6"/>
    <x v="9"/>
    <x v="1"/>
    <x v="4"/>
    <x v="6"/>
    <x v="1"/>
    <n v="107831.3559318788"/>
    <n v="23641.035599999999"/>
  </r>
  <r>
    <x v="6"/>
    <x v="9"/>
    <x v="2"/>
    <x v="5"/>
    <x v="2"/>
    <x v="0"/>
    <n v="708.89766404134002"/>
    <n v="188.6662"/>
  </r>
  <r>
    <x v="6"/>
    <x v="9"/>
    <x v="2"/>
    <x v="5"/>
    <x v="2"/>
    <x v="1"/>
    <n v="3402.8313750748798"/>
    <n v="1078.8856000000001"/>
  </r>
  <r>
    <x v="6"/>
    <x v="9"/>
    <x v="2"/>
    <x v="5"/>
    <x v="3"/>
    <x v="0"/>
    <n v="5.9690967623400003E-2"/>
    <m/>
  </r>
  <r>
    <x v="6"/>
    <x v="9"/>
    <x v="2"/>
    <x v="5"/>
    <x v="3"/>
    <x v="1"/>
    <n v="0.80586152620410001"/>
    <m/>
  </r>
  <r>
    <x v="6"/>
    <x v="9"/>
    <x v="2"/>
    <x v="5"/>
    <x v="8"/>
    <x v="0"/>
    <n v="1.6297796275012"/>
    <m/>
  </r>
  <r>
    <x v="6"/>
    <x v="9"/>
    <x v="2"/>
    <x v="5"/>
    <x v="8"/>
    <x v="1"/>
    <n v="1.4036033074964001"/>
    <m/>
  </r>
  <r>
    <x v="6"/>
    <x v="9"/>
    <x v="2"/>
    <x v="5"/>
    <x v="7"/>
    <x v="0"/>
    <n v="122.8772982040542"/>
    <n v="24.610399999999998"/>
  </r>
  <r>
    <x v="6"/>
    <x v="9"/>
    <x v="2"/>
    <x v="5"/>
    <x v="7"/>
    <x v="1"/>
    <n v="1188.2289753941061"/>
    <n v="468.25799999999998"/>
  </r>
  <r>
    <x v="6"/>
    <x v="9"/>
    <x v="2"/>
    <x v="5"/>
    <x v="1"/>
    <x v="0"/>
    <n v="3.3794730399224999"/>
    <m/>
  </r>
  <r>
    <x v="6"/>
    <x v="9"/>
    <x v="2"/>
    <x v="5"/>
    <x v="1"/>
    <x v="1"/>
    <n v="3.3382298106291999"/>
    <m/>
  </r>
  <r>
    <x v="6"/>
    <x v="9"/>
    <x v="2"/>
    <x v="5"/>
    <x v="9"/>
    <x v="0"/>
    <n v="1.0177534237524"/>
    <m/>
  </r>
  <r>
    <x v="6"/>
    <x v="9"/>
    <x v="2"/>
    <x v="5"/>
    <x v="9"/>
    <x v="1"/>
    <n v="0.89237605303769996"/>
    <m/>
  </r>
  <r>
    <x v="6"/>
    <x v="9"/>
    <x v="2"/>
    <x v="6"/>
    <x v="0"/>
    <x v="0"/>
    <n v="30.2457141978016"/>
    <n v="6.0125000000000002"/>
  </r>
  <r>
    <x v="6"/>
    <x v="9"/>
    <x v="2"/>
    <x v="6"/>
    <x v="0"/>
    <x v="1"/>
    <n v="452.91498599448499"/>
    <n v="98.537400000000005"/>
  </r>
  <r>
    <x v="6"/>
    <x v="9"/>
    <x v="2"/>
    <x v="6"/>
    <x v="1"/>
    <x v="0"/>
    <n v="507.13477171636498"/>
    <n v="149.3022"/>
  </r>
  <r>
    <x v="6"/>
    <x v="9"/>
    <x v="2"/>
    <x v="6"/>
    <x v="1"/>
    <x v="1"/>
    <n v="974.65449456754504"/>
    <n v="235.80539999999999"/>
  </r>
  <r>
    <x v="6"/>
    <x v="9"/>
    <x v="2"/>
    <x v="7"/>
    <x v="2"/>
    <x v="1"/>
    <n v="6154.01235957269"/>
    <n v="3044.5844999999999"/>
  </r>
  <r>
    <x v="6"/>
    <x v="10"/>
    <x v="0"/>
    <x v="0"/>
    <x v="0"/>
    <x v="0"/>
    <n v="1025.93962126528"/>
    <n v="219.21799999999999"/>
  </r>
  <r>
    <x v="6"/>
    <x v="10"/>
    <x v="0"/>
    <x v="0"/>
    <x v="0"/>
    <x v="1"/>
    <n v="4476.617568789392"/>
    <n v="828.53549999999996"/>
  </r>
  <r>
    <x v="6"/>
    <x v="10"/>
    <x v="0"/>
    <x v="0"/>
    <x v="1"/>
    <x v="0"/>
    <n v="50838.69724417293"/>
    <n v="8212.2423999999992"/>
  </r>
  <r>
    <x v="6"/>
    <x v="10"/>
    <x v="0"/>
    <x v="0"/>
    <x v="1"/>
    <x v="1"/>
    <n v="18201.642059574009"/>
    <n v="2273.8308000000002"/>
  </r>
  <r>
    <x v="6"/>
    <x v="10"/>
    <x v="0"/>
    <x v="1"/>
    <x v="0"/>
    <x v="0"/>
    <n v="786.89915396790946"/>
    <n v="166.04320000000001"/>
  </r>
  <r>
    <x v="6"/>
    <x v="10"/>
    <x v="0"/>
    <x v="1"/>
    <x v="0"/>
    <x v="1"/>
    <n v="1994.3567581005332"/>
    <n v="308.31470000000002"/>
  </r>
  <r>
    <x v="6"/>
    <x v="10"/>
    <x v="0"/>
    <x v="1"/>
    <x v="1"/>
    <x v="0"/>
    <n v="24810.903035514708"/>
    <n v="5802.8959999999997"/>
  </r>
  <r>
    <x v="6"/>
    <x v="10"/>
    <x v="0"/>
    <x v="1"/>
    <x v="1"/>
    <x v="1"/>
    <n v="33072.20949960198"/>
    <n v="3594.4005000000002"/>
  </r>
  <r>
    <x v="6"/>
    <x v="10"/>
    <x v="1"/>
    <x v="2"/>
    <x v="2"/>
    <x v="0"/>
    <n v="19193.263326554446"/>
    <n v="5192.2412000000004"/>
  </r>
  <r>
    <x v="6"/>
    <x v="10"/>
    <x v="1"/>
    <x v="2"/>
    <x v="2"/>
    <x v="1"/>
    <n v="151998.97296223152"/>
    <n v="45988.108800000002"/>
  </r>
  <r>
    <x v="6"/>
    <x v="10"/>
    <x v="1"/>
    <x v="2"/>
    <x v="3"/>
    <x v="0"/>
    <n v="196.602161452693"/>
    <m/>
  </r>
  <r>
    <x v="6"/>
    <x v="10"/>
    <x v="1"/>
    <x v="2"/>
    <x v="3"/>
    <x v="1"/>
    <n v="215.67112919433589"/>
    <m/>
  </r>
  <r>
    <x v="6"/>
    <x v="10"/>
    <x v="1"/>
    <x v="2"/>
    <x v="4"/>
    <x v="0"/>
    <n v="1.5504815772986"/>
    <m/>
  </r>
  <r>
    <x v="6"/>
    <x v="10"/>
    <x v="1"/>
    <x v="2"/>
    <x v="4"/>
    <x v="1"/>
    <n v="24.737220588435498"/>
    <m/>
  </r>
  <r>
    <x v="6"/>
    <x v="10"/>
    <x v="1"/>
    <x v="2"/>
    <x v="5"/>
    <x v="0"/>
    <n v="163.00212758417479"/>
    <m/>
  </r>
  <r>
    <x v="6"/>
    <x v="10"/>
    <x v="1"/>
    <x v="2"/>
    <x v="5"/>
    <x v="1"/>
    <n v="433.91001579029421"/>
    <m/>
  </r>
  <r>
    <x v="6"/>
    <x v="10"/>
    <x v="1"/>
    <x v="2"/>
    <x v="6"/>
    <x v="0"/>
    <n v="3132.5136391090741"/>
    <m/>
  </r>
  <r>
    <x v="6"/>
    <x v="10"/>
    <x v="1"/>
    <x v="2"/>
    <x v="6"/>
    <x v="1"/>
    <n v="7819.6903297584977"/>
    <m/>
  </r>
  <r>
    <x v="6"/>
    <x v="10"/>
    <x v="1"/>
    <x v="2"/>
    <x v="1"/>
    <x v="0"/>
    <n v="642.64811792323871"/>
    <m/>
  </r>
  <r>
    <x v="6"/>
    <x v="10"/>
    <x v="1"/>
    <x v="2"/>
    <x v="1"/>
    <x v="1"/>
    <n v="1526.7111497580279"/>
    <m/>
  </r>
  <r>
    <x v="6"/>
    <x v="10"/>
    <x v="1"/>
    <x v="3"/>
    <x v="2"/>
    <x v="0"/>
    <n v="31628.719294995826"/>
    <n v="9078.2330999999995"/>
  </r>
  <r>
    <x v="6"/>
    <x v="10"/>
    <x v="1"/>
    <x v="3"/>
    <x v="2"/>
    <x v="1"/>
    <n v="145253.44547221949"/>
    <n v="44679.148399999998"/>
  </r>
  <r>
    <x v="6"/>
    <x v="10"/>
    <x v="1"/>
    <x v="3"/>
    <x v="3"/>
    <x v="0"/>
    <n v="637.01298050355695"/>
    <m/>
  </r>
  <r>
    <x v="6"/>
    <x v="10"/>
    <x v="1"/>
    <x v="3"/>
    <x v="3"/>
    <x v="1"/>
    <n v="1573.5255397033866"/>
    <m/>
  </r>
  <r>
    <x v="6"/>
    <x v="10"/>
    <x v="1"/>
    <x v="3"/>
    <x v="7"/>
    <x v="0"/>
    <n v="30552.644435032456"/>
    <n v="8958.9146000000001"/>
  </r>
  <r>
    <x v="6"/>
    <x v="10"/>
    <x v="1"/>
    <x v="3"/>
    <x v="7"/>
    <x v="1"/>
    <n v="97735.904100968517"/>
    <n v="31710.862099999998"/>
  </r>
  <r>
    <x v="6"/>
    <x v="10"/>
    <x v="1"/>
    <x v="3"/>
    <x v="5"/>
    <x v="0"/>
    <n v="544.52934216142205"/>
    <m/>
  </r>
  <r>
    <x v="6"/>
    <x v="10"/>
    <x v="1"/>
    <x v="3"/>
    <x v="5"/>
    <x v="1"/>
    <n v="1396.1666374408769"/>
    <m/>
  </r>
  <r>
    <x v="6"/>
    <x v="10"/>
    <x v="1"/>
    <x v="3"/>
    <x v="6"/>
    <x v="0"/>
    <n v="3.0558628153600002E-2"/>
    <m/>
  </r>
  <r>
    <x v="6"/>
    <x v="10"/>
    <x v="1"/>
    <x v="3"/>
    <x v="6"/>
    <x v="1"/>
    <n v="7.8587125664400001E-2"/>
    <m/>
  </r>
  <r>
    <x v="6"/>
    <x v="10"/>
    <x v="1"/>
    <x v="3"/>
    <x v="1"/>
    <x v="0"/>
    <n v="462.55137502125581"/>
    <m/>
  </r>
  <r>
    <x v="6"/>
    <x v="10"/>
    <x v="1"/>
    <x v="3"/>
    <x v="1"/>
    <x v="1"/>
    <n v="929.07722072136914"/>
    <m/>
  </r>
  <r>
    <x v="6"/>
    <x v="10"/>
    <x v="1"/>
    <x v="4"/>
    <x v="2"/>
    <x v="0"/>
    <n v="2.7542700000000001E-8"/>
    <m/>
  </r>
  <r>
    <x v="6"/>
    <x v="10"/>
    <x v="1"/>
    <x v="4"/>
    <x v="2"/>
    <x v="1"/>
    <n v="4958.321596121029"/>
    <n v="3741.9171000000001"/>
  </r>
  <r>
    <x v="6"/>
    <x v="10"/>
    <x v="1"/>
    <x v="4"/>
    <x v="5"/>
    <x v="1"/>
    <n v="2.4700752659999998E-4"/>
    <m/>
  </r>
  <r>
    <x v="6"/>
    <x v="10"/>
    <x v="1"/>
    <x v="4"/>
    <x v="6"/>
    <x v="0"/>
    <n v="1.5979335E-6"/>
    <m/>
  </r>
  <r>
    <x v="6"/>
    <x v="10"/>
    <x v="1"/>
    <x v="4"/>
    <x v="6"/>
    <x v="1"/>
    <n v="6993.5878431735682"/>
    <n v="5278.1714000000002"/>
  </r>
  <r>
    <x v="6"/>
    <x v="10"/>
    <x v="2"/>
    <x v="5"/>
    <x v="2"/>
    <x v="0"/>
    <n v="5616.1159828135287"/>
    <n v="2571.2235999999998"/>
  </r>
  <r>
    <x v="6"/>
    <x v="10"/>
    <x v="2"/>
    <x v="5"/>
    <x v="2"/>
    <x v="1"/>
    <n v="42550.473208896328"/>
    <n v="14836.8537"/>
  </r>
  <r>
    <x v="6"/>
    <x v="10"/>
    <x v="2"/>
    <x v="5"/>
    <x v="3"/>
    <x v="0"/>
    <n v="1.4678008023153"/>
    <m/>
  </r>
  <r>
    <x v="6"/>
    <x v="10"/>
    <x v="2"/>
    <x v="5"/>
    <x v="8"/>
    <x v="0"/>
    <n v="1226.0650482956135"/>
    <n v="549.59339999999997"/>
  </r>
  <r>
    <x v="6"/>
    <x v="10"/>
    <x v="2"/>
    <x v="5"/>
    <x v="8"/>
    <x v="1"/>
    <n v="739.20200580447045"/>
    <n v="312.70389999999998"/>
  </r>
  <r>
    <x v="6"/>
    <x v="10"/>
    <x v="2"/>
    <x v="5"/>
    <x v="7"/>
    <x v="0"/>
    <n v="6842.3310689800201"/>
    <n v="2977.8292999999999"/>
  </r>
  <r>
    <x v="6"/>
    <x v="10"/>
    <x v="2"/>
    <x v="5"/>
    <x v="7"/>
    <x v="1"/>
    <n v="14333.253663814772"/>
    <n v="4548.1328999999996"/>
  </r>
  <r>
    <x v="6"/>
    <x v="10"/>
    <x v="2"/>
    <x v="5"/>
    <x v="1"/>
    <x v="0"/>
    <n v="24.339842115446999"/>
    <m/>
  </r>
  <r>
    <x v="6"/>
    <x v="10"/>
    <x v="2"/>
    <x v="5"/>
    <x v="1"/>
    <x v="1"/>
    <n v="42.036461627685298"/>
    <m/>
  </r>
  <r>
    <x v="6"/>
    <x v="10"/>
    <x v="2"/>
    <x v="5"/>
    <x v="9"/>
    <x v="0"/>
    <n v="2.3978402817675999"/>
    <m/>
  </r>
  <r>
    <x v="6"/>
    <x v="10"/>
    <x v="2"/>
    <x v="5"/>
    <x v="9"/>
    <x v="1"/>
    <n v="27.357388965374"/>
    <m/>
  </r>
  <r>
    <x v="6"/>
    <x v="10"/>
    <x v="2"/>
    <x v="6"/>
    <x v="0"/>
    <x v="0"/>
    <n v="4182.400147764245"/>
    <n v="1507.5754999999999"/>
  </r>
  <r>
    <x v="6"/>
    <x v="10"/>
    <x v="2"/>
    <x v="6"/>
    <x v="0"/>
    <x v="1"/>
    <n v="13364.762958524923"/>
    <n v="2991.6228000000001"/>
  </r>
  <r>
    <x v="6"/>
    <x v="10"/>
    <x v="2"/>
    <x v="6"/>
    <x v="1"/>
    <x v="0"/>
    <n v="23594.920406801262"/>
    <n v="7970.2398999999996"/>
  </r>
  <r>
    <x v="6"/>
    <x v="10"/>
    <x v="2"/>
    <x v="6"/>
    <x v="1"/>
    <x v="1"/>
    <n v="39557.38078988358"/>
    <n v="13040.653399999999"/>
  </r>
  <r>
    <x v="6"/>
    <x v="10"/>
    <x v="2"/>
    <x v="7"/>
    <x v="2"/>
    <x v="1"/>
    <n v="4259.5741081969963"/>
    <n v="1837.6333"/>
  </r>
  <r>
    <x v="7"/>
    <x v="0"/>
    <x v="0"/>
    <x v="0"/>
    <x v="0"/>
    <x v="0"/>
    <n v="53.555809403607903"/>
    <n v="15.3454"/>
  </r>
  <r>
    <x v="7"/>
    <x v="0"/>
    <x v="0"/>
    <x v="0"/>
    <x v="0"/>
    <x v="1"/>
    <n v="231.78683454829741"/>
    <n v="41.013500000000001"/>
  </r>
  <r>
    <x v="7"/>
    <x v="0"/>
    <x v="0"/>
    <x v="0"/>
    <x v="1"/>
    <x v="0"/>
    <n v="11564.947961078493"/>
    <n v="1629.2185999999999"/>
  </r>
  <r>
    <x v="7"/>
    <x v="0"/>
    <x v="0"/>
    <x v="0"/>
    <x v="1"/>
    <x v="1"/>
    <n v="3900.7108873479829"/>
    <n v="404.0034"/>
  </r>
  <r>
    <x v="7"/>
    <x v="0"/>
    <x v="0"/>
    <x v="1"/>
    <x v="0"/>
    <x v="0"/>
    <n v="254.7330178905336"/>
    <n v="76.887699999999995"/>
  </r>
  <r>
    <x v="7"/>
    <x v="0"/>
    <x v="0"/>
    <x v="1"/>
    <x v="0"/>
    <x v="1"/>
    <n v="307.12912014282313"/>
    <n v="79.355199999999996"/>
  </r>
  <r>
    <x v="7"/>
    <x v="0"/>
    <x v="0"/>
    <x v="1"/>
    <x v="1"/>
    <x v="0"/>
    <n v="10007.51583384367"/>
    <n v="1446.2384999999999"/>
  </r>
  <r>
    <x v="7"/>
    <x v="0"/>
    <x v="0"/>
    <x v="1"/>
    <x v="1"/>
    <x v="1"/>
    <n v="8672.1498705883114"/>
    <n v="1339.6070999999999"/>
  </r>
  <r>
    <x v="7"/>
    <x v="0"/>
    <x v="1"/>
    <x v="2"/>
    <x v="2"/>
    <x v="0"/>
    <n v="2696.8090044115711"/>
    <n v="1078.4155000000001"/>
  </r>
  <r>
    <x v="7"/>
    <x v="0"/>
    <x v="1"/>
    <x v="2"/>
    <x v="2"/>
    <x v="1"/>
    <n v="22519.27197667932"/>
    <n v="9273.634"/>
  </r>
  <r>
    <x v="7"/>
    <x v="0"/>
    <x v="1"/>
    <x v="2"/>
    <x v="3"/>
    <x v="1"/>
    <n v="0.80975612803300001"/>
    <m/>
  </r>
  <r>
    <x v="7"/>
    <x v="0"/>
    <x v="1"/>
    <x v="2"/>
    <x v="4"/>
    <x v="0"/>
    <n v="2.39263927587E-2"/>
    <m/>
  </r>
  <r>
    <x v="7"/>
    <x v="0"/>
    <x v="1"/>
    <x v="2"/>
    <x v="4"/>
    <x v="1"/>
    <n v="1.1193167708223"/>
    <m/>
  </r>
  <r>
    <x v="7"/>
    <x v="0"/>
    <x v="1"/>
    <x v="2"/>
    <x v="5"/>
    <x v="0"/>
    <n v="1.8705097215727"/>
    <m/>
  </r>
  <r>
    <x v="7"/>
    <x v="0"/>
    <x v="1"/>
    <x v="2"/>
    <x v="5"/>
    <x v="1"/>
    <n v="4.5173146504973003"/>
    <m/>
  </r>
  <r>
    <x v="7"/>
    <x v="0"/>
    <x v="1"/>
    <x v="2"/>
    <x v="6"/>
    <x v="0"/>
    <n v="41.947845032315399"/>
    <m/>
  </r>
  <r>
    <x v="7"/>
    <x v="0"/>
    <x v="1"/>
    <x v="2"/>
    <x v="6"/>
    <x v="1"/>
    <n v="96.494232330028595"/>
    <m/>
  </r>
  <r>
    <x v="7"/>
    <x v="0"/>
    <x v="1"/>
    <x v="2"/>
    <x v="1"/>
    <x v="0"/>
    <n v="20.914914164867"/>
    <m/>
  </r>
  <r>
    <x v="7"/>
    <x v="0"/>
    <x v="1"/>
    <x v="2"/>
    <x v="1"/>
    <x v="1"/>
    <n v="15.9062953513056"/>
    <m/>
  </r>
  <r>
    <x v="7"/>
    <x v="0"/>
    <x v="1"/>
    <x v="3"/>
    <x v="2"/>
    <x v="0"/>
    <n v="7714.4331540676076"/>
    <n v="2887.6071999999999"/>
  </r>
  <r>
    <x v="7"/>
    <x v="0"/>
    <x v="1"/>
    <x v="3"/>
    <x v="2"/>
    <x v="1"/>
    <n v="54247.532677893767"/>
    <n v="21177.107599999999"/>
  </r>
  <r>
    <x v="7"/>
    <x v="0"/>
    <x v="1"/>
    <x v="3"/>
    <x v="3"/>
    <x v="0"/>
    <n v="1.6786213202710001"/>
    <m/>
  </r>
  <r>
    <x v="7"/>
    <x v="0"/>
    <x v="1"/>
    <x v="3"/>
    <x v="3"/>
    <x v="1"/>
    <n v="4.5146823236843003"/>
    <m/>
  </r>
  <r>
    <x v="7"/>
    <x v="0"/>
    <x v="1"/>
    <x v="3"/>
    <x v="7"/>
    <x v="0"/>
    <n v="1757.5486434131326"/>
    <n v="752.74639999999999"/>
  </r>
  <r>
    <x v="7"/>
    <x v="0"/>
    <x v="1"/>
    <x v="3"/>
    <x v="7"/>
    <x v="1"/>
    <n v="12577.401605279842"/>
    <n v="5407.6338999999998"/>
  </r>
  <r>
    <x v="7"/>
    <x v="0"/>
    <x v="1"/>
    <x v="3"/>
    <x v="5"/>
    <x v="0"/>
    <n v="26.795976043784002"/>
    <m/>
  </r>
  <r>
    <x v="7"/>
    <x v="0"/>
    <x v="1"/>
    <x v="3"/>
    <x v="5"/>
    <x v="1"/>
    <n v="69.259173805655195"/>
    <m/>
  </r>
  <r>
    <x v="7"/>
    <x v="0"/>
    <x v="1"/>
    <x v="3"/>
    <x v="6"/>
    <x v="0"/>
    <n v="9.5012435067915"/>
    <m/>
  </r>
  <r>
    <x v="7"/>
    <x v="0"/>
    <x v="1"/>
    <x v="3"/>
    <x v="6"/>
    <x v="1"/>
    <n v="25.869664749546001"/>
    <m/>
  </r>
  <r>
    <x v="7"/>
    <x v="0"/>
    <x v="1"/>
    <x v="3"/>
    <x v="1"/>
    <x v="0"/>
    <n v="37.100087785429601"/>
    <m/>
  </r>
  <r>
    <x v="7"/>
    <x v="0"/>
    <x v="1"/>
    <x v="3"/>
    <x v="1"/>
    <x v="1"/>
    <n v="62.364461164633298"/>
    <m/>
  </r>
  <r>
    <x v="7"/>
    <x v="0"/>
    <x v="1"/>
    <x v="4"/>
    <x v="2"/>
    <x v="1"/>
    <n v="7849.48079386267"/>
    <n v="9605.9099000000006"/>
  </r>
  <r>
    <x v="7"/>
    <x v="0"/>
    <x v="1"/>
    <x v="4"/>
    <x v="6"/>
    <x v="1"/>
    <n v="1093.9272679520043"/>
    <n v="1891.9168999999999"/>
  </r>
  <r>
    <x v="7"/>
    <x v="0"/>
    <x v="1"/>
    <x v="4"/>
    <x v="1"/>
    <x v="1"/>
    <n v="-8.2381751000000001E-6"/>
    <m/>
  </r>
  <r>
    <x v="7"/>
    <x v="0"/>
    <x v="2"/>
    <x v="5"/>
    <x v="2"/>
    <x v="0"/>
    <n v="2493.6908534094782"/>
    <n v="540.95050000000003"/>
  </r>
  <r>
    <x v="7"/>
    <x v="0"/>
    <x v="2"/>
    <x v="5"/>
    <x v="2"/>
    <x v="1"/>
    <n v="13651.567928462489"/>
    <n v="2452.0079999999998"/>
  </r>
  <r>
    <x v="7"/>
    <x v="0"/>
    <x v="2"/>
    <x v="5"/>
    <x v="3"/>
    <x v="0"/>
    <n v="0.25953571876129999"/>
    <m/>
  </r>
  <r>
    <x v="7"/>
    <x v="0"/>
    <x v="2"/>
    <x v="5"/>
    <x v="8"/>
    <x v="0"/>
    <n v="15.285742330794299"/>
    <n v="5.4882999999999997"/>
  </r>
  <r>
    <x v="7"/>
    <x v="0"/>
    <x v="2"/>
    <x v="5"/>
    <x v="8"/>
    <x v="1"/>
    <n v="28.6114355080039"/>
    <n v="13.1228"/>
  </r>
  <r>
    <x v="7"/>
    <x v="0"/>
    <x v="2"/>
    <x v="5"/>
    <x v="7"/>
    <x v="0"/>
    <n v="235.27887600585441"/>
    <n v="58.938299999999998"/>
  </r>
  <r>
    <x v="7"/>
    <x v="0"/>
    <x v="2"/>
    <x v="5"/>
    <x v="7"/>
    <x v="1"/>
    <n v="1423.644861766255"/>
    <n v="261.92430000000002"/>
  </r>
  <r>
    <x v="7"/>
    <x v="0"/>
    <x v="2"/>
    <x v="5"/>
    <x v="1"/>
    <x v="0"/>
    <n v="5.2621925831654996"/>
    <m/>
  </r>
  <r>
    <x v="7"/>
    <x v="0"/>
    <x v="2"/>
    <x v="5"/>
    <x v="1"/>
    <x v="1"/>
    <n v="19.040378349634299"/>
    <m/>
  </r>
  <r>
    <x v="7"/>
    <x v="0"/>
    <x v="2"/>
    <x v="5"/>
    <x v="9"/>
    <x v="0"/>
    <n v="0.28060384175120001"/>
    <m/>
  </r>
  <r>
    <x v="7"/>
    <x v="0"/>
    <x v="2"/>
    <x v="5"/>
    <x v="9"/>
    <x v="1"/>
    <n v="1.5997250951173001"/>
    <m/>
  </r>
  <r>
    <x v="7"/>
    <x v="0"/>
    <x v="2"/>
    <x v="6"/>
    <x v="0"/>
    <x v="0"/>
    <n v="370.43331570542449"/>
    <n v="93.118600000000001"/>
  </r>
  <r>
    <x v="7"/>
    <x v="0"/>
    <x v="2"/>
    <x v="6"/>
    <x v="0"/>
    <x v="1"/>
    <n v="1599.584141368018"/>
    <n v="432.21769999999998"/>
  </r>
  <r>
    <x v="7"/>
    <x v="0"/>
    <x v="2"/>
    <x v="6"/>
    <x v="1"/>
    <x v="0"/>
    <n v="4229.0909688944748"/>
    <n v="930.42819999999995"/>
  </r>
  <r>
    <x v="7"/>
    <x v="0"/>
    <x v="2"/>
    <x v="6"/>
    <x v="1"/>
    <x v="1"/>
    <n v="3899.4503579055681"/>
    <n v="911.47349999999994"/>
  </r>
  <r>
    <x v="7"/>
    <x v="0"/>
    <x v="2"/>
    <x v="7"/>
    <x v="2"/>
    <x v="1"/>
    <n v="11184.189409894105"/>
    <n v="1620.3729000000001"/>
  </r>
  <r>
    <x v="7"/>
    <x v="1"/>
    <x v="0"/>
    <x v="0"/>
    <x v="0"/>
    <x v="0"/>
    <n v="230.42173860702161"/>
    <n v="61.555300000000003"/>
  </r>
  <r>
    <x v="7"/>
    <x v="1"/>
    <x v="0"/>
    <x v="0"/>
    <x v="0"/>
    <x v="1"/>
    <n v="151.43977322869429"/>
    <n v="34.133600000000001"/>
  </r>
  <r>
    <x v="7"/>
    <x v="1"/>
    <x v="0"/>
    <x v="0"/>
    <x v="1"/>
    <x v="0"/>
    <n v="23991.150777334889"/>
    <n v="5396.5387000000001"/>
  </r>
  <r>
    <x v="7"/>
    <x v="1"/>
    <x v="0"/>
    <x v="0"/>
    <x v="1"/>
    <x v="1"/>
    <n v="14330.547077987319"/>
    <n v="2676.8145"/>
  </r>
  <r>
    <x v="7"/>
    <x v="1"/>
    <x v="0"/>
    <x v="1"/>
    <x v="0"/>
    <x v="0"/>
    <n v="395.91909427668298"/>
    <n v="85.295400000000001"/>
  </r>
  <r>
    <x v="7"/>
    <x v="1"/>
    <x v="0"/>
    <x v="1"/>
    <x v="0"/>
    <x v="1"/>
    <n v="181.8455499893042"/>
    <n v="37.726799999999997"/>
  </r>
  <r>
    <x v="7"/>
    <x v="1"/>
    <x v="0"/>
    <x v="1"/>
    <x v="1"/>
    <x v="0"/>
    <n v="20432.54725047612"/>
    <n v="4041.9072999999999"/>
  </r>
  <r>
    <x v="7"/>
    <x v="1"/>
    <x v="0"/>
    <x v="1"/>
    <x v="1"/>
    <x v="1"/>
    <n v="27630.733050414179"/>
    <n v="5805.4259000000002"/>
  </r>
  <r>
    <x v="7"/>
    <x v="1"/>
    <x v="1"/>
    <x v="2"/>
    <x v="2"/>
    <x v="0"/>
    <n v="67451.990208369913"/>
    <n v="28118.7111"/>
  </r>
  <r>
    <x v="7"/>
    <x v="1"/>
    <x v="1"/>
    <x v="2"/>
    <x v="2"/>
    <x v="1"/>
    <n v="553363.3637053197"/>
    <n v="218631.23689999999"/>
  </r>
  <r>
    <x v="7"/>
    <x v="1"/>
    <x v="1"/>
    <x v="2"/>
    <x v="3"/>
    <x v="0"/>
    <n v="26.192635852250199"/>
    <m/>
  </r>
  <r>
    <x v="7"/>
    <x v="1"/>
    <x v="1"/>
    <x v="2"/>
    <x v="3"/>
    <x v="1"/>
    <n v="35.9424572316995"/>
    <m/>
  </r>
  <r>
    <x v="7"/>
    <x v="1"/>
    <x v="1"/>
    <x v="2"/>
    <x v="5"/>
    <x v="0"/>
    <n v="50.458816523638603"/>
    <m/>
  </r>
  <r>
    <x v="7"/>
    <x v="1"/>
    <x v="1"/>
    <x v="2"/>
    <x v="5"/>
    <x v="1"/>
    <n v="268.85814828331132"/>
    <m/>
  </r>
  <r>
    <x v="7"/>
    <x v="1"/>
    <x v="1"/>
    <x v="2"/>
    <x v="6"/>
    <x v="0"/>
    <n v="1149.819219770761"/>
    <m/>
  </r>
  <r>
    <x v="7"/>
    <x v="1"/>
    <x v="1"/>
    <x v="2"/>
    <x v="6"/>
    <x v="1"/>
    <n v="7318.4525181391946"/>
    <m/>
  </r>
  <r>
    <x v="7"/>
    <x v="1"/>
    <x v="1"/>
    <x v="2"/>
    <x v="1"/>
    <x v="0"/>
    <n v="60.418940408835503"/>
    <m/>
  </r>
  <r>
    <x v="7"/>
    <x v="1"/>
    <x v="1"/>
    <x v="2"/>
    <x v="1"/>
    <x v="1"/>
    <n v="339.94608043789401"/>
    <m/>
  </r>
  <r>
    <x v="7"/>
    <x v="1"/>
    <x v="1"/>
    <x v="3"/>
    <x v="2"/>
    <x v="0"/>
    <n v="21042.644672467559"/>
    <n v="7341.4494999999997"/>
  </r>
  <r>
    <x v="7"/>
    <x v="1"/>
    <x v="1"/>
    <x v="3"/>
    <x v="2"/>
    <x v="1"/>
    <n v="159749.32619682676"/>
    <n v="56725.111100000002"/>
  </r>
  <r>
    <x v="7"/>
    <x v="1"/>
    <x v="1"/>
    <x v="3"/>
    <x v="3"/>
    <x v="0"/>
    <n v="157.32218943809431"/>
    <m/>
  </r>
  <r>
    <x v="7"/>
    <x v="1"/>
    <x v="1"/>
    <x v="3"/>
    <x v="3"/>
    <x v="1"/>
    <n v="808.90203815875293"/>
    <m/>
  </r>
  <r>
    <x v="7"/>
    <x v="1"/>
    <x v="1"/>
    <x v="3"/>
    <x v="7"/>
    <x v="0"/>
    <n v="9522.0535421655677"/>
    <n v="3528.8654999999999"/>
  </r>
  <r>
    <x v="7"/>
    <x v="1"/>
    <x v="1"/>
    <x v="3"/>
    <x v="7"/>
    <x v="1"/>
    <n v="36544.119380993921"/>
    <n v="14009.248900000001"/>
  </r>
  <r>
    <x v="7"/>
    <x v="1"/>
    <x v="1"/>
    <x v="3"/>
    <x v="5"/>
    <x v="0"/>
    <n v="50.0995778970983"/>
    <m/>
  </r>
  <r>
    <x v="7"/>
    <x v="1"/>
    <x v="1"/>
    <x v="3"/>
    <x v="5"/>
    <x v="1"/>
    <n v="250.2374966578582"/>
    <m/>
  </r>
  <r>
    <x v="7"/>
    <x v="1"/>
    <x v="1"/>
    <x v="3"/>
    <x v="6"/>
    <x v="0"/>
    <n v="42.374606971678098"/>
    <m/>
  </r>
  <r>
    <x v="7"/>
    <x v="1"/>
    <x v="1"/>
    <x v="3"/>
    <x v="6"/>
    <x v="1"/>
    <n v="206.8881435343591"/>
    <m/>
  </r>
  <r>
    <x v="7"/>
    <x v="1"/>
    <x v="1"/>
    <x v="3"/>
    <x v="1"/>
    <x v="0"/>
    <n v="108.610394947777"/>
    <m/>
  </r>
  <r>
    <x v="7"/>
    <x v="1"/>
    <x v="1"/>
    <x v="3"/>
    <x v="1"/>
    <x v="1"/>
    <n v="524.46298302459911"/>
    <m/>
  </r>
  <r>
    <x v="7"/>
    <x v="1"/>
    <x v="1"/>
    <x v="4"/>
    <x v="2"/>
    <x v="0"/>
    <n v="123.05148584402281"/>
    <m/>
  </r>
  <r>
    <x v="7"/>
    <x v="1"/>
    <x v="1"/>
    <x v="4"/>
    <x v="2"/>
    <x v="1"/>
    <n v="336014.90309842647"/>
    <n v="168837.7738"/>
  </r>
  <r>
    <x v="7"/>
    <x v="1"/>
    <x v="1"/>
    <x v="4"/>
    <x v="4"/>
    <x v="1"/>
    <n v="3.2361594337112001"/>
    <m/>
  </r>
  <r>
    <x v="7"/>
    <x v="1"/>
    <x v="1"/>
    <x v="4"/>
    <x v="5"/>
    <x v="0"/>
    <n v="0.51995795581180004"/>
    <m/>
  </r>
  <r>
    <x v="7"/>
    <x v="1"/>
    <x v="1"/>
    <x v="4"/>
    <x v="5"/>
    <x v="1"/>
    <n v="62.356115993919403"/>
    <m/>
  </r>
  <r>
    <x v="7"/>
    <x v="1"/>
    <x v="1"/>
    <x v="4"/>
    <x v="6"/>
    <x v="1"/>
    <n v="160655.78733967422"/>
    <n v="43456.680099999998"/>
  </r>
  <r>
    <x v="7"/>
    <x v="1"/>
    <x v="2"/>
    <x v="5"/>
    <x v="2"/>
    <x v="0"/>
    <n v="1871.8407613277341"/>
    <n v="746.42840000000001"/>
  </r>
  <r>
    <x v="7"/>
    <x v="1"/>
    <x v="2"/>
    <x v="5"/>
    <x v="2"/>
    <x v="1"/>
    <n v="22976.63170800839"/>
    <n v="6148.8671000000004"/>
  </r>
  <r>
    <x v="7"/>
    <x v="1"/>
    <x v="2"/>
    <x v="5"/>
    <x v="8"/>
    <x v="0"/>
    <n v="187.83169850101351"/>
    <n v="104.956"/>
  </r>
  <r>
    <x v="7"/>
    <x v="1"/>
    <x v="2"/>
    <x v="5"/>
    <x v="8"/>
    <x v="1"/>
    <n v="1.7989016349705"/>
    <m/>
  </r>
  <r>
    <x v="7"/>
    <x v="1"/>
    <x v="2"/>
    <x v="5"/>
    <x v="7"/>
    <x v="0"/>
    <n v="984.44315983075137"/>
    <n v="420.71780000000001"/>
  </r>
  <r>
    <x v="7"/>
    <x v="1"/>
    <x v="2"/>
    <x v="5"/>
    <x v="7"/>
    <x v="1"/>
    <n v="3719.7242024197189"/>
    <n v="1126.5615"/>
  </r>
  <r>
    <x v="7"/>
    <x v="1"/>
    <x v="2"/>
    <x v="5"/>
    <x v="1"/>
    <x v="0"/>
    <n v="0.44143586046599997"/>
    <m/>
  </r>
  <r>
    <x v="7"/>
    <x v="1"/>
    <x v="2"/>
    <x v="5"/>
    <x v="1"/>
    <x v="1"/>
    <n v="6.9759877778219996"/>
    <m/>
  </r>
  <r>
    <x v="7"/>
    <x v="1"/>
    <x v="2"/>
    <x v="5"/>
    <x v="9"/>
    <x v="0"/>
    <n v="7.9032672553000002E-3"/>
    <m/>
  </r>
  <r>
    <x v="7"/>
    <x v="1"/>
    <x v="2"/>
    <x v="5"/>
    <x v="9"/>
    <x v="1"/>
    <n v="0.771001480603"/>
    <m/>
  </r>
  <r>
    <x v="7"/>
    <x v="1"/>
    <x v="2"/>
    <x v="6"/>
    <x v="0"/>
    <x v="0"/>
    <n v="1436.1889645096239"/>
    <n v="447.69040000000001"/>
  </r>
  <r>
    <x v="7"/>
    <x v="1"/>
    <x v="2"/>
    <x v="6"/>
    <x v="0"/>
    <x v="1"/>
    <n v="2002.7559716470489"/>
    <n v="522.98069999999996"/>
  </r>
  <r>
    <x v="7"/>
    <x v="1"/>
    <x v="2"/>
    <x v="6"/>
    <x v="1"/>
    <x v="0"/>
    <n v="5793.512286946966"/>
    <n v="1639.9888000000001"/>
  </r>
  <r>
    <x v="7"/>
    <x v="1"/>
    <x v="2"/>
    <x v="6"/>
    <x v="1"/>
    <x v="1"/>
    <n v="11965.260102762961"/>
    <n v="3110.9203000000002"/>
  </r>
  <r>
    <x v="7"/>
    <x v="1"/>
    <x v="2"/>
    <x v="7"/>
    <x v="2"/>
    <x v="1"/>
    <n v="7893.7939422744139"/>
    <n v="2792.0632999999998"/>
  </r>
  <r>
    <x v="7"/>
    <x v="2"/>
    <x v="0"/>
    <x v="0"/>
    <x v="0"/>
    <x v="0"/>
    <n v="62.5760738456285"/>
    <n v="15.959899999999999"/>
  </r>
  <r>
    <x v="7"/>
    <x v="2"/>
    <x v="0"/>
    <x v="0"/>
    <x v="0"/>
    <x v="1"/>
    <n v="174.46626901686199"/>
    <n v="39.647399999999998"/>
  </r>
  <r>
    <x v="7"/>
    <x v="2"/>
    <x v="0"/>
    <x v="0"/>
    <x v="1"/>
    <x v="0"/>
    <n v="11306.79210315297"/>
    <n v="1664.03"/>
  </r>
  <r>
    <x v="7"/>
    <x v="2"/>
    <x v="0"/>
    <x v="0"/>
    <x v="1"/>
    <x v="1"/>
    <n v="3135.4163949920899"/>
    <n v="511.01069999999999"/>
  </r>
  <r>
    <x v="7"/>
    <x v="2"/>
    <x v="0"/>
    <x v="1"/>
    <x v="0"/>
    <x v="0"/>
    <n v="82.338692174802603"/>
    <n v="24.1341"/>
  </r>
  <r>
    <x v="7"/>
    <x v="2"/>
    <x v="0"/>
    <x v="1"/>
    <x v="0"/>
    <x v="1"/>
    <n v="180.8597739478241"/>
    <n v="58.284799999999997"/>
  </r>
  <r>
    <x v="7"/>
    <x v="2"/>
    <x v="0"/>
    <x v="1"/>
    <x v="1"/>
    <x v="0"/>
    <n v="7470.7863970505596"/>
    <n v="1699.7325000000001"/>
  </r>
  <r>
    <x v="7"/>
    <x v="2"/>
    <x v="0"/>
    <x v="1"/>
    <x v="1"/>
    <x v="1"/>
    <n v="8969.6907938593704"/>
    <n v="2370.2489"/>
  </r>
  <r>
    <x v="7"/>
    <x v="2"/>
    <x v="1"/>
    <x v="2"/>
    <x v="2"/>
    <x v="0"/>
    <n v="2499.7571041218198"/>
    <n v="1347.4809"/>
  </r>
  <r>
    <x v="7"/>
    <x v="2"/>
    <x v="1"/>
    <x v="2"/>
    <x v="2"/>
    <x v="1"/>
    <n v="43331.831483625901"/>
    <n v="23216.2248"/>
  </r>
  <r>
    <x v="7"/>
    <x v="2"/>
    <x v="1"/>
    <x v="2"/>
    <x v="4"/>
    <x v="0"/>
    <n v="3.2954870857000002E-3"/>
    <m/>
  </r>
  <r>
    <x v="7"/>
    <x v="2"/>
    <x v="1"/>
    <x v="2"/>
    <x v="4"/>
    <x v="1"/>
    <n v="1.08117561256E-2"/>
    <m/>
  </r>
  <r>
    <x v="7"/>
    <x v="2"/>
    <x v="1"/>
    <x v="2"/>
    <x v="5"/>
    <x v="0"/>
    <n v="0.63915678044589996"/>
    <m/>
  </r>
  <r>
    <x v="7"/>
    <x v="2"/>
    <x v="1"/>
    <x v="2"/>
    <x v="5"/>
    <x v="1"/>
    <n v="1.8393400877507"/>
    <m/>
  </r>
  <r>
    <x v="7"/>
    <x v="2"/>
    <x v="1"/>
    <x v="2"/>
    <x v="6"/>
    <x v="0"/>
    <n v="13.7528182571508"/>
    <m/>
  </r>
  <r>
    <x v="7"/>
    <x v="2"/>
    <x v="1"/>
    <x v="2"/>
    <x v="6"/>
    <x v="1"/>
    <n v="49.116840905096801"/>
    <m/>
  </r>
  <r>
    <x v="7"/>
    <x v="2"/>
    <x v="1"/>
    <x v="2"/>
    <x v="1"/>
    <x v="0"/>
    <n v="2.8062711157379998"/>
    <m/>
  </r>
  <r>
    <x v="7"/>
    <x v="2"/>
    <x v="1"/>
    <x v="2"/>
    <x v="1"/>
    <x v="1"/>
    <n v="6.2040532549833003"/>
    <m/>
  </r>
  <r>
    <x v="7"/>
    <x v="2"/>
    <x v="1"/>
    <x v="3"/>
    <x v="2"/>
    <x v="0"/>
    <n v="2720.5566491894401"/>
    <n v="823.47320000000002"/>
  </r>
  <r>
    <x v="7"/>
    <x v="2"/>
    <x v="1"/>
    <x v="3"/>
    <x v="2"/>
    <x v="1"/>
    <n v="36243.460180075199"/>
    <n v="11139.752500000001"/>
  </r>
  <r>
    <x v="7"/>
    <x v="2"/>
    <x v="1"/>
    <x v="3"/>
    <x v="3"/>
    <x v="0"/>
    <n v="5.1427295703461997"/>
    <m/>
  </r>
  <r>
    <x v="7"/>
    <x v="2"/>
    <x v="1"/>
    <x v="3"/>
    <x v="3"/>
    <x v="1"/>
    <n v="13.6126624406508"/>
    <m/>
  </r>
  <r>
    <x v="7"/>
    <x v="2"/>
    <x v="1"/>
    <x v="3"/>
    <x v="7"/>
    <x v="0"/>
    <n v="2107.7078924588845"/>
    <n v="693.05200000000002"/>
  </r>
  <r>
    <x v="7"/>
    <x v="2"/>
    <x v="1"/>
    <x v="3"/>
    <x v="7"/>
    <x v="1"/>
    <n v="15394.906171522032"/>
    <n v="5339.1713"/>
  </r>
  <r>
    <x v="7"/>
    <x v="2"/>
    <x v="1"/>
    <x v="3"/>
    <x v="5"/>
    <x v="0"/>
    <n v="105.6753171461619"/>
    <m/>
  </r>
  <r>
    <x v="7"/>
    <x v="2"/>
    <x v="1"/>
    <x v="3"/>
    <x v="5"/>
    <x v="1"/>
    <n v="257.67999763451201"/>
    <m/>
  </r>
  <r>
    <x v="7"/>
    <x v="2"/>
    <x v="1"/>
    <x v="3"/>
    <x v="6"/>
    <x v="0"/>
    <n v="34.597438762584503"/>
    <m/>
  </r>
  <r>
    <x v="7"/>
    <x v="2"/>
    <x v="1"/>
    <x v="3"/>
    <x v="6"/>
    <x v="1"/>
    <n v="91.291812011072494"/>
    <m/>
  </r>
  <r>
    <x v="7"/>
    <x v="2"/>
    <x v="1"/>
    <x v="3"/>
    <x v="1"/>
    <x v="0"/>
    <n v="50.450875828707296"/>
    <m/>
  </r>
  <r>
    <x v="7"/>
    <x v="2"/>
    <x v="1"/>
    <x v="3"/>
    <x v="1"/>
    <x v="1"/>
    <n v="187.05073014061429"/>
    <m/>
  </r>
  <r>
    <x v="7"/>
    <x v="2"/>
    <x v="1"/>
    <x v="4"/>
    <x v="2"/>
    <x v="1"/>
    <n v="20380.527875916188"/>
    <n v="13933.754800000001"/>
  </r>
  <r>
    <x v="7"/>
    <x v="2"/>
    <x v="1"/>
    <x v="4"/>
    <x v="5"/>
    <x v="0"/>
    <n v="7.333711209E-4"/>
    <m/>
  </r>
  <r>
    <x v="7"/>
    <x v="2"/>
    <x v="1"/>
    <x v="4"/>
    <x v="5"/>
    <x v="1"/>
    <n v="7.333711209E-4"/>
    <m/>
  </r>
  <r>
    <x v="7"/>
    <x v="2"/>
    <x v="1"/>
    <x v="4"/>
    <x v="6"/>
    <x v="1"/>
    <n v="3420.61272997077"/>
    <n v="1900.0573999999999"/>
  </r>
  <r>
    <x v="7"/>
    <x v="2"/>
    <x v="2"/>
    <x v="5"/>
    <x v="2"/>
    <x v="0"/>
    <n v="1048.074871380104"/>
    <n v="303.76310000000001"/>
  </r>
  <r>
    <x v="7"/>
    <x v="2"/>
    <x v="2"/>
    <x v="5"/>
    <x v="2"/>
    <x v="1"/>
    <n v="3325.9837815424398"/>
    <n v="1416.5748000000001"/>
  </r>
  <r>
    <x v="7"/>
    <x v="2"/>
    <x v="2"/>
    <x v="5"/>
    <x v="3"/>
    <x v="0"/>
    <n v="0.16540322487959999"/>
    <m/>
  </r>
  <r>
    <x v="7"/>
    <x v="2"/>
    <x v="2"/>
    <x v="5"/>
    <x v="8"/>
    <x v="0"/>
    <n v="2.2227992604200001E-2"/>
    <m/>
  </r>
  <r>
    <x v="7"/>
    <x v="2"/>
    <x v="2"/>
    <x v="5"/>
    <x v="8"/>
    <x v="1"/>
    <n v="3.2480915306999998E-3"/>
    <m/>
  </r>
  <r>
    <x v="7"/>
    <x v="2"/>
    <x v="2"/>
    <x v="5"/>
    <x v="7"/>
    <x v="0"/>
    <n v="352.85362799331779"/>
    <n v="90.734399999999994"/>
  </r>
  <r>
    <x v="7"/>
    <x v="2"/>
    <x v="2"/>
    <x v="5"/>
    <x v="7"/>
    <x v="1"/>
    <n v="474.04106987418868"/>
    <n v="217.30619999999999"/>
  </r>
  <r>
    <x v="7"/>
    <x v="2"/>
    <x v="2"/>
    <x v="5"/>
    <x v="1"/>
    <x v="0"/>
    <n v="0.65463298751819998"/>
    <m/>
  </r>
  <r>
    <x v="7"/>
    <x v="2"/>
    <x v="2"/>
    <x v="5"/>
    <x v="1"/>
    <x v="1"/>
    <n v="0.39798361663440002"/>
    <m/>
  </r>
  <r>
    <x v="7"/>
    <x v="2"/>
    <x v="2"/>
    <x v="5"/>
    <x v="9"/>
    <x v="0"/>
    <n v="0.55470314646539998"/>
    <m/>
  </r>
  <r>
    <x v="7"/>
    <x v="2"/>
    <x v="2"/>
    <x v="5"/>
    <x v="9"/>
    <x v="1"/>
    <n v="0.1970906089026"/>
    <m/>
  </r>
  <r>
    <x v="7"/>
    <x v="2"/>
    <x v="2"/>
    <x v="6"/>
    <x v="0"/>
    <x v="0"/>
    <n v="227.5688571774663"/>
    <n v="68.370900000000006"/>
  </r>
  <r>
    <x v="7"/>
    <x v="2"/>
    <x v="2"/>
    <x v="6"/>
    <x v="0"/>
    <x v="1"/>
    <n v="378.79608858585527"/>
    <n v="75.678399999999996"/>
  </r>
  <r>
    <x v="7"/>
    <x v="2"/>
    <x v="2"/>
    <x v="6"/>
    <x v="1"/>
    <x v="0"/>
    <n v="1968.5814352931179"/>
    <n v="474.2552"/>
  </r>
  <r>
    <x v="7"/>
    <x v="2"/>
    <x v="2"/>
    <x v="6"/>
    <x v="1"/>
    <x v="1"/>
    <n v="2057.7342256546822"/>
    <n v="612.30690000000004"/>
  </r>
  <r>
    <x v="7"/>
    <x v="2"/>
    <x v="2"/>
    <x v="7"/>
    <x v="2"/>
    <x v="1"/>
    <n v="1885.7066781346541"/>
    <n v="694.42700000000002"/>
  </r>
  <r>
    <x v="7"/>
    <x v="3"/>
    <x v="0"/>
    <x v="0"/>
    <x v="0"/>
    <x v="0"/>
    <n v="884.98583532994041"/>
    <n v="189.03049999999999"/>
  </r>
  <r>
    <x v="7"/>
    <x v="3"/>
    <x v="0"/>
    <x v="0"/>
    <x v="0"/>
    <x v="1"/>
    <n v="454.99952841416132"/>
    <n v="103.9234"/>
  </r>
  <r>
    <x v="7"/>
    <x v="3"/>
    <x v="0"/>
    <x v="0"/>
    <x v="1"/>
    <x v="0"/>
    <n v="113669.96014561583"/>
    <n v="25436.210899999998"/>
  </r>
  <r>
    <x v="7"/>
    <x v="3"/>
    <x v="0"/>
    <x v="0"/>
    <x v="1"/>
    <x v="1"/>
    <n v="43531.788797304522"/>
    <n v="9217.0092999999997"/>
  </r>
  <r>
    <x v="7"/>
    <x v="3"/>
    <x v="0"/>
    <x v="1"/>
    <x v="0"/>
    <x v="0"/>
    <n v="1192.9848716907597"/>
    <n v="357.63639999999998"/>
  </r>
  <r>
    <x v="7"/>
    <x v="3"/>
    <x v="0"/>
    <x v="1"/>
    <x v="0"/>
    <x v="1"/>
    <n v="1226.0277163380499"/>
    <n v="274.66230000000002"/>
  </r>
  <r>
    <x v="7"/>
    <x v="3"/>
    <x v="0"/>
    <x v="1"/>
    <x v="1"/>
    <x v="0"/>
    <n v="29771.709573627559"/>
    <n v="8805.0849999999991"/>
  </r>
  <r>
    <x v="7"/>
    <x v="3"/>
    <x v="0"/>
    <x v="1"/>
    <x v="1"/>
    <x v="1"/>
    <n v="30210.478213418042"/>
    <n v="6320.1460999999999"/>
  </r>
  <r>
    <x v="7"/>
    <x v="3"/>
    <x v="1"/>
    <x v="2"/>
    <x v="2"/>
    <x v="0"/>
    <n v="117957.07381389308"/>
    <n v="49245.743399999999"/>
  </r>
  <r>
    <x v="7"/>
    <x v="3"/>
    <x v="1"/>
    <x v="2"/>
    <x v="2"/>
    <x v="1"/>
    <n v="519021.39787855663"/>
    <n v="197094.0858"/>
  </r>
  <r>
    <x v="7"/>
    <x v="3"/>
    <x v="1"/>
    <x v="2"/>
    <x v="3"/>
    <x v="0"/>
    <n v="3.8292634838625998"/>
    <m/>
  </r>
  <r>
    <x v="7"/>
    <x v="3"/>
    <x v="1"/>
    <x v="2"/>
    <x v="3"/>
    <x v="1"/>
    <n v="2.2265990248573"/>
    <m/>
  </r>
  <r>
    <x v="7"/>
    <x v="3"/>
    <x v="1"/>
    <x v="2"/>
    <x v="5"/>
    <x v="0"/>
    <n v="71.668960695021795"/>
    <m/>
  </r>
  <r>
    <x v="7"/>
    <x v="3"/>
    <x v="1"/>
    <x v="2"/>
    <x v="5"/>
    <x v="1"/>
    <n v="356.16922622095592"/>
    <m/>
  </r>
  <r>
    <x v="7"/>
    <x v="3"/>
    <x v="1"/>
    <x v="2"/>
    <x v="6"/>
    <x v="0"/>
    <n v="682.29965730192555"/>
    <m/>
  </r>
  <r>
    <x v="7"/>
    <x v="3"/>
    <x v="1"/>
    <x v="2"/>
    <x v="6"/>
    <x v="1"/>
    <n v="3523.6168806443393"/>
    <m/>
  </r>
  <r>
    <x v="7"/>
    <x v="3"/>
    <x v="1"/>
    <x v="2"/>
    <x v="1"/>
    <x v="0"/>
    <n v="27.871868098920999"/>
    <m/>
  </r>
  <r>
    <x v="7"/>
    <x v="3"/>
    <x v="1"/>
    <x v="2"/>
    <x v="1"/>
    <x v="1"/>
    <n v="124.8527149771553"/>
    <m/>
  </r>
  <r>
    <x v="7"/>
    <x v="3"/>
    <x v="1"/>
    <x v="3"/>
    <x v="2"/>
    <x v="0"/>
    <n v="21179.696023454242"/>
    <n v="10551.4607"/>
  </r>
  <r>
    <x v="7"/>
    <x v="3"/>
    <x v="1"/>
    <x v="3"/>
    <x v="2"/>
    <x v="1"/>
    <n v="159178.43446794397"/>
    <n v="74626.540200000003"/>
  </r>
  <r>
    <x v="7"/>
    <x v="3"/>
    <x v="1"/>
    <x v="3"/>
    <x v="3"/>
    <x v="0"/>
    <n v="3.1907998836949001"/>
    <m/>
  </r>
  <r>
    <x v="7"/>
    <x v="3"/>
    <x v="1"/>
    <x v="3"/>
    <x v="3"/>
    <x v="1"/>
    <n v="16.161318673402899"/>
    <m/>
  </r>
  <r>
    <x v="7"/>
    <x v="3"/>
    <x v="1"/>
    <x v="3"/>
    <x v="7"/>
    <x v="0"/>
    <n v="34870.964941547281"/>
    <n v="16746.073199999999"/>
  </r>
  <r>
    <x v="7"/>
    <x v="3"/>
    <x v="1"/>
    <x v="3"/>
    <x v="7"/>
    <x v="1"/>
    <n v="87961.319021227697"/>
    <n v="40174.314400000003"/>
  </r>
  <r>
    <x v="7"/>
    <x v="3"/>
    <x v="1"/>
    <x v="3"/>
    <x v="5"/>
    <x v="0"/>
    <n v="9.6135854777262004"/>
    <m/>
  </r>
  <r>
    <x v="7"/>
    <x v="3"/>
    <x v="1"/>
    <x v="3"/>
    <x v="5"/>
    <x v="1"/>
    <n v="51.089220377107999"/>
    <m/>
  </r>
  <r>
    <x v="7"/>
    <x v="3"/>
    <x v="1"/>
    <x v="3"/>
    <x v="6"/>
    <x v="0"/>
    <n v="16.052232807676798"/>
    <m/>
  </r>
  <r>
    <x v="7"/>
    <x v="3"/>
    <x v="1"/>
    <x v="3"/>
    <x v="6"/>
    <x v="1"/>
    <n v="81.274622271370006"/>
    <m/>
  </r>
  <r>
    <x v="7"/>
    <x v="3"/>
    <x v="1"/>
    <x v="3"/>
    <x v="1"/>
    <x v="0"/>
    <n v="10.1345370844955"/>
    <m/>
  </r>
  <r>
    <x v="7"/>
    <x v="3"/>
    <x v="1"/>
    <x v="3"/>
    <x v="1"/>
    <x v="1"/>
    <n v="58.512148463999601"/>
    <m/>
  </r>
  <r>
    <x v="7"/>
    <x v="3"/>
    <x v="1"/>
    <x v="4"/>
    <x v="2"/>
    <x v="0"/>
    <n v="2756.413216652687"/>
    <n v="1171.5083999999999"/>
  </r>
  <r>
    <x v="7"/>
    <x v="3"/>
    <x v="1"/>
    <x v="4"/>
    <x v="2"/>
    <x v="1"/>
    <n v="229598.69085845319"/>
    <n v="93262.859400000001"/>
  </r>
  <r>
    <x v="7"/>
    <x v="3"/>
    <x v="1"/>
    <x v="4"/>
    <x v="6"/>
    <x v="0"/>
    <n v="183.45340051063391"/>
    <n v="50.200299999999999"/>
  </r>
  <r>
    <x v="7"/>
    <x v="3"/>
    <x v="1"/>
    <x v="4"/>
    <x v="6"/>
    <x v="1"/>
    <n v="13254.043532823476"/>
    <n v="3252.1271000000002"/>
  </r>
  <r>
    <x v="7"/>
    <x v="3"/>
    <x v="2"/>
    <x v="5"/>
    <x v="2"/>
    <x v="0"/>
    <n v="10796.905525788741"/>
    <n v="3968.3481999999999"/>
  </r>
  <r>
    <x v="7"/>
    <x v="3"/>
    <x v="2"/>
    <x v="5"/>
    <x v="2"/>
    <x v="1"/>
    <n v="16574.897429196877"/>
    <n v="4649.2918"/>
  </r>
  <r>
    <x v="7"/>
    <x v="3"/>
    <x v="2"/>
    <x v="5"/>
    <x v="3"/>
    <x v="0"/>
    <n v="1.8346269733099999E-2"/>
    <m/>
  </r>
  <r>
    <x v="7"/>
    <x v="3"/>
    <x v="2"/>
    <x v="5"/>
    <x v="3"/>
    <x v="1"/>
    <n v="0.36285599134399998"/>
    <m/>
  </r>
  <r>
    <x v="7"/>
    <x v="3"/>
    <x v="2"/>
    <x v="5"/>
    <x v="8"/>
    <x v="0"/>
    <n v="3.3605030909621001"/>
    <m/>
  </r>
  <r>
    <x v="7"/>
    <x v="3"/>
    <x v="2"/>
    <x v="5"/>
    <x v="8"/>
    <x v="1"/>
    <n v="0.29759972281960001"/>
    <m/>
  </r>
  <r>
    <x v="7"/>
    <x v="3"/>
    <x v="2"/>
    <x v="5"/>
    <x v="7"/>
    <x v="0"/>
    <n v="10009.573594752575"/>
    <n v="3161.5596999999998"/>
  </r>
  <r>
    <x v="7"/>
    <x v="3"/>
    <x v="2"/>
    <x v="5"/>
    <x v="7"/>
    <x v="1"/>
    <n v="21111.354524190116"/>
    <n v="5472.86"/>
  </r>
  <r>
    <x v="7"/>
    <x v="3"/>
    <x v="2"/>
    <x v="5"/>
    <x v="1"/>
    <x v="0"/>
    <n v="2.7315087082385001"/>
    <m/>
  </r>
  <r>
    <x v="7"/>
    <x v="3"/>
    <x v="2"/>
    <x v="5"/>
    <x v="1"/>
    <x v="1"/>
    <n v="4.5449461718541002"/>
    <m/>
  </r>
  <r>
    <x v="7"/>
    <x v="3"/>
    <x v="2"/>
    <x v="5"/>
    <x v="9"/>
    <x v="0"/>
    <n v="0.19556846081740001"/>
    <m/>
  </r>
  <r>
    <x v="7"/>
    <x v="3"/>
    <x v="2"/>
    <x v="5"/>
    <x v="9"/>
    <x v="1"/>
    <n v="2.6561164545728002"/>
    <m/>
  </r>
  <r>
    <x v="7"/>
    <x v="3"/>
    <x v="2"/>
    <x v="6"/>
    <x v="0"/>
    <x v="0"/>
    <n v="2690.0093780471589"/>
    <n v="795.72810000000004"/>
  </r>
  <r>
    <x v="7"/>
    <x v="3"/>
    <x v="2"/>
    <x v="6"/>
    <x v="0"/>
    <x v="1"/>
    <n v="3430.6449417867552"/>
    <n v="981.86860000000001"/>
  </r>
  <r>
    <x v="7"/>
    <x v="3"/>
    <x v="2"/>
    <x v="6"/>
    <x v="1"/>
    <x v="0"/>
    <n v="14808.897334187272"/>
    <n v="4631.3612000000003"/>
  </r>
  <r>
    <x v="7"/>
    <x v="3"/>
    <x v="2"/>
    <x v="6"/>
    <x v="1"/>
    <x v="1"/>
    <n v="11447.337425267544"/>
    <n v="3452.7557999999999"/>
  </r>
  <r>
    <x v="7"/>
    <x v="3"/>
    <x v="2"/>
    <x v="7"/>
    <x v="2"/>
    <x v="1"/>
    <n v="11652.239813545551"/>
    <n v="2563.0064000000002"/>
  </r>
  <r>
    <x v="7"/>
    <x v="4"/>
    <x v="0"/>
    <x v="0"/>
    <x v="0"/>
    <x v="0"/>
    <n v="239.90377939779901"/>
    <n v="45.1999"/>
  </r>
  <r>
    <x v="7"/>
    <x v="4"/>
    <x v="0"/>
    <x v="0"/>
    <x v="0"/>
    <x v="1"/>
    <n v="721.44267881872304"/>
    <n v="90.472300000000004"/>
  </r>
  <r>
    <x v="7"/>
    <x v="4"/>
    <x v="0"/>
    <x v="0"/>
    <x v="1"/>
    <x v="0"/>
    <n v="13200.6665505457"/>
    <n v="1891.0159000000001"/>
  </r>
  <r>
    <x v="7"/>
    <x v="4"/>
    <x v="0"/>
    <x v="0"/>
    <x v="1"/>
    <x v="1"/>
    <n v="5626.0413353827898"/>
    <n v="481.30180000000001"/>
  </r>
  <r>
    <x v="7"/>
    <x v="4"/>
    <x v="0"/>
    <x v="1"/>
    <x v="0"/>
    <x v="0"/>
    <n v="252.95941148014401"/>
    <n v="53.508600000000001"/>
  </r>
  <r>
    <x v="7"/>
    <x v="4"/>
    <x v="0"/>
    <x v="1"/>
    <x v="0"/>
    <x v="1"/>
    <n v="449.82322185843498"/>
    <n v="69.005799999999994"/>
  </r>
  <r>
    <x v="7"/>
    <x v="4"/>
    <x v="0"/>
    <x v="1"/>
    <x v="1"/>
    <x v="0"/>
    <n v="12434.3968485965"/>
    <n v="2176.0169000000001"/>
  </r>
  <r>
    <x v="7"/>
    <x v="4"/>
    <x v="0"/>
    <x v="1"/>
    <x v="1"/>
    <x v="1"/>
    <n v="10953.202111283899"/>
    <n v="1721.1898000000001"/>
  </r>
  <r>
    <x v="7"/>
    <x v="4"/>
    <x v="1"/>
    <x v="2"/>
    <x v="2"/>
    <x v="0"/>
    <n v="816.82244408471195"/>
    <n v="277.76940000000002"/>
  </r>
  <r>
    <x v="7"/>
    <x v="4"/>
    <x v="1"/>
    <x v="2"/>
    <x v="2"/>
    <x v="1"/>
    <n v="18607.792923471501"/>
    <n v="6334.6180000000004"/>
  </r>
  <r>
    <x v="7"/>
    <x v="4"/>
    <x v="1"/>
    <x v="2"/>
    <x v="3"/>
    <x v="0"/>
    <n v="8.7298035011999994E-3"/>
    <m/>
  </r>
  <r>
    <x v="7"/>
    <x v="4"/>
    <x v="1"/>
    <x v="2"/>
    <x v="3"/>
    <x v="1"/>
    <n v="8.9795146148300004E-2"/>
    <m/>
  </r>
  <r>
    <x v="7"/>
    <x v="4"/>
    <x v="1"/>
    <x v="2"/>
    <x v="4"/>
    <x v="0"/>
    <n v="2.4523710570099999E-2"/>
    <m/>
  </r>
  <r>
    <x v="7"/>
    <x v="4"/>
    <x v="1"/>
    <x v="2"/>
    <x v="4"/>
    <x v="1"/>
    <n v="0.99154153288769997"/>
    <m/>
  </r>
  <r>
    <x v="7"/>
    <x v="4"/>
    <x v="1"/>
    <x v="2"/>
    <x v="5"/>
    <x v="0"/>
    <n v="63.915613311340699"/>
    <m/>
  </r>
  <r>
    <x v="7"/>
    <x v="4"/>
    <x v="1"/>
    <x v="2"/>
    <x v="5"/>
    <x v="1"/>
    <n v="420.36209961107397"/>
    <m/>
  </r>
  <r>
    <x v="7"/>
    <x v="4"/>
    <x v="1"/>
    <x v="2"/>
    <x v="6"/>
    <x v="0"/>
    <n v="95.820614492310497"/>
    <m/>
  </r>
  <r>
    <x v="7"/>
    <x v="4"/>
    <x v="1"/>
    <x v="2"/>
    <x v="6"/>
    <x v="1"/>
    <n v="377.39283253289301"/>
    <m/>
  </r>
  <r>
    <x v="7"/>
    <x v="4"/>
    <x v="1"/>
    <x v="2"/>
    <x v="1"/>
    <x v="0"/>
    <n v="2.9108812379955999"/>
    <m/>
  </r>
  <r>
    <x v="7"/>
    <x v="4"/>
    <x v="1"/>
    <x v="2"/>
    <x v="1"/>
    <x v="1"/>
    <n v="3.8533163727950002"/>
    <m/>
  </r>
  <r>
    <x v="7"/>
    <x v="4"/>
    <x v="1"/>
    <x v="3"/>
    <x v="2"/>
    <x v="0"/>
    <n v="1495.9034788921099"/>
    <n v="332.19069999999999"/>
  </r>
  <r>
    <x v="7"/>
    <x v="4"/>
    <x v="1"/>
    <x v="3"/>
    <x v="2"/>
    <x v="1"/>
    <n v="26568.258100985098"/>
    <n v="7298.3837999999996"/>
  </r>
  <r>
    <x v="7"/>
    <x v="4"/>
    <x v="1"/>
    <x v="3"/>
    <x v="3"/>
    <x v="0"/>
    <n v="0.5030935495744"/>
    <m/>
  </r>
  <r>
    <x v="7"/>
    <x v="4"/>
    <x v="1"/>
    <x v="3"/>
    <x v="3"/>
    <x v="1"/>
    <n v="4.2569269086465003"/>
    <m/>
  </r>
  <r>
    <x v="7"/>
    <x v="4"/>
    <x v="1"/>
    <x v="3"/>
    <x v="7"/>
    <x v="0"/>
    <n v="4999.8040955086899"/>
    <n v="1484.4661000000001"/>
  </r>
  <r>
    <x v="7"/>
    <x v="4"/>
    <x v="1"/>
    <x v="3"/>
    <x v="7"/>
    <x v="1"/>
    <n v="46567.485441331002"/>
    <n v="13735.988600000001"/>
  </r>
  <r>
    <x v="7"/>
    <x v="4"/>
    <x v="1"/>
    <x v="3"/>
    <x v="5"/>
    <x v="0"/>
    <n v="118.00781328436"/>
    <m/>
  </r>
  <r>
    <x v="7"/>
    <x v="4"/>
    <x v="1"/>
    <x v="3"/>
    <x v="5"/>
    <x v="1"/>
    <n v="777.18659868799296"/>
    <m/>
  </r>
  <r>
    <x v="7"/>
    <x v="4"/>
    <x v="1"/>
    <x v="3"/>
    <x v="6"/>
    <x v="0"/>
    <n v="127.17745244369"/>
    <m/>
  </r>
  <r>
    <x v="7"/>
    <x v="4"/>
    <x v="1"/>
    <x v="3"/>
    <x v="6"/>
    <x v="1"/>
    <n v="872.33669964984199"/>
    <m/>
  </r>
  <r>
    <x v="7"/>
    <x v="4"/>
    <x v="1"/>
    <x v="3"/>
    <x v="1"/>
    <x v="0"/>
    <n v="1.6935968504876999"/>
    <m/>
  </r>
  <r>
    <x v="7"/>
    <x v="4"/>
    <x v="1"/>
    <x v="3"/>
    <x v="1"/>
    <x v="1"/>
    <n v="5.1232556416310002"/>
    <m/>
  </r>
  <r>
    <x v="7"/>
    <x v="4"/>
    <x v="1"/>
    <x v="4"/>
    <x v="2"/>
    <x v="0"/>
    <n v="3595.3825706520101"/>
    <n v="1818.8034"/>
  </r>
  <r>
    <x v="7"/>
    <x v="4"/>
    <x v="1"/>
    <x v="4"/>
    <x v="2"/>
    <x v="1"/>
    <n v="5871.8498467141899"/>
    <n v="2953.8721999999998"/>
  </r>
  <r>
    <x v="7"/>
    <x v="4"/>
    <x v="1"/>
    <x v="4"/>
    <x v="5"/>
    <x v="0"/>
    <n v="11.3658531208503"/>
    <m/>
  </r>
  <r>
    <x v="7"/>
    <x v="4"/>
    <x v="1"/>
    <x v="4"/>
    <x v="5"/>
    <x v="1"/>
    <n v="33.049801434681797"/>
    <m/>
  </r>
  <r>
    <x v="7"/>
    <x v="4"/>
    <x v="1"/>
    <x v="4"/>
    <x v="6"/>
    <x v="0"/>
    <n v="23.1542656068941"/>
    <m/>
  </r>
  <r>
    <x v="7"/>
    <x v="4"/>
    <x v="1"/>
    <x v="4"/>
    <x v="6"/>
    <x v="1"/>
    <n v="128.918428836224"/>
    <n v="0"/>
  </r>
  <r>
    <x v="7"/>
    <x v="4"/>
    <x v="1"/>
    <x v="4"/>
    <x v="1"/>
    <x v="0"/>
    <n v="0.19463396565630001"/>
    <m/>
  </r>
  <r>
    <x v="7"/>
    <x v="4"/>
    <x v="1"/>
    <x v="4"/>
    <x v="1"/>
    <x v="1"/>
    <n v="0.43380260845520002"/>
    <m/>
  </r>
  <r>
    <x v="7"/>
    <x v="4"/>
    <x v="2"/>
    <x v="5"/>
    <x v="2"/>
    <x v="0"/>
    <n v="640.84579175431395"/>
    <n v="134.69720000000001"/>
  </r>
  <r>
    <x v="7"/>
    <x v="4"/>
    <x v="2"/>
    <x v="5"/>
    <x v="2"/>
    <x v="1"/>
    <n v="11355.0081202537"/>
    <n v="3319.7111"/>
  </r>
  <r>
    <x v="7"/>
    <x v="4"/>
    <x v="2"/>
    <x v="5"/>
    <x v="8"/>
    <x v="0"/>
    <n v="101.333581649525"/>
    <n v="32.042999999999999"/>
  </r>
  <r>
    <x v="7"/>
    <x v="4"/>
    <x v="2"/>
    <x v="5"/>
    <x v="8"/>
    <x v="1"/>
    <n v="13.015301338848399"/>
    <n v="3.5"/>
  </r>
  <r>
    <x v="7"/>
    <x v="4"/>
    <x v="2"/>
    <x v="5"/>
    <x v="7"/>
    <x v="0"/>
    <n v="1687.55786300979"/>
    <n v="415.86009999999999"/>
  </r>
  <r>
    <x v="7"/>
    <x v="4"/>
    <x v="2"/>
    <x v="5"/>
    <x v="7"/>
    <x v="1"/>
    <n v="8716.76703021703"/>
    <n v="2510.0538999999999"/>
  </r>
  <r>
    <x v="7"/>
    <x v="4"/>
    <x v="2"/>
    <x v="5"/>
    <x v="1"/>
    <x v="0"/>
    <n v="22.288203765337801"/>
    <m/>
  </r>
  <r>
    <x v="7"/>
    <x v="4"/>
    <x v="2"/>
    <x v="5"/>
    <x v="1"/>
    <x v="1"/>
    <n v="51.693951954041403"/>
    <m/>
  </r>
  <r>
    <x v="7"/>
    <x v="4"/>
    <x v="2"/>
    <x v="5"/>
    <x v="9"/>
    <x v="0"/>
    <n v="4.3851484370101002"/>
    <m/>
  </r>
  <r>
    <x v="7"/>
    <x v="4"/>
    <x v="2"/>
    <x v="5"/>
    <x v="9"/>
    <x v="1"/>
    <n v="8.3576819265189997"/>
    <m/>
  </r>
  <r>
    <x v="7"/>
    <x v="4"/>
    <x v="2"/>
    <x v="6"/>
    <x v="0"/>
    <x v="0"/>
    <n v="571.88732657488504"/>
    <n v="142.52029999999999"/>
  </r>
  <r>
    <x v="7"/>
    <x v="4"/>
    <x v="2"/>
    <x v="6"/>
    <x v="0"/>
    <x v="1"/>
    <n v="2179.9854684992802"/>
    <n v="435.60410000000002"/>
  </r>
  <r>
    <x v="7"/>
    <x v="4"/>
    <x v="2"/>
    <x v="6"/>
    <x v="1"/>
    <x v="0"/>
    <n v="8179.9897010258601"/>
    <n v="2043.3742999999999"/>
  </r>
  <r>
    <x v="7"/>
    <x v="4"/>
    <x v="2"/>
    <x v="6"/>
    <x v="1"/>
    <x v="1"/>
    <n v="6215.5972490320801"/>
    <n v="1272.6473000000001"/>
  </r>
  <r>
    <x v="7"/>
    <x v="4"/>
    <x v="2"/>
    <x v="7"/>
    <x v="2"/>
    <x v="1"/>
    <n v="50.8097749475642"/>
    <n v="51.757899999999999"/>
  </r>
  <r>
    <x v="7"/>
    <x v="5"/>
    <x v="0"/>
    <x v="0"/>
    <x v="0"/>
    <x v="0"/>
    <n v="480.72367752232941"/>
    <n v="134.15690000000001"/>
  </r>
  <r>
    <x v="7"/>
    <x v="5"/>
    <x v="0"/>
    <x v="0"/>
    <x v="0"/>
    <x v="1"/>
    <n v="295.478139772823"/>
    <n v="65.502399999999994"/>
  </r>
  <r>
    <x v="7"/>
    <x v="5"/>
    <x v="0"/>
    <x v="0"/>
    <x v="1"/>
    <x v="0"/>
    <n v="24916.708488133459"/>
    <n v="3853.2703000000001"/>
  </r>
  <r>
    <x v="7"/>
    <x v="5"/>
    <x v="0"/>
    <x v="0"/>
    <x v="1"/>
    <x v="1"/>
    <n v="10657.725606907472"/>
    <n v="1821.8875"/>
  </r>
  <r>
    <x v="7"/>
    <x v="5"/>
    <x v="0"/>
    <x v="1"/>
    <x v="0"/>
    <x v="0"/>
    <n v="415.57232010026172"/>
    <n v="88.251400000000004"/>
  </r>
  <r>
    <x v="7"/>
    <x v="5"/>
    <x v="0"/>
    <x v="1"/>
    <x v="0"/>
    <x v="1"/>
    <n v="499.29555864735858"/>
    <n v="139.35210000000001"/>
  </r>
  <r>
    <x v="7"/>
    <x v="5"/>
    <x v="0"/>
    <x v="1"/>
    <x v="1"/>
    <x v="0"/>
    <n v="21589.320133103749"/>
    <n v="3488.4553999999998"/>
  </r>
  <r>
    <x v="7"/>
    <x v="5"/>
    <x v="0"/>
    <x v="1"/>
    <x v="1"/>
    <x v="1"/>
    <n v="21133.805075754361"/>
    <n v="4154.2860000000001"/>
  </r>
  <r>
    <x v="7"/>
    <x v="5"/>
    <x v="1"/>
    <x v="2"/>
    <x v="2"/>
    <x v="0"/>
    <n v="16495.341477883285"/>
    <n v="3253.7692000000002"/>
  </r>
  <r>
    <x v="7"/>
    <x v="5"/>
    <x v="1"/>
    <x v="2"/>
    <x v="2"/>
    <x v="1"/>
    <n v="343669.0278419567"/>
    <n v="93746.573499999999"/>
  </r>
  <r>
    <x v="7"/>
    <x v="5"/>
    <x v="1"/>
    <x v="2"/>
    <x v="3"/>
    <x v="0"/>
    <n v="132.62805036160171"/>
    <m/>
  </r>
  <r>
    <x v="7"/>
    <x v="5"/>
    <x v="1"/>
    <x v="2"/>
    <x v="3"/>
    <x v="1"/>
    <n v="61.486610568625402"/>
    <m/>
  </r>
  <r>
    <x v="7"/>
    <x v="5"/>
    <x v="1"/>
    <x v="2"/>
    <x v="4"/>
    <x v="0"/>
    <n v="28.009805039067199"/>
    <m/>
  </r>
  <r>
    <x v="7"/>
    <x v="5"/>
    <x v="1"/>
    <x v="2"/>
    <x v="4"/>
    <x v="1"/>
    <n v="326.67590620030819"/>
    <m/>
  </r>
  <r>
    <x v="7"/>
    <x v="5"/>
    <x v="1"/>
    <x v="2"/>
    <x v="5"/>
    <x v="0"/>
    <n v="133.73323489967231"/>
    <m/>
  </r>
  <r>
    <x v="7"/>
    <x v="5"/>
    <x v="1"/>
    <x v="2"/>
    <x v="5"/>
    <x v="1"/>
    <n v="349.4925375099437"/>
    <m/>
  </r>
  <r>
    <x v="7"/>
    <x v="5"/>
    <x v="1"/>
    <x v="2"/>
    <x v="6"/>
    <x v="0"/>
    <n v="4918.5331171900161"/>
    <m/>
  </r>
  <r>
    <x v="7"/>
    <x v="5"/>
    <x v="1"/>
    <x v="2"/>
    <x v="6"/>
    <x v="1"/>
    <n v="20125.383656564656"/>
    <m/>
  </r>
  <r>
    <x v="7"/>
    <x v="5"/>
    <x v="1"/>
    <x v="2"/>
    <x v="1"/>
    <x v="0"/>
    <n v="137.82001768563151"/>
    <m/>
  </r>
  <r>
    <x v="7"/>
    <x v="5"/>
    <x v="1"/>
    <x v="2"/>
    <x v="1"/>
    <x v="1"/>
    <n v="759.75376158078041"/>
    <m/>
  </r>
  <r>
    <x v="7"/>
    <x v="5"/>
    <x v="1"/>
    <x v="3"/>
    <x v="2"/>
    <x v="0"/>
    <n v="9853.9576630812862"/>
    <n v="4007.877"/>
  </r>
  <r>
    <x v="7"/>
    <x v="5"/>
    <x v="1"/>
    <x v="3"/>
    <x v="2"/>
    <x v="1"/>
    <n v="78781.497946267191"/>
    <n v="31864.945100000001"/>
  </r>
  <r>
    <x v="7"/>
    <x v="5"/>
    <x v="1"/>
    <x v="3"/>
    <x v="3"/>
    <x v="0"/>
    <n v="69.127073790498301"/>
    <m/>
  </r>
  <r>
    <x v="7"/>
    <x v="5"/>
    <x v="1"/>
    <x v="3"/>
    <x v="3"/>
    <x v="1"/>
    <n v="138.94060883565311"/>
    <m/>
  </r>
  <r>
    <x v="7"/>
    <x v="5"/>
    <x v="1"/>
    <x v="3"/>
    <x v="7"/>
    <x v="0"/>
    <n v="8833.2666261855611"/>
    <n v="3605.3485000000001"/>
  </r>
  <r>
    <x v="7"/>
    <x v="5"/>
    <x v="1"/>
    <x v="3"/>
    <x v="7"/>
    <x v="1"/>
    <n v="11037.553110277648"/>
    <n v="4552.7178000000004"/>
  </r>
  <r>
    <x v="7"/>
    <x v="5"/>
    <x v="1"/>
    <x v="3"/>
    <x v="5"/>
    <x v="0"/>
    <n v="9.1341475086420996"/>
    <m/>
  </r>
  <r>
    <x v="7"/>
    <x v="5"/>
    <x v="1"/>
    <x v="3"/>
    <x v="5"/>
    <x v="1"/>
    <n v="23.527474409790798"/>
    <m/>
  </r>
  <r>
    <x v="7"/>
    <x v="5"/>
    <x v="1"/>
    <x v="3"/>
    <x v="6"/>
    <x v="0"/>
    <n v="14.024302191653"/>
    <m/>
  </r>
  <r>
    <x v="7"/>
    <x v="5"/>
    <x v="1"/>
    <x v="3"/>
    <x v="6"/>
    <x v="1"/>
    <n v="36.311640988751797"/>
    <m/>
  </r>
  <r>
    <x v="7"/>
    <x v="5"/>
    <x v="1"/>
    <x v="3"/>
    <x v="1"/>
    <x v="0"/>
    <n v="48.387677906494403"/>
    <m/>
  </r>
  <r>
    <x v="7"/>
    <x v="5"/>
    <x v="1"/>
    <x v="3"/>
    <x v="1"/>
    <x v="1"/>
    <n v="251.9513744257535"/>
    <m/>
  </r>
  <r>
    <x v="7"/>
    <x v="5"/>
    <x v="1"/>
    <x v="4"/>
    <x v="2"/>
    <x v="1"/>
    <n v="53468.05384888636"/>
    <n v="21150.395799999998"/>
  </r>
  <r>
    <x v="7"/>
    <x v="5"/>
    <x v="1"/>
    <x v="4"/>
    <x v="4"/>
    <x v="1"/>
    <n v="38.715202088243203"/>
    <m/>
  </r>
  <r>
    <x v="7"/>
    <x v="5"/>
    <x v="1"/>
    <x v="4"/>
    <x v="6"/>
    <x v="0"/>
    <n v="3.0407423785223999"/>
    <m/>
  </r>
  <r>
    <x v="7"/>
    <x v="5"/>
    <x v="1"/>
    <x v="4"/>
    <x v="6"/>
    <x v="1"/>
    <n v="23045.373902106534"/>
    <n v="2076.5677000000001"/>
  </r>
  <r>
    <x v="7"/>
    <x v="5"/>
    <x v="1"/>
    <x v="4"/>
    <x v="1"/>
    <x v="1"/>
    <n v="3.5483410133319002"/>
    <m/>
  </r>
  <r>
    <x v="7"/>
    <x v="5"/>
    <x v="2"/>
    <x v="5"/>
    <x v="2"/>
    <x v="0"/>
    <n v="4298.5403472863627"/>
    <n v="897.47860000000003"/>
  </r>
  <r>
    <x v="7"/>
    <x v="5"/>
    <x v="2"/>
    <x v="5"/>
    <x v="2"/>
    <x v="1"/>
    <n v="30139.171390383432"/>
    <n v="3646.2950999999998"/>
  </r>
  <r>
    <x v="7"/>
    <x v="5"/>
    <x v="2"/>
    <x v="5"/>
    <x v="3"/>
    <x v="0"/>
    <n v="1.4110851409406"/>
    <m/>
  </r>
  <r>
    <x v="7"/>
    <x v="5"/>
    <x v="2"/>
    <x v="5"/>
    <x v="3"/>
    <x v="1"/>
    <n v="33.729709370210799"/>
    <m/>
  </r>
  <r>
    <x v="7"/>
    <x v="5"/>
    <x v="2"/>
    <x v="5"/>
    <x v="8"/>
    <x v="0"/>
    <n v="318.87102634283639"/>
    <n v="109.1643"/>
  </r>
  <r>
    <x v="7"/>
    <x v="5"/>
    <x v="2"/>
    <x v="5"/>
    <x v="8"/>
    <x v="1"/>
    <n v="135.9125485736873"/>
    <n v="27.632899999999999"/>
  </r>
  <r>
    <x v="7"/>
    <x v="5"/>
    <x v="2"/>
    <x v="5"/>
    <x v="7"/>
    <x v="0"/>
    <n v="1025.9376101901989"/>
    <n v="176.904"/>
  </r>
  <r>
    <x v="7"/>
    <x v="5"/>
    <x v="2"/>
    <x v="5"/>
    <x v="7"/>
    <x v="1"/>
    <n v="5907.4809030403403"/>
    <n v="778.10879999999997"/>
  </r>
  <r>
    <x v="7"/>
    <x v="5"/>
    <x v="2"/>
    <x v="5"/>
    <x v="1"/>
    <x v="0"/>
    <n v="11.7755351651703"/>
    <m/>
  </r>
  <r>
    <x v="7"/>
    <x v="5"/>
    <x v="2"/>
    <x v="5"/>
    <x v="1"/>
    <x v="1"/>
    <n v="51.620057517722202"/>
    <m/>
  </r>
  <r>
    <x v="7"/>
    <x v="5"/>
    <x v="2"/>
    <x v="5"/>
    <x v="9"/>
    <x v="0"/>
    <n v="2.9438680072696002"/>
    <m/>
  </r>
  <r>
    <x v="7"/>
    <x v="5"/>
    <x v="2"/>
    <x v="5"/>
    <x v="9"/>
    <x v="1"/>
    <n v="9.9309663680176996"/>
    <m/>
  </r>
  <r>
    <x v="7"/>
    <x v="5"/>
    <x v="2"/>
    <x v="6"/>
    <x v="0"/>
    <x v="0"/>
    <n v="1691.5300666246153"/>
    <n v="461.87479999999999"/>
  </r>
  <r>
    <x v="7"/>
    <x v="5"/>
    <x v="2"/>
    <x v="6"/>
    <x v="0"/>
    <x v="1"/>
    <n v="2692.9040646060262"/>
    <n v="675.38170000000002"/>
  </r>
  <r>
    <x v="7"/>
    <x v="5"/>
    <x v="2"/>
    <x v="6"/>
    <x v="1"/>
    <x v="0"/>
    <n v="10273.340661316184"/>
    <n v="2540.9112"/>
  </r>
  <r>
    <x v="7"/>
    <x v="5"/>
    <x v="2"/>
    <x v="6"/>
    <x v="1"/>
    <x v="1"/>
    <n v="15155.91754271179"/>
    <n v="4050.4340000000002"/>
  </r>
  <r>
    <x v="7"/>
    <x v="5"/>
    <x v="2"/>
    <x v="7"/>
    <x v="2"/>
    <x v="1"/>
    <n v="10589.961927067992"/>
    <n v="4963.3720999999996"/>
  </r>
  <r>
    <x v="7"/>
    <x v="6"/>
    <x v="0"/>
    <x v="0"/>
    <x v="0"/>
    <x v="0"/>
    <n v="425.8298001204285"/>
    <n v="100.40900000000001"/>
  </r>
  <r>
    <x v="7"/>
    <x v="6"/>
    <x v="0"/>
    <x v="0"/>
    <x v="0"/>
    <x v="1"/>
    <n v="312.22772664668128"/>
    <n v="48.965600000000002"/>
  </r>
  <r>
    <x v="7"/>
    <x v="6"/>
    <x v="0"/>
    <x v="0"/>
    <x v="1"/>
    <x v="0"/>
    <n v="8461.3850935630107"/>
    <n v="1988.6174000000001"/>
  </r>
  <r>
    <x v="7"/>
    <x v="6"/>
    <x v="0"/>
    <x v="0"/>
    <x v="1"/>
    <x v="1"/>
    <n v="7348.2009041150432"/>
    <n v="1093.9213"/>
  </r>
  <r>
    <x v="7"/>
    <x v="6"/>
    <x v="0"/>
    <x v="1"/>
    <x v="0"/>
    <x v="0"/>
    <n v="540.67955622187151"/>
    <n v="104.336"/>
  </r>
  <r>
    <x v="7"/>
    <x v="6"/>
    <x v="0"/>
    <x v="1"/>
    <x v="0"/>
    <x v="1"/>
    <n v="284.27560678854388"/>
    <n v="47.493000000000002"/>
  </r>
  <r>
    <x v="7"/>
    <x v="6"/>
    <x v="0"/>
    <x v="1"/>
    <x v="1"/>
    <x v="0"/>
    <n v="4833.6809883029782"/>
    <n v="1039.6469999999999"/>
  </r>
  <r>
    <x v="7"/>
    <x v="6"/>
    <x v="0"/>
    <x v="1"/>
    <x v="1"/>
    <x v="1"/>
    <n v="7351.6260298124616"/>
    <n v="1332.6302000000001"/>
  </r>
  <r>
    <x v="7"/>
    <x v="6"/>
    <x v="1"/>
    <x v="2"/>
    <x v="2"/>
    <x v="0"/>
    <n v="3043.1836503057038"/>
    <n v="721.11400000000003"/>
  </r>
  <r>
    <x v="7"/>
    <x v="6"/>
    <x v="1"/>
    <x v="2"/>
    <x v="2"/>
    <x v="1"/>
    <n v="26066.19228137716"/>
    <n v="6759.9892"/>
  </r>
  <r>
    <x v="7"/>
    <x v="6"/>
    <x v="1"/>
    <x v="2"/>
    <x v="3"/>
    <x v="0"/>
    <n v="9.5303379396567998"/>
    <m/>
  </r>
  <r>
    <x v="7"/>
    <x v="6"/>
    <x v="1"/>
    <x v="2"/>
    <x v="3"/>
    <x v="1"/>
    <n v="2.3825844849141999"/>
    <m/>
  </r>
  <r>
    <x v="7"/>
    <x v="6"/>
    <x v="1"/>
    <x v="2"/>
    <x v="5"/>
    <x v="0"/>
    <n v="3.8280153575972"/>
    <m/>
  </r>
  <r>
    <x v="7"/>
    <x v="6"/>
    <x v="1"/>
    <x v="2"/>
    <x v="5"/>
    <x v="1"/>
    <n v="17.440879865626801"/>
    <m/>
  </r>
  <r>
    <x v="7"/>
    <x v="6"/>
    <x v="1"/>
    <x v="2"/>
    <x v="6"/>
    <x v="0"/>
    <n v="114.55703159703179"/>
    <m/>
  </r>
  <r>
    <x v="7"/>
    <x v="6"/>
    <x v="1"/>
    <x v="2"/>
    <x v="6"/>
    <x v="1"/>
    <n v="681.19956112738168"/>
    <m/>
  </r>
  <r>
    <x v="7"/>
    <x v="6"/>
    <x v="1"/>
    <x v="2"/>
    <x v="1"/>
    <x v="0"/>
    <n v="15.4246574360479"/>
    <m/>
  </r>
  <r>
    <x v="7"/>
    <x v="6"/>
    <x v="1"/>
    <x v="2"/>
    <x v="1"/>
    <x v="1"/>
    <n v="78.296764897883406"/>
    <m/>
  </r>
  <r>
    <x v="7"/>
    <x v="6"/>
    <x v="1"/>
    <x v="3"/>
    <x v="2"/>
    <x v="0"/>
    <n v="3033.1986953860514"/>
    <n v="1048.2745"/>
  </r>
  <r>
    <x v="7"/>
    <x v="6"/>
    <x v="1"/>
    <x v="3"/>
    <x v="2"/>
    <x v="1"/>
    <n v="35836.0041827651"/>
    <n v="14045.643700000001"/>
  </r>
  <r>
    <x v="7"/>
    <x v="6"/>
    <x v="1"/>
    <x v="3"/>
    <x v="3"/>
    <x v="0"/>
    <n v="4.1459620929851004"/>
    <m/>
  </r>
  <r>
    <x v="7"/>
    <x v="6"/>
    <x v="1"/>
    <x v="3"/>
    <x v="3"/>
    <x v="1"/>
    <n v="13.707253819304499"/>
    <m/>
  </r>
  <r>
    <x v="7"/>
    <x v="6"/>
    <x v="1"/>
    <x v="3"/>
    <x v="7"/>
    <x v="0"/>
    <n v="4983.7856010419882"/>
    <n v="1812.4801"/>
  </r>
  <r>
    <x v="7"/>
    <x v="6"/>
    <x v="1"/>
    <x v="3"/>
    <x v="7"/>
    <x v="1"/>
    <n v="18627.781711529042"/>
    <n v="7386.6930000000002"/>
  </r>
  <r>
    <x v="7"/>
    <x v="6"/>
    <x v="1"/>
    <x v="3"/>
    <x v="5"/>
    <x v="0"/>
    <n v="2.8460459606866002"/>
    <m/>
  </r>
  <r>
    <x v="7"/>
    <x v="6"/>
    <x v="1"/>
    <x v="3"/>
    <x v="5"/>
    <x v="1"/>
    <n v="9.3076144015194995"/>
    <m/>
  </r>
  <r>
    <x v="7"/>
    <x v="6"/>
    <x v="1"/>
    <x v="3"/>
    <x v="6"/>
    <x v="0"/>
    <n v="13.500387138457"/>
    <m/>
  </r>
  <r>
    <x v="7"/>
    <x v="6"/>
    <x v="1"/>
    <x v="3"/>
    <x v="6"/>
    <x v="1"/>
    <n v="43.947969687067797"/>
    <m/>
  </r>
  <r>
    <x v="7"/>
    <x v="6"/>
    <x v="1"/>
    <x v="3"/>
    <x v="1"/>
    <x v="0"/>
    <n v="4.2468209987562"/>
    <m/>
  </r>
  <r>
    <x v="7"/>
    <x v="6"/>
    <x v="1"/>
    <x v="3"/>
    <x v="1"/>
    <x v="1"/>
    <n v="19.6221972534731"/>
    <m/>
  </r>
  <r>
    <x v="7"/>
    <x v="6"/>
    <x v="1"/>
    <x v="4"/>
    <x v="2"/>
    <x v="1"/>
    <n v="6581.9376274093156"/>
    <n v="1394.952"/>
  </r>
  <r>
    <x v="7"/>
    <x v="6"/>
    <x v="1"/>
    <x v="4"/>
    <x v="6"/>
    <x v="1"/>
    <n v="3086.4906571460442"/>
    <m/>
  </r>
  <r>
    <x v="7"/>
    <x v="6"/>
    <x v="2"/>
    <x v="5"/>
    <x v="2"/>
    <x v="0"/>
    <n v="2038.9961929757442"/>
    <n v="1053.1937"/>
  </r>
  <r>
    <x v="7"/>
    <x v="6"/>
    <x v="2"/>
    <x v="5"/>
    <x v="2"/>
    <x v="1"/>
    <n v="7624.8309399386153"/>
    <n v="2360.5218"/>
  </r>
  <r>
    <x v="7"/>
    <x v="6"/>
    <x v="2"/>
    <x v="5"/>
    <x v="3"/>
    <x v="1"/>
    <n v="8.0462158648400006E-2"/>
    <m/>
  </r>
  <r>
    <x v="7"/>
    <x v="6"/>
    <x v="2"/>
    <x v="5"/>
    <x v="8"/>
    <x v="0"/>
    <n v="300.0652686297957"/>
    <n v="159.86670000000001"/>
  </r>
  <r>
    <x v="7"/>
    <x v="6"/>
    <x v="2"/>
    <x v="5"/>
    <x v="8"/>
    <x v="1"/>
    <n v="174.97203811669959"/>
    <n v="73.344899999999996"/>
  </r>
  <r>
    <x v="7"/>
    <x v="6"/>
    <x v="2"/>
    <x v="5"/>
    <x v="7"/>
    <x v="0"/>
    <n v="1051.5692614177476"/>
    <n v="550.18449999999996"/>
  </r>
  <r>
    <x v="7"/>
    <x v="6"/>
    <x v="2"/>
    <x v="5"/>
    <x v="7"/>
    <x v="1"/>
    <n v="4737.7860763865601"/>
    <n v="1497.7001"/>
  </r>
  <r>
    <x v="7"/>
    <x v="6"/>
    <x v="2"/>
    <x v="5"/>
    <x v="1"/>
    <x v="0"/>
    <n v="0.15666609763620001"/>
    <m/>
  </r>
  <r>
    <x v="7"/>
    <x v="6"/>
    <x v="2"/>
    <x v="5"/>
    <x v="1"/>
    <x v="1"/>
    <n v="1.5466802773791"/>
    <m/>
  </r>
  <r>
    <x v="7"/>
    <x v="6"/>
    <x v="2"/>
    <x v="5"/>
    <x v="9"/>
    <x v="0"/>
    <n v="4.4645924282200003E-2"/>
    <m/>
  </r>
  <r>
    <x v="7"/>
    <x v="6"/>
    <x v="2"/>
    <x v="5"/>
    <x v="9"/>
    <x v="1"/>
    <n v="1.6418750096953001"/>
    <m/>
  </r>
  <r>
    <x v="7"/>
    <x v="6"/>
    <x v="2"/>
    <x v="6"/>
    <x v="0"/>
    <x v="0"/>
    <n v="1646.953320690697"/>
    <n v="540.50980000000004"/>
  </r>
  <r>
    <x v="7"/>
    <x v="6"/>
    <x v="2"/>
    <x v="6"/>
    <x v="0"/>
    <x v="1"/>
    <n v="1825.503909335622"/>
    <n v="492.7747"/>
  </r>
  <r>
    <x v="7"/>
    <x v="6"/>
    <x v="2"/>
    <x v="6"/>
    <x v="1"/>
    <x v="0"/>
    <n v="4838.6174186757553"/>
    <n v="1623.5559000000001"/>
  </r>
  <r>
    <x v="7"/>
    <x v="6"/>
    <x v="2"/>
    <x v="6"/>
    <x v="1"/>
    <x v="1"/>
    <n v="6205.747427789991"/>
    <n v="1671.0155999999999"/>
  </r>
  <r>
    <x v="7"/>
    <x v="6"/>
    <x v="2"/>
    <x v="7"/>
    <x v="2"/>
    <x v="1"/>
    <n v="16.368180235117201"/>
    <n v="9.9478000000000009"/>
  </r>
  <r>
    <x v="7"/>
    <x v="7"/>
    <x v="0"/>
    <x v="0"/>
    <x v="0"/>
    <x v="0"/>
    <n v="41.656324623308997"/>
    <n v="14.095700000000001"/>
  </r>
  <r>
    <x v="7"/>
    <x v="7"/>
    <x v="0"/>
    <x v="0"/>
    <x v="0"/>
    <x v="1"/>
    <n v="66.492815942687997"/>
    <n v="15.307700000000001"/>
  </r>
  <r>
    <x v="7"/>
    <x v="7"/>
    <x v="0"/>
    <x v="0"/>
    <x v="1"/>
    <x v="0"/>
    <n v="9159.8249108497494"/>
    <n v="2568.3256000000001"/>
  </r>
  <r>
    <x v="7"/>
    <x v="7"/>
    <x v="0"/>
    <x v="0"/>
    <x v="1"/>
    <x v="1"/>
    <n v="1784.3963401137621"/>
    <n v="311.32400000000001"/>
  </r>
  <r>
    <x v="7"/>
    <x v="7"/>
    <x v="0"/>
    <x v="1"/>
    <x v="0"/>
    <x v="0"/>
    <n v="110.52268436299531"/>
    <n v="20.0489"/>
  </r>
  <r>
    <x v="7"/>
    <x v="7"/>
    <x v="0"/>
    <x v="1"/>
    <x v="0"/>
    <x v="1"/>
    <n v="188.76793014806921"/>
    <n v="35.900300000000001"/>
  </r>
  <r>
    <x v="7"/>
    <x v="7"/>
    <x v="0"/>
    <x v="1"/>
    <x v="1"/>
    <x v="0"/>
    <n v="11186.562373718207"/>
    <n v="1447.0388"/>
  </r>
  <r>
    <x v="7"/>
    <x v="7"/>
    <x v="0"/>
    <x v="1"/>
    <x v="1"/>
    <x v="1"/>
    <n v="13394.746485632133"/>
    <n v="2067.3613999999998"/>
  </r>
  <r>
    <x v="7"/>
    <x v="7"/>
    <x v="1"/>
    <x v="2"/>
    <x v="2"/>
    <x v="0"/>
    <n v="5543.9780839236628"/>
    <n v="1551.5648000000001"/>
  </r>
  <r>
    <x v="7"/>
    <x v="7"/>
    <x v="1"/>
    <x v="2"/>
    <x v="2"/>
    <x v="1"/>
    <n v="94205.614006000818"/>
    <n v="27095.881600000001"/>
  </r>
  <r>
    <x v="7"/>
    <x v="7"/>
    <x v="1"/>
    <x v="2"/>
    <x v="3"/>
    <x v="0"/>
    <n v="111.4733901270899"/>
    <m/>
  </r>
  <r>
    <x v="7"/>
    <x v="7"/>
    <x v="1"/>
    <x v="2"/>
    <x v="3"/>
    <x v="1"/>
    <n v="94.397938650017494"/>
    <m/>
  </r>
  <r>
    <x v="7"/>
    <x v="7"/>
    <x v="1"/>
    <x v="2"/>
    <x v="5"/>
    <x v="0"/>
    <n v="93.680618290869006"/>
    <m/>
  </r>
  <r>
    <x v="7"/>
    <x v="7"/>
    <x v="1"/>
    <x v="2"/>
    <x v="5"/>
    <x v="1"/>
    <n v="257.9540851885676"/>
    <m/>
  </r>
  <r>
    <x v="7"/>
    <x v="7"/>
    <x v="1"/>
    <x v="2"/>
    <x v="6"/>
    <x v="0"/>
    <n v="1556.838080747922"/>
    <m/>
  </r>
  <r>
    <x v="7"/>
    <x v="7"/>
    <x v="1"/>
    <x v="2"/>
    <x v="6"/>
    <x v="1"/>
    <n v="4976.3231834185908"/>
    <m/>
  </r>
  <r>
    <x v="7"/>
    <x v="7"/>
    <x v="1"/>
    <x v="2"/>
    <x v="1"/>
    <x v="0"/>
    <n v="16.187609232879399"/>
    <m/>
  </r>
  <r>
    <x v="7"/>
    <x v="7"/>
    <x v="1"/>
    <x v="2"/>
    <x v="1"/>
    <x v="1"/>
    <n v="66.662303187593196"/>
    <m/>
  </r>
  <r>
    <x v="7"/>
    <x v="7"/>
    <x v="1"/>
    <x v="3"/>
    <x v="2"/>
    <x v="0"/>
    <n v="6917.8334014873599"/>
    <n v="1760.4944"/>
  </r>
  <r>
    <x v="7"/>
    <x v="7"/>
    <x v="1"/>
    <x v="3"/>
    <x v="2"/>
    <x v="1"/>
    <n v="65804.856888228154"/>
    <n v="17413.131300000001"/>
  </r>
  <r>
    <x v="7"/>
    <x v="7"/>
    <x v="1"/>
    <x v="3"/>
    <x v="3"/>
    <x v="0"/>
    <n v="384.85114074094849"/>
    <m/>
  </r>
  <r>
    <x v="7"/>
    <x v="7"/>
    <x v="1"/>
    <x v="3"/>
    <x v="3"/>
    <x v="1"/>
    <n v="973.88686235831437"/>
    <m/>
  </r>
  <r>
    <x v="7"/>
    <x v="7"/>
    <x v="1"/>
    <x v="3"/>
    <x v="7"/>
    <x v="0"/>
    <n v="3981.4530435194019"/>
    <n v="1471.0844999999999"/>
  </r>
  <r>
    <x v="7"/>
    <x v="7"/>
    <x v="1"/>
    <x v="3"/>
    <x v="7"/>
    <x v="1"/>
    <n v="46859.16191023642"/>
    <n v="18315.339599999999"/>
  </r>
  <r>
    <x v="7"/>
    <x v="7"/>
    <x v="1"/>
    <x v="3"/>
    <x v="5"/>
    <x v="0"/>
    <n v="239.6509344374615"/>
    <m/>
  </r>
  <r>
    <x v="7"/>
    <x v="7"/>
    <x v="1"/>
    <x v="3"/>
    <x v="5"/>
    <x v="1"/>
    <n v="540.09093416295298"/>
    <m/>
  </r>
  <r>
    <x v="7"/>
    <x v="7"/>
    <x v="1"/>
    <x v="3"/>
    <x v="6"/>
    <x v="0"/>
    <n v="40.996424802668102"/>
    <m/>
  </r>
  <r>
    <x v="7"/>
    <x v="7"/>
    <x v="1"/>
    <x v="3"/>
    <x v="6"/>
    <x v="1"/>
    <n v="99.342982848780196"/>
    <m/>
  </r>
  <r>
    <x v="7"/>
    <x v="7"/>
    <x v="1"/>
    <x v="3"/>
    <x v="1"/>
    <x v="0"/>
    <n v="26.426631638267299"/>
    <m/>
  </r>
  <r>
    <x v="7"/>
    <x v="7"/>
    <x v="1"/>
    <x v="3"/>
    <x v="1"/>
    <x v="1"/>
    <n v="90.027286937282497"/>
    <m/>
  </r>
  <r>
    <x v="7"/>
    <x v="7"/>
    <x v="1"/>
    <x v="4"/>
    <x v="2"/>
    <x v="1"/>
    <n v="55855.287909143481"/>
    <n v="16062.784600000001"/>
  </r>
  <r>
    <x v="7"/>
    <x v="7"/>
    <x v="1"/>
    <x v="4"/>
    <x v="6"/>
    <x v="1"/>
    <n v="96888.593385779473"/>
    <n v="18548.151600000001"/>
  </r>
  <r>
    <x v="7"/>
    <x v="7"/>
    <x v="2"/>
    <x v="5"/>
    <x v="2"/>
    <x v="0"/>
    <n v="1835.3766674665021"/>
    <n v="637.65089999999998"/>
  </r>
  <r>
    <x v="7"/>
    <x v="7"/>
    <x v="2"/>
    <x v="5"/>
    <x v="2"/>
    <x v="1"/>
    <n v="12410.472096234918"/>
    <n v="5103.116"/>
  </r>
  <r>
    <x v="7"/>
    <x v="7"/>
    <x v="2"/>
    <x v="5"/>
    <x v="3"/>
    <x v="1"/>
    <n v="8.8199204483499993E-2"/>
    <m/>
  </r>
  <r>
    <x v="7"/>
    <x v="7"/>
    <x v="2"/>
    <x v="5"/>
    <x v="8"/>
    <x v="0"/>
    <n v="1.5229704076871999"/>
    <m/>
  </r>
  <r>
    <x v="7"/>
    <x v="7"/>
    <x v="2"/>
    <x v="5"/>
    <x v="8"/>
    <x v="1"/>
    <n v="15.438991611816"/>
    <n v="7.0004"/>
  </r>
  <r>
    <x v="7"/>
    <x v="7"/>
    <x v="2"/>
    <x v="5"/>
    <x v="7"/>
    <x v="0"/>
    <n v="166.02325608804691"/>
    <n v="55.496600000000001"/>
  </r>
  <r>
    <x v="7"/>
    <x v="7"/>
    <x v="2"/>
    <x v="5"/>
    <x v="7"/>
    <x v="1"/>
    <n v="1380.593047019182"/>
    <n v="622.64149999999995"/>
  </r>
  <r>
    <x v="7"/>
    <x v="7"/>
    <x v="2"/>
    <x v="5"/>
    <x v="1"/>
    <x v="0"/>
    <n v="4.8143524353535003"/>
    <m/>
  </r>
  <r>
    <x v="7"/>
    <x v="7"/>
    <x v="2"/>
    <x v="5"/>
    <x v="1"/>
    <x v="1"/>
    <n v="6.2307354221943996"/>
    <m/>
  </r>
  <r>
    <x v="7"/>
    <x v="7"/>
    <x v="2"/>
    <x v="5"/>
    <x v="9"/>
    <x v="0"/>
    <n v="0.27913961046919999"/>
    <m/>
  </r>
  <r>
    <x v="7"/>
    <x v="7"/>
    <x v="2"/>
    <x v="5"/>
    <x v="9"/>
    <x v="1"/>
    <n v="0.35324038799950003"/>
    <m/>
  </r>
  <r>
    <x v="7"/>
    <x v="7"/>
    <x v="2"/>
    <x v="6"/>
    <x v="0"/>
    <x v="0"/>
    <n v="88.575536400409305"/>
    <n v="29.055599999999998"/>
  </r>
  <r>
    <x v="7"/>
    <x v="7"/>
    <x v="2"/>
    <x v="6"/>
    <x v="0"/>
    <x v="1"/>
    <n v="1336.7821888648953"/>
    <n v="505.26389999999998"/>
  </r>
  <r>
    <x v="7"/>
    <x v="7"/>
    <x v="2"/>
    <x v="6"/>
    <x v="1"/>
    <x v="0"/>
    <n v="1848.2172090742711"/>
    <n v="615.29499999999996"/>
  </r>
  <r>
    <x v="7"/>
    <x v="7"/>
    <x v="2"/>
    <x v="6"/>
    <x v="1"/>
    <x v="1"/>
    <n v="5451.756445802409"/>
    <n v="1751.7139"/>
  </r>
  <r>
    <x v="7"/>
    <x v="7"/>
    <x v="2"/>
    <x v="7"/>
    <x v="2"/>
    <x v="1"/>
    <n v="8920.9311524002951"/>
    <n v="4009.6405"/>
  </r>
  <r>
    <x v="7"/>
    <x v="8"/>
    <x v="0"/>
    <x v="0"/>
    <x v="0"/>
    <x v="0"/>
    <n v="3605.9554369226971"/>
    <n v="749.51689999999996"/>
  </r>
  <r>
    <x v="7"/>
    <x v="8"/>
    <x v="0"/>
    <x v="0"/>
    <x v="0"/>
    <x v="1"/>
    <n v="4827.5872742122283"/>
    <n v="446.1524"/>
  </r>
  <r>
    <x v="7"/>
    <x v="8"/>
    <x v="0"/>
    <x v="0"/>
    <x v="1"/>
    <x v="0"/>
    <n v="61343.432752967252"/>
    <n v="12202.186400000001"/>
  </r>
  <r>
    <x v="7"/>
    <x v="8"/>
    <x v="0"/>
    <x v="0"/>
    <x v="1"/>
    <x v="1"/>
    <n v="29389.531283558179"/>
    <n v="3194.3407999999999"/>
  </r>
  <r>
    <x v="7"/>
    <x v="8"/>
    <x v="0"/>
    <x v="1"/>
    <x v="0"/>
    <x v="0"/>
    <n v="4096.3793080655823"/>
    <n v="855.65219999999999"/>
  </r>
  <r>
    <x v="7"/>
    <x v="8"/>
    <x v="0"/>
    <x v="1"/>
    <x v="0"/>
    <x v="1"/>
    <n v="3149.9467123073978"/>
    <n v="260.70190000000002"/>
  </r>
  <r>
    <x v="7"/>
    <x v="8"/>
    <x v="0"/>
    <x v="1"/>
    <x v="1"/>
    <x v="0"/>
    <n v="37691.450027529208"/>
    <n v="8066.1707999999999"/>
  </r>
  <r>
    <x v="7"/>
    <x v="8"/>
    <x v="0"/>
    <x v="1"/>
    <x v="1"/>
    <x v="1"/>
    <n v="46197.757849159767"/>
    <n v="5274.692"/>
  </r>
  <r>
    <x v="7"/>
    <x v="8"/>
    <x v="1"/>
    <x v="2"/>
    <x v="2"/>
    <x v="0"/>
    <n v="4920.6029681007603"/>
    <n v="2696.8382000000001"/>
  </r>
  <r>
    <x v="7"/>
    <x v="8"/>
    <x v="1"/>
    <x v="2"/>
    <x v="2"/>
    <x v="1"/>
    <n v="75517.936660191233"/>
    <n v="40273.2065"/>
  </r>
  <r>
    <x v="7"/>
    <x v="8"/>
    <x v="1"/>
    <x v="2"/>
    <x v="3"/>
    <x v="0"/>
    <n v="15.915144188131"/>
    <m/>
  </r>
  <r>
    <x v="7"/>
    <x v="8"/>
    <x v="1"/>
    <x v="2"/>
    <x v="3"/>
    <x v="1"/>
    <n v="0.74578031894660002"/>
    <m/>
  </r>
  <r>
    <x v="7"/>
    <x v="8"/>
    <x v="1"/>
    <x v="2"/>
    <x v="4"/>
    <x v="0"/>
    <n v="0.71181127385889997"/>
    <m/>
  </r>
  <r>
    <x v="7"/>
    <x v="8"/>
    <x v="1"/>
    <x v="2"/>
    <x v="4"/>
    <x v="1"/>
    <n v="4.5811537229199999E-2"/>
    <m/>
  </r>
  <r>
    <x v="7"/>
    <x v="8"/>
    <x v="1"/>
    <x v="2"/>
    <x v="5"/>
    <x v="0"/>
    <n v="2.0844109965E-2"/>
    <m/>
  </r>
  <r>
    <x v="7"/>
    <x v="8"/>
    <x v="1"/>
    <x v="2"/>
    <x v="5"/>
    <x v="1"/>
    <n v="0.23171460932330001"/>
    <m/>
  </r>
  <r>
    <x v="7"/>
    <x v="8"/>
    <x v="1"/>
    <x v="2"/>
    <x v="6"/>
    <x v="0"/>
    <n v="3.4430023929161999"/>
    <m/>
  </r>
  <r>
    <x v="7"/>
    <x v="8"/>
    <x v="1"/>
    <x v="2"/>
    <x v="6"/>
    <x v="1"/>
    <n v="116.71469435152309"/>
    <m/>
  </r>
  <r>
    <x v="7"/>
    <x v="8"/>
    <x v="1"/>
    <x v="2"/>
    <x v="1"/>
    <x v="0"/>
    <n v="0.48314518825590003"/>
    <m/>
  </r>
  <r>
    <x v="7"/>
    <x v="8"/>
    <x v="1"/>
    <x v="2"/>
    <x v="1"/>
    <x v="1"/>
    <n v="6.8041437469180002"/>
    <m/>
  </r>
  <r>
    <x v="7"/>
    <x v="8"/>
    <x v="1"/>
    <x v="3"/>
    <x v="2"/>
    <x v="0"/>
    <n v="13019.604868204548"/>
    <n v="6951.9485000000004"/>
  </r>
  <r>
    <x v="7"/>
    <x v="8"/>
    <x v="1"/>
    <x v="3"/>
    <x v="2"/>
    <x v="1"/>
    <n v="100434.54091950171"/>
    <n v="53366.808700000001"/>
  </r>
  <r>
    <x v="7"/>
    <x v="8"/>
    <x v="1"/>
    <x v="3"/>
    <x v="3"/>
    <x v="0"/>
    <n v="2.7069041920936998"/>
    <m/>
  </r>
  <r>
    <x v="7"/>
    <x v="8"/>
    <x v="1"/>
    <x v="3"/>
    <x v="3"/>
    <x v="1"/>
    <n v="14.501139914176299"/>
    <m/>
  </r>
  <r>
    <x v="7"/>
    <x v="8"/>
    <x v="1"/>
    <x v="3"/>
    <x v="7"/>
    <x v="0"/>
    <n v="25507.10990391107"/>
    <n v="13700.256100000001"/>
  </r>
  <r>
    <x v="7"/>
    <x v="8"/>
    <x v="1"/>
    <x v="3"/>
    <x v="7"/>
    <x v="1"/>
    <n v="126670.59498074334"/>
    <n v="68021.575899999996"/>
  </r>
  <r>
    <x v="7"/>
    <x v="8"/>
    <x v="1"/>
    <x v="3"/>
    <x v="5"/>
    <x v="0"/>
    <n v="7.1256178439199999E-2"/>
    <m/>
  </r>
  <r>
    <x v="7"/>
    <x v="8"/>
    <x v="1"/>
    <x v="3"/>
    <x v="5"/>
    <x v="1"/>
    <n v="0.37715985099369997"/>
    <m/>
  </r>
  <r>
    <x v="7"/>
    <x v="8"/>
    <x v="1"/>
    <x v="3"/>
    <x v="6"/>
    <x v="0"/>
    <n v="1.5927821382847001"/>
    <m/>
  </r>
  <r>
    <x v="7"/>
    <x v="8"/>
    <x v="1"/>
    <x v="3"/>
    <x v="6"/>
    <x v="1"/>
    <n v="8.4298634304168001"/>
    <m/>
  </r>
  <r>
    <x v="7"/>
    <x v="8"/>
    <x v="1"/>
    <x v="3"/>
    <x v="1"/>
    <x v="0"/>
    <n v="12.4064244013103"/>
    <m/>
  </r>
  <r>
    <x v="7"/>
    <x v="8"/>
    <x v="1"/>
    <x v="3"/>
    <x v="1"/>
    <x v="1"/>
    <n v="28.3979294108949"/>
    <m/>
  </r>
  <r>
    <x v="7"/>
    <x v="8"/>
    <x v="1"/>
    <x v="4"/>
    <x v="2"/>
    <x v="0"/>
    <n v="8.4151961672698992"/>
    <m/>
  </r>
  <r>
    <x v="7"/>
    <x v="8"/>
    <x v="1"/>
    <x v="4"/>
    <x v="2"/>
    <x v="1"/>
    <n v="26443.677836604256"/>
    <n v="14560.8984"/>
  </r>
  <r>
    <x v="7"/>
    <x v="8"/>
    <x v="1"/>
    <x v="4"/>
    <x v="4"/>
    <x v="1"/>
    <n v="2.0112653126499999E-2"/>
    <m/>
  </r>
  <r>
    <x v="7"/>
    <x v="8"/>
    <x v="1"/>
    <x v="4"/>
    <x v="6"/>
    <x v="1"/>
    <n v="7303.5418704275326"/>
    <n v="2657.6696999999999"/>
  </r>
  <r>
    <x v="7"/>
    <x v="8"/>
    <x v="2"/>
    <x v="5"/>
    <x v="2"/>
    <x v="0"/>
    <n v="4990.3775113807596"/>
    <n v="1925.2382"/>
  </r>
  <r>
    <x v="7"/>
    <x v="8"/>
    <x v="2"/>
    <x v="5"/>
    <x v="2"/>
    <x v="1"/>
    <n v="42109.059702949817"/>
    <n v="15175.909"/>
  </r>
  <r>
    <x v="7"/>
    <x v="8"/>
    <x v="2"/>
    <x v="5"/>
    <x v="3"/>
    <x v="0"/>
    <n v="0.5376131023606"/>
    <m/>
  </r>
  <r>
    <x v="7"/>
    <x v="8"/>
    <x v="2"/>
    <x v="5"/>
    <x v="3"/>
    <x v="1"/>
    <n v="8.1412742460417995"/>
    <m/>
  </r>
  <r>
    <x v="7"/>
    <x v="8"/>
    <x v="2"/>
    <x v="5"/>
    <x v="8"/>
    <x v="0"/>
    <n v="28546.441879899099"/>
    <n v="12065.2585"/>
  </r>
  <r>
    <x v="7"/>
    <x v="8"/>
    <x v="2"/>
    <x v="5"/>
    <x v="8"/>
    <x v="1"/>
    <n v="9368.0393182809166"/>
    <n v="3708.7221"/>
  </r>
  <r>
    <x v="7"/>
    <x v="8"/>
    <x v="2"/>
    <x v="5"/>
    <x v="7"/>
    <x v="0"/>
    <n v="16508.656020141399"/>
    <n v="6757.0704999999998"/>
  </r>
  <r>
    <x v="7"/>
    <x v="8"/>
    <x v="2"/>
    <x v="5"/>
    <x v="7"/>
    <x v="1"/>
    <n v="31449.74314004722"/>
    <n v="10961.665199999999"/>
  </r>
  <r>
    <x v="7"/>
    <x v="8"/>
    <x v="2"/>
    <x v="5"/>
    <x v="5"/>
    <x v="0"/>
    <n v="0.77814092028350001"/>
    <m/>
  </r>
  <r>
    <x v="7"/>
    <x v="8"/>
    <x v="2"/>
    <x v="5"/>
    <x v="5"/>
    <x v="1"/>
    <n v="22.440850292577998"/>
    <m/>
  </r>
  <r>
    <x v="7"/>
    <x v="8"/>
    <x v="2"/>
    <x v="5"/>
    <x v="1"/>
    <x v="0"/>
    <n v="9.9598734644872007"/>
    <m/>
  </r>
  <r>
    <x v="7"/>
    <x v="8"/>
    <x v="2"/>
    <x v="5"/>
    <x v="1"/>
    <x v="1"/>
    <n v="24.592693546871502"/>
    <m/>
  </r>
  <r>
    <x v="7"/>
    <x v="8"/>
    <x v="2"/>
    <x v="5"/>
    <x v="9"/>
    <x v="0"/>
    <n v="9.8190083872390002"/>
    <m/>
  </r>
  <r>
    <x v="7"/>
    <x v="8"/>
    <x v="2"/>
    <x v="5"/>
    <x v="9"/>
    <x v="1"/>
    <n v="35.1148668750984"/>
    <m/>
  </r>
  <r>
    <x v="7"/>
    <x v="8"/>
    <x v="2"/>
    <x v="6"/>
    <x v="0"/>
    <x v="0"/>
    <n v="6141.5783225988052"/>
    <n v="2280.1041"/>
  </r>
  <r>
    <x v="7"/>
    <x v="8"/>
    <x v="2"/>
    <x v="6"/>
    <x v="0"/>
    <x v="1"/>
    <n v="11020.006927611408"/>
    <n v="2608.1363000000001"/>
  </r>
  <r>
    <x v="7"/>
    <x v="8"/>
    <x v="2"/>
    <x v="6"/>
    <x v="1"/>
    <x v="0"/>
    <n v="32868.016131792319"/>
    <n v="12552.8964"/>
  </r>
  <r>
    <x v="7"/>
    <x v="8"/>
    <x v="2"/>
    <x v="6"/>
    <x v="1"/>
    <x v="1"/>
    <n v="37033.595941918662"/>
    <n v="10153.5903"/>
  </r>
  <r>
    <x v="7"/>
    <x v="8"/>
    <x v="2"/>
    <x v="7"/>
    <x v="2"/>
    <x v="1"/>
    <n v="5704.0439310805477"/>
    <n v="1350.4893"/>
  </r>
  <r>
    <x v="7"/>
    <x v="9"/>
    <x v="0"/>
    <x v="0"/>
    <x v="0"/>
    <x v="0"/>
    <n v="29.869940958342099"/>
    <n v="3.8807"/>
  </r>
  <r>
    <x v="7"/>
    <x v="9"/>
    <x v="0"/>
    <x v="0"/>
    <x v="0"/>
    <x v="1"/>
    <n v="81.269687889977106"/>
    <n v="15.105"/>
  </r>
  <r>
    <x v="7"/>
    <x v="9"/>
    <x v="0"/>
    <x v="0"/>
    <x v="1"/>
    <x v="0"/>
    <n v="8403.1146345303496"/>
    <n v="1112.0250000000001"/>
  </r>
  <r>
    <x v="7"/>
    <x v="9"/>
    <x v="0"/>
    <x v="0"/>
    <x v="1"/>
    <x v="1"/>
    <n v="1000.039305128663"/>
    <n v="101.35680000000001"/>
  </r>
  <r>
    <x v="7"/>
    <x v="9"/>
    <x v="0"/>
    <x v="1"/>
    <x v="0"/>
    <x v="0"/>
    <n v="40.353837804313002"/>
    <n v="4.5781000000000001"/>
  </r>
  <r>
    <x v="7"/>
    <x v="9"/>
    <x v="0"/>
    <x v="1"/>
    <x v="0"/>
    <x v="1"/>
    <n v="78.610691612133806"/>
    <n v="14.0517"/>
  </r>
  <r>
    <x v="7"/>
    <x v="9"/>
    <x v="0"/>
    <x v="1"/>
    <x v="1"/>
    <x v="0"/>
    <n v="5320.1422762959201"/>
    <n v="772.83870000000002"/>
  </r>
  <r>
    <x v="7"/>
    <x v="9"/>
    <x v="0"/>
    <x v="1"/>
    <x v="1"/>
    <x v="1"/>
    <n v="4603.5905152567002"/>
    <n v="646.77030000000002"/>
  </r>
  <r>
    <x v="7"/>
    <x v="9"/>
    <x v="1"/>
    <x v="2"/>
    <x v="2"/>
    <x v="0"/>
    <n v="7450.7211910370052"/>
    <n v="2197.4965999999999"/>
  </r>
  <r>
    <x v="7"/>
    <x v="9"/>
    <x v="1"/>
    <x v="2"/>
    <x v="2"/>
    <x v="1"/>
    <n v="129197.8194446234"/>
    <n v="38841.947200000002"/>
  </r>
  <r>
    <x v="7"/>
    <x v="9"/>
    <x v="1"/>
    <x v="2"/>
    <x v="3"/>
    <x v="0"/>
    <n v="81.466139943857797"/>
    <m/>
  </r>
  <r>
    <x v="7"/>
    <x v="9"/>
    <x v="1"/>
    <x v="2"/>
    <x v="3"/>
    <x v="1"/>
    <n v="82.9527601450676"/>
    <m/>
  </r>
  <r>
    <x v="7"/>
    <x v="9"/>
    <x v="1"/>
    <x v="2"/>
    <x v="5"/>
    <x v="0"/>
    <n v="105.7966635613224"/>
    <m/>
  </r>
  <r>
    <x v="7"/>
    <x v="9"/>
    <x v="1"/>
    <x v="2"/>
    <x v="5"/>
    <x v="1"/>
    <n v="278.86361082192519"/>
    <m/>
  </r>
  <r>
    <x v="7"/>
    <x v="9"/>
    <x v="1"/>
    <x v="2"/>
    <x v="6"/>
    <x v="0"/>
    <n v="1770.6101227290901"/>
    <m/>
  </r>
  <r>
    <x v="7"/>
    <x v="9"/>
    <x v="1"/>
    <x v="2"/>
    <x v="6"/>
    <x v="1"/>
    <n v="5153.8288227217718"/>
    <m/>
  </r>
  <r>
    <x v="7"/>
    <x v="9"/>
    <x v="1"/>
    <x v="2"/>
    <x v="1"/>
    <x v="0"/>
    <n v="13.4499952456634"/>
    <m/>
  </r>
  <r>
    <x v="7"/>
    <x v="9"/>
    <x v="1"/>
    <x v="2"/>
    <x v="1"/>
    <x v="1"/>
    <n v="62.369125879229003"/>
    <m/>
  </r>
  <r>
    <x v="7"/>
    <x v="9"/>
    <x v="1"/>
    <x v="3"/>
    <x v="2"/>
    <x v="0"/>
    <n v="10808.25448905892"/>
    <n v="3738.5902000000001"/>
  </r>
  <r>
    <x v="7"/>
    <x v="9"/>
    <x v="1"/>
    <x v="3"/>
    <x v="2"/>
    <x v="1"/>
    <n v="99278.623892854201"/>
    <n v="34614.958599999998"/>
  </r>
  <r>
    <x v="7"/>
    <x v="9"/>
    <x v="1"/>
    <x v="3"/>
    <x v="3"/>
    <x v="0"/>
    <n v="220.2653274543797"/>
    <m/>
  </r>
  <r>
    <x v="7"/>
    <x v="9"/>
    <x v="1"/>
    <x v="3"/>
    <x v="3"/>
    <x v="1"/>
    <n v="559.40502552304201"/>
    <m/>
  </r>
  <r>
    <x v="7"/>
    <x v="9"/>
    <x v="1"/>
    <x v="3"/>
    <x v="7"/>
    <x v="0"/>
    <n v="928.53084746196805"/>
    <n v="303.02999999999997"/>
  </r>
  <r>
    <x v="7"/>
    <x v="9"/>
    <x v="1"/>
    <x v="3"/>
    <x v="7"/>
    <x v="1"/>
    <n v="5701.8797115014904"/>
    <n v="1910.9503"/>
  </r>
  <r>
    <x v="7"/>
    <x v="9"/>
    <x v="1"/>
    <x v="3"/>
    <x v="5"/>
    <x v="0"/>
    <n v="127.7791035224632"/>
    <m/>
  </r>
  <r>
    <x v="7"/>
    <x v="9"/>
    <x v="1"/>
    <x v="3"/>
    <x v="5"/>
    <x v="1"/>
    <n v="292.17099005375599"/>
    <m/>
  </r>
  <r>
    <x v="7"/>
    <x v="9"/>
    <x v="1"/>
    <x v="3"/>
    <x v="6"/>
    <x v="0"/>
    <n v="21.251933694302"/>
    <m/>
  </r>
  <r>
    <x v="7"/>
    <x v="9"/>
    <x v="1"/>
    <x v="3"/>
    <x v="6"/>
    <x v="1"/>
    <n v="49.891716838292602"/>
    <m/>
  </r>
  <r>
    <x v="7"/>
    <x v="9"/>
    <x v="1"/>
    <x v="3"/>
    <x v="1"/>
    <x v="0"/>
    <n v="30.482871780226901"/>
    <m/>
  </r>
  <r>
    <x v="7"/>
    <x v="9"/>
    <x v="1"/>
    <x v="3"/>
    <x v="1"/>
    <x v="1"/>
    <n v="124.17571892199911"/>
    <m/>
  </r>
  <r>
    <x v="7"/>
    <x v="9"/>
    <x v="1"/>
    <x v="4"/>
    <x v="2"/>
    <x v="0"/>
    <n v="6.1754217807567002"/>
    <m/>
  </r>
  <r>
    <x v="7"/>
    <x v="9"/>
    <x v="1"/>
    <x v="4"/>
    <x v="2"/>
    <x v="1"/>
    <n v="48553.978421827618"/>
    <n v="13448.808999999999"/>
  </r>
  <r>
    <x v="7"/>
    <x v="9"/>
    <x v="1"/>
    <x v="4"/>
    <x v="6"/>
    <x v="0"/>
    <n v="407.52327426988802"/>
    <m/>
  </r>
  <r>
    <x v="7"/>
    <x v="9"/>
    <x v="1"/>
    <x v="4"/>
    <x v="6"/>
    <x v="1"/>
    <n v="99891.808804106724"/>
    <n v="21956.245200000001"/>
  </r>
  <r>
    <x v="7"/>
    <x v="9"/>
    <x v="2"/>
    <x v="5"/>
    <x v="2"/>
    <x v="0"/>
    <n v="755.21412146760701"/>
    <n v="240.7833"/>
  </r>
  <r>
    <x v="7"/>
    <x v="9"/>
    <x v="2"/>
    <x v="5"/>
    <x v="2"/>
    <x v="1"/>
    <n v="3579.5941862157601"/>
    <n v="1141.4440999999999"/>
  </r>
  <r>
    <x v="7"/>
    <x v="9"/>
    <x v="2"/>
    <x v="5"/>
    <x v="3"/>
    <x v="0"/>
    <n v="4.3559290411399998E-2"/>
    <m/>
  </r>
  <r>
    <x v="7"/>
    <x v="9"/>
    <x v="2"/>
    <x v="5"/>
    <x v="3"/>
    <x v="1"/>
    <n v="0.58263141422940001"/>
    <m/>
  </r>
  <r>
    <x v="7"/>
    <x v="9"/>
    <x v="2"/>
    <x v="5"/>
    <x v="8"/>
    <x v="0"/>
    <n v="1.1893264077898"/>
    <m/>
  </r>
  <r>
    <x v="7"/>
    <x v="9"/>
    <x v="2"/>
    <x v="5"/>
    <x v="8"/>
    <x v="1"/>
    <n v="1.0147939236111001"/>
    <m/>
  </r>
  <r>
    <x v="7"/>
    <x v="9"/>
    <x v="2"/>
    <x v="5"/>
    <x v="7"/>
    <x v="0"/>
    <n v="118.9661328639742"/>
    <n v="29.652100000000001"/>
  </r>
  <r>
    <x v="7"/>
    <x v="9"/>
    <x v="2"/>
    <x v="5"/>
    <x v="7"/>
    <x v="1"/>
    <n v="1386.216247670073"/>
    <n v="537.52930000000003"/>
  </r>
  <r>
    <x v="7"/>
    <x v="9"/>
    <x v="2"/>
    <x v="5"/>
    <x v="1"/>
    <x v="0"/>
    <n v="2.4661595119800999"/>
    <m/>
  </r>
  <r>
    <x v="7"/>
    <x v="9"/>
    <x v="2"/>
    <x v="5"/>
    <x v="1"/>
    <x v="1"/>
    <n v="2.4135133547712999"/>
    <m/>
  </r>
  <r>
    <x v="7"/>
    <x v="9"/>
    <x v="2"/>
    <x v="5"/>
    <x v="9"/>
    <x v="0"/>
    <n v="0.74270226665130001"/>
    <m/>
  </r>
  <r>
    <x v="7"/>
    <x v="9"/>
    <x v="2"/>
    <x v="5"/>
    <x v="9"/>
    <x v="1"/>
    <n v="0.64518072261729997"/>
    <m/>
  </r>
  <r>
    <x v="7"/>
    <x v="9"/>
    <x v="2"/>
    <x v="6"/>
    <x v="0"/>
    <x v="0"/>
    <n v="31.496702206764098"/>
    <n v="8.0130999999999997"/>
  </r>
  <r>
    <x v="7"/>
    <x v="9"/>
    <x v="2"/>
    <x v="6"/>
    <x v="0"/>
    <x v="1"/>
    <n v="476.13493930246199"/>
    <n v="100.0069"/>
  </r>
  <r>
    <x v="7"/>
    <x v="9"/>
    <x v="2"/>
    <x v="6"/>
    <x v="1"/>
    <x v="0"/>
    <n v="574.23690264346806"/>
    <n v="181.5249"/>
  </r>
  <r>
    <x v="7"/>
    <x v="9"/>
    <x v="2"/>
    <x v="6"/>
    <x v="1"/>
    <x v="1"/>
    <n v="1057.132156529678"/>
    <n v="248.07429999999999"/>
  </r>
  <r>
    <x v="7"/>
    <x v="9"/>
    <x v="2"/>
    <x v="7"/>
    <x v="2"/>
    <x v="1"/>
    <n v="6800.7426468482199"/>
    <n v="3342.2168000000001"/>
  </r>
  <r>
    <x v="7"/>
    <x v="10"/>
    <x v="0"/>
    <x v="0"/>
    <x v="0"/>
    <x v="0"/>
    <n v="1016.9686910262517"/>
    <n v="209.9597"/>
  </r>
  <r>
    <x v="7"/>
    <x v="10"/>
    <x v="0"/>
    <x v="0"/>
    <x v="0"/>
    <x v="1"/>
    <n v="4397.7228062880067"/>
    <n v="784.2124"/>
  </r>
  <r>
    <x v="7"/>
    <x v="10"/>
    <x v="0"/>
    <x v="0"/>
    <x v="1"/>
    <x v="0"/>
    <n v="47451.836608901118"/>
    <n v="7509.1489000000001"/>
  </r>
  <r>
    <x v="7"/>
    <x v="10"/>
    <x v="0"/>
    <x v="0"/>
    <x v="1"/>
    <x v="1"/>
    <n v="16724.272377696092"/>
    <n v="2049.6813000000002"/>
  </r>
  <r>
    <x v="7"/>
    <x v="10"/>
    <x v="0"/>
    <x v="1"/>
    <x v="0"/>
    <x v="0"/>
    <n v="625.90987193567094"/>
    <n v="134.76320000000001"/>
  </r>
  <r>
    <x v="7"/>
    <x v="10"/>
    <x v="0"/>
    <x v="1"/>
    <x v="0"/>
    <x v="1"/>
    <n v="1723.7028896900279"/>
    <n v="240.83420000000001"/>
  </r>
  <r>
    <x v="7"/>
    <x v="10"/>
    <x v="0"/>
    <x v="1"/>
    <x v="1"/>
    <x v="0"/>
    <n v="20368.441702677435"/>
    <n v="4819.3644000000004"/>
  </r>
  <r>
    <x v="7"/>
    <x v="10"/>
    <x v="0"/>
    <x v="1"/>
    <x v="1"/>
    <x v="1"/>
    <n v="27294.725837071677"/>
    <n v="2788.5277000000001"/>
  </r>
  <r>
    <x v="7"/>
    <x v="10"/>
    <x v="1"/>
    <x v="2"/>
    <x v="2"/>
    <x v="0"/>
    <n v="18614.453618442349"/>
    <n v="4967.9665000000005"/>
  </r>
  <r>
    <x v="7"/>
    <x v="10"/>
    <x v="1"/>
    <x v="2"/>
    <x v="2"/>
    <x v="1"/>
    <n v="152976.34055478848"/>
    <n v="44870.925000000003"/>
  </r>
  <r>
    <x v="7"/>
    <x v="10"/>
    <x v="1"/>
    <x v="2"/>
    <x v="3"/>
    <x v="0"/>
    <n v="139.47617975569389"/>
    <m/>
  </r>
  <r>
    <x v="7"/>
    <x v="10"/>
    <x v="1"/>
    <x v="2"/>
    <x v="3"/>
    <x v="1"/>
    <n v="153.00434624601459"/>
    <m/>
  </r>
  <r>
    <x v="7"/>
    <x v="10"/>
    <x v="1"/>
    <x v="2"/>
    <x v="4"/>
    <x v="0"/>
    <n v="1.0999637317580999"/>
    <m/>
  </r>
  <r>
    <x v="7"/>
    <x v="10"/>
    <x v="1"/>
    <x v="2"/>
    <x v="4"/>
    <x v="1"/>
    <n v="17.549415530098599"/>
    <m/>
  </r>
  <r>
    <x v="7"/>
    <x v="10"/>
    <x v="1"/>
    <x v="2"/>
    <x v="5"/>
    <x v="0"/>
    <n v="115.63918666764729"/>
    <m/>
  </r>
  <r>
    <x v="7"/>
    <x v="10"/>
    <x v="1"/>
    <x v="2"/>
    <x v="5"/>
    <x v="1"/>
    <n v="307.83034587707562"/>
    <n v="0"/>
  </r>
  <r>
    <x v="7"/>
    <x v="10"/>
    <x v="1"/>
    <x v="2"/>
    <x v="6"/>
    <x v="0"/>
    <n v="2222.3104374194349"/>
    <m/>
  </r>
  <r>
    <x v="7"/>
    <x v="10"/>
    <x v="1"/>
    <x v="2"/>
    <x v="6"/>
    <x v="1"/>
    <n v="5547.5510849340199"/>
    <m/>
  </r>
  <r>
    <x v="7"/>
    <x v="10"/>
    <x v="1"/>
    <x v="2"/>
    <x v="1"/>
    <x v="0"/>
    <n v="455.9161697552758"/>
    <m/>
  </r>
  <r>
    <x v="7"/>
    <x v="10"/>
    <x v="1"/>
    <x v="2"/>
    <x v="1"/>
    <x v="1"/>
    <n v="1083.100191703189"/>
    <m/>
  </r>
  <r>
    <x v="7"/>
    <x v="10"/>
    <x v="1"/>
    <x v="3"/>
    <x v="2"/>
    <x v="0"/>
    <n v="30988.158382516667"/>
    <n v="9076.5002000000004"/>
  </r>
  <r>
    <x v="7"/>
    <x v="10"/>
    <x v="1"/>
    <x v="3"/>
    <x v="2"/>
    <x v="1"/>
    <n v="145961.56645181892"/>
    <n v="45335.510999999999"/>
  </r>
  <r>
    <x v="7"/>
    <x v="10"/>
    <x v="1"/>
    <x v="3"/>
    <x v="3"/>
    <x v="0"/>
    <n v="441.41982692747939"/>
    <m/>
  </r>
  <r>
    <x v="7"/>
    <x v="10"/>
    <x v="1"/>
    <x v="3"/>
    <x v="3"/>
    <x v="1"/>
    <n v="1090.378677766927"/>
    <m/>
  </r>
  <r>
    <x v="7"/>
    <x v="10"/>
    <x v="1"/>
    <x v="3"/>
    <x v="7"/>
    <x v="0"/>
    <n v="29962.330767914733"/>
    <n v="8796.1702000000005"/>
  </r>
  <r>
    <x v="7"/>
    <x v="10"/>
    <x v="1"/>
    <x v="3"/>
    <x v="7"/>
    <x v="1"/>
    <n v="100581.44970752698"/>
    <n v="32875.185899999997"/>
  </r>
  <r>
    <x v="7"/>
    <x v="10"/>
    <x v="1"/>
    <x v="3"/>
    <x v="5"/>
    <x v="0"/>
    <n v="377.33304552729868"/>
    <m/>
  </r>
  <r>
    <x v="7"/>
    <x v="10"/>
    <x v="1"/>
    <x v="3"/>
    <x v="5"/>
    <x v="1"/>
    <n v="967.47735811269126"/>
    <m/>
  </r>
  <r>
    <x v="7"/>
    <x v="10"/>
    <x v="1"/>
    <x v="3"/>
    <x v="6"/>
    <x v="0"/>
    <n v="2.1175682071500002E-2"/>
    <m/>
  </r>
  <r>
    <x v="7"/>
    <x v="10"/>
    <x v="1"/>
    <x v="3"/>
    <x v="6"/>
    <x v="1"/>
    <n v="5.4457156244999999E-2"/>
    <m/>
  </r>
  <r>
    <x v="7"/>
    <x v="10"/>
    <x v="1"/>
    <x v="3"/>
    <x v="1"/>
    <x v="0"/>
    <n v="320.52619672765059"/>
    <m/>
  </r>
  <r>
    <x v="7"/>
    <x v="10"/>
    <x v="1"/>
    <x v="3"/>
    <x v="1"/>
    <x v="1"/>
    <n v="643.80651340714905"/>
    <m/>
  </r>
  <r>
    <x v="7"/>
    <x v="10"/>
    <x v="1"/>
    <x v="4"/>
    <x v="2"/>
    <x v="0"/>
    <n v="4.0983999999999998E-9"/>
    <m/>
  </r>
  <r>
    <x v="7"/>
    <x v="10"/>
    <x v="1"/>
    <x v="4"/>
    <x v="2"/>
    <x v="1"/>
    <n v="4346.6123594838145"/>
    <n v="3161.2559000000001"/>
  </r>
  <r>
    <x v="7"/>
    <x v="10"/>
    <x v="1"/>
    <x v="4"/>
    <x v="5"/>
    <x v="1"/>
    <n v="3.67555234E-5"/>
    <m/>
  </r>
  <r>
    <x v="7"/>
    <x v="10"/>
    <x v="1"/>
    <x v="4"/>
    <x v="6"/>
    <x v="0"/>
    <n v="2.3777750000000001E-7"/>
    <m/>
  </r>
  <r>
    <x v="7"/>
    <x v="10"/>
    <x v="1"/>
    <x v="4"/>
    <x v="6"/>
    <x v="1"/>
    <n v="6113.6409626299901"/>
    <n v="4443.8518999999997"/>
  </r>
  <r>
    <x v="7"/>
    <x v="10"/>
    <x v="2"/>
    <x v="5"/>
    <x v="2"/>
    <x v="0"/>
    <n v="6144.7576665448887"/>
    <n v="2723.1279"/>
  </r>
  <r>
    <x v="7"/>
    <x v="10"/>
    <x v="2"/>
    <x v="5"/>
    <x v="2"/>
    <x v="1"/>
    <n v="40696.195471098923"/>
    <n v="14089.361500000001"/>
  </r>
  <r>
    <x v="7"/>
    <x v="10"/>
    <x v="2"/>
    <x v="5"/>
    <x v="3"/>
    <x v="0"/>
    <n v="0.91187493483850002"/>
    <m/>
  </r>
  <r>
    <x v="7"/>
    <x v="10"/>
    <x v="2"/>
    <x v="5"/>
    <x v="8"/>
    <x v="0"/>
    <n v="1324.5908072689533"/>
    <n v="577.1798"/>
  </r>
  <r>
    <x v="7"/>
    <x v="10"/>
    <x v="2"/>
    <x v="5"/>
    <x v="8"/>
    <x v="1"/>
    <n v="808.74516987601385"/>
    <n v="344.36020000000002"/>
  </r>
  <r>
    <x v="7"/>
    <x v="10"/>
    <x v="2"/>
    <x v="5"/>
    <x v="7"/>
    <x v="0"/>
    <n v="7256.6327883840258"/>
    <n v="3082.0981999999999"/>
  </r>
  <r>
    <x v="7"/>
    <x v="10"/>
    <x v="2"/>
    <x v="5"/>
    <x v="7"/>
    <x v="1"/>
    <n v="13200.341593498808"/>
    <n v="4248.5477000000001"/>
  </r>
  <r>
    <x v="7"/>
    <x v="10"/>
    <x v="2"/>
    <x v="5"/>
    <x v="1"/>
    <x v="0"/>
    <n v="15.1211880440458"/>
    <m/>
  </r>
  <r>
    <x v="7"/>
    <x v="10"/>
    <x v="2"/>
    <x v="5"/>
    <x v="1"/>
    <x v="1"/>
    <n v="25.983327813430201"/>
    <m/>
  </r>
  <r>
    <x v="7"/>
    <x v="10"/>
    <x v="2"/>
    <x v="5"/>
    <x v="9"/>
    <x v="0"/>
    <n v="1.4896642972542999"/>
    <m/>
  </r>
  <r>
    <x v="7"/>
    <x v="10"/>
    <x v="2"/>
    <x v="5"/>
    <x v="9"/>
    <x v="1"/>
    <n v="16.9099866659251"/>
    <m/>
  </r>
  <r>
    <x v="7"/>
    <x v="10"/>
    <x v="2"/>
    <x v="6"/>
    <x v="0"/>
    <x v="0"/>
    <n v="4897.9589569318641"/>
    <n v="1682.8398999999999"/>
  </r>
  <r>
    <x v="7"/>
    <x v="10"/>
    <x v="2"/>
    <x v="6"/>
    <x v="0"/>
    <x v="1"/>
    <n v="14305.277357793371"/>
    <n v="2997.1696999999999"/>
  </r>
  <r>
    <x v="7"/>
    <x v="10"/>
    <x v="2"/>
    <x v="6"/>
    <x v="1"/>
    <x v="0"/>
    <n v="27085.528102669432"/>
    <n v="8933.1075000000001"/>
  </r>
  <r>
    <x v="7"/>
    <x v="10"/>
    <x v="2"/>
    <x v="6"/>
    <x v="1"/>
    <x v="1"/>
    <n v="47037.316595381111"/>
    <n v="13653.7719"/>
  </r>
  <r>
    <x v="7"/>
    <x v="10"/>
    <x v="2"/>
    <x v="7"/>
    <x v="2"/>
    <x v="1"/>
    <n v="3121.3417304631616"/>
    <n v="1397.731"/>
  </r>
</pivotCacheRecords>
</file>

<file path=xl/pivotCache/pivotCacheRecords2.xml><?xml version="1.0" encoding="utf-8"?>
<pivotCacheRecords xmlns="http://schemas.openxmlformats.org/spreadsheetml/2006/main" xmlns:r="http://schemas.openxmlformats.org/officeDocument/2006/relationships" count="19970">
  <r>
    <x v="0"/>
    <x v="0"/>
    <x v="0"/>
    <x v="0"/>
    <x v="0"/>
    <x v="0"/>
    <n v="2.46"/>
    <n v="1.79"/>
    <n v="1.48"/>
    <n v="2.33"/>
  </r>
  <r>
    <x v="0"/>
    <x v="0"/>
    <x v="0"/>
    <x v="1"/>
    <x v="1"/>
    <x v="1"/>
    <n v="5.97"/>
    <n v="4.33"/>
    <n v="0.09"/>
    <n v="5.67"/>
  </r>
  <r>
    <x v="0"/>
    <x v="0"/>
    <x v="0"/>
    <x v="1"/>
    <x v="2"/>
    <x v="1"/>
    <n v="15.41"/>
    <n v="11.17"/>
    <n v="0.06"/>
    <n v="14.59"/>
  </r>
  <r>
    <x v="0"/>
    <x v="0"/>
    <x v="0"/>
    <x v="2"/>
    <x v="3"/>
    <x v="1"/>
    <n v="10.47"/>
    <n v="7.59"/>
    <n v="0.03"/>
    <n v="9.9499999999999993"/>
  </r>
  <r>
    <x v="0"/>
    <x v="0"/>
    <x v="0"/>
    <x v="3"/>
    <x v="4"/>
    <x v="0"/>
    <n v="0.11"/>
    <n v="0.08"/>
    <n v="0.02"/>
    <n v="0.11"/>
  </r>
  <r>
    <x v="0"/>
    <x v="0"/>
    <x v="0"/>
    <x v="4"/>
    <x v="0"/>
    <x v="0"/>
    <n v="1.4"/>
    <n v="1.01"/>
    <n v="0.45"/>
    <n v="1.3"/>
  </r>
  <r>
    <x v="0"/>
    <x v="0"/>
    <x v="0"/>
    <x v="4"/>
    <x v="4"/>
    <x v="2"/>
    <n v="0.99"/>
    <n v="0.72"/>
    <n v="0.04"/>
    <n v="0.92"/>
  </r>
  <r>
    <x v="0"/>
    <x v="0"/>
    <x v="0"/>
    <x v="4"/>
    <x v="1"/>
    <x v="0"/>
    <n v="1.01"/>
    <n v="0.73"/>
    <n v="0.13"/>
    <n v="0.95"/>
  </r>
  <r>
    <x v="0"/>
    <x v="0"/>
    <x v="0"/>
    <x v="0"/>
    <x v="3"/>
    <x v="1"/>
    <n v="3.73"/>
    <n v="2.71"/>
    <n v="0"/>
    <n v="3.56"/>
  </r>
  <r>
    <x v="0"/>
    <x v="0"/>
    <x v="0"/>
    <x v="0"/>
    <x v="4"/>
    <x v="0"/>
    <n v="10.01"/>
    <n v="7.26"/>
    <n v="3.11"/>
    <n v="9.5500000000000007"/>
  </r>
  <r>
    <x v="0"/>
    <x v="0"/>
    <x v="0"/>
    <x v="0"/>
    <x v="1"/>
    <x v="0"/>
    <n v="0.45"/>
    <n v="0.33"/>
    <n v="0.11"/>
    <n v="0.44"/>
  </r>
  <r>
    <x v="0"/>
    <x v="0"/>
    <x v="0"/>
    <x v="1"/>
    <x v="0"/>
    <x v="0"/>
    <n v="6.5"/>
    <n v="4.71"/>
    <n v="2.81"/>
    <n v="6.17"/>
  </r>
  <r>
    <x v="0"/>
    <x v="0"/>
    <x v="0"/>
    <x v="1"/>
    <x v="4"/>
    <x v="0"/>
    <n v="27.34"/>
    <n v="19.82"/>
    <n v="6.2"/>
    <n v="26.03"/>
  </r>
  <r>
    <x v="0"/>
    <x v="0"/>
    <x v="0"/>
    <x v="1"/>
    <x v="1"/>
    <x v="0"/>
    <n v="3.79"/>
    <n v="2.75"/>
    <n v="0.38"/>
    <n v="3.63"/>
  </r>
  <r>
    <x v="0"/>
    <x v="0"/>
    <x v="0"/>
    <x v="1"/>
    <x v="2"/>
    <x v="0"/>
    <n v="0.51"/>
    <n v="0.37"/>
    <n v="0.02"/>
    <n v="0.48"/>
  </r>
  <r>
    <x v="0"/>
    <x v="0"/>
    <x v="0"/>
    <x v="4"/>
    <x v="4"/>
    <x v="0"/>
    <n v="19.440000000000001"/>
    <n v="14.1"/>
    <n v="3.24"/>
    <n v="18.29"/>
  </r>
  <r>
    <x v="0"/>
    <x v="0"/>
    <x v="0"/>
    <x v="2"/>
    <x v="3"/>
    <x v="3"/>
    <n v="1.5"/>
    <n v="1.08"/>
    <n v="0"/>
    <n v="1.46"/>
  </r>
  <r>
    <x v="0"/>
    <x v="0"/>
    <x v="0"/>
    <x v="4"/>
    <x v="1"/>
    <x v="2"/>
    <n v="1.65"/>
    <n v="1.2"/>
    <n v="0.05"/>
    <n v="1.56"/>
  </r>
  <r>
    <x v="0"/>
    <x v="0"/>
    <x v="0"/>
    <x v="1"/>
    <x v="4"/>
    <x v="2"/>
    <n v="0.97"/>
    <n v="0.7"/>
    <n v="0.04"/>
    <n v="0.91"/>
  </r>
  <r>
    <x v="0"/>
    <x v="0"/>
    <x v="0"/>
    <x v="1"/>
    <x v="1"/>
    <x v="2"/>
    <n v="0.64"/>
    <n v="0.46"/>
    <n v="0.01"/>
    <n v="0.6"/>
  </r>
  <r>
    <x v="0"/>
    <x v="0"/>
    <x v="0"/>
    <x v="1"/>
    <x v="2"/>
    <x v="2"/>
    <n v="1.56"/>
    <n v="1.1299999999999999"/>
    <n v="0.01"/>
    <n v="1.47"/>
  </r>
  <r>
    <x v="0"/>
    <x v="0"/>
    <x v="0"/>
    <x v="1"/>
    <x v="3"/>
    <x v="2"/>
    <n v="2.4"/>
    <n v="1.74"/>
    <n v="0.01"/>
    <n v="2.27"/>
  </r>
  <r>
    <x v="0"/>
    <x v="0"/>
    <x v="0"/>
    <x v="2"/>
    <x v="2"/>
    <x v="2"/>
    <n v="0.42"/>
    <n v="0.31"/>
    <n v="0"/>
    <n v="0.42"/>
  </r>
  <r>
    <x v="0"/>
    <x v="0"/>
    <x v="0"/>
    <x v="1"/>
    <x v="4"/>
    <x v="1"/>
    <n v="1.3"/>
    <n v="0.94"/>
    <n v="0.06"/>
    <n v="1.22"/>
  </r>
  <r>
    <x v="0"/>
    <x v="0"/>
    <x v="0"/>
    <x v="2"/>
    <x v="2"/>
    <x v="3"/>
    <n v="5.5"/>
    <n v="3.99"/>
    <n v="0"/>
    <n v="5.13"/>
  </r>
  <r>
    <x v="0"/>
    <x v="0"/>
    <x v="0"/>
    <x v="1"/>
    <x v="0"/>
    <x v="1"/>
    <n v="1.57"/>
    <n v="1.1399999999999999"/>
    <n v="0.1"/>
    <n v="1.48"/>
  </r>
  <r>
    <x v="0"/>
    <x v="0"/>
    <x v="0"/>
    <x v="4"/>
    <x v="0"/>
    <x v="1"/>
    <n v="1.27"/>
    <n v="0.92"/>
    <n v="0.11"/>
    <n v="1.2"/>
  </r>
  <r>
    <x v="0"/>
    <x v="0"/>
    <x v="0"/>
    <x v="4"/>
    <x v="4"/>
    <x v="1"/>
    <n v="1.25"/>
    <n v="0.91"/>
    <n v="0.05"/>
    <n v="1.17"/>
  </r>
  <r>
    <x v="0"/>
    <x v="0"/>
    <x v="0"/>
    <x v="0"/>
    <x v="0"/>
    <x v="1"/>
    <n v="0.59"/>
    <n v="0.43"/>
    <n v="0.02"/>
    <n v="0.56999999999999995"/>
  </r>
  <r>
    <x v="0"/>
    <x v="0"/>
    <x v="0"/>
    <x v="0"/>
    <x v="4"/>
    <x v="1"/>
    <n v="1.83"/>
    <n v="1.33"/>
    <n v="0.08"/>
    <n v="1.72"/>
  </r>
  <r>
    <x v="0"/>
    <x v="0"/>
    <x v="0"/>
    <x v="0"/>
    <x v="1"/>
    <x v="1"/>
    <n v="1.1000000000000001"/>
    <n v="0.8"/>
    <n v="0.01"/>
    <n v="1.02"/>
  </r>
  <r>
    <x v="0"/>
    <x v="0"/>
    <x v="0"/>
    <x v="2"/>
    <x v="4"/>
    <x v="0"/>
    <n v="5.43"/>
    <n v="3.93"/>
    <n v="1.29"/>
    <n v="5.13"/>
  </r>
  <r>
    <x v="0"/>
    <x v="0"/>
    <x v="0"/>
    <x v="2"/>
    <x v="3"/>
    <x v="2"/>
    <n v="8.9"/>
    <n v="6.45"/>
    <n v="0.01"/>
    <n v="8.6300000000000008"/>
  </r>
  <r>
    <x v="0"/>
    <x v="0"/>
    <x v="0"/>
    <x v="2"/>
    <x v="0"/>
    <x v="0"/>
    <n v="7.49"/>
    <n v="5.43"/>
    <n v="3.18"/>
    <n v="7.04"/>
  </r>
  <r>
    <x v="0"/>
    <x v="1"/>
    <x v="1"/>
    <x v="2"/>
    <x v="3"/>
    <x v="2"/>
    <n v="36.72"/>
    <n v="38.61"/>
    <n v="0.01"/>
    <n v="18.36"/>
  </r>
  <r>
    <x v="0"/>
    <x v="1"/>
    <x v="1"/>
    <x v="2"/>
    <x v="4"/>
    <x v="0"/>
    <n v="12.82"/>
    <n v="13.48"/>
    <n v="4.34"/>
    <n v="11.73"/>
  </r>
  <r>
    <x v="0"/>
    <x v="1"/>
    <x v="1"/>
    <x v="0"/>
    <x v="1"/>
    <x v="1"/>
    <n v="2.37"/>
    <n v="2.4900000000000002"/>
    <n v="7.0000000000000007E-2"/>
    <n v="2.13"/>
  </r>
  <r>
    <x v="0"/>
    <x v="1"/>
    <x v="1"/>
    <x v="0"/>
    <x v="4"/>
    <x v="1"/>
    <n v="2.4300000000000002"/>
    <n v="2.5499999999999998"/>
    <n v="7.0000000000000007E-2"/>
    <n v="2.04"/>
  </r>
  <r>
    <x v="0"/>
    <x v="1"/>
    <x v="1"/>
    <x v="0"/>
    <x v="0"/>
    <x v="1"/>
    <n v="0.39"/>
    <n v="0.41"/>
    <n v="0.02"/>
    <n v="0.34"/>
  </r>
  <r>
    <x v="0"/>
    <x v="1"/>
    <x v="1"/>
    <x v="4"/>
    <x v="4"/>
    <x v="1"/>
    <n v="1.7"/>
    <n v="1.79"/>
    <n v="7.0000000000000007E-2"/>
    <n v="1.43"/>
  </r>
  <r>
    <x v="0"/>
    <x v="1"/>
    <x v="1"/>
    <x v="4"/>
    <x v="0"/>
    <x v="1"/>
    <n v="0.84"/>
    <n v="0.88"/>
    <n v="0.05"/>
    <n v="0.7"/>
  </r>
  <r>
    <x v="0"/>
    <x v="1"/>
    <x v="1"/>
    <x v="2"/>
    <x v="2"/>
    <x v="3"/>
    <n v="101.73"/>
    <n v="106.95"/>
    <n v="0.05"/>
    <n v="101.73"/>
  </r>
  <r>
    <x v="0"/>
    <x v="1"/>
    <x v="1"/>
    <x v="1"/>
    <x v="4"/>
    <x v="1"/>
    <n v="12.12"/>
    <n v="12.74"/>
    <n v="0.35"/>
    <n v="10.31"/>
  </r>
  <r>
    <x v="0"/>
    <x v="1"/>
    <x v="1"/>
    <x v="1"/>
    <x v="3"/>
    <x v="2"/>
    <n v="3.47"/>
    <n v="3.65"/>
    <n v="0.01"/>
    <n v="3.47"/>
  </r>
  <r>
    <x v="0"/>
    <x v="1"/>
    <x v="1"/>
    <x v="1"/>
    <x v="2"/>
    <x v="2"/>
    <n v="1.29"/>
    <n v="1.35"/>
    <n v="0"/>
    <n v="1.29"/>
  </r>
  <r>
    <x v="0"/>
    <x v="1"/>
    <x v="1"/>
    <x v="1"/>
    <x v="1"/>
    <x v="2"/>
    <n v="6.99"/>
    <n v="7.34"/>
    <n v="7.0000000000000007E-2"/>
    <n v="5.73"/>
  </r>
  <r>
    <x v="0"/>
    <x v="1"/>
    <x v="1"/>
    <x v="1"/>
    <x v="4"/>
    <x v="2"/>
    <n v="0.99"/>
    <n v="1.04"/>
    <n v="0.02"/>
    <n v="0.81"/>
  </r>
  <r>
    <x v="0"/>
    <x v="1"/>
    <x v="1"/>
    <x v="4"/>
    <x v="1"/>
    <x v="2"/>
    <n v="3.99"/>
    <n v="4.2"/>
    <n v="7.0000000000000007E-2"/>
    <n v="3.42"/>
  </r>
  <r>
    <x v="0"/>
    <x v="1"/>
    <x v="1"/>
    <x v="4"/>
    <x v="4"/>
    <x v="2"/>
    <n v="4.18"/>
    <n v="4.3899999999999997"/>
    <n v="0.12"/>
    <n v="4.18"/>
  </r>
  <r>
    <x v="0"/>
    <x v="1"/>
    <x v="1"/>
    <x v="2"/>
    <x v="3"/>
    <x v="3"/>
    <n v="140.91"/>
    <n v="148.13999999999999"/>
    <n v="0.05"/>
    <n v="95.32"/>
  </r>
  <r>
    <x v="0"/>
    <x v="1"/>
    <x v="1"/>
    <x v="4"/>
    <x v="1"/>
    <x v="0"/>
    <n v="18.64"/>
    <n v="19.59"/>
    <n v="0.89"/>
    <n v="16.829999999999998"/>
  </r>
  <r>
    <x v="0"/>
    <x v="1"/>
    <x v="1"/>
    <x v="2"/>
    <x v="4"/>
    <x v="1"/>
    <n v="0.96"/>
    <n v="1.01"/>
    <n v="0.01"/>
    <n v="0.96"/>
  </r>
  <r>
    <x v="0"/>
    <x v="1"/>
    <x v="1"/>
    <x v="2"/>
    <x v="0"/>
    <x v="0"/>
    <n v="13.16"/>
    <n v="13.84"/>
    <n v="11.39"/>
    <n v="12.83"/>
  </r>
  <r>
    <x v="0"/>
    <x v="1"/>
    <x v="1"/>
    <x v="1"/>
    <x v="2"/>
    <x v="0"/>
    <n v="1.4"/>
    <n v="1.47"/>
    <n v="0.03"/>
    <n v="1.19"/>
  </r>
  <r>
    <x v="0"/>
    <x v="1"/>
    <x v="1"/>
    <x v="1"/>
    <x v="1"/>
    <x v="0"/>
    <n v="89.41"/>
    <n v="94"/>
    <n v="4.9000000000000004"/>
    <n v="79.44"/>
  </r>
  <r>
    <x v="0"/>
    <x v="1"/>
    <x v="1"/>
    <x v="1"/>
    <x v="4"/>
    <x v="0"/>
    <n v="192.48"/>
    <n v="202.36"/>
    <n v="43.24"/>
    <n v="175.21"/>
  </r>
  <r>
    <x v="0"/>
    <x v="1"/>
    <x v="1"/>
    <x v="1"/>
    <x v="0"/>
    <x v="0"/>
    <n v="9.5399999999999991"/>
    <n v="10.02"/>
    <n v="5.67"/>
    <n v="8.7200000000000006"/>
  </r>
  <r>
    <x v="0"/>
    <x v="1"/>
    <x v="1"/>
    <x v="0"/>
    <x v="3"/>
    <x v="1"/>
    <n v="8.77"/>
    <n v="9.2200000000000006"/>
    <n v="0.01"/>
    <n v="4.38"/>
  </r>
  <r>
    <x v="0"/>
    <x v="1"/>
    <x v="1"/>
    <x v="0"/>
    <x v="0"/>
    <x v="0"/>
    <n v="10.93"/>
    <n v="11.49"/>
    <n v="4.67"/>
    <n v="9.35"/>
  </r>
  <r>
    <x v="0"/>
    <x v="1"/>
    <x v="1"/>
    <x v="1"/>
    <x v="0"/>
    <x v="1"/>
    <n v="21.29"/>
    <n v="22.38"/>
    <n v="1.71"/>
    <n v="18.14"/>
  </r>
  <r>
    <x v="0"/>
    <x v="1"/>
    <x v="1"/>
    <x v="4"/>
    <x v="4"/>
    <x v="0"/>
    <n v="153.96"/>
    <n v="161.86000000000001"/>
    <n v="19.29"/>
    <n v="133.65"/>
  </r>
  <r>
    <x v="0"/>
    <x v="1"/>
    <x v="1"/>
    <x v="4"/>
    <x v="0"/>
    <x v="0"/>
    <n v="0.09"/>
    <n v="0.09"/>
    <n v="0.03"/>
    <n v="7.0000000000000007E-2"/>
  </r>
  <r>
    <x v="0"/>
    <x v="1"/>
    <x v="1"/>
    <x v="3"/>
    <x v="4"/>
    <x v="0"/>
    <n v="10.52"/>
    <n v="11.06"/>
    <n v="1.7"/>
    <n v="9.2200000000000006"/>
  </r>
  <r>
    <x v="0"/>
    <x v="1"/>
    <x v="1"/>
    <x v="2"/>
    <x v="3"/>
    <x v="1"/>
    <n v="119.23"/>
    <n v="125.34"/>
    <n v="0.09"/>
    <n v="55.65"/>
  </r>
  <r>
    <x v="0"/>
    <x v="1"/>
    <x v="1"/>
    <x v="1"/>
    <x v="3"/>
    <x v="1"/>
    <n v="1.38"/>
    <n v="1.45"/>
    <n v="0"/>
    <n v="1.38"/>
  </r>
  <r>
    <x v="0"/>
    <x v="1"/>
    <x v="1"/>
    <x v="1"/>
    <x v="1"/>
    <x v="1"/>
    <n v="13.26"/>
    <n v="13.94"/>
    <n v="0.17"/>
    <n v="11.27"/>
  </r>
  <r>
    <x v="0"/>
    <x v="1"/>
    <x v="1"/>
    <x v="0"/>
    <x v="4"/>
    <x v="0"/>
    <n v="55.81"/>
    <n v="58.67"/>
    <n v="10.9"/>
    <n v="48.21"/>
  </r>
  <r>
    <x v="0"/>
    <x v="1"/>
    <x v="1"/>
    <x v="1"/>
    <x v="2"/>
    <x v="1"/>
    <n v="38.39"/>
    <n v="40.35"/>
    <n v="0.22"/>
    <n v="32.93"/>
  </r>
  <r>
    <x v="0"/>
    <x v="2"/>
    <x v="2"/>
    <x v="0"/>
    <x v="4"/>
    <x v="0"/>
    <n v="20.64"/>
    <n v="20.68"/>
    <n v="5.84"/>
    <n v="18.91"/>
  </r>
  <r>
    <x v="0"/>
    <x v="2"/>
    <x v="2"/>
    <x v="1"/>
    <x v="3"/>
    <x v="1"/>
    <n v="0.01"/>
    <n v="0.01"/>
    <n v="0"/>
    <n v="0.01"/>
  </r>
  <r>
    <x v="0"/>
    <x v="2"/>
    <x v="2"/>
    <x v="2"/>
    <x v="4"/>
    <x v="1"/>
    <n v="0.05"/>
    <n v="0.05"/>
    <n v="0"/>
    <n v="0.05"/>
  </r>
  <r>
    <x v="0"/>
    <x v="2"/>
    <x v="2"/>
    <x v="2"/>
    <x v="3"/>
    <x v="1"/>
    <n v="1.28"/>
    <n v="1.29"/>
    <n v="0"/>
    <n v="1.21"/>
  </r>
  <r>
    <x v="0"/>
    <x v="2"/>
    <x v="2"/>
    <x v="3"/>
    <x v="4"/>
    <x v="0"/>
    <n v="3.27"/>
    <n v="3.28"/>
    <n v="0.44"/>
    <n v="2.98"/>
  </r>
  <r>
    <x v="0"/>
    <x v="2"/>
    <x v="2"/>
    <x v="4"/>
    <x v="0"/>
    <x v="0"/>
    <n v="0.17"/>
    <n v="0.17"/>
    <n v="0.04"/>
    <n v="0.16"/>
  </r>
  <r>
    <x v="0"/>
    <x v="2"/>
    <x v="2"/>
    <x v="4"/>
    <x v="4"/>
    <x v="0"/>
    <n v="30.38"/>
    <n v="30.44"/>
    <n v="4.87"/>
    <n v="28.1"/>
  </r>
  <r>
    <x v="0"/>
    <x v="2"/>
    <x v="2"/>
    <x v="2"/>
    <x v="4"/>
    <x v="0"/>
    <n v="1.65"/>
    <n v="1.66"/>
    <n v="0.45"/>
    <n v="1.57"/>
  </r>
  <r>
    <x v="0"/>
    <x v="2"/>
    <x v="2"/>
    <x v="0"/>
    <x v="0"/>
    <x v="0"/>
    <n v="4.5999999999999996"/>
    <n v="4.6100000000000003"/>
    <n v="2.48"/>
    <n v="4.2"/>
  </r>
  <r>
    <x v="0"/>
    <x v="2"/>
    <x v="2"/>
    <x v="1"/>
    <x v="4"/>
    <x v="1"/>
    <n v="1.1100000000000001"/>
    <n v="1.1100000000000001"/>
    <n v="0.05"/>
    <n v="1.1100000000000001"/>
  </r>
  <r>
    <x v="0"/>
    <x v="2"/>
    <x v="2"/>
    <x v="0"/>
    <x v="1"/>
    <x v="0"/>
    <n v="0.3"/>
    <n v="0.3"/>
    <n v="0.06"/>
    <n v="0.27"/>
  </r>
  <r>
    <x v="0"/>
    <x v="2"/>
    <x v="2"/>
    <x v="1"/>
    <x v="0"/>
    <x v="0"/>
    <n v="7.35"/>
    <n v="7.37"/>
    <n v="2.98"/>
    <n v="6.8"/>
  </r>
  <r>
    <x v="0"/>
    <x v="2"/>
    <x v="2"/>
    <x v="1"/>
    <x v="4"/>
    <x v="0"/>
    <n v="63.87"/>
    <n v="64"/>
    <n v="15.05"/>
    <n v="58.6"/>
  </r>
  <r>
    <x v="0"/>
    <x v="2"/>
    <x v="2"/>
    <x v="1"/>
    <x v="1"/>
    <x v="0"/>
    <n v="13.11"/>
    <n v="13.14"/>
    <n v="0.67"/>
    <n v="12.01"/>
  </r>
  <r>
    <x v="0"/>
    <x v="2"/>
    <x v="2"/>
    <x v="1"/>
    <x v="2"/>
    <x v="0"/>
    <n v="1.42"/>
    <n v="1.42"/>
    <n v="0.03"/>
    <n v="1.27"/>
  </r>
  <r>
    <x v="0"/>
    <x v="2"/>
    <x v="2"/>
    <x v="2"/>
    <x v="0"/>
    <x v="0"/>
    <n v="2.79"/>
    <n v="2.79"/>
    <n v="1.72"/>
    <n v="2.61"/>
  </r>
  <r>
    <x v="0"/>
    <x v="2"/>
    <x v="2"/>
    <x v="4"/>
    <x v="1"/>
    <x v="0"/>
    <n v="4.1900000000000004"/>
    <n v="4.2"/>
    <n v="0.33"/>
    <n v="3.82"/>
  </r>
  <r>
    <x v="0"/>
    <x v="2"/>
    <x v="2"/>
    <x v="4"/>
    <x v="4"/>
    <x v="1"/>
    <n v="1.05"/>
    <n v="1.05"/>
    <n v="0.06"/>
    <n v="0.99"/>
  </r>
  <r>
    <x v="0"/>
    <x v="2"/>
    <x v="2"/>
    <x v="4"/>
    <x v="1"/>
    <x v="2"/>
    <n v="1.01"/>
    <n v="1.01"/>
    <n v="0.03"/>
    <n v="0.88"/>
  </r>
  <r>
    <x v="0"/>
    <x v="2"/>
    <x v="2"/>
    <x v="1"/>
    <x v="4"/>
    <x v="2"/>
    <n v="1.96"/>
    <n v="1.96"/>
    <n v="0.06"/>
    <n v="1.7"/>
  </r>
  <r>
    <x v="0"/>
    <x v="2"/>
    <x v="2"/>
    <x v="1"/>
    <x v="1"/>
    <x v="2"/>
    <n v="1.1599999999999999"/>
    <n v="1.1599999999999999"/>
    <n v="0.01"/>
    <n v="1.01"/>
  </r>
  <r>
    <x v="0"/>
    <x v="2"/>
    <x v="2"/>
    <x v="2"/>
    <x v="3"/>
    <x v="2"/>
    <n v="15.24"/>
    <n v="15.27"/>
    <n v="0.01"/>
    <n v="13.28"/>
  </r>
  <r>
    <x v="0"/>
    <x v="2"/>
    <x v="2"/>
    <x v="2"/>
    <x v="1"/>
    <x v="3"/>
    <n v="2.2400000000000002"/>
    <n v="2.25"/>
    <n v="0"/>
    <n v="2.2400000000000002"/>
  </r>
  <r>
    <x v="0"/>
    <x v="2"/>
    <x v="2"/>
    <x v="2"/>
    <x v="2"/>
    <x v="3"/>
    <n v="8.94"/>
    <n v="8.9600000000000009"/>
    <n v="0.01"/>
    <n v="8.92"/>
  </r>
  <r>
    <x v="0"/>
    <x v="2"/>
    <x v="2"/>
    <x v="1"/>
    <x v="2"/>
    <x v="1"/>
    <n v="11.37"/>
    <n v="11.4"/>
    <n v="7.0000000000000007E-2"/>
    <n v="10.56"/>
  </r>
  <r>
    <x v="0"/>
    <x v="2"/>
    <x v="2"/>
    <x v="4"/>
    <x v="0"/>
    <x v="1"/>
    <n v="0.95"/>
    <n v="0.95"/>
    <n v="0.06"/>
    <n v="0.87"/>
  </r>
  <r>
    <x v="0"/>
    <x v="2"/>
    <x v="2"/>
    <x v="1"/>
    <x v="1"/>
    <x v="1"/>
    <n v="4.59"/>
    <n v="4.5999999999999996"/>
    <n v="0.05"/>
    <n v="4.22"/>
  </r>
  <r>
    <x v="0"/>
    <x v="2"/>
    <x v="2"/>
    <x v="0"/>
    <x v="0"/>
    <x v="1"/>
    <n v="0.65"/>
    <n v="0.65"/>
    <n v="0.03"/>
    <n v="0.6"/>
  </r>
  <r>
    <x v="0"/>
    <x v="2"/>
    <x v="2"/>
    <x v="0"/>
    <x v="4"/>
    <x v="1"/>
    <n v="2.57"/>
    <n v="2.58"/>
    <n v="0.16"/>
    <n v="2.33"/>
  </r>
  <r>
    <x v="0"/>
    <x v="2"/>
    <x v="2"/>
    <x v="0"/>
    <x v="1"/>
    <x v="1"/>
    <n v="0.91"/>
    <n v="0.91"/>
    <n v="0.01"/>
    <n v="0.82"/>
  </r>
  <r>
    <x v="0"/>
    <x v="2"/>
    <x v="2"/>
    <x v="0"/>
    <x v="3"/>
    <x v="1"/>
    <n v="1.92"/>
    <n v="1.93"/>
    <n v="0"/>
    <n v="1.75"/>
  </r>
  <r>
    <x v="0"/>
    <x v="2"/>
    <x v="2"/>
    <x v="1"/>
    <x v="0"/>
    <x v="1"/>
    <n v="2.61"/>
    <n v="2.62"/>
    <n v="0.17"/>
    <n v="2.56"/>
  </r>
  <r>
    <x v="0"/>
    <x v="2"/>
    <x v="2"/>
    <x v="4"/>
    <x v="2"/>
    <x v="2"/>
    <n v="0.6"/>
    <n v="0.6"/>
    <n v="0"/>
    <n v="0.52"/>
  </r>
  <r>
    <x v="0"/>
    <x v="2"/>
    <x v="2"/>
    <x v="2"/>
    <x v="3"/>
    <x v="3"/>
    <n v="6.98"/>
    <n v="6.99"/>
    <n v="0"/>
    <n v="6.98"/>
  </r>
  <r>
    <x v="0"/>
    <x v="2"/>
    <x v="2"/>
    <x v="4"/>
    <x v="4"/>
    <x v="2"/>
    <n v="0.9"/>
    <n v="0.91"/>
    <n v="0.04"/>
    <n v="0.79"/>
  </r>
  <r>
    <x v="0"/>
    <x v="2"/>
    <x v="3"/>
    <x v="0"/>
    <x v="1"/>
    <x v="0"/>
    <n v="0.3"/>
    <n v="0.3"/>
    <n v="0.06"/>
    <n v="0.28000000000000003"/>
  </r>
  <r>
    <x v="0"/>
    <x v="2"/>
    <x v="3"/>
    <x v="1"/>
    <x v="2"/>
    <x v="1"/>
    <n v="25.99"/>
    <n v="26.04"/>
    <n v="0.13"/>
    <n v="24.89"/>
  </r>
  <r>
    <x v="0"/>
    <x v="2"/>
    <x v="3"/>
    <x v="1"/>
    <x v="3"/>
    <x v="1"/>
    <n v="0.01"/>
    <n v="0.01"/>
    <n v="0"/>
    <n v="0.01"/>
  </r>
  <r>
    <x v="0"/>
    <x v="2"/>
    <x v="3"/>
    <x v="2"/>
    <x v="4"/>
    <x v="1"/>
    <n v="0.09"/>
    <n v="0.09"/>
    <n v="0"/>
    <n v="0.08"/>
  </r>
  <r>
    <x v="0"/>
    <x v="2"/>
    <x v="3"/>
    <x v="2"/>
    <x v="2"/>
    <x v="1"/>
    <n v="0.96"/>
    <n v="0.96"/>
    <n v="0"/>
    <n v="0.96"/>
  </r>
  <r>
    <x v="0"/>
    <x v="2"/>
    <x v="3"/>
    <x v="2"/>
    <x v="3"/>
    <x v="1"/>
    <n v="6.16"/>
    <n v="6.17"/>
    <n v="0.01"/>
    <n v="5.98"/>
  </r>
  <r>
    <x v="0"/>
    <x v="2"/>
    <x v="3"/>
    <x v="3"/>
    <x v="4"/>
    <x v="0"/>
    <n v="4.08"/>
    <n v="4.09"/>
    <n v="0.55000000000000004"/>
    <n v="3.74"/>
  </r>
  <r>
    <x v="0"/>
    <x v="2"/>
    <x v="3"/>
    <x v="4"/>
    <x v="0"/>
    <x v="0"/>
    <n v="0.17"/>
    <n v="0.17"/>
    <n v="0.04"/>
    <n v="0.16"/>
  </r>
  <r>
    <x v="0"/>
    <x v="2"/>
    <x v="3"/>
    <x v="2"/>
    <x v="4"/>
    <x v="0"/>
    <n v="5.45"/>
    <n v="5.46"/>
    <n v="0.48"/>
    <n v="5.05"/>
  </r>
  <r>
    <x v="0"/>
    <x v="2"/>
    <x v="3"/>
    <x v="1"/>
    <x v="1"/>
    <x v="1"/>
    <n v="10.07"/>
    <n v="10.09"/>
    <n v="0.13"/>
    <n v="9.57"/>
  </r>
  <r>
    <x v="0"/>
    <x v="2"/>
    <x v="3"/>
    <x v="0"/>
    <x v="4"/>
    <x v="0"/>
    <n v="14.71"/>
    <n v="14.74"/>
    <n v="4.41"/>
    <n v="13.5"/>
  </r>
  <r>
    <x v="0"/>
    <x v="2"/>
    <x v="3"/>
    <x v="4"/>
    <x v="4"/>
    <x v="0"/>
    <n v="46.41"/>
    <n v="46.51"/>
    <n v="7.79"/>
    <n v="42.88"/>
  </r>
  <r>
    <x v="0"/>
    <x v="2"/>
    <x v="3"/>
    <x v="1"/>
    <x v="0"/>
    <x v="0"/>
    <n v="9.57"/>
    <n v="9.59"/>
    <n v="4.07"/>
    <n v="8.86"/>
  </r>
  <r>
    <x v="0"/>
    <x v="2"/>
    <x v="3"/>
    <x v="1"/>
    <x v="4"/>
    <x v="0"/>
    <n v="81.7"/>
    <n v="81.88"/>
    <n v="19.04"/>
    <n v="75.459999999999994"/>
  </r>
  <r>
    <x v="0"/>
    <x v="2"/>
    <x v="3"/>
    <x v="1"/>
    <x v="1"/>
    <x v="0"/>
    <n v="18.600000000000001"/>
    <n v="18.64"/>
    <n v="0.86"/>
    <n v="17.239999999999998"/>
  </r>
  <r>
    <x v="0"/>
    <x v="2"/>
    <x v="3"/>
    <x v="1"/>
    <x v="2"/>
    <x v="0"/>
    <n v="1.24"/>
    <n v="1.24"/>
    <n v="0.03"/>
    <n v="1.1200000000000001"/>
  </r>
  <r>
    <x v="0"/>
    <x v="2"/>
    <x v="3"/>
    <x v="2"/>
    <x v="0"/>
    <x v="0"/>
    <n v="2.34"/>
    <n v="2.35"/>
    <n v="1.47"/>
    <n v="2.2000000000000002"/>
  </r>
  <r>
    <x v="0"/>
    <x v="2"/>
    <x v="3"/>
    <x v="2"/>
    <x v="2"/>
    <x v="0"/>
    <n v="3.93"/>
    <n v="3.94"/>
    <n v="0.01"/>
    <n v="3.61"/>
  </r>
  <r>
    <x v="0"/>
    <x v="2"/>
    <x v="3"/>
    <x v="1"/>
    <x v="3"/>
    <x v="2"/>
    <n v="4.7"/>
    <n v="4.71"/>
    <n v="0.01"/>
    <n v="4.13"/>
  </r>
  <r>
    <x v="0"/>
    <x v="2"/>
    <x v="3"/>
    <x v="4"/>
    <x v="1"/>
    <x v="0"/>
    <n v="7.47"/>
    <n v="7.48"/>
    <n v="0.52"/>
    <n v="6.87"/>
  </r>
  <r>
    <x v="0"/>
    <x v="2"/>
    <x v="3"/>
    <x v="2"/>
    <x v="3"/>
    <x v="2"/>
    <n v="8.24"/>
    <n v="8.26"/>
    <n v="0.01"/>
    <n v="7.58"/>
  </r>
  <r>
    <x v="0"/>
    <x v="2"/>
    <x v="3"/>
    <x v="1"/>
    <x v="4"/>
    <x v="2"/>
    <n v="4.43"/>
    <n v="4.4400000000000004"/>
    <n v="0.08"/>
    <n v="3.88"/>
  </r>
  <r>
    <x v="0"/>
    <x v="2"/>
    <x v="3"/>
    <x v="1"/>
    <x v="1"/>
    <x v="2"/>
    <n v="5.87"/>
    <n v="5.88"/>
    <n v="0.03"/>
    <n v="5.47"/>
  </r>
  <r>
    <x v="0"/>
    <x v="2"/>
    <x v="3"/>
    <x v="0"/>
    <x v="0"/>
    <x v="0"/>
    <n v="3.84"/>
    <n v="3.85"/>
    <n v="2.0699999999999998"/>
    <n v="3.49"/>
  </r>
  <r>
    <x v="0"/>
    <x v="2"/>
    <x v="3"/>
    <x v="1"/>
    <x v="4"/>
    <x v="1"/>
    <n v="4.05"/>
    <n v="4.0599999999999996"/>
    <n v="7.0000000000000007E-2"/>
    <n v="3.93"/>
  </r>
  <r>
    <x v="0"/>
    <x v="2"/>
    <x v="3"/>
    <x v="4"/>
    <x v="2"/>
    <x v="2"/>
    <n v="1.1499999999999999"/>
    <n v="1.1599999999999999"/>
    <n v="0"/>
    <n v="1"/>
  </r>
  <r>
    <x v="0"/>
    <x v="2"/>
    <x v="3"/>
    <x v="4"/>
    <x v="1"/>
    <x v="2"/>
    <n v="3.87"/>
    <n v="3.88"/>
    <n v="0.08"/>
    <n v="3.38"/>
  </r>
  <r>
    <x v="0"/>
    <x v="2"/>
    <x v="3"/>
    <x v="2"/>
    <x v="2"/>
    <x v="2"/>
    <n v="0.31"/>
    <n v="0.31"/>
    <n v="0"/>
    <n v="0.31"/>
  </r>
  <r>
    <x v="0"/>
    <x v="2"/>
    <x v="3"/>
    <x v="2"/>
    <x v="0"/>
    <x v="3"/>
    <n v="0.87"/>
    <n v="0.88"/>
    <n v="0"/>
    <n v="0.8"/>
  </r>
  <r>
    <x v="0"/>
    <x v="2"/>
    <x v="3"/>
    <x v="2"/>
    <x v="1"/>
    <x v="3"/>
    <n v="5.47"/>
    <n v="5.48"/>
    <n v="0"/>
    <n v="5.47"/>
  </r>
  <r>
    <x v="0"/>
    <x v="2"/>
    <x v="3"/>
    <x v="0"/>
    <x v="4"/>
    <x v="1"/>
    <n v="3.29"/>
    <n v="3.3"/>
    <n v="0.16"/>
    <n v="2.98"/>
  </r>
  <r>
    <x v="0"/>
    <x v="2"/>
    <x v="3"/>
    <x v="1"/>
    <x v="0"/>
    <x v="1"/>
    <n v="8.31"/>
    <n v="8.33"/>
    <n v="0.42"/>
    <n v="8.1199999999999992"/>
  </r>
  <r>
    <x v="0"/>
    <x v="2"/>
    <x v="3"/>
    <x v="0"/>
    <x v="3"/>
    <x v="1"/>
    <n v="3.55"/>
    <n v="3.56"/>
    <n v="0"/>
    <n v="3.25"/>
  </r>
  <r>
    <x v="0"/>
    <x v="2"/>
    <x v="3"/>
    <x v="4"/>
    <x v="4"/>
    <x v="2"/>
    <n v="1.81"/>
    <n v="1.81"/>
    <n v="0.06"/>
    <n v="1.59"/>
  </r>
  <r>
    <x v="0"/>
    <x v="2"/>
    <x v="3"/>
    <x v="0"/>
    <x v="1"/>
    <x v="1"/>
    <n v="1.52"/>
    <n v="1.53"/>
    <n v="0.02"/>
    <n v="1.39"/>
  </r>
  <r>
    <x v="0"/>
    <x v="2"/>
    <x v="3"/>
    <x v="1"/>
    <x v="2"/>
    <x v="2"/>
    <n v="0.72"/>
    <n v="0.72"/>
    <n v="0"/>
    <n v="0.63"/>
  </r>
  <r>
    <x v="0"/>
    <x v="2"/>
    <x v="3"/>
    <x v="0"/>
    <x v="0"/>
    <x v="1"/>
    <n v="1.24"/>
    <n v="1.24"/>
    <n v="0.05"/>
    <n v="1.1499999999999999"/>
  </r>
  <r>
    <x v="0"/>
    <x v="2"/>
    <x v="3"/>
    <x v="4"/>
    <x v="4"/>
    <x v="1"/>
    <n v="0.77"/>
    <n v="0.77"/>
    <n v="0.04"/>
    <n v="0.7"/>
  </r>
  <r>
    <x v="0"/>
    <x v="2"/>
    <x v="3"/>
    <x v="4"/>
    <x v="0"/>
    <x v="1"/>
    <n v="1.34"/>
    <n v="1.34"/>
    <n v="0.09"/>
    <n v="1.22"/>
  </r>
  <r>
    <x v="0"/>
    <x v="2"/>
    <x v="3"/>
    <x v="2"/>
    <x v="3"/>
    <x v="3"/>
    <n v="28.07"/>
    <n v="28.13"/>
    <n v="0.02"/>
    <n v="28.07"/>
  </r>
  <r>
    <x v="0"/>
    <x v="2"/>
    <x v="3"/>
    <x v="2"/>
    <x v="2"/>
    <x v="3"/>
    <n v="13.72"/>
    <n v="13.75"/>
    <n v="0.01"/>
    <n v="13.69"/>
  </r>
  <r>
    <x v="0"/>
    <x v="0"/>
    <x v="4"/>
    <x v="4"/>
    <x v="1"/>
    <x v="0"/>
    <n v="9.2899999999999991"/>
    <n v="7.58"/>
    <n v="0.87"/>
    <n v="8.82"/>
  </r>
  <r>
    <x v="0"/>
    <x v="0"/>
    <x v="4"/>
    <x v="2"/>
    <x v="2"/>
    <x v="0"/>
    <n v="2.17"/>
    <n v="1.77"/>
    <n v="0"/>
    <n v="2.14"/>
  </r>
  <r>
    <x v="0"/>
    <x v="0"/>
    <x v="4"/>
    <x v="2"/>
    <x v="1"/>
    <x v="1"/>
    <n v="0.72"/>
    <n v="0.59"/>
    <n v="0.01"/>
    <n v="0.64"/>
  </r>
  <r>
    <x v="0"/>
    <x v="0"/>
    <x v="4"/>
    <x v="2"/>
    <x v="3"/>
    <x v="1"/>
    <n v="58.64"/>
    <n v="47.85"/>
    <n v="0.15"/>
    <n v="55.85"/>
  </r>
  <r>
    <x v="0"/>
    <x v="0"/>
    <x v="4"/>
    <x v="3"/>
    <x v="4"/>
    <x v="0"/>
    <n v="2.99"/>
    <n v="2.44"/>
    <n v="0.49"/>
    <n v="2.9"/>
  </r>
  <r>
    <x v="0"/>
    <x v="0"/>
    <x v="4"/>
    <x v="4"/>
    <x v="0"/>
    <x v="0"/>
    <n v="2.39"/>
    <n v="1.95"/>
    <n v="0.64"/>
    <n v="2.23"/>
  </r>
  <r>
    <x v="0"/>
    <x v="0"/>
    <x v="4"/>
    <x v="4"/>
    <x v="4"/>
    <x v="0"/>
    <n v="128.59"/>
    <n v="104.92"/>
    <n v="21.4"/>
    <n v="122.38"/>
  </r>
  <r>
    <x v="0"/>
    <x v="0"/>
    <x v="4"/>
    <x v="1"/>
    <x v="2"/>
    <x v="1"/>
    <n v="111.53"/>
    <n v="90.99"/>
    <n v="0.42"/>
    <n v="106.4"/>
  </r>
  <r>
    <x v="0"/>
    <x v="0"/>
    <x v="4"/>
    <x v="0"/>
    <x v="0"/>
    <x v="0"/>
    <n v="11.28"/>
    <n v="9.1999999999999993"/>
    <n v="6.47"/>
    <n v="10.9"/>
  </r>
  <r>
    <x v="0"/>
    <x v="0"/>
    <x v="4"/>
    <x v="0"/>
    <x v="4"/>
    <x v="0"/>
    <n v="64.91"/>
    <n v="52.96"/>
    <n v="19.829999999999998"/>
    <n v="63.27"/>
  </r>
  <r>
    <x v="0"/>
    <x v="0"/>
    <x v="4"/>
    <x v="0"/>
    <x v="1"/>
    <x v="0"/>
    <n v="2.27"/>
    <n v="1.86"/>
    <n v="0.85"/>
    <n v="2.25"/>
  </r>
  <r>
    <x v="0"/>
    <x v="0"/>
    <x v="4"/>
    <x v="0"/>
    <x v="2"/>
    <x v="0"/>
    <n v="9.42"/>
    <n v="7.68"/>
    <n v="0.02"/>
    <n v="8.76"/>
  </r>
  <r>
    <x v="0"/>
    <x v="0"/>
    <x v="4"/>
    <x v="1"/>
    <x v="0"/>
    <x v="0"/>
    <n v="39.799999999999997"/>
    <n v="32.47"/>
    <n v="22.19"/>
    <n v="38.76"/>
  </r>
  <r>
    <x v="0"/>
    <x v="0"/>
    <x v="4"/>
    <x v="1"/>
    <x v="4"/>
    <x v="0"/>
    <n v="223.36"/>
    <n v="182.24"/>
    <n v="54.53"/>
    <n v="216.69"/>
  </r>
  <r>
    <x v="0"/>
    <x v="0"/>
    <x v="4"/>
    <x v="1"/>
    <x v="1"/>
    <x v="0"/>
    <n v="45.87"/>
    <n v="37.43"/>
    <n v="3.1"/>
    <n v="44.03"/>
  </r>
  <r>
    <x v="0"/>
    <x v="0"/>
    <x v="4"/>
    <x v="2"/>
    <x v="0"/>
    <x v="0"/>
    <n v="33.130000000000003"/>
    <n v="27.03"/>
    <n v="17.71"/>
    <n v="32.01"/>
  </r>
  <r>
    <x v="0"/>
    <x v="0"/>
    <x v="4"/>
    <x v="1"/>
    <x v="1"/>
    <x v="1"/>
    <n v="34.53"/>
    <n v="28.17"/>
    <n v="0.41"/>
    <n v="32.92"/>
  </r>
  <r>
    <x v="0"/>
    <x v="0"/>
    <x v="4"/>
    <x v="1"/>
    <x v="2"/>
    <x v="0"/>
    <n v="2.46"/>
    <n v="2.0099999999999998"/>
    <n v="7.0000000000000007E-2"/>
    <n v="2.37"/>
  </r>
  <r>
    <x v="0"/>
    <x v="0"/>
    <x v="4"/>
    <x v="2"/>
    <x v="2"/>
    <x v="3"/>
    <n v="188.91"/>
    <n v="154.13"/>
    <n v="0.12"/>
    <n v="183.95"/>
  </r>
  <r>
    <x v="0"/>
    <x v="0"/>
    <x v="4"/>
    <x v="4"/>
    <x v="1"/>
    <x v="2"/>
    <n v="3.2"/>
    <n v="2.61"/>
    <n v="0.1"/>
    <n v="3.08"/>
  </r>
  <r>
    <x v="0"/>
    <x v="0"/>
    <x v="4"/>
    <x v="2"/>
    <x v="4"/>
    <x v="0"/>
    <n v="55.17"/>
    <n v="45.02"/>
    <n v="13.67"/>
    <n v="54.14"/>
  </r>
  <r>
    <x v="0"/>
    <x v="0"/>
    <x v="4"/>
    <x v="4"/>
    <x v="2"/>
    <x v="2"/>
    <n v="0.36"/>
    <n v="0.28999999999999998"/>
    <n v="0"/>
    <n v="0.34"/>
  </r>
  <r>
    <x v="0"/>
    <x v="0"/>
    <x v="4"/>
    <x v="1"/>
    <x v="4"/>
    <x v="2"/>
    <n v="2.17"/>
    <n v="1.77"/>
    <n v="0.1"/>
    <n v="2.09"/>
  </r>
  <r>
    <x v="0"/>
    <x v="0"/>
    <x v="4"/>
    <x v="1"/>
    <x v="1"/>
    <x v="2"/>
    <n v="2.7"/>
    <n v="2.21"/>
    <n v="0.04"/>
    <n v="2.6"/>
  </r>
  <r>
    <x v="0"/>
    <x v="0"/>
    <x v="4"/>
    <x v="1"/>
    <x v="2"/>
    <x v="2"/>
    <n v="1.0900000000000001"/>
    <n v="0.89"/>
    <n v="0.01"/>
    <n v="1.05"/>
  </r>
  <r>
    <x v="0"/>
    <x v="0"/>
    <x v="4"/>
    <x v="4"/>
    <x v="4"/>
    <x v="2"/>
    <n v="3.52"/>
    <n v="2.87"/>
    <n v="0.12"/>
    <n v="3.38"/>
  </r>
  <r>
    <x v="0"/>
    <x v="0"/>
    <x v="4"/>
    <x v="2"/>
    <x v="3"/>
    <x v="2"/>
    <n v="25.97"/>
    <n v="21.19"/>
    <n v="0.02"/>
    <n v="24.97"/>
  </r>
  <r>
    <x v="0"/>
    <x v="0"/>
    <x v="4"/>
    <x v="1"/>
    <x v="4"/>
    <x v="1"/>
    <n v="3.96"/>
    <n v="3.23"/>
    <n v="0.24"/>
    <n v="3.76"/>
  </r>
  <r>
    <x v="0"/>
    <x v="0"/>
    <x v="4"/>
    <x v="2"/>
    <x v="3"/>
    <x v="3"/>
    <n v="211.44"/>
    <n v="172.51"/>
    <n v="0.13"/>
    <n v="203.32"/>
  </r>
  <r>
    <x v="0"/>
    <x v="0"/>
    <x v="4"/>
    <x v="4"/>
    <x v="0"/>
    <x v="1"/>
    <n v="9.06"/>
    <n v="7.39"/>
    <n v="0.84"/>
    <n v="8.64"/>
  </r>
  <r>
    <x v="0"/>
    <x v="0"/>
    <x v="4"/>
    <x v="4"/>
    <x v="4"/>
    <x v="1"/>
    <n v="6.71"/>
    <n v="5.47"/>
    <n v="0.32"/>
    <n v="6.39"/>
  </r>
  <r>
    <x v="0"/>
    <x v="0"/>
    <x v="4"/>
    <x v="0"/>
    <x v="0"/>
    <x v="1"/>
    <n v="4.24"/>
    <n v="3.46"/>
    <n v="0.17"/>
    <n v="4.04"/>
  </r>
  <r>
    <x v="0"/>
    <x v="0"/>
    <x v="4"/>
    <x v="0"/>
    <x v="4"/>
    <x v="1"/>
    <n v="13.76"/>
    <n v="11.23"/>
    <n v="0.63"/>
    <n v="13.13"/>
  </r>
  <r>
    <x v="0"/>
    <x v="0"/>
    <x v="4"/>
    <x v="0"/>
    <x v="1"/>
    <x v="1"/>
    <n v="8.15"/>
    <n v="6.65"/>
    <n v="0.1"/>
    <n v="7.78"/>
  </r>
  <r>
    <x v="0"/>
    <x v="0"/>
    <x v="4"/>
    <x v="0"/>
    <x v="3"/>
    <x v="1"/>
    <n v="38.96"/>
    <n v="31.79"/>
    <n v="0.04"/>
    <n v="37.18"/>
  </r>
  <r>
    <x v="0"/>
    <x v="0"/>
    <x v="4"/>
    <x v="1"/>
    <x v="0"/>
    <x v="1"/>
    <n v="4.3899999999999997"/>
    <n v="3.58"/>
    <n v="0.25"/>
    <n v="4.16"/>
  </r>
  <r>
    <x v="0"/>
    <x v="0"/>
    <x v="4"/>
    <x v="1"/>
    <x v="3"/>
    <x v="2"/>
    <n v="2.87"/>
    <n v="2.34"/>
    <n v="0.01"/>
    <n v="2.76"/>
  </r>
  <r>
    <x v="0"/>
    <x v="3"/>
    <x v="5"/>
    <x v="2"/>
    <x v="4"/>
    <x v="1"/>
    <n v="3.5"/>
    <n v="3.5"/>
    <n v="0.01"/>
    <n v="3.34"/>
  </r>
  <r>
    <x v="0"/>
    <x v="3"/>
    <x v="5"/>
    <x v="1"/>
    <x v="0"/>
    <x v="0"/>
    <n v="46.3"/>
    <n v="46.31"/>
    <n v="29.96"/>
    <n v="44.12"/>
  </r>
  <r>
    <x v="0"/>
    <x v="3"/>
    <x v="5"/>
    <x v="2"/>
    <x v="3"/>
    <x v="1"/>
    <n v="15.49"/>
    <n v="15.49"/>
    <n v="0.02"/>
    <n v="14.51"/>
  </r>
  <r>
    <x v="0"/>
    <x v="3"/>
    <x v="5"/>
    <x v="3"/>
    <x v="4"/>
    <x v="0"/>
    <n v="22.68"/>
    <n v="22.69"/>
    <n v="2.06"/>
    <n v="20.309999999999999"/>
  </r>
  <r>
    <x v="0"/>
    <x v="3"/>
    <x v="5"/>
    <x v="4"/>
    <x v="0"/>
    <x v="0"/>
    <n v="4.07"/>
    <n v="4.07"/>
    <n v="1.1200000000000001"/>
    <n v="3.65"/>
  </r>
  <r>
    <x v="0"/>
    <x v="3"/>
    <x v="5"/>
    <x v="4"/>
    <x v="4"/>
    <x v="0"/>
    <n v="177.43"/>
    <n v="177.47"/>
    <n v="36.909999999999997"/>
    <n v="163.92"/>
  </r>
  <r>
    <x v="0"/>
    <x v="3"/>
    <x v="5"/>
    <x v="4"/>
    <x v="1"/>
    <x v="0"/>
    <n v="8.39"/>
    <n v="8.39"/>
    <n v="1.01"/>
    <n v="7.76"/>
  </r>
  <r>
    <x v="0"/>
    <x v="3"/>
    <x v="5"/>
    <x v="0"/>
    <x v="0"/>
    <x v="0"/>
    <n v="11.11"/>
    <n v="11.12"/>
    <n v="3.48"/>
    <n v="10.27"/>
  </r>
  <r>
    <x v="0"/>
    <x v="3"/>
    <x v="5"/>
    <x v="1"/>
    <x v="2"/>
    <x v="1"/>
    <n v="117.14"/>
    <n v="117.16"/>
    <n v="0.77"/>
    <n v="107.34"/>
  </r>
  <r>
    <x v="0"/>
    <x v="3"/>
    <x v="5"/>
    <x v="0"/>
    <x v="1"/>
    <x v="0"/>
    <n v="6.15"/>
    <n v="6.15"/>
    <n v="1.74"/>
    <n v="5.92"/>
  </r>
  <r>
    <x v="0"/>
    <x v="3"/>
    <x v="5"/>
    <x v="1"/>
    <x v="4"/>
    <x v="1"/>
    <n v="5.08"/>
    <n v="5.08"/>
    <n v="0.24"/>
    <n v="4.6900000000000004"/>
  </r>
  <r>
    <x v="0"/>
    <x v="3"/>
    <x v="5"/>
    <x v="1"/>
    <x v="4"/>
    <x v="0"/>
    <n v="408.24"/>
    <n v="408.31"/>
    <n v="99.86"/>
    <n v="383.05"/>
  </r>
  <r>
    <x v="0"/>
    <x v="3"/>
    <x v="5"/>
    <x v="1"/>
    <x v="1"/>
    <x v="0"/>
    <n v="126.11"/>
    <n v="126.14"/>
    <n v="9.39"/>
    <n v="119.83"/>
  </r>
  <r>
    <x v="0"/>
    <x v="3"/>
    <x v="5"/>
    <x v="1"/>
    <x v="2"/>
    <x v="0"/>
    <n v="3.44"/>
    <n v="3.44"/>
    <n v="0.06"/>
    <n v="3.21"/>
  </r>
  <r>
    <x v="0"/>
    <x v="3"/>
    <x v="5"/>
    <x v="2"/>
    <x v="0"/>
    <x v="0"/>
    <n v="20.7"/>
    <n v="20.71"/>
    <n v="12.81"/>
    <n v="19.82"/>
  </r>
  <r>
    <x v="0"/>
    <x v="3"/>
    <x v="5"/>
    <x v="2"/>
    <x v="4"/>
    <x v="0"/>
    <n v="68.599999999999994"/>
    <n v="68.61"/>
    <n v="18.22"/>
    <n v="67.25"/>
  </r>
  <r>
    <x v="0"/>
    <x v="3"/>
    <x v="5"/>
    <x v="1"/>
    <x v="4"/>
    <x v="2"/>
    <n v="7.97"/>
    <n v="7.97"/>
    <n v="0.24"/>
    <n v="7.22"/>
  </r>
  <r>
    <x v="0"/>
    <x v="3"/>
    <x v="5"/>
    <x v="0"/>
    <x v="4"/>
    <x v="0"/>
    <n v="61.61"/>
    <n v="61.62"/>
    <n v="25.15"/>
    <n v="58.39"/>
  </r>
  <r>
    <x v="0"/>
    <x v="3"/>
    <x v="5"/>
    <x v="4"/>
    <x v="0"/>
    <x v="1"/>
    <n v="4.62"/>
    <n v="4.62"/>
    <n v="0.39"/>
    <n v="4.26"/>
  </r>
  <r>
    <x v="0"/>
    <x v="3"/>
    <x v="5"/>
    <x v="4"/>
    <x v="1"/>
    <x v="2"/>
    <n v="3.37"/>
    <n v="3.37"/>
    <n v="0.14000000000000001"/>
    <n v="3.05"/>
  </r>
  <r>
    <x v="0"/>
    <x v="3"/>
    <x v="5"/>
    <x v="4"/>
    <x v="2"/>
    <x v="2"/>
    <n v="3.34"/>
    <n v="3.34"/>
    <n v="0.02"/>
    <n v="3.02"/>
  </r>
  <r>
    <x v="0"/>
    <x v="3"/>
    <x v="5"/>
    <x v="1"/>
    <x v="1"/>
    <x v="2"/>
    <n v="7.06"/>
    <n v="7.06"/>
    <n v="7.0000000000000007E-2"/>
    <n v="6.4"/>
  </r>
  <r>
    <x v="0"/>
    <x v="3"/>
    <x v="5"/>
    <x v="1"/>
    <x v="3"/>
    <x v="2"/>
    <n v="27.55"/>
    <n v="27.55"/>
    <n v="0.04"/>
    <n v="24.95"/>
  </r>
  <r>
    <x v="0"/>
    <x v="3"/>
    <x v="5"/>
    <x v="2"/>
    <x v="2"/>
    <x v="2"/>
    <n v="0.72"/>
    <n v="0.72"/>
    <n v="0"/>
    <n v="0.69"/>
  </r>
  <r>
    <x v="0"/>
    <x v="3"/>
    <x v="5"/>
    <x v="2"/>
    <x v="3"/>
    <x v="2"/>
    <n v="43.67"/>
    <n v="43.68"/>
    <n v="0.04"/>
    <n v="40.22"/>
  </r>
  <r>
    <x v="0"/>
    <x v="3"/>
    <x v="5"/>
    <x v="1"/>
    <x v="3"/>
    <x v="1"/>
    <n v="3.06"/>
    <n v="3.06"/>
    <n v="0.01"/>
    <n v="2.78"/>
  </r>
  <r>
    <x v="0"/>
    <x v="3"/>
    <x v="5"/>
    <x v="2"/>
    <x v="3"/>
    <x v="3"/>
    <n v="55.84"/>
    <n v="55.85"/>
    <n v="0.03"/>
    <n v="55.5"/>
  </r>
  <r>
    <x v="0"/>
    <x v="3"/>
    <x v="5"/>
    <x v="1"/>
    <x v="1"/>
    <x v="1"/>
    <n v="55.98"/>
    <n v="55.99"/>
    <n v="0.55000000000000004"/>
    <n v="51.35"/>
  </r>
  <r>
    <x v="0"/>
    <x v="3"/>
    <x v="5"/>
    <x v="4"/>
    <x v="4"/>
    <x v="1"/>
    <n v="8.9499999999999993"/>
    <n v="8.9499999999999993"/>
    <n v="0.56999999999999995"/>
    <n v="8.4700000000000006"/>
  </r>
  <r>
    <x v="0"/>
    <x v="3"/>
    <x v="5"/>
    <x v="0"/>
    <x v="0"/>
    <x v="1"/>
    <n v="3.23"/>
    <n v="3.23"/>
    <n v="0.28999999999999998"/>
    <n v="2.96"/>
  </r>
  <r>
    <x v="0"/>
    <x v="3"/>
    <x v="5"/>
    <x v="0"/>
    <x v="4"/>
    <x v="1"/>
    <n v="19.38"/>
    <n v="19.38"/>
    <n v="0.95"/>
    <n v="17.78"/>
  </r>
  <r>
    <x v="0"/>
    <x v="3"/>
    <x v="5"/>
    <x v="0"/>
    <x v="1"/>
    <x v="1"/>
    <n v="11.94"/>
    <n v="11.94"/>
    <n v="0.13"/>
    <n v="10.95"/>
  </r>
  <r>
    <x v="0"/>
    <x v="3"/>
    <x v="5"/>
    <x v="0"/>
    <x v="3"/>
    <x v="1"/>
    <n v="14.31"/>
    <n v="14.32"/>
    <n v="0.01"/>
    <n v="13.13"/>
  </r>
  <r>
    <x v="0"/>
    <x v="3"/>
    <x v="5"/>
    <x v="1"/>
    <x v="0"/>
    <x v="1"/>
    <n v="15.31"/>
    <n v="15.32"/>
    <n v="1.3"/>
    <n v="14.28"/>
  </r>
  <r>
    <x v="0"/>
    <x v="3"/>
    <x v="5"/>
    <x v="4"/>
    <x v="4"/>
    <x v="2"/>
    <n v="7.72"/>
    <n v="7.72"/>
    <n v="0.37"/>
    <n v="7.16"/>
  </r>
  <r>
    <x v="0"/>
    <x v="3"/>
    <x v="5"/>
    <x v="2"/>
    <x v="2"/>
    <x v="3"/>
    <n v="47.31"/>
    <n v="47.32"/>
    <n v="0.05"/>
    <n v="47.03"/>
  </r>
  <r>
    <x v="0"/>
    <x v="3"/>
    <x v="5"/>
    <x v="1"/>
    <x v="2"/>
    <x v="2"/>
    <n v="2.98"/>
    <n v="2.98"/>
    <n v="0.03"/>
    <n v="2.7"/>
  </r>
  <r>
    <x v="0"/>
    <x v="0"/>
    <x v="6"/>
    <x v="1"/>
    <x v="4"/>
    <x v="1"/>
    <n v="2.76"/>
    <n v="2.84"/>
    <n v="0.12"/>
    <n v="2.61"/>
  </r>
  <r>
    <x v="0"/>
    <x v="0"/>
    <x v="6"/>
    <x v="1"/>
    <x v="0"/>
    <x v="1"/>
    <n v="3.44"/>
    <n v="3.54"/>
    <n v="0.22"/>
    <n v="3.25"/>
  </r>
  <r>
    <x v="0"/>
    <x v="0"/>
    <x v="6"/>
    <x v="0"/>
    <x v="3"/>
    <x v="1"/>
    <n v="2.88"/>
    <n v="2.96"/>
    <n v="0"/>
    <n v="2.75"/>
  </r>
  <r>
    <x v="0"/>
    <x v="0"/>
    <x v="6"/>
    <x v="0"/>
    <x v="1"/>
    <x v="1"/>
    <n v="0.84"/>
    <n v="0.86"/>
    <n v="0.01"/>
    <n v="0.8"/>
  </r>
  <r>
    <x v="0"/>
    <x v="0"/>
    <x v="6"/>
    <x v="0"/>
    <x v="4"/>
    <x v="1"/>
    <n v="1.1299999999999999"/>
    <n v="1.1599999999999999"/>
    <n v="0.05"/>
    <n v="1.08"/>
  </r>
  <r>
    <x v="0"/>
    <x v="0"/>
    <x v="6"/>
    <x v="0"/>
    <x v="0"/>
    <x v="1"/>
    <n v="0.33"/>
    <n v="0.34"/>
    <n v="0.01"/>
    <n v="0.31"/>
  </r>
  <r>
    <x v="0"/>
    <x v="0"/>
    <x v="6"/>
    <x v="4"/>
    <x v="1"/>
    <x v="2"/>
    <n v="1.4"/>
    <n v="1.43"/>
    <n v="0.05"/>
    <n v="1.31"/>
  </r>
  <r>
    <x v="0"/>
    <x v="0"/>
    <x v="6"/>
    <x v="4"/>
    <x v="0"/>
    <x v="1"/>
    <n v="1.08"/>
    <n v="1.1100000000000001"/>
    <n v="0.08"/>
    <n v="1.03"/>
  </r>
  <r>
    <x v="0"/>
    <x v="0"/>
    <x v="6"/>
    <x v="2"/>
    <x v="3"/>
    <x v="1"/>
    <n v="15.68"/>
    <n v="16.11"/>
    <n v="0.04"/>
    <n v="14.84"/>
  </r>
  <r>
    <x v="0"/>
    <x v="0"/>
    <x v="6"/>
    <x v="2"/>
    <x v="3"/>
    <x v="3"/>
    <n v="8.98"/>
    <n v="9.2200000000000006"/>
    <n v="0.01"/>
    <n v="8.77"/>
  </r>
  <r>
    <x v="0"/>
    <x v="0"/>
    <x v="6"/>
    <x v="2"/>
    <x v="2"/>
    <x v="3"/>
    <n v="3.08"/>
    <n v="3.16"/>
    <n v="0"/>
    <n v="3.01"/>
  </r>
  <r>
    <x v="0"/>
    <x v="0"/>
    <x v="6"/>
    <x v="2"/>
    <x v="3"/>
    <x v="2"/>
    <n v="8.26"/>
    <n v="8.49"/>
    <n v="0.01"/>
    <n v="7.89"/>
  </r>
  <r>
    <x v="0"/>
    <x v="0"/>
    <x v="6"/>
    <x v="2"/>
    <x v="2"/>
    <x v="2"/>
    <n v="1.51"/>
    <n v="1.55"/>
    <n v="0"/>
    <n v="1.48"/>
  </r>
  <r>
    <x v="0"/>
    <x v="0"/>
    <x v="6"/>
    <x v="1"/>
    <x v="2"/>
    <x v="2"/>
    <n v="0.13"/>
    <n v="0.14000000000000001"/>
    <n v="0"/>
    <n v="0.13"/>
  </r>
  <r>
    <x v="0"/>
    <x v="0"/>
    <x v="6"/>
    <x v="1"/>
    <x v="1"/>
    <x v="2"/>
    <n v="0.46"/>
    <n v="0.48"/>
    <n v="0.01"/>
    <n v="0.44"/>
  </r>
  <r>
    <x v="0"/>
    <x v="0"/>
    <x v="6"/>
    <x v="1"/>
    <x v="4"/>
    <x v="2"/>
    <n v="1.28"/>
    <n v="1.32"/>
    <n v="0.06"/>
    <n v="1.21"/>
  </r>
  <r>
    <x v="0"/>
    <x v="0"/>
    <x v="6"/>
    <x v="4"/>
    <x v="4"/>
    <x v="1"/>
    <n v="1.85"/>
    <n v="1.9"/>
    <n v="0.08"/>
    <n v="1.75"/>
  </r>
  <r>
    <x v="0"/>
    <x v="0"/>
    <x v="6"/>
    <x v="0"/>
    <x v="4"/>
    <x v="0"/>
    <n v="9.5399999999999991"/>
    <n v="9.8000000000000007"/>
    <n v="3.16"/>
    <n v="8.99"/>
  </r>
  <r>
    <x v="0"/>
    <x v="0"/>
    <x v="6"/>
    <x v="2"/>
    <x v="2"/>
    <x v="0"/>
    <n v="0.93"/>
    <n v="0.95"/>
    <n v="0"/>
    <n v="0.93"/>
  </r>
  <r>
    <x v="0"/>
    <x v="0"/>
    <x v="6"/>
    <x v="2"/>
    <x v="4"/>
    <x v="0"/>
    <n v="4.7300000000000004"/>
    <n v="4.8499999999999996"/>
    <n v="0.74"/>
    <n v="4.59"/>
  </r>
  <r>
    <x v="0"/>
    <x v="0"/>
    <x v="6"/>
    <x v="2"/>
    <x v="0"/>
    <x v="0"/>
    <n v="3.34"/>
    <n v="3.43"/>
    <n v="1.42"/>
    <n v="3.16"/>
  </r>
  <r>
    <x v="0"/>
    <x v="0"/>
    <x v="6"/>
    <x v="1"/>
    <x v="2"/>
    <x v="0"/>
    <n v="0.85"/>
    <n v="0.88"/>
    <n v="0.04"/>
    <n v="0.8"/>
  </r>
  <r>
    <x v="0"/>
    <x v="0"/>
    <x v="6"/>
    <x v="1"/>
    <x v="1"/>
    <x v="0"/>
    <n v="4.13"/>
    <n v="4.25"/>
    <n v="0.41"/>
    <n v="3.95"/>
  </r>
  <r>
    <x v="0"/>
    <x v="0"/>
    <x v="6"/>
    <x v="1"/>
    <x v="4"/>
    <x v="0"/>
    <n v="22.51"/>
    <n v="23.11"/>
    <n v="5.43"/>
    <n v="21.35"/>
  </r>
  <r>
    <x v="0"/>
    <x v="0"/>
    <x v="6"/>
    <x v="1"/>
    <x v="1"/>
    <x v="1"/>
    <n v="6.38"/>
    <n v="6.55"/>
    <n v="0.11"/>
    <n v="6.04"/>
  </r>
  <r>
    <x v="0"/>
    <x v="0"/>
    <x v="6"/>
    <x v="0"/>
    <x v="1"/>
    <x v="0"/>
    <n v="0.19"/>
    <n v="0.2"/>
    <n v="0.09"/>
    <n v="0.19"/>
  </r>
  <r>
    <x v="0"/>
    <x v="0"/>
    <x v="6"/>
    <x v="1"/>
    <x v="2"/>
    <x v="1"/>
    <n v="11.26"/>
    <n v="11.57"/>
    <n v="0.06"/>
    <n v="10.72"/>
  </r>
  <r>
    <x v="0"/>
    <x v="0"/>
    <x v="6"/>
    <x v="0"/>
    <x v="0"/>
    <x v="0"/>
    <n v="2.8"/>
    <n v="2.87"/>
    <n v="1.89"/>
    <n v="2.61"/>
  </r>
  <r>
    <x v="0"/>
    <x v="0"/>
    <x v="6"/>
    <x v="4"/>
    <x v="1"/>
    <x v="0"/>
    <n v="0.99"/>
    <n v="1.02"/>
    <n v="0.13"/>
    <n v="0.93"/>
  </r>
  <r>
    <x v="0"/>
    <x v="0"/>
    <x v="6"/>
    <x v="4"/>
    <x v="4"/>
    <x v="0"/>
    <n v="16.62"/>
    <n v="17.059999999999999"/>
    <n v="2.8"/>
    <n v="15.55"/>
  </r>
  <r>
    <x v="0"/>
    <x v="0"/>
    <x v="6"/>
    <x v="4"/>
    <x v="0"/>
    <x v="0"/>
    <n v="0.55000000000000004"/>
    <n v="0.56000000000000005"/>
    <n v="0.12"/>
    <n v="0.51"/>
  </r>
  <r>
    <x v="0"/>
    <x v="0"/>
    <x v="6"/>
    <x v="3"/>
    <x v="4"/>
    <x v="0"/>
    <n v="0.51"/>
    <n v="0.53"/>
    <n v="0.09"/>
    <n v="0.48"/>
  </r>
  <r>
    <x v="0"/>
    <x v="0"/>
    <x v="6"/>
    <x v="4"/>
    <x v="4"/>
    <x v="2"/>
    <n v="0.83"/>
    <n v="0.86"/>
    <n v="0.03"/>
    <n v="0.78"/>
  </r>
  <r>
    <x v="0"/>
    <x v="0"/>
    <x v="6"/>
    <x v="1"/>
    <x v="0"/>
    <x v="0"/>
    <n v="5.34"/>
    <n v="5.49"/>
    <n v="2.38"/>
    <n v="5.03"/>
  </r>
  <r>
    <x v="0"/>
    <x v="0"/>
    <x v="6"/>
    <x v="4"/>
    <x v="2"/>
    <x v="2"/>
    <n v="0.98"/>
    <n v="1"/>
    <n v="0.01"/>
    <n v="0.92"/>
  </r>
  <r>
    <x v="0"/>
    <x v="4"/>
    <x v="7"/>
    <x v="1"/>
    <x v="4"/>
    <x v="0"/>
    <n v="1608.48"/>
    <n v="1770.91"/>
    <n v="601.67999999999995"/>
    <n v="1456.74"/>
  </r>
  <r>
    <x v="0"/>
    <x v="4"/>
    <x v="7"/>
    <x v="1"/>
    <x v="2"/>
    <x v="2"/>
    <n v="19.34"/>
    <n v="21.29"/>
    <n v="0.31"/>
    <n v="19.34"/>
  </r>
  <r>
    <x v="0"/>
    <x v="4"/>
    <x v="7"/>
    <x v="1"/>
    <x v="3"/>
    <x v="2"/>
    <n v="151.34"/>
    <n v="166.62"/>
    <n v="1.17"/>
    <n v="151.34"/>
  </r>
  <r>
    <x v="0"/>
    <x v="4"/>
    <x v="7"/>
    <x v="2"/>
    <x v="2"/>
    <x v="3"/>
    <n v="156.28"/>
    <n v="172.06"/>
    <n v="7.0000000000000007E-2"/>
    <n v="156.28"/>
  </r>
  <r>
    <x v="0"/>
    <x v="4"/>
    <x v="7"/>
    <x v="2"/>
    <x v="3"/>
    <x v="3"/>
    <n v="115.33"/>
    <n v="126.98"/>
    <n v="0.04"/>
    <n v="115.33"/>
  </r>
  <r>
    <x v="0"/>
    <x v="4"/>
    <x v="7"/>
    <x v="4"/>
    <x v="0"/>
    <x v="1"/>
    <n v="14.75"/>
    <n v="16.25"/>
    <n v="0.98"/>
    <n v="12.19"/>
  </r>
  <r>
    <x v="0"/>
    <x v="4"/>
    <x v="7"/>
    <x v="4"/>
    <x v="4"/>
    <x v="1"/>
    <n v="14.35"/>
    <n v="15.8"/>
    <n v="0.74"/>
    <n v="11.86"/>
  </r>
  <r>
    <x v="0"/>
    <x v="4"/>
    <x v="7"/>
    <x v="0"/>
    <x v="0"/>
    <x v="1"/>
    <n v="5.69"/>
    <n v="6.26"/>
    <n v="0.21"/>
    <n v="4.7"/>
  </r>
  <r>
    <x v="0"/>
    <x v="4"/>
    <x v="7"/>
    <x v="0"/>
    <x v="4"/>
    <x v="1"/>
    <n v="70.760000000000005"/>
    <n v="77.900000000000006"/>
    <n v="3.57"/>
    <n v="58.48"/>
  </r>
  <r>
    <x v="0"/>
    <x v="4"/>
    <x v="7"/>
    <x v="0"/>
    <x v="1"/>
    <x v="1"/>
    <n v="188.92"/>
    <n v="208"/>
    <n v="5.71"/>
    <n v="156.12"/>
  </r>
  <r>
    <x v="0"/>
    <x v="4"/>
    <x v="7"/>
    <x v="1"/>
    <x v="0"/>
    <x v="1"/>
    <n v="72.61"/>
    <n v="79.95"/>
    <n v="4.88"/>
    <n v="60.35"/>
  </r>
  <r>
    <x v="0"/>
    <x v="4"/>
    <x v="7"/>
    <x v="1"/>
    <x v="4"/>
    <x v="1"/>
    <n v="27.8"/>
    <n v="30.61"/>
    <n v="1.05"/>
    <n v="23.05"/>
  </r>
  <r>
    <x v="0"/>
    <x v="4"/>
    <x v="7"/>
    <x v="1"/>
    <x v="1"/>
    <x v="1"/>
    <n v="106.66"/>
    <n v="117.43"/>
    <n v="1.21"/>
    <n v="88.21"/>
  </r>
  <r>
    <x v="0"/>
    <x v="4"/>
    <x v="7"/>
    <x v="1"/>
    <x v="1"/>
    <x v="2"/>
    <n v="80.69"/>
    <n v="88.84"/>
    <n v="2.09"/>
    <n v="67.239999999999995"/>
  </r>
  <r>
    <x v="0"/>
    <x v="4"/>
    <x v="7"/>
    <x v="1"/>
    <x v="1"/>
    <x v="0"/>
    <n v="666.34"/>
    <n v="733.63"/>
    <n v="55.75"/>
    <n v="580.14"/>
  </r>
  <r>
    <x v="0"/>
    <x v="4"/>
    <x v="7"/>
    <x v="0"/>
    <x v="4"/>
    <x v="0"/>
    <n v="95.88"/>
    <n v="105.56"/>
    <n v="48.95"/>
    <n v="86.74"/>
  </r>
  <r>
    <x v="0"/>
    <x v="4"/>
    <x v="7"/>
    <x v="1"/>
    <x v="0"/>
    <x v="0"/>
    <n v="50.49"/>
    <n v="55.58"/>
    <n v="43.98"/>
    <n v="47.2"/>
  </r>
  <r>
    <x v="0"/>
    <x v="4"/>
    <x v="7"/>
    <x v="0"/>
    <x v="2"/>
    <x v="0"/>
    <n v="0.12"/>
    <n v="0.13"/>
    <n v="0"/>
    <n v="0.1"/>
  </r>
  <r>
    <x v="0"/>
    <x v="4"/>
    <x v="7"/>
    <x v="0"/>
    <x v="1"/>
    <x v="0"/>
    <n v="1.37"/>
    <n v="1.51"/>
    <n v="0.23"/>
    <n v="1.37"/>
  </r>
  <r>
    <x v="0"/>
    <x v="4"/>
    <x v="7"/>
    <x v="0"/>
    <x v="0"/>
    <x v="0"/>
    <n v="43.71"/>
    <n v="48.13"/>
    <n v="34.58"/>
    <n v="37.94"/>
  </r>
  <r>
    <x v="0"/>
    <x v="4"/>
    <x v="7"/>
    <x v="4"/>
    <x v="4"/>
    <x v="0"/>
    <n v="327.2"/>
    <n v="360.24"/>
    <n v="88.42"/>
    <n v="294.77"/>
  </r>
  <r>
    <x v="0"/>
    <x v="4"/>
    <x v="7"/>
    <x v="4"/>
    <x v="0"/>
    <x v="0"/>
    <n v="1.66"/>
    <n v="1.82"/>
    <n v="1.1000000000000001"/>
    <n v="1.53"/>
  </r>
  <r>
    <x v="0"/>
    <x v="4"/>
    <x v="7"/>
    <x v="3"/>
    <x v="4"/>
    <x v="0"/>
    <n v="14.53"/>
    <n v="16"/>
    <n v="2.0699999999999998"/>
    <n v="12.53"/>
  </r>
  <r>
    <x v="0"/>
    <x v="4"/>
    <x v="7"/>
    <x v="2"/>
    <x v="3"/>
    <x v="1"/>
    <n v="25.16"/>
    <n v="27.7"/>
    <n v="0.08"/>
    <n v="20.92"/>
  </r>
  <r>
    <x v="0"/>
    <x v="4"/>
    <x v="7"/>
    <x v="2"/>
    <x v="4"/>
    <x v="1"/>
    <n v="0.06"/>
    <n v="7.0000000000000007E-2"/>
    <n v="0"/>
    <n v="0.05"/>
  </r>
  <r>
    <x v="0"/>
    <x v="4"/>
    <x v="7"/>
    <x v="1"/>
    <x v="3"/>
    <x v="1"/>
    <n v="1.85"/>
    <n v="2.04"/>
    <n v="0.01"/>
    <n v="1.58"/>
  </r>
  <r>
    <x v="0"/>
    <x v="4"/>
    <x v="7"/>
    <x v="1"/>
    <x v="2"/>
    <x v="1"/>
    <n v="652.64"/>
    <n v="718.55"/>
    <n v="3.88"/>
    <n v="539.20000000000005"/>
  </r>
  <r>
    <x v="0"/>
    <x v="4"/>
    <x v="7"/>
    <x v="1"/>
    <x v="4"/>
    <x v="2"/>
    <n v="30.63"/>
    <n v="33.729999999999997"/>
    <n v="2.06"/>
    <n v="25.53"/>
  </r>
  <r>
    <x v="0"/>
    <x v="4"/>
    <x v="7"/>
    <x v="1"/>
    <x v="2"/>
    <x v="0"/>
    <n v="18.2"/>
    <n v="20.04"/>
    <n v="1.22"/>
    <n v="15.87"/>
  </r>
  <r>
    <x v="0"/>
    <x v="4"/>
    <x v="7"/>
    <x v="2"/>
    <x v="0"/>
    <x v="0"/>
    <n v="69.72"/>
    <n v="76.760000000000005"/>
    <n v="76.64"/>
    <n v="62.19"/>
  </r>
  <r>
    <x v="0"/>
    <x v="4"/>
    <x v="7"/>
    <x v="2"/>
    <x v="4"/>
    <x v="0"/>
    <n v="92.32"/>
    <n v="101.64"/>
    <n v="45.57"/>
    <n v="82.98"/>
  </r>
  <r>
    <x v="0"/>
    <x v="4"/>
    <x v="7"/>
    <x v="4"/>
    <x v="1"/>
    <x v="2"/>
    <n v="7.94"/>
    <n v="8.75"/>
    <n v="0.24"/>
    <n v="6.62"/>
  </r>
  <r>
    <x v="0"/>
    <x v="4"/>
    <x v="7"/>
    <x v="4"/>
    <x v="4"/>
    <x v="2"/>
    <n v="25.48"/>
    <n v="28.05"/>
    <n v="0.99"/>
    <n v="21.45"/>
  </r>
  <r>
    <x v="0"/>
    <x v="4"/>
    <x v="7"/>
    <x v="4"/>
    <x v="1"/>
    <x v="0"/>
    <n v="52.08"/>
    <n v="57.34"/>
    <n v="6.51"/>
    <n v="45.46"/>
  </r>
  <r>
    <x v="0"/>
    <x v="0"/>
    <x v="8"/>
    <x v="0"/>
    <x v="1"/>
    <x v="0"/>
    <n v="0.23"/>
    <n v="0.23"/>
    <n v="0.1"/>
    <n v="0.23"/>
  </r>
  <r>
    <x v="0"/>
    <x v="0"/>
    <x v="8"/>
    <x v="1"/>
    <x v="1"/>
    <x v="1"/>
    <n v="7.21"/>
    <n v="7.31"/>
    <n v="0.1"/>
    <n v="6.86"/>
  </r>
  <r>
    <x v="0"/>
    <x v="0"/>
    <x v="8"/>
    <x v="1"/>
    <x v="2"/>
    <x v="1"/>
    <n v="18.62"/>
    <n v="18.899999999999999"/>
    <n v="0.08"/>
    <n v="17.760000000000002"/>
  </r>
  <r>
    <x v="0"/>
    <x v="0"/>
    <x v="8"/>
    <x v="2"/>
    <x v="3"/>
    <x v="1"/>
    <n v="12.65"/>
    <n v="12.84"/>
    <n v="0.04"/>
    <n v="12.02"/>
  </r>
  <r>
    <x v="0"/>
    <x v="0"/>
    <x v="8"/>
    <x v="3"/>
    <x v="4"/>
    <x v="0"/>
    <n v="0.1"/>
    <n v="0.1"/>
    <n v="0.02"/>
    <n v="0.09"/>
  </r>
  <r>
    <x v="0"/>
    <x v="0"/>
    <x v="8"/>
    <x v="4"/>
    <x v="0"/>
    <x v="0"/>
    <n v="0.21"/>
    <n v="0.21"/>
    <n v="0.06"/>
    <n v="0.19"/>
  </r>
  <r>
    <x v="0"/>
    <x v="0"/>
    <x v="8"/>
    <x v="4"/>
    <x v="4"/>
    <x v="0"/>
    <n v="17.02"/>
    <n v="17.27"/>
    <n v="2.85"/>
    <n v="15.67"/>
  </r>
  <r>
    <x v="0"/>
    <x v="0"/>
    <x v="8"/>
    <x v="4"/>
    <x v="1"/>
    <x v="0"/>
    <n v="1.48"/>
    <n v="1.51"/>
    <n v="0.13"/>
    <n v="1.38"/>
  </r>
  <r>
    <x v="0"/>
    <x v="0"/>
    <x v="8"/>
    <x v="1"/>
    <x v="4"/>
    <x v="1"/>
    <n v="1.57"/>
    <n v="1.6"/>
    <n v="0.08"/>
    <n v="1.49"/>
  </r>
  <r>
    <x v="0"/>
    <x v="0"/>
    <x v="8"/>
    <x v="0"/>
    <x v="4"/>
    <x v="0"/>
    <n v="17.53"/>
    <n v="17.78"/>
    <n v="5.7"/>
    <n v="16.03"/>
  </r>
  <r>
    <x v="0"/>
    <x v="0"/>
    <x v="8"/>
    <x v="1"/>
    <x v="4"/>
    <x v="0"/>
    <n v="27.13"/>
    <n v="27.52"/>
    <n v="5.87"/>
    <n v="25.53"/>
  </r>
  <r>
    <x v="0"/>
    <x v="0"/>
    <x v="8"/>
    <x v="1"/>
    <x v="0"/>
    <x v="0"/>
    <n v="3.71"/>
    <n v="3.77"/>
    <n v="1.81"/>
    <n v="3.47"/>
  </r>
  <r>
    <x v="0"/>
    <x v="0"/>
    <x v="8"/>
    <x v="4"/>
    <x v="4"/>
    <x v="1"/>
    <n v="1.57"/>
    <n v="1.6"/>
    <n v="7.0000000000000007E-2"/>
    <n v="1.49"/>
  </r>
  <r>
    <x v="0"/>
    <x v="0"/>
    <x v="8"/>
    <x v="1"/>
    <x v="1"/>
    <x v="0"/>
    <n v="5.75"/>
    <n v="5.83"/>
    <n v="0.33"/>
    <n v="5.44"/>
  </r>
  <r>
    <x v="0"/>
    <x v="0"/>
    <x v="8"/>
    <x v="1"/>
    <x v="2"/>
    <x v="0"/>
    <n v="0.37"/>
    <n v="0.37"/>
    <n v="0.02"/>
    <n v="0.34"/>
  </r>
  <r>
    <x v="0"/>
    <x v="0"/>
    <x v="8"/>
    <x v="2"/>
    <x v="0"/>
    <x v="0"/>
    <n v="3.44"/>
    <n v="3.49"/>
    <n v="1.6"/>
    <n v="3.28"/>
  </r>
  <r>
    <x v="0"/>
    <x v="0"/>
    <x v="8"/>
    <x v="2"/>
    <x v="4"/>
    <x v="0"/>
    <n v="2.67"/>
    <n v="2.71"/>
    <n v="0.69"/>
    <n v="2.57"/>
  </r>
  <r>
    <x v="0"/>
    <x v="0"/>
    <x v="8"/>
    <x v="0"/>
    <x v="0"/>
    <x v="0"/>
    <n v="3.16"/>
    <n v="3.21"/>
    <n v="2.16"/>
    <n v="2.86"/>
  </r>
  <r>
    <x v="0"/>
    <x v="0"/>
    <x v="8"/>
    <x v="1"/>
    <x v="2"/>
    <x v="2"/>
    <n v="0.54"/>
    <n v="0.55000000000000004"/>
    <n v="0"/>
    <n v="0.49"/>
  </r>
  <r>
    <x v="0"/>
    <x v="0"/>
    <x v="8"/>
    <x v="0"/>
    <x v="3"/>
    <x v="1"/>
    <n v="6.7"/>
    <n v="6.8"/>
    <n v="0.01"/>
    <n v="6.4"/>
  </r>
  <r>
    <x v="0"/>
    <x v="0"/>
    <x v="8"/>
    <x v="4"/>
    <x v="0"/>
    <x v="1"/>
    <n v="1.57"/>
    <n v="1.59"/>
    <n v="0.15"/>
    <n v="1.49"/>
  </r>
  <r>
    <x v="0"/>
    <x v="0"/>
    <x v="8"/>
    <x v="0"/>
    <x v="1"/>
    <x v="1"/>
    <n v="1.42"/>
    <n v="1.44"/>
    <n v="0.02"/>
    <n v="1.35"/>
  </r>
  <r>
    <x v="0"/>
    <x v="0"/>
    <x v="8"/>
    <x v="0"/>
    <x v="4"/>
    <x v="1"/>
    <n v="2.2599999999999998"/>
    <n v="2.29"/>
    <n v="0.11"/>
    <n v="2.15"/>
  </r>
  <r>
    <x v="0"/>
    <x v="0"/>
    <x v="8"/>
    <x v="2"/>
    <x v="3"/>
    <x v="3"/>
    <n v="1.5"/>
    <n v="1.52"/>
    <n v="0"/>
    <n v="1.46"/>
  </r>
  <r>
    <x v="0"/>
    <x v="0"/>
    <x v="8"/>
    <x v="0"/>
    <x v="0"/>
    <x v="1"/>
    <n v="0.6"/>
    <n v="0.61"/>
    <n v="0.03"/>
    <n v="0.57999999999999996"/>
  </r>
  <r>
    <x v="0"/>
    <x v="0"/>
    <x v="8"/>
    <x v="2"/>
    <x v="3"/>
    <x v="2"/>
    <n v="9.35"/>
    <n v="9.48"/>
    <n v="0.01"/>
    <n v="8.8800000000000008"/>
  </r>
  <r>
    <x v="0"/>
    <x v="0"/>
    <x v="8"/>
    <x v="1"/>
    <x v="3"/>
    <x v="2"/>
    <n v="1.56"/>
    <n v="1.59"/>
    <n v="0"/>
    <n v="1.43"/>
  </r>
  <r>
    <x v="0"/>
    <x v="0"/>
    <x v="8"/>
    <x v="4"/>
    <x v="1"/>
    <x v="2"/>
    <n v="1.52"/>
    <n v="1.54"/>
    <n v="0.05"/>
    <n v="1.39"/>
  </r>
  <r>
    <x v="0"/>
    <x v="0"/>
    <x v="8"/>
    <x v="1"/>
    <x v="0"/>
    <x v="1"/>
    <n v="1.76"/>
    <n v="1.79"/>
    <n v="0.11"/>
    <n v="1.66"/>
  </r>
  <r>
    <x v="0"/>
    <x v="0"/>
    <x v="8"/>
    <x v="4"/>
    <x v="4"/>
    <x v="2"/>
    <n v="0.56000000000000005"/>
    <n v="0.56000000000000005"/>
    <n v="0.02"/>
    <n v="0.51"/>
  </r>
  <r>
    <x v="0"/>
    <x v="0"/>
    <x v="8"/>
    <x v="4"/>
    <x v="2"/>
    <x v="2"/>
    <n v="0.43"/>
    <n v="0.43"/>
    <n v="0"/>
    <n v="0.39"/>
  </r>
  <r>
    <x v="0"/>
    <x v="0"/>
    <x v="8"/>
    <x v="1"/>
    <x v="4"/>
    <x v="2"/>
    <n v="0.89"/>
    <n v="0.91"/>
    <n v="0.04"/>
    <n v="0.82"/>
  </r>
  <r>
    <x v="0"/>
    <x v="0"/>
    <x v="8"/>
    <x v="1"/>
    <x v="1"/>
    <x v="2"/>
    <n v="0.85"/>
    <n v="0.86"/>
    <n v="0.01"/>
    <n v="0.78"/>
  </r>
  <r>
    <x v="0"/>
    <x v="5"/>
    <x v="9"/>
    <x v="1"/>
    <x v="2"/>
    <x v="1"/>
    <n v="11.46"/>
    <n v="11.14"/>
    <n v="0.08"/>
    <n v="10.87"/>
  </r>
  <r>
    <x v="0"/>
    <x v="5"/>
    <x v="9"/>
    <x v="1"/>
    <x v="1"/>
    <x v="1"/>
    <n v="4.4400000000000004"/>
    <n v="4.32"/>
    <n v="7.0000000000000007E-2"/>
    <n v="4.17"/>
  </r>
  <r>
    <x v="0"/>
    <x v="5"/>
    <x v="9"/>
    <x v="1"/>
    <x v="1"/>
    <x v="2"/>
    <n v="1.91"/>
    <n v="1.85"/>
    <n v="0.01"/>
    <n v="1.66"/>
  </r>
  <r>
    <x v="0"/>
    <x v="5"/>
    <x v="9"/>
    <x v="2"/>
    <x v="3"/>
    <x v="3"/>
    <n v="0.47"/>
    <n v="0.45"/>
    <n v="0"/>
    <n v="0.47"/>
  </r>
  <r>
    <x v="0"/>
    <x v="5"/>
    <x v="9"/>
    <x v="2"/>
    <x v="2"/>
    <x v="3"/>
    <n v="1.04"/>
    <n v="1.01"/>
    <n v="0"/>
    <n v="1.04"/>
  </r>
  <r>
    <x v="0"/>
    <x v="5"/>
    <x v="9"/>
    <x v="1"/>
    <x v="4"/>
    <x v="1"/>
    <n v="0.93"/>
    <n v="0.91"/>
    <n v="0.06"/>
    <n v="0.92"/>
  </r>
  <r>
    <x v="0"/>
    <x v="5"/>
    <x v="9"/>
    <x v="1"/>
    <x v="0"/>
    <x v="1"/>
    <n v="3.08"/>
    <n v="2.99"/>
    <n v="0.16"/>
    <n v="3.05"/>
  </r>
  <r>
    <x v="0"/>
    <x v="5"/>
    <x v="9"/>
    <x v="1"/>
    <x v="4"/>
    <x v="2"/>
    <n v="3.63"/>
    <n v="3.53"/>
    <n v="0.03"/>
    <n v="3.16"/>
  </r>
  <r>
    <x v="0"/>
    <x v="5"/>
    <x v="9"/>
    <x v="0"/>
    <x v="0"/>
    <x v="1"/>
    <n v="0.61"/>
    <n v="0.59"/>
    <n v="0.04"/>
    <n v="0.56000000000000005"/>
  </r>
  <r>
    <x v="0"/>
    <x v="5"/>
    <x v="9"/>
    <x v="0"/>
    <x v="3"/>
    <x v="1"/>
    <n v="1.68"/>
    <n v="1.63"/>
    <n v="0"/>
    <n v="1.55"/>
  </r>
  <r>
    <x v="0"/>
    <x v="5"/>
    <x v="9"/>
    <x v="4"/>
    <x v="4"/>
    <x v="1"/>
    <n v="0.48"/>
    <n v="0.46"/>
    <n v="0.03"/>
    <n v="0.44"/>
  </r>
  <r>
    <x v="0"/>
    <x v="5"/>
    <x v="9"/>
    <x v="4"/>
    <x v="0"/>
    <x v="1"/>
    <n v="0.9"/>
    <n v="0.88"/>
    <n v="0.06"/>
    <n v="0.84"/>
  </r>
  <r>
    <x v="0"/>
    <x v="5"/>
    <x v="9"/>
    <x v="0"/>
    <x v="0"/>
    <x v="0"/>
    <n v="3.72"/>
    <n v="3.61"/>
    <n v="2.0099999999999998"/>
    <n v="3.41"/>
  </r>
  <r>
    <x v="0"/>
    <x v="5"/>
    <x v="9"/>
    <x v="0"/>
    <x v="1"/>
    <x v="1"/>
    <n v="0.92"/>
    <n v="0.89"/>
    <n v="0.01"/>
    <n v="0.85"/>
  </r>
  <r>
    <x v="0"/>
    <x v="5"/>
    <x v="9"/>
    <x v="1"/>
    <x v="4"/>
    <x v="0"/>
    <n v="47.11"/>
    <n v="45.77"/>
    <n v="13.54"/>
    <n v="43.68"/>
  </r>
  <r>
    <x v="0"/>
    <x v="5"/>
    <x v="9"/>
    <x v="2"/>
    <x v="4"/>
    <x v="0"/>
    <n v="1.99"/>
    <n v="1.93"/>
    <n v="0.51"/>
    <n v="1.9"/>
  </r>
  <r>
    <x v="0"/>
    <x v="5"/>
    <x v="9"/>
    <x v="4"/>
    <x v="4"/>
    <x v="2"/>
    <n v="0.93"/>
    <n v="0.91"/>
    <n v="0.04"/>
    <n v="0.83"/>
  </r>
  <r>
    <x v="0"/>
    <x v="5"/>
    <x v="9"/>
    <x v="2"/>
    <x v="0"/>
    <x v="0"/>
    <n v="4.32"/>
    <n v="4.1900000000000004"/>
    <n v="2.64"/>
    <n v="4.0599999999999996"/>
  </r>
  <r>
    <x v="0"/>
    <x v="5"/>
    <x v="9"/>
    <x v="1"/>
    <x v="2"/>
    <x v="0"/>
    <n v="0.57999999999999996"/>
    <n v="0.56000000000000005"/>
    <n v="0.01"/>
    <n v="0.53"/>
  </r>
  <r>
    <x v="0"/>
    <x v="5"/>
    <x v="9"/>
    <x v="4"/>
    <x v="1"/>
    <x v="0"/>
    <n v="1.68"/>
    <n v="1.64"/>
    <n v="0.13"/>
    <n v="1.55"/>
  </r>
  <r>
    <x v="0"/>
    <x v="5"/>
    <x v="9"/>
    <x v="0"/>
    <x v="4"/>
    <x v="1"/>
    <n v="2.64"/>
    <n v="2.56"/>
    <n v="0.13"/>
    <n v="2.46"/>
  </r>
  <r>
    <x v="0"/>
    <x v="5"/>
    <x v="9"/>
    <x v="1"/>
    <x v="1"/>
    <x v="0"/>
    <n v="6.87"/>
    <n v="6.67"/>
    <n v="0.49"/>
    <n v="6.33"/>
  </r>
  <r>
    <x v="0"/>
    <x v="5"/>
    <x v="9"/>
    <x v="4"/>
    <x v="2"/>
    <x v="2"/>
    <n v="0.44"/>
    <n v="0.43"/>
    <n v="0"/>
    <n v="0.38"/>
  </r>
  <r>
    <x v="0"/>
    <x v="5"/>
    <x v="9"/>
    <x v="1"/>
    <x v="0"/>
    <x v="0"/>
    <n v="8.56"/>
    <n v="8.32"/>
    <n v="3.93"/>
    <n v="7.98"/>
  </r>
  <r>
    <x v="0"/>
    <x v="5"/>
    <x v="9"/>
    <x v="0"/>
    <x v="1"/>
    <x v="0"/>
    <n v="0.89"/>
    <n v="0.86"/>
    <n v="0.18"/>
    <n v="0.82"/>
  </r>
  <r>
    <x v="0"/>
    <x v="5"/>
    <x v="9"/>
    <x v="0"/>
    <x v="4"/>
    <x v="0"/>
    <n v="8.84"/>
    <n v="8.59"/>
    <n v="2.75"/>
    <n v="8.2799999999999994"/>
  </r>
  <r>
    <x v="0"/>
    <x v="5"/>
    <x v="9"/>
    <x v="2"/>
    <x v="3"/>
    <x v="1"/>
    <n v="3.47"/>
    <n v="3.37"/>
    <n v="0.01"/>
    <n v="3.38"/>
  </r>
  <r>
    <x v="0"/>
    <x v="5"/>
    <x v="9"/>
    <x v="4"/>
    <x v="0"/>
    <x v="0"/>
    <n v="0.16"/>
    <n v="0.15"/>
    <n v="0.03"/>
    <n v="0.15"/>
  </r>
  <r>
    <x v="0"/>
    <x v="5"/>
    <x v="9"/>
    <x v="4"/>
    <x v="1"/>
    <x v="2"/>
    <n v="1.0900000000000001"/>
    <n v="1.06"/>
    <n v="0.02"/>
    <n v="0.96"/>
  </r>
  <r>
    <x v="0"/>
    <x v="5"/>
    <x v="9"/>
    <x v="1"/>
    <x v="3"/>
    <x v="1"/>
    <n v="0.01"/>
    <n v="0.01"/>
    <n v="0"/>
    <n v="0.01"/>
  </r>
  <r>
    <x v="0"/>
    <x v="5"/>
    <x v="9"/>
    <x v="3"/>
    <x v="4"/>
    <x v="0"/>
    <n v="3.01"/>
    <n v="2.92"/>
    <n v="0.44"/>
    <n v="2.77"/>
  </r>
  <r>
    <x v="0"/>
    <x v="5"/>
    <x v="9"/>
    <x v="2"/>
    <x v="4"/>
    <x v="1"/>
    <n v="0.05"/>
    <n v="0.05"/>
    <n v="0"/>
    <n v="0.05"/>
  </r>
  <r>
    <x v="0"/>
    <x v="5"/>
    <x v="9"/>
    <x v="4"/>
    <x v="4"/>
    <x v="0"/>
    <n v="19.96"/>
    <n v="19.39"/>
    <n v="3.3"/>
    <n v="18.600000000000001"/>
  </r>
  <r>
    <x v="0"/>
    <x v="2"/>
    <x v="10"/>
    <x v="2"/>
    <x v="3"/>
    <x v="3"/>
    <n v="11.67"/>
    <n v="11.68"/>
    <n v="0.01"/>
    <n v="11.67"/>
  </r>
  <r>
    <x v="0"/>
    <x v="2"/>
    <x v="10"/>
    <x v="4"/>
    <x v="0"/>
    <x v="1"/>
    <n v="0.59"/>
    <n v="0.59"/>
    <n v="0.04"/>
    <n v="0.54"/>
  </r>
  <r>
    <x v="0"/>
    <x v="2"/>
    <x v="10"/>
    <x v="4"/>
    <x v="4"/>
    <x v="1"/>
    <n v="0.24"/>
    <n v="0.24"/>
    <n v="0.01"/>
    <n v="0.21"/>
  </r>
  <r>
    <x v="0"/>
    <x v="2"/>
    <x v="10"/>
    <x v="0"/>
    <x v="0"/>
    <x v="1"/>
    <n v="0.35"/>
    <n v="0.35"/>
    <n v="0.02"/>
    <n v="0.31"/>
  </r>
  <r>
    <x v="0"/>
    <x v="2"/>
    <x v="10"/>
    <x v="0"/>
    <x v="4"/>
    <x v="1"/>
    <n v="1.27"/>
    <n v="1.27"/>
    <n v="0.06"/>
    <n v="1.1499999999999999"/>
  </r>
  <r>
    <x v="0"/>
    <x v="2"/>
    <x v="10"/>
    <x v="0"/>
    <x v="1"/>
    <x v="1"/>
    <n v="0.47"/>
    <n v="0.48"/>
    <n v="0.01"/>
    <n v="0.43"/>
  </r>
  <r>
    <x v="0"/>
    <x v="2"/>
    <x v="10"/>
    <x v="0"/>
    <x v="3"/>
    <x v="1"/>
    <n v="0.86"/>
    <n v="0.86"/>
    <n v="0"/>
    <n v="0.78"/>
  </r>
  <r>
    <x v="0"/>
    <x v="2"/>
    <x v="10"/>
    <x v="1"/>
    <x v="0"/>
    <x v="1"/>
    <n v="2.44"/>
    <n v="2.44"/>
    <n v="0.09"/>
    <n v="2.4300000000000002"/>
  </r>
  <r>
    <x v="0"/>
    <x v="2"/>
    <x v="10"/>
    <x v="1"/>
    <x v="4"/>
    <x v="1"/>
    <n v="0.72"/>
    <n v="0.72"/>
    <n v="0.02"/>
    <n v="0.69"/>
  </r>
  <r>
    <x v="0"/>
    <x v="2"/>
    <x v="10"/>
    <x v="1"/>
    <x v="2"/>
    <x v="1"/>
    <n v="4.2300000000000004"/>
    <n v="4.2300000000000004"/>
    <n v="0.01"/>
    <n v="3.82"/>
  </r>
  <r>
    <x v="0"/>
    <x v="2"/>
    <x v="10"/>
    <x v="2"/>
    <x v="2"/>
    <x v="2"/>
    <n v="0.1"/>
    <n v="0.1"/>
    <n v="0"/>
    <n v="0.1"/>
  </r>
  <r>
    <x v="0"/>
    <x v="2"/>
    <x v="10"/>
    <x v="1"/>
    <x v="3"/>
    <x v="1"/>
    <n v="0"/>
    <n v="0"/>
    <n v="0"/>
    <n v="0"/>
  </r>
  <r>
    <x v="0"/>
    <x v="2"/>
    <x v="10"/>
    <x v="2"/>
    <x v="4"/>
    <x v="1"/>
    <n v="0.03"/>
    <n v="0.03"/>
    <n v="0"/>
    <n v="0.03"/>
  </r>
  <r>
    <x v="0"/>
    <x v="2"/>
    <x v="10"/>
    <x v="2"/>
    <x v="2"/>
    <x v="1"/>
    <n v="0.41"/>
    <n v="0.41"/>
    <n v="0"/>
    <n v="0.41"/>
  </r>
  <r>
    <x v="0"/>
    <x v="2"/>
    <x v="10"/>
    <x v="2"/>
    <x v="3"/>
    <x v="1"/>
    <n v="1.57"/>
    <n v="1.57"/>
    <n v="0.01"/>
    <n v="1.48"/>
  </r>
  <r>
    <x v="0"/>
    <x v="2"/>
    <x v="10"/>
    <x v="3"/>
    <x v="4"/>
    <x v="0"/>
    <n v="3.54"/>
    <n v="3.55"/>
    <n v="0.54"/>
    <n v="3.29"/>
  </r>
  <r>
    <x v="0"/>
    <x v="2"/>
    <x v="10"/>
    <x v="4"/>
    <x v="0"/>
    <x v="0"/>
    <n v="0.14000000000000001"/>
    <n v="0.14000000000000001"/>
    <n v="0.03"/>
    <n v="0.13"/>
  </r>
  <r>
    <x v="0"/>
    <x v="2"/>
    <x v="10"/>
    <x v="1"/>
    <x v="1"/>
    <x v="1"/>
    <n v="2.76"/>
    <n v="2.76"/>
    <n v="0.03"/>
    <n v="2.57"/>
  </r>
  <r>
    <x v="0"/>
    <x v="2"/>
    <x v="10"/>
    <x v="0"/>
    <x v="4"/>
    <x v="0"/>
    <n v="8.8699999999999992"/>
    <n v="8.8800000000000008"/>
    <n v="2.59"/>
    <n v="8.27"/>
  </r>
  <r>
    <x v="0"/>
    <x v="2"/>
    <x v="10"/>
    <x v="4"/>
    <x v="4"/>
    <x v="0"/>
    <n v="62.05"/>
    <n v="62.1"/>
    <n v="10.46"/>
    <n v="57.33"/>
  </r>
  <r>
    <x v="0"/>
    <x v="2"/>
    <x v="10"/>
    <x v="1"/>
    <x v="1"/>
    <x v="2"/>
    <n v="0.76"/>
    <n v="0.76"/>
    <n v="0.01"/>
    <n v="0.66"/>
  </r>
  <r>
    <x v="0"/>
    <x v="2"/>
    <x v="10"/>
    <x v="2"/>
    <x v="4"/>
    <x v="0"/>
    <n v="1.72"/>
    <n v="1.72"/>
    <n v="0.44"/>
    <n v="1.63"/>
  </r>
  <r>
    <x v="0"/>
    <x v="2"/>
    <x v="10"/>
    <x v="2"/>
    <x v="0"/>
    <x v="0"/>
    <n v="2.0099999999999998"/>
    <n v="2.0099999999999998"/>
    <n v="1.2"/>
    <n v="1.89"/>
  </r>
  <r>
    <x v="0"/>
    <x v="2"/>
    <x v="10"/>
    <x v="1"/>
    <x v="2"/>
    <x v="0"/>
    <n v="1"/>
    <n v="1"/>
    <n v="0.02"/>
    <n v="0.91"/>
  </r>
  <r>
    <x v="0"/>
    <x v="2"/>
    <x v="10"/>
    <x v="1"/>
    <x v="1"/>
    <x v="0"/>
    <n v="15.66"/>
    <n v="15.68"/>
    <n v="0.82"/>
    <n v="14.45"/>
  </r>
  <r>
    <x v="0"/>
    <x v="2"/>
    <x v="10"/>
    <x v="1"/>
    <x v="4"/>
    <x v="0"/>
    <n v="59.85"/>
    <n v="59.9"/>
    <n v="15"/>
    <n v="55.39"/>
  </r>
  <r>
    <x v="0"/>
    <x v="2"/>
    <x v="10"/>
    <x v="2"/>
    <x v="2"/>
    <x v="3"/>
    <n v="10.4"/>
    <n v="10.41"/>
    <n v="0.01"/>
    <n v="10.38"/>
  </r>
  <r>
    <x v="0"/>
    <x v="2"/>
    <x v="10"/>
    <x v="0"/>
    <x v="1"/>
    <x v="0"/>
    <n v="0.5"/>
    <n v="0.51"/>
    <n v="0.1"/>
    <n v="0.46"/>
  </r>
  <r>
    <x v="0"/>
    <x v="2"/>
    <x v="10"/>
    <x v="2"/>
    <x v="3"/>
    <x v="2"/>
    <n v="0.65"/>
    <n v="0.65"/>
    <n v="0"/>
    <n v="0.65"/>
  </r>
  <r>
    <x v="0"/>
    <x v="2"/>
    <x v="10"/>
    <x v="0"/>
    <x v="0"/>
    <x v="0"/>
    <n v="1.66"/>
    <n v="1.66"/>
    <n v="0.86"/>
    <n v="1.52"/>
  </r>
  <r>
    <x v="0"/>
    <x v="2"/>
    <x v="10"/>
    <x v="4"/>
    <x v="1"/>
    <x v="0"/>
    <n v="10.85"/>
    <n v="10.86"/>
    <n v="0.86"/>
    <n v="10.01"/>
  </r>
  <r>
    <x v="0"/>
    <x v="2"/>
    <x v="10"/>
    <x v="4"/>
    <x v="4"/>
    <x v="2"/>
    <n v="0.47"/>
    <n v="0.47"/>
    <n v="0.03"/>
    <n v="0.41"/>
  </r>
  <r>
    <x v="0"/>
    <x v="2"/>
    <x v="10"/>
    <x v="4"/>
    <x v="1"/>
    <x v="2"/>
    <n v="1.1599999999999999"/>
    <n v="1.1599999999999999"/>
    <n v="0.03"/>
    <n v="1.01"/>
  </r>
  <r>
    <x v="0"/>
    <x v="2"/>
    <x v="10"/>
    <x v="4"/>
    <x v="2"/>
    <x v="2"/>
    <n v="0.28000000000000003"/>
    <n v="0.28000000000000003"/>
    <n v="0"/>
    <n v="0.25"/>
  </r>
  <r>
    <x v="0"/>
    <x v="2"/>
    <x v="10"/>
    <x v="1"/>
    <x v="4"/>
    <x v="2"/>
    <n v="0.97"/>
    <n v="0.97"/>
    <n v="0.02"/>
    <n v="0.85"/>
  </r>
  <r>
    <x v="0"/>
    <x v="2"/>
    <x v="10"/>
    <x v="1"/>
    <x v="2"/>
    <x v="2"/>
    <n v="0.75"/>
    <n v="0.75"/>
    <n v="0"/>
    <n v="0.66"/>
  </r>
  <r>
    <x v="0"/>
    <x v="2"/>
    <x v="10"/>
    <x v="1"/>
    <x v="3"/>
    <x v="2"/>
    <n v="5.21"/>
    <n v="5.22"/>
    <n v="0.01"/>
    <n v="4.53"/>
  </r>
  <r>
    <x v="0"/>
    <x v="2"/>
    <x v="10"/>
    <x v="1"/>
    <x v="0"/>
    <x v="0"/>
    <n v="6.41"/>
    <n v="6.42"/>
    <n v="2.87"/>
    <n v="5.97"/>
  </r>
  <r>
    <x v="0"/>
    <x v="2"/>
    <x v="11"/>
    <x v="1"/>
    <x v="4"/>
    <x v="1"/>
    <n v="1.92"/>
    <n v="1.93"/>
    <n v="0.09"/>
    <n v="1.91"/>
  </r>
  <r>
    <x v="0"/>
    <x v="2"/>
    <x v="11"/>
    <x v="2"/>
    <x v="2"/>
    <x v="3"/>
    <n v="2.0099999999999998"/>
    <n v="2.0099999999999998"/>
    <n v="0"/>
    <n v="2"/>
  </r>
  <r>
    <x v="0"/>
    <x v="2"/>
    <x v="11"/>
    <x v="0"/>
    <x v="0"/>
    <x v="0"/>
    <n v="1.39"/>
    <n v="1.4"/>
    <n v="0.73"/>
    <n v="1.26"/>
  </r>
  <r>
    <x v="0"/>
    <x v="2"/>
    <x v="11"/>
    <x v="1"/>
    <x v="3"/>
    <x v="2"/>
    <n v="2.42"/>
    <n v="2.42"/>
    <n v="0"/>
    <n v="2.1"/>
  </r>
  <r>
    <x v="0"/>
    <x v="2"/>
    <x v="11"/>
    <x v="1"/>
    <x v="0"/>
    <x v="0"/>
    <n v="5.91"/>
    <n v="5.92"/>
    <n v="2.71"/>
    <n v="5.46"/>
  </r>
  <r>
    <x v="0"/>
    <x v="2"/>
    <x v="11"/>
    <x v="1"/>
    <x v="4"/>
    <x v="0"/>
    <n v="54.63"/>
    <n v="54.75"/>
    <n v="13.9"/>
    <n v="50.2"/>
  </r>
  <r>
    <x v="0"/>
    <x v="2"/>
    <x v="11"/>
    <x v="1"/>
    <x v="1"/>
    <x v="0"/>
    <n v="13.38"/>
    <n v="13.41"/>
    <n v="0.73"/>
    <n v="12.29"/>
  </r>
  <r>
    <x v="0"/>
    <x v="2"/>
    <x v="11"/>
    <x v="1"/>
    <x v="2"/>
    <x v="0"/>
    <n v="0.75"/>
    <n v="0.75"/>
    <n v="0.02"/>
    <n v="0.68"/>
  </r>
  <r>
    <x v="0"/>
    <x v="2"/>
    <x v="11"/>
    <x v="2"/>
    <x v="0"/>
    <x v="0"/>
    <n v="2.5099999999999998"/>
    <n v="2.5099999999999998"/>
    <n v="1.5"/>
    <n v="2.2999999999999998"/>
  </r>
  <r>
    <x v="0"/>
    <x v="2"/>
    <x v="11"/>
    <x v="2"/>
    <x v="4"/>
    <x v="0"/>
    <n v="1.07"/>
    <n v="1.08"/>
    <n v="0.27"/>
    <n v="1"/>
  </r>
  <r>
    <x v="0"/>
    <x v="2"/>
    <x v="11"/>
    <x v="2"/>
    <x v="3"/>
    <x v="3"/>
    <n v="10.63"/>
    <n v="10.65"/>
    <n v="0.01"/>
    <n v="10.63"/>
  </r>
  <r>
    <x v="0"/>
    <x v="2"/>
    <x v="11"/>
    <x v="4"/>
    <x v="1"/>
    <x v="2"/>
    <n v="2.46"/>
    <n v="2.46"/>
    <n v="0.06"/>
    <n v="2.14"/>
  </r>
  <r>
    <x v="0"/>
    <x v="2"/>
    <x v="11"/>
    <x v="4"/>
    <x v="2"/>
    <x v="2"/>
    <n v="0.84"/>
    <n v="0.84"/>
    <n v="0"/>
    <n v="0.73"/>
  </r>
  <r>
    <x v="0"/>
    <x v="2"/>
    <x v="11"/>
    <x v="0"/>
    <x v="1"/>
    <x v="0"/>
    <n v="0.73"/>
    <n v="0.73"/>
    <n v="0.2"/>
    <n v="0.67"/>
  </r>
  <r>
    <x v="0"/>
    <x v="2"/>
    <x v="11"/>
    <x v="1"/>
    <x v="1"/>
    <x v="2"/>
    <n v="2.33"/>
    <n v="2.34"/>
    <n v="0.03"/>
    <n v="2.0299999999999998"/>
  </r>
  <r>
    <x v="0"/>
    <x v="2"/>
    <x v="11"/>
    <x v="4"/>
    <x v="4"/>
    <x v="2"/>
    <n v="1.51"/>
    <n v="1.51"/>
    <n v="0.06"/>
    <n v="1.31"/>
  </r>
  <r>
    <x v="0"/>
    <x v="2"/>
    <x v="11"/>
    <x v="2"/>
    <x v="2"/>
    <x v="2"/>
    <n v="0.94"/>
    <n v="0.95"/>
    <n v="0"/>
    <n v="0.94"/>
  </r>
  <r>
    <x v="0"/>
    <x v="2"/>
    <x v="11"/>
    <x v="2"/>
    <x v="3"/>
    <x v="2"/>
    <n v="12.04"/>
    <n v="12.07"/>
    <n v="0.01"/>
    <n v="10.78"/>
  </r>
  <r>
    <x v="0"/>
    <x v="2"/>
    <x v="11"/>
    <x v="1"/>
    <x v="0"/>
    <x v="1"/>
    <n v="4.8099999999999996"/>
    <n v="4.82"/>
    <n v="0.28999999999999998"/>
    <n v="4.66"/>
  </r>
  <r>
    <x v="0"/>
    <x v="2"/>
    <x v="11"/>
    <x v="0"/>
    <x v="3"/>
    <x v="1"/>
    <n v="1.25"/>
    <n v="1.25"/>
    <n v="0"/>
    <n v="1.1299999999999999"/>
  </r>
  <r>
    <x v="0"/>
    <x v="2"/>
    <x v="11"/>
    <x v="0"/>
    <x v="1"/>
    <x v="1"/>
    <n v="0.65"/>
    <n v="0.65"/>
    <n v="0.01"/>
    <n v="0.59"/>
  </r>
  <r>
    <x v="0"/>
    <x v="2"/>
    <x v="11"/>
    <x v="0"/>
    <x v="4"/>
    <x v="1"/>
    <n v="1.59"/>
    <n v="1.6"/>
    <n v="0.08"/>
    <n v="1.44"/>
  </r>
  <r>
    <x v="0"/>
    <x v="2"/>
    <x v="11"/>
    <x v="0"/>
    <x v="0"/>
    <x v="1"/>
    <n v="0.4"/>
    <n v="0.4"/>
    <n v="0.03"/>
    <n v="0.36"/>
  </r>
  <r>
    <x v="0"/>
    <x v="2"/>
    <x v="11"/>
    <x v="4"/>
    <x v="4"/>
    <x v="1"/>
    <n v="0.74"/>
    <n v="0.74"/>
    <n v="0.04"/>
    <n v="0.71"/>
  </r>
  <r>
    <x v="0"/>
    <x v="2"/>
    <x v="11"/>
    <x v="4"/>
    <x v="0"/>
    <x v="1"/>
    <n v="0.75"/>
    <n v="0.75"/>
    <n v="0.04"/>
    <n v="0.69"/>
  </r>
  <r>
    <x v="0"/>
    <x v="2"/>
    <x v="11"/>
    <x v="4"/>
    <x v="4"/>
    <x v="0"/>
    <n v="66.23"/>
    <n v="66.37"/>
    <n v="11.05"/>
    <n v="60.81"/>
  </r>
  <r>
    <x v="0"/>
    <x v="2"/>
    <x v="11"/>
    <x v="1"/>
    <x v="4"/>
    <x v="2"/>
    <n v="6.04"/>
    <n v="6.05"/>
    <n v="0.15"/>
    <n v="5.25"/>
  </r>
  <r>
    <x v="0"/>
    <x v="2"/>
    <x v="11"/>
    <x v="0"/>
    <x v="4"/>
    <x v="0"/>
    <n v="13.06"/>
    <n v="13.09"/>
    <n v="4.05"/>
    <n v="11.93"/>
  </r>
  <r>
    <x v="0"/>
    <x v="2"/>
    <x v="11"/>
    <x v="4"/>
    <x v="1"/>
    <x v="0"/>
    <n v="10.94"/>
    <n v="10.96"/>
    <n v="0.86"/>
    <n v="9.98"/>
  </r>
  <r>
    <x v="0"/>
    <x v="2"/>
    <x v="11"/>
    <x v="4"/>
    <x v="0"/>
    <x v="0"/>
    <n v="0.14000000000000001"/>
    <n v="0.14000000000000001"/>
    <n v="0.03"/>
    <n v="0.13"/>
  </r>
  <r>
    <x v="0"/>
    <x v="2"/>
    <x v="11"/>
    <x v="3"/>
    <x v="4"/>
    <x v="0"/>
    <n v="2.75"/>
    <n v="2.76"/>
    <n v="0.35"/>
    <n v="2.5099999999999998"/>
  </r>
  <r>
    <x v="0"/>
    <x v="2"/>
    <x v="11"/>
    <x v="2"/>
    <x v="3"/>
    <x v="1"/>
    <n v="0.52"/>
    <n v="0.53"/>
    <n v="0"/>
    <n v="0.48"/>
  </r>
  <r>
    <x v="0"/>
    <x v="2"/>
    <x v="11"/>
    <x v="2"/>
    <x v="4"/>
    <x v="1"/>
    <n v="0.05"/>
    <n v="0.05"/>
    <n v="0"/>
    <n v="0.04"/>
  </r>
  <r>
    <x v="0"/>
    <x v="2"/>
    <x v="11"/>
    <x v="1"/>
    <x v="2"/>
    <x v="1"/>
    <n v="5.85"/>
    <n v="5.86"/>
    <n v="0.02"/>
    <n v="5.31"/>
  </r>
  <r>
    <x v="0"/>
    <x v="2"/>
    <x v="11"/>
    <x v="1"/>
    <x v="1"/>
    <x v="1"/>
    <n v="5.29"/>
    <n v="5.3"/>
    <n v="0.1"/>
    <n v="5.0599999999999996"/>
  </r>
  <r>
    <x v="0"/>
    <x v="2"/>
    <x v="11"/>
    <x v="1"/>
    <x v="3"/>
    <x v="1"/>
    <n v="0"/>
    <n v="0"/>
    <n v="0"/>
    <n v="0"/>
  </r>
  <r>
    <x v="0"/>
    <x v="2"/>
    <x v="12"/>
    <x v="4"/>
    <x v="1"/>
    <x v="0"/>
    <n v="25.26"/>
    <n v="25.31"/>
    <n v="1.97"/>
    <n v="23.34"/>
  </r>
  <r>
    <x v="0"/>
    <x v="2"/>
    <x v="12"/>
    <x v="4"/>
    <x v="0"/>
    <x v="0"/>
    <n v="1.84"/>
    <n v="1.84"/>
    <n v="0.4"/>
    <n v="1.71"/>
  </r>
  <r>
    <x v="0"/>
    <x v="2"/>
    <x v="12"/>
    <x v="3"/>
    <x v="4"/>
    <x v="0"/>
    <n v="23.56"/>
    <n v="23.61"/>
    <n v="4.1100000000000003"/>
    <n v="21.92"/>
  </r>
  <r>
    <x v="0"/>
    <x v="2"/>
    <x v="12"/>
    <x v="2"/>
    <x v="3"/>
    <x v="1"/>
    <n v="31.23"/>
    <n v="31.3"/>
    <n v="0.03"/>
    <n v="30.08"/>
  </r>
  <r>
    <x v="0"/>
    <x v="2"/>
    <x v="12"/>
    <x v="2"/>
    <x v="3"/>
    <x v="2"/>
    <n v="17.350000000000001"/>
    <n v="17.39"/>
    <n v="0.01"/>
    <n v="16.32"/>
  </r>
  <r>
    <x v="0"/>
    <x v="2"/>
    <x v="12"/>
    <x v="1"/>
    <x v="3"/>
    <x v="1"/>
    <n v="0.05"/>
    <n v="0.05"/>
    <n v="0"/>
    <n v="0.04"/>
  </r>
  <r>
    <x v="0"/>
    <x v="2"/>
    <x v="12"/>
    <x v="1"/>
    <x v="2"/>
    <x v="1"/>
    <n v="85.31"/>
    <n v="85.49"/>
    <n v="0.4"/>
    <n v="78.959999999999994"/>
  </r>
  <r>
    <x v="0"/>
    <x v="2"/>
    <x v="12"/>
    <x v="1"/>
    <x v="1"/>
    <x v="1"/>
    <n v="57.57"/>
    <n v="57.7"/>
    <n v="0.7"/>
    <n v="54.61"/>
  </r>
  <r>
    <x v="0"/>
    <x v="2"/>
    <x v="12"/>
    <x v="2"/>
    <x v="4"/>
    <x v="1"/>
    <n v="0.52"/>
    <n v="0.52"/>
    <n v="0.01"/>
    <n v="0.45"/>
  </r>
  <r>
    <x v="0"/>
    <x v="2"/>
    <x v="12"/>
    <x v="0"/>
    <x v="0"/>
    <x v="0"/>
    <n v="28.57"/>
    <n v="28.63"/>
    <n v="15.69"/>
    <n v="26.17"/>
  </r>
  <r>
    <x v="0"/>
    <x v="2"/>
    <x v="12"/>
    <x v="2"/>
    <x v="4"/>
    <x v="3"/>
    <n v="6.43"/>
    <n v="6.45"/>
    <n v="0"/>
    <n v="6.43"/>
  </r>
  <r>
    <x v="0"/>
    <x v="2"/>
    <x v="12"/>
    <x v="0"/>
    <x v="1"/>
    <x v="0"/>
    <n v="2.38"/>
    <n v="2.38"/>
    <n v="0.49"/>
    <n v="2.17"/>
  </r>
  <r>
    <x v="0"/>
    <x v="2"/>
    <x v="12"/>
    <x v="4"/>
    <x v="4"/>
    <x v="1"/>
    <n v="6.7"/>
    <n v="6.71"/>
    <n v="0.3"/>
    <n v="6.28"/>
  </r>
  <r>
    <x v="0"/>
    <x v="2"/>
    <x v="12"/>
    <x v="1"/>
    <x v="0"/>
    <x v="0"/>
    <n v="77.239999999999995"/>
    <n v="77.400000000000006"/>
    <n v="35.1"/>
    <n v="73"/>
  </r>
  <r>
    <x v="0"/>
    <x v="2"/>
    <x v="12"/>
    <x v="1"/>
    <x v="4"/>
    <x v="0"/>
    <n v="489.8"/>
    <n v="490.84"/>
    <n v="110.6"/>
    <n v="459.18"/>
  </r>
  <r>
    <x v="0"/>
    <x v="2"/>
    <x v="12"/>
    <x v="1"/>
    <x v="1"/>
    <x v="0"/>
    <n v="162.6"/>
    <n v="162.94999999999999"/>
    <n v="9.48"/>
    <n v="154.87"/>
  </r>
  <r>
    <x v="0"/>
    <x v="2"/>
    <x v="12"/>
    <x v="1"/>
    <x v="2"/>
    <x v="0"/>
    <n v="6.54"/>
    <n v="6.56"/>
    <n v="0.15"/>
    <n v="5.94"/>
  </r>
  <r>
    <x v="0"/>
    <x v="2"/>
    <x v="12"/>
    <x v="2"/>
    <x v="0"/>
    <x v="0"/>
    <n v="31.79"/>
    <n v="31.86"/>
    <n v="19.57"/>
    <n v="30.23"/>
  </r>
  <r>
    <x v="0"/>
    <x v="2"/>
    <x v="12"/>
    <x v="2"/>
    <x v="4"/>
    <x v="0"/>
    <n v="30.76"/>
    <n v="30.83"/>
    <n v="6.2"/>
    <n v="29.28"/>
  </r>
  <r>
    <x v="0"/>
    <x v="2"/>
    <x v="12"/>
    <x v="2"/>
    <x v="2"/>
    <x v="0"/>
    <n v="2.11"/>
    <n v="2.11"/>
    <n v="0"/>
    <n v="1.94"/>
  </r>
  <r>
    <x v="0"/>
    <x v="2"/>
    <x v="12"/>
    <x v="0"/>
    <x v="4"/>
    <x v="0"/>
    <n v="102.08"/>
    <n v="102.3"/>
    <n v="29.89"/>
    <n v="95.53"/>
  </r>
  <r>
    <x v="0"/>
    <x v="2"/>
    <x v="12"/>
    <x v="1"/>
    <x v="0"/>
    <x v="1"/>
    <n v="32.79"/>
    <n v="32.86"/>
    <n v="1.35"/>
    <n v="32.25"/>
  </r>
  <r>
    <x v="0"/>
    <x v="2"/>
    <x v="12"/>
    <x v="2"/>
    <x v="2"/>
    <x v="2"/>
    <n v="0.65"/>
    <n v="0.65"/>
    <n v="0"/>
    <n v="0.65"/>
  </r>
  <r>
    <x v="0"/>
    <x v="2"/>
    <x v="12"/>
    <x v="4"/>
    <x v="4"/>
    <x v="2"/>
    <n v="7.23"/>
    <n v="7.25"/>
    <n v="0.23"/>
    <n v="6.56"/>
  </r>
  <r>
    <x v="0"/>
    <x v="2"/>
    <x v="12"/>
    <x v="4"/>
    <x v="1"/>
    <x v="2"/>
    <n v="12.46"/>
    <n v="12.48"/>
    <n v="0.32"/>
    <n v="10.87"/>
  </r>
  <r>
    <x v="0"/>
    <x v="2"/>
    <x v="12"/>
    <x v="4"/>
    <x v="2"/>
    <x v="2"/>
    <n v="3.1"/>
    <n v="3.11"/>
    <n v="0.01"/>
    <n v="2.73"/>
  </r>
  <r>
    <x v="0"/>
    <x v="2"/>
    <x v="12"/>
    <x v="1"/>
    <x v="4"/>
    <x v="2"/>
    <n v="22.13"/>
    <n v="22.18"/>
    <n v="0.47"/>
    <n v="19.32"/>
  </r>
  <r>
    <x v="0"/>
    <x v="2"/>
    <x v="12"/>
    <x v="1"/>
    <x v="1"/>
    <x v="2"/>
    <n v="13.18"/>
    <n v="13.21"/>
    <n v="0.1"/>
    <n v="12.12"/>
  </r>
  <r>
    <x v="0"/>
    <x v="2"/>
    <x v="12"/>
    <x v="2"/>
    <x v="3"/>
    <x v="3"/>
    <n v="94.12"/>
    <n v="94.32"/>
    <n v="7.0000000000000007E-2"/>
    <n v="94.12"/>
  </r>
  <r>
    <x v="0"/>
    <x v="2"/>
    <x v="12"/>
    <x v="1"/>
    <x v="4"/>
    <x v="1"/>
    <n v="21.25"/>
    <n v="21.29"/>
    <n v="0.38"/>
    <n v="20.56"/>
  </r>
  <r>
    <x v="0"/>
    <x v="2"/>
    <x v="12"/>
    <x v="1"/>
    <x v="2"/>
    <x v="2"/>
    <n v="2.14"/>
    <n v="2.15"/>
    <n v="0.01"/>
    <n v="1.88"/>
  </r>
  <r>
    <x v="0"/>
    <x v="2"/>
    <x v="12"/>
    <x v="0"/>
    <x v="3"/>
    <x v="1"/>
    <n v="39.89"/>
    <n v="39.979999999999997"/>
    <n v="0.06"/>
    <n v="36.96"/>
  </r>
  <r>
    <x v="0"/>
    <x v="2"/>
    <x v="12"/>
    <x v="0"/>
    <x v="2"/>
    <x v="1"/>
    <n v="6.27"/>
    <n v="6.28"/>
    <n v="0.02"/>
    <n v="5.91"/>
  </r>
  <r>
    <x v="0"/>
    <x v="2"/>
    <x v="12"/>
    <x v="0"/>
    <x v="1"/>
    <x v="1"/>
    <n v="33.21"/>
    <n v="33.28"/>
    <n v="0.31"/>
    <n v="31"/>
  </r>
  <r>
    <x v="0"/>
    <x v="2"/>
    <x v="12"/>
    <x v="0"/>
    <x v="4"/>
    <x v="1"/>
    <n v="21.57"/>
    <n v="21.62"/>
    <n v="1.02"/>
    <n v="19.559999999999999"/>
  </r>
  <r>
    <x v="0"/>
    <x v="2"/>
    <x v="12"/>
    <x v="0"/>
    <x v="0"/>
    <x v="1"/>
    <n v="14.31"/>
    <n v="14.34"/>
    <n v="0.27"/>
    <n v="13.34"/>
  </r>
  <r>
    <x v="0"/>
    <x v="2"/>
    <x v="12"/>
    <x v="4"/>
    <x v="4"/>
    <x v="0"/>
    <n v="230.36"/>
    <n v="230.85"/>
    <n v="36.39"/>
    <n v="217.11"/>
  </r>
  <r>
    <x v="0"/>
    <x v="2"/>
    <x v="12"/>
    <x v="4"/>
    <x v="0"/>
    <x v="1"/>
    <n v="9.27"/>
    <n v="9.2899999999999991"/>
    <n v="0.48"/>
    <n v="8.5500000000000007"/>
  </r>
  <r>
    <x v="0"/>
    <x v="2"/>
    <x v="12"/>
    <x v="1"/>
    <x v="3"/>
    <x v="2"/>
    <n v="17.2"/>
    <n v="17.23"/>
    <n v="0.02"/>
    <n v="15.12"/>
  </r>
  <r>
    <x v="0"/>
    <x v="2"/>
    <x v="12"/>
    <x v="2"/>
    <x v="2"/>
    <x v="3"/>
    <n v="65.209999999999994"/>
    <n v="65.349999999999994"/>
    <n v="0.06"/>
    <n v="65.13"/>
  </r>
  <r>
    <x v="0"/>
    <x v="2"/>
    <x v="13"/>
    <x v="4"/>
    <x v="2"/>
    <x v="2"/>
    <n v="2.4900000000000002"/>
    <n v="2.4900000000000002"/>
    <n v="0.02"/>
    <n v="2.16"/>
  </r>
  <r>
    <x v="0"/>
    <x v="2"/>
    <x v="13"/>
    <x v="1"/>
    <x v="4"/>
    <x v="2"/>
    <n v="16.28"/>
    <n v="16.32"/>
    <n v="0.54"/>
    <n v="14.16"/>
  </r>
  <r>
    <x v="0"/>
    <x v="2"/>
    <x v="13"/>
    <x v="4"/>
    <x v="1"/>
    <x v="2"/>
    <n v="10.3"/>
    <n v="10.32"/>
    <n v="0.34"/>
    <n v="8.9600000000000009"/>
  </r>
  <r>
    <x v="0"/>
    <x v="2"/>
    <x v="13"/>
    <x v="4"/>
    <x v="4"/>
    <x v="2"/>
    <n v="5.39"/>
    <n v="5.4"/>
    <n v="0.25"/>
    <n v="4.83"/>
  </r>
  <r>
    <x v="0"/>
    <x v="2"/>
    <x v="13"/>
    <x v="1"/>
    <x v="1"/>
    <x v="2"/>
    <n v="20.99"/>
    <n v="21.04"/>
    <n v="0.28000000000000003"/>
    <n v="18.579999999999998"/>
  </r>
  <r>
    <x v="0"/>
    <x v="2"/>
    <x v="13"/>
    <x v="2"/>
    <x v="4"/>
    <x v="1"/>
    <n v="1"/>
    <n v="1"/>
    <n v="0.02"/>
    <n v="0.88"/>
  </r>
  <r>
    <x v="0"/>
    <x v="2"/>
    <x v="13"/>
    <x v="2"/>
    <x v="4"/>
    <x v="0"/>
    <n v="42.51"/>
    <n v="42.6"/>
    <n v="5.77"/>
    <n v="39.94"/>
  </r>
  <r>
    <x v="0"/>
    <x v="2"/>
    <x v="13"/>
    <x v="0"/>
    <x v="0"/>
    <x v="0"/>
    <n v="66.2"/>
    <n v="66.34"/>
    <n v="33.97"/>
    <n v="61.06"/>
  </r>
  <r>
    <x v="0"/>
    <x v="2"/>
    <x v="13"/>
    <x v="2"/>
    <x v="2"/>
    <x v="1"/>
    <n v="5.04"/>
    <n v="5.05"/>
    <n v="0.02"/>
    <n v="5.04"/>
  </r>
  <r>
    <x v="0"/>
    <x v="2"/>
    <x v="13"/>
    <x v="2"/>
    <x v="3"/>
    <x v="1"/>
    <n v="39.4"/>
    <n v="39.49"/>
    <n v="0.08"/>
    <n v="37.74"/>
  </r>
  <r>
    <x v="0"/>
    <x v="2"/>
    <x v="13"/>
    <x v="3"/>
    <x v="4"/>
    <x v="0"/>
    <n v="35.409999999999997"/>
    <n v="35.49"/>
    <n v="5.61"/>
    <n v="32.700000000000003"/>
  </r>
  <r>
    <x v="0"/>
    <x v="2"/>
    <x v="13"/>
    <x v="4"/>
    <x v="0"/>
    <x v="0"/>
    <n v="1.83"/>
    <n v="1.84"/>
    <n v="0.4"/>
    <n v="1.71"/>
  </r>
  <r>
    <x v="0"/>
    <x v="2"/>
    <x v="13"/>
    <x v="4"/>
    <x v="4"/>
    <x v="0"/>
    <n v="301.58999999999997"/>
    <n v="302.23"/>
    <n v="50.18"/>
    <n v="281.49"/>
  </r>
  <r>
    <x v="0"/>
    <x v="2"/>
    <x v="13"/>
    <x v="1"/>
    <x v="2"/>
    <x v="1"/>
    <n v="173.12"/>
    <n v="173.49"/>
    <n v="0.98"/>
    <n v="161.43"/>
  </r>
  <r>
    <x v="0"/>
    <x v="2"/>
    <x v="13"/>
    <x v="2"/>
    <x v="2"/>
    <x v="0"/>
    <n v="7.16"/>
    <n v="7.18"/>
    <n v="0.01"/>
    <n v="6.57"/>
  </r>
  <r>
    <x v="0"/>
    <x v="2"/>
    <x v="13"/>
    <x v="1"/>
    <x v="4"/>
    <x v="1"/>
    <n v="30.13"/>
    <n v="30.19"/>
    <n v="0.76"/>
    <n v="29.8"/>
  </r>
  <r>
    <x v="0"/>
    <x v="2"/>
    <x v="13"/>
    <x v="2"/>
    <x v="0"/>
    <x v="0"/>
    <n v="39.76"/>
    <n v="39.85"/>
    <n v="25.58"/>
    <n v="37.31"/>
  </r>
  <r>
    <x v="0"/>
    <x v="2"/>
    <x v="13"/>
    <x v="1"/>
    <x v="2"/>
    <x v="0"/>
    <n v="14.39"/>
    <n v="14.42"/>
    <n v="0.32"/>
    <n v="12.94"/>
  </r>
  <r>
    <x v="0"/>
    <x v="2"/>
    <x v="13"/>
    <x v="1"/>
    <x v="1"/>
    <x v="0"/>
    <n v="149.41"/>
    <n v="149.72"/>
    <n v="8.5299999999999994"/>
    <n v="138.32"/>
  </r>
  <r>
    <x v="0"/>
    <x v="2"/>
    <x v="13"/>
    <x v="1"/>
    <x v="4"/>
    <x v="0"/>
    <n v="757.87"/>
    <n v="759.48"/>
    <n v="192.46"/>
    <n v="699.79"/>
  </r>
  <r>
    <x v="0"/>
    <x v="2"/>
    <x v="13"/>
    <x v="1"/>
    <x v="0"/>
    <x v="0"/>
    <n v="90.78"/>
    <n v="90.97"/>
    <n v="42.89"/>
    <n v="84.33"/>
  </r>
  <r>
    <x v="0"/>
    <x v="2"/>
    <x v="13"/>
    <x v="0"/>
    <x v="1"/>
    <x v="0"/>
    <n v="7.76"/>
    <n v="7.78"/>
    <n v="1.6"/>
    <n v="7.08"/>
  </r>
  <r>
    <x v="0"/>
    <x v="2"/>
    <x v="13"/>
    <x v="0"/>
    <x v="4"/>
    <x v="0"/>
    <n v="188.66"/>
    <n v="189.06"/>
    <n v="54.62"/>
    <n v="174.85"/>
  </r>
  <r>
    <x v="0"/>
    <x v="2"/>
    <x v="13"/>
    <x v="4"/>
    <x v="1"/>
    <x v="0"/>
    <n v="32.270000000000003"/>
    <n v="32.340000000000003"/>
    <n v="2.5"/>
    <n v="29.78"/>
  </r>
  <r>
    <x v="0"/>
    <x v="2"/>
    <x v="13"/>
    <x v="4"/>
    <x v="4"/>
    <x v="1"/>
    <n v="9.34"/>
    <n v="9.36"/>
    <n v="0.52"/>
    <n v="8.4700000000000006"/>
  </r>
  <r>
    <x v="0"/>
    <x v="2"/>
    <x v="13"/>
    <x v="1"/>
    <x v="3"/>
    <x v="2"/>
    <n v="18.510000000000002"/>
    <n v="18.55"/>
    <n v="0.04"/>
    <n v="16.100000000000001"/>
  </r>
  <r>
    <x v="0"/>
    <x v="2"/>
    <x v="13"/>
    <x v="2"/>
    <x v="2"/>
    <x v="2"/>
    <n v="1.1599999999999999"/>
    <n v="1.1599999999999999"/>
    <n v="0"/>
    <n v="1.1599999999999999"/>
  </r>
  <r>
    <x v="0"/>
    <x v="2"/>
    <x v="13"/>
    <x v="2"/>
    <x v="3"/>
    <x v="2"/>
    <n v="43.29"/>
    <n v="43.38"/>
    <n v="0.04"/>
    <n v="38.299999999999997"/>
  </r>
  <r>
    <x v="0"/>
    <x v="2"/>
    <x v="13"/>
    <x v="2"/>
    <x v="0"/>
    <x v="3"/>
    <n v="0.93"/>
    <n v="0.93"/>
    <n v="0"/>
    <n v="0.85"/>
  </r>
  <r>
    <x v="0"/>
    <x v="2"/>
    <x v="13"/>
    <x v="2"/>
    <x v="4"/>
    <x v="3"/>
    <n v="8.44"/>
    <n v="8.4600000000000009"/>
    <n v="0"/>
    <n v="8.44"/>
  </r>
  <r>
    <x v="0"/>
    <x v="2"/>
    <x v="13"/>
    <x v="2"/>
    <x v="1"/>
    <x v="3"/>
    <n v="146.58000000000001"/>
    <n v="146.88999999999999"/>
    <n v="0.04"/>
    <n v="146.58000000000001"/>
  </r>
  <r>
    <x v="0"/>
    <x v="2"/>
    <x v="13"/>
    <x v="2"/>
    <x v="2"/>
    <x v="3"/>
    <n v="132.44"/>
    <n v="132.72"/>
    <n v="0.11"/>
    <n v="131.84"/>
  </r>
  <r>
    <x v="0"/>
    <x v="2"/>
    <x v="13"/>
    <x v="1"/>
    <x v="3"/>
    <x v="1"/>
    <n v="2.77"/>
    <n v="2.78"/>
    <n v="0.01"/>
    <n v="2.59"/>
  </r>
  <r>
    <x v="0"/>
    <x v="2"/>
    <x v="13"/>
    <x v="4"/>
    <x v="0"/>
    <x v="1"/>
    <n v="11.6"/>
    <n v="11.63"/>
    <n v="0.79"/>
    <n v="10.49"/>
  </r>
  <r>
    <x v="0"/>
    <x v="2"/>
    <x v="13"/>
    <x v="1"/>
    <x v="1"/>
    <x v="1"/>
    <n v="85.73"/>
    <n v="85.92"/>
    <n v="1.2"/>
    <n v="79.56"/>
  </r>
  <r>
    <x v="0"/>
    <x v="2"/>
    <x v="13"/>
    <x v="0"/>
    <x v="0"/>
    <x v="1"/>
    <n v="7.02"/>
    <n v="7.03"/>
    <n v="0.32"/>
    <n v="6.49"/>
  </r>
  <r>
    <x v="0"/>
    <x v="2"/>
    <x v="13"/>
    <x v="0"/>
    <x v="4"/>
    <x v="1"/>
    <n v="34.81"/>
    <n v="34.89"/>
    <n v="1.91"/>
    <n v="31.42"/>
  </r>
  <r>
    <x v="0"/>
    <x v="2"/>
    <x v="13"/>
    <x v="0"/>
    <x v="1"/>
    <x v="1"/>
    <n v="17.96"/>
    <n v="18"/>
    <n v="0.24"/>
    <n v="16.3"/>
  </r>
  <r>
    <x v="0"/>
    <x v="2"/>
    <x v="13"/>
    <x v="0"/>
    <x v="2"/>
    <x v="1"/>
    <n v="0.17"/>
    <n v="0.17"/>
    <n v="0"/>
    <n v="0.16"/>
  </r>
  <r>
    <x v="0"/>
    <x v="2"/>
    <x v="13"/>
    <x v="0"/>
    <x v="3"/>
    <x v="1"/>
    <n v="36.81"/>
    <n v="36.89"/>
    <n v="0.04"/>
    <n v="33.340000000000003"/>
  </r>
  <r>
    <x v="0"/>
    <x v="2"/>
    <x v="13"/>
    <x v="1"/>
    <x v="0"/>
    <x v="1"/>
    <n v="50.87"/>
    <n v="50.98"/>
    <n v="2.4"/>
    <n v="49.06"/>
  </r>
  <r>
    <x v="0"/>
    <x v="2"/>
    <x v="13"/>
    <x v="1"/>
    <x v="2"/>
    <x v="2"/>
    <n v="7.08"/>
    <n v="7.09"/>
    <n v="0.04"/>
    <n v="6.15"/>
  </r>
  <r>
    <x v="0"/>
    <x v="2"/>
    <x v="13"/>
    <x v="2"/>
    <x v="3"/>
    <x v="3"/>
    <n v="208.65"/>
    <n v="209.1"/>
    <n v="0.11"/>
    <n v="208.14"/>
  </r>
  <r>
    <x v="0"/>
    <x v="2"/>
    <x v="14"/>
    <x v="1"/>
    <x v="2"/>
    <x v="2"/>
    <n v="0.93"/>
    <n v="0.93"/>
    <n v="0"/>
    <n v="0.86"/>
  </r>
  <r>
    <x v="0"/>
    <x v="2"/>
    <x v="14"/>
    <x v="1"/>
    <x v="4"/>
    <x v="1"/>
    <n v="0.15"/>
    <n v="0.15"/>
    <n v="0.01"/>
    <n v="0.15"/>
  </r>
  <r>
    <x v="0"/>
    <x v="2"/>
    <x v="14"/>
    <x v="1"/>
    <x v="0"/>
    <x v="1"/>
    <n v="0.74"/>
    <n v="0.74"/>
    <n v="0.05"/>
    <n v="0.68"/>
  </r>
  <r>
    <x v="0"/>
    <x v="2"/>
    <x v="14"/>
    <x v="0"/>
    <x v="3"/>
    <x v="1"/>
    <n v="0.51"/>
    <n v="0.51"/>
    <n v="0"/>
    <n v="0.46"/>
  </r>
  <r>
    <x v="0"/>
    <x v="2"/>
    <x v="14"/>
    <x v="0"/>
    <x v="1"/>
    <x v="1"/>
    <n v="0.24"/>
    <n v="0.24"/>
    <n v="0"/>
    <n v="0.22"/>
  </r>
  <r>
    <x v="0"/>
    <x v="2"/>
    <x v="14"/>
    <x v="0"/>
    <x v="0"/>
    <x v="1"/>
    <n v="0.14000000000000001"/>
    <n v="0.14000000000000001"/>
    <n v="0.01"/>
    <n v="0.13"/>
  </r>
  <r>
    <x v="0"/>
    <x v="2"/>
    <x v="14"/>
    <x v="4"/>
    <x v="0"/>
    <x v="1"/>
    <n v="0.28999999999999998"/>
    <n v="0.3"/>
    <n v="0.02"/>
    <n v="0.27"/>
  </r>
  <r>
    <x v="0"/>
    <x v="2"/>
    <x v="14"/>
    <x v="1"/>
    <x v="1"/>
    <x v="1"/>
    <n v="1.86"/>
    <n v="1.86"/>
    <n v="0.02"/>
    <n v="1.74"/>
  </r>
  <r>
    <x v="0"/>
    <x v="2"/>
    <x v="14"/>
    <x v="2"/>
    <x v="2"/>
    <x v="2"/>
    <n v="0.1"/>
    <n v="0.1"/>
    <n v="0"/>
    <n v="0.1"/>
  </r>
  <r>
    <x v="0"/>
    <x v="2"/>
    <x v="14"/>
    <x v="0"/>
    <x v="4"/>
    <x v="1"/>
    <n v="0.63"/>
    <n v="0.63"/>
    <n v="0.03"/>
    <n v="0.56999999999999995"/>
  </r>
  <r>
    <x v="0"/>
    <x v="2"/>
    <x v="14"/>
    <x v="1"/>
    <x v="1"/>
    <x v="2"/>
    <n v="0.94"/>
    <n v="0.94"/>
    <n v="0.01"/>
    <n v="0.81"/>
  </r>
  <r>
    <x v="0"/>
    <x v="2"/>
    <x v="14"/>
    <x v="1"/>
    <x v="4"/>
    <x v="2"/>
    <n v="0.4"/>
    <n v="0.4"/>
    <n v="0.01"/>
    <n v="0.35"/>
  </r>
  <r>
    <x v="0"/>
    <x v="2"/>
    <x v="14"/>
    <x v="4"/>
    <x v="2"/>
    <x v="2"/>
    <n v="0.18"/>
    <n v="0.18"/>
    <n v="0"/>
    <n v="0.15"/>
  </r>
  <r>
    <x v="0"/>
    <x v="2"/>
    <x v="14"/>
    <x v="4"/>
    <x v="1"/>
    <x v="2"/>
    <n v="0.6"/>
    <n v="0.6"/>
    <n v="0.02"/>
    <n v="0.53"/>
  </r>
  <r>
    <x v="0"/>
    <x v="2"/>
    <x v="14"/>
    <x v="4"/>
    <x v="4"/>
    <x v="2"/>
    <n v="0.39"/>
    <n v="0.39"/>
    <n v="0.02"/>
    <n v="0.36"/>
  </r>
  <r>
    <x v="0"/>
    <x v="2"/>
    <x v="14"/>
    <x v="0"/>
    <x v="0"/>
    <x v="0"/>
    <n v="3.31"/>
    <n v="3.32"/>
    <n v="1.82"/>
    <n v="3.03"/>
  </r>
  <r>
    <x v="0"/>
    <x v="2"/>
    <x v="14"/>
    <x v="2"/>
    <x v="4"/>
    <x v="0"/>
    <n v="0.71"/>
    <n v="0.71"/>
    <n v="0.18"/>
    <n v="0.69"/>
  </r>
  <r>
    <x v="0"/>
    <x v="2"/>
    <x v="14"/>
    <x v="2"/>
    <x v="3"/>
    <x v="2"/>
    <n v="2.2599999999999998"/>
    <n v="2.27"/>
    <n v="0.01"/>
    <n v="2.0699999999999998"/>
  </r>
  <r>
    <x v="0"/>
    <x v="2"/>
    <x v="14"/>
    <x v="1"/>
    <x v="0"/>
    <x v="0"/>
    <n v="4.79"/>
    <n v="4.8"/>
    <n v="2.17"/>
    <n v="4.46"/>
  </r>
  <r>
    <x v="0"/>
    <x v="2"/>
    <x v="14"/>
    <x v="2"/>
    <x v="0"/>
    <x v="0"/>
    <n v="1.58"/>
    <n v="1.58"/>
    <n v="0.97"/>
    <n v="1.51"/>
  </r>
  <r>
    <x v="0"/>
    <x v="2"/>
    <x v="14"/>
    <x v="1"/>
    <x v="2"/>
    <x v="0"/>
    <n v="0.48"/>
    <n v="0.48"/>
    <n v="0.01"/>
    <n v="0.43"/>
  </r>
  <r>
    <x v="0"/>
    <x v="2"/>
    <x v="14"/>
    <x v="4"/>
    <x v="4"/>
    <x v="1"/>
    <n v="0.14000000000000001"/>
    <n v="0.14000000000000001"/>
    <n v="0.01"/>
    <n v="0.13"/>
  </r>
  <r>
    <x v="0"/>
    <x v="2"/>
    <x v="14"/>
    <x v="1"/>
    <x v="4"/>
    <x v="0"/>
    <n v="23.26"/>
    <n v="23.31"/>
    <n v="6.59"/>
    <n v="21.58"/>
  </r>
  <r>
    <x v="0"/>
    <x v="2"/>
    <x v="14"/>
    <x v="1"/>
    <x v="2"/>
    <x v="1"/>
    <n v="2.59"/>
    <n v="2.59"/>
    <n v="0.01"/>
    <n v="2.36"/>
  </r>
  <r>
    <x v="0"/>
    <x v="2"/>
    <x v="14"/>
    <x v="0"/>
    <x v="1"/>
    <x v="0"/>
    <n v="0.26"/>
    <n v="0.26"/>
    <n v="0.05"/>
    <n v="0.24"/>
  </r>
  <r>
    <x v="0"/>
    <x v="2"/>
    <x v="14"/>
    <x v="0"/>
    <x v="4"/>
    <x v="0"/>
    <n v="6.97"/>
    <n v="6.99"/>
    <n v="2.13"/>
    <n v="6.5"/>
  </r>
  <r>
    <x v="0"/>
    <x v="2"/>
    <x v="14"/>
    <x v="4"/>
    <x v="1"/>
    <x v="0"/>
    <n v="0.48"/>
    <n v="0.48"/>
    <n v="0.04"/>
    <n v="0.44"/>
  </r>
  <r>
    <x v="0"/>
    <x v="2"/>
    <x v="14"/>
    <x v="2"/>
    <x v="4"/>
    <x v="1"/>
    <n v="0.01"/>
    <n v="0.01"/>
    <n v="0"/>
    <n v="0.01"/>
  </r>
  <r>
    <x v="0"/>
    <x v="2"/>
    <x v="14"/>
    <x v="1"/>
    <x v="1"/>
    <x v="0"/>
    <n v="3.46"/>
    <n v="3.47"/>
    <n v="0.25"/>
    <n v="3.21"/>
  </r>
  <r>
    <x v="0"/>
    <x v="2"/>
    <x v="14"/>
    <x v="1"/>
    <x v="3"/>
    <x v="1"/>
    <n v="0"/>
    <n v="0"/>
    <n v="0"/>
    <n v="0"/>
  </r>
  <r>
    <x v="0"/>
    <x v="2"/>
    <x v="14"/>
    <x v="4"/>
    <x v="4"/>
    <x v="0"/>
    <n v="6.16"/>
    <n v="6.17"/>
    <n v="1.02"/>
    <n v="5.74"/>
  </r>
  <r>
    <x v="0"/>
    <x v="2"/>
    <x v="14"/>
    <x v="2"/>
    <x v="3"/>
    <x v="1"/>
    <n v="0.45"/>
    <n v="0.45"/>
    <n v="0.01"/>
    <n v="0.43"/>
  </r>
  <r>
    <x v="0"/>
    <x v="2"/>
    <x v="14"/>
    <x v="3"/>
    <x v="4"/>
    <x v="0"/>
    <n v="1"/>
    <n v="1"/>
    <n v="0.12"/>
    <n v="0.92"/>
  </r>
  <r>
    <x v="0"/>
    <x v="2"/>
    <x v="14"/>
    <x v="4"/>
    <x v="0"/>
    <x v="0"/>
    <n v="0.02"/>
    <n v="0.02"/>
    <n v="0"/>
    <n v="0.02"/>
  </r>
  <r>
    <x v="0"/>
    <x v="4"/>
    <x v="15"/>
    <x v="1"/>
    <x v="2"/>
    <x v="2"/>
    <n v="0.51"/>
    <n v="0.51"/>
    <n v="0"/>
    <n v="0.41"/>
  </r>
  <r>
    <x v="0"/>
    <x v="4"/>
    <x v="15"/>
    <x v="4"/>
    <x v="1"/>
    <x v="0"/>
    <n v="5.96"/>
    <n v="5.97"/>
    <n v="0.37"/>
    <n v="5.16"/>
  </r>
  <r>
    <x v="0"/>
    <x v="4"/>
    <x v="15"/>
    <x v="0"/>
    <x v="0"/>
    <x v="0"/>
    <n v="5.16"/>
    <n v="5.17"/>
    <n v="1.43"/>
    <n v="4.8099999999999996"/>
  </r>
  <r>
    <x v="0"/>
    <x v="4"/>
    <x v="15"/>
    <x v="0"/>
    <x v="4"/>
    <x v="0"/>
    <n v="6.73"/>
    <n v="6.74"/>
    <n v="1.08"/>
    <n v="6.45"/>
  </r>
  <r>
    <x v="0"/>
    <x v="4"/>
    <x v="15"/>
    <x v="1"/>
    <x v="0"/>
    <x v="0"/>
    <n v="5.86"/>
    <n v="5.86"/>
    <n v="3.81"/>
    <n v="5.31"/>
  </r>
  <r>
    <x v="0"/>
    <x v="4"/>
    <x v="15"/>
    <x v="1"/>
    <x v="4"/>
    <x v="0"/>
    <n v="89.27"/>
    <n v="89.41"/>
    <n v="23.68"/>
    <n v="81.180000000000007"/>
  </r>
  <r>
    <x v="0"/>
    <x v="4"/>
    <x v="15"/>
    <x v="1"/>
    <x v="1"/>
    <x v="0"/>
    <n v="21.06"/>
    <n v="21.09"/>
    <n v="1.26"/>
    <n v="18.61"/>
  </r>
  <r>
    <x v="0"/>
    <x v="4"/>
    <x v="15"/>
    <x v="2"/>
    <x v="4"/>
    <x v="0"/>
    <n v="6.3"/>
    <n v="6.31"/>
    <n v="2.75"/>
    <n v="5.47"/>
  </r>
  <r>
    <x v="0"/>
    <x v="4"/>
    <x v="15"/>
    <x v="2"/>
    <x v="0"/>
    <x v="0"/>
    <n v="4.91"/>
    <n v="4.92"/>
    <n v="4.24"/>
    <n v="4.58"/>
  </r>
  <r>
    <x v="0"/>
    <x v="4"/>
    <x v="15"/>
    <x v="4"/>
    <x v="4"/>
    <x v="1"/>
    <n v="0.56999999999999995"/>
    <n v="0.56999999999999995"/>
    <n v="0.03"/>
    <n v="0.48"/>
  </r>
  <r>
    <x v="0"/>
    <x v="4"/>
    <x v="15"/>
    <x v="4"/>
    <x v="4"/>
    <x v="0"/>
    <n v="43.5"/>
    <n v="43.57"/>
    <n v="6.87"/>
    <n v="37.75"/>
  </r>
  <r>
    <x v="0"/>
    <x v="4"/>
    <x v="15"/>
    <x v="4"/>
    <x v="4"/>
    <x v="2"/>
    <n v="3.27"/>
    <n v="3.28"/>
    <n v="7.0000000000000007E-2"/>
    <n v="2.88"/>
  </r>
  <r>
    <x v="0"/>
    <x v="4"/>
    <x v="15"/>
    <x v="1"/>
    <x v="4"/>
    <x v="2"/>
    <n v="2.48"/>
    <n v="2.48"/>
    <n v="7.0000000000000007E-2"/>
    <n v="2.02"/>
  </r>
  <r>
    <x v="0"/>
    <x v="4"/>
    <x v="15"/>
    <x v="1"/>
    <x v="1"/>
    <x v="2"/>
    <n v="2.88"/>
    <n v="2.89"/>
    <n v="0.05"/>
    <n v="2.34"/>
  </r>
  <r>
    <x v="0"/>
    <x v="4"/>
    <x v="15"/>
    <x v="1"/>
    <x v="2"/>
    <x v="0"/>
    <n v="0.65"/>
    <n v="0.65"/>
    <n v="0.02"/>
    <n v="0.56000000000000005"/>
  </r>
  <r>
    <x v="0"/>
    <x v="4"/>
    <x v="15"/>
    <x v="0"/>
    <x v="0"/>
    <x v="1"/>
    <n v="0.25"/>
    <n v="0.25"/>
    <n v="0.01"/>
    <n v="0.21"/>
  </r>
  <r>
    <x v="0"/>
    <x v="4"/>
    <x v="15"/>
    <x v="2"/>
    <x v="3"/>
    <x v="1"/>
    <n v="1.71"/>
    <n v="1.71"/>
    <n v="0"/>
    <n v="1.46"/>
  </r>
  <r>
    <x v="0"/>
    <x v="4"/>
    <x v="15"/>
    <x v="2"/>
    <x v="4"/>
    <x v="1"/>
    <n v="0.47"/>
    <n v="0.47"/>
    <n v="0"/>
    <n v="0.38"/>
  </r>
  <r>
    <x v="0"/>
    <x v="4"/>
    <x v="15"/>
    <x v="1"/>
    <x v="2"/>
    <x v="1"/>
    <n v="32.31"/>
    <n v="32.36"/>
    <n v="0.17"/>
    <n v="28.93"/>
  </r>
  <r>
    <x v="0"/>
    <x v="4"/>
    <x v="15"/>
    <x v="1"/>
    <x v="1"/>
    <x v="1"/>
    <n v="14.28"/>
    <n v="14.3"/>
    <n v="0.16"/>
    <n v="12.41"/>
  </r>
  <r>
    <x v="0"/>
    <x v="4"/>
    <x v="15"/>
    <x v="1"/>
    <x v="4"/>
    <x v="1"/>
    <n v="1.35"/>
    <n v="1.35"/>
    <n v="0.05"/>
    <n v="1.17"/>
  </r>
  <r>
    <x v="0"/>
    <x v="4"/>
    <x v="15"/>
    <x v="1"/>
    <x v="0"/>
    <x v="1"/>
    <n v="7.94"/>
    <n v="7.95"/>
    <n v="0.57999999999999996"/>
    <n v="6.94"/>
  </r>
  <r>
    <x v="0"/>
    <x v="4"/>
    <x v="15"/>
    <x v="0"/>
    <x v="1"/>
    <x v="1"/>
    <n v="6.11"/>
    <n v="6.12"/>
    <n v="0.15"/>
    <n v="5.13"/>
  </r>
  <r>
    <x v="0"/>
    <x v="4"/>
    <x v="15"/>
    <x v="4"/>
    <x v="0"/>
    <x v="1"/>
    <n v="0.53"/>
    <n v="0.53"/>
    <n v="0.04"/>
    <n v="0.44"/>
  </r>
  <r>
    <x v="0"/>
    <x v="4"/>
    <x v="15"/>
    <x v="2"/>
    <x v="3"/>
    <x v="3"/>
    <n v="10.47"/>
    <n v="10.49"/>
    <n v="0.01"/>
    <n v="10.47"/>
  </r>
  <r>
    <x v="0"/>
    <x v="4"/>
    <x v="15"/>
    <x v="2"/>
    <x v="2"/>
    <x v="3"/>
    <n v="13.51"/>
    <n v="13.53"/>
    <n v="0.01"/>
    <n v="13.51"/>
  </r>
  <r>
    <x v="0"/>
    <x v="4"/>
    <x v="15"/>
    <x v="0"/>
    <x v="4"/>
    <x v="1"/>
    <n v="2.57"/>
    <n v="2.57"/>
    <n v="0.1"/>
    <n v="2.15"/>
  </r>
  <r>
    <x v="0"/>
    <x v="4"/>
    <x v="15"/>
    <x v="2"/>
    <x v="2"/>
    <x v="2"/>
    <n v="0.22"/>
    <n v="0.22"/>
    <n v="0"/>
    <n v="0.18"/>
  </r>
  <r>
    <x v="0"/>
    <x v="4"/>
    <x v="15"/>
    <x v="3"/>
    <x v="4"/>
    <x v="0"/>
    <n v="0.9"/>
    <n v="0.9"/>
    <n v="0.15"/>
    <n v="0.76"/>
  </r>
  <r>
    <x v="0"/>
    <x v="5"/>
    <x v="16"/>
    <x v="3"/>
    <x v="4"/>
    <x v="0"/>
    <n v="1.1200000000000001"/>
    <n v="1.04"/>
    <n v="0.16"/>
    <n v="1.03"/>
  </r>
  <r>
    <x v="0"/>
    <x v="5"/>
    <x v="16"/>
    <x v="1"/>
    <x v="2"/>
    <x v="0"/>
    <n v="0.56000000000000005"/>
    <n v="0.52"/>
    <n v="0.01"/>
    <n v="0.51"/>
  </r>
  <r>
    <x v="0"/>
    <x v="5"/>
    <x v="16"/>
    <x v="2"/>
    <x v="0"/>
    <x v="0"/>
    <n v="2.92"/>
    <n v="2.7"/>
    <n v="1.8"/>
    <n v="2.74"/>
  </r>
  <r>
    <x v="0"/>
    <x v="5"/>
    <x v="16"/>
    <x v="2"/>
    <x v="3"/>
    <x v="1"/>
    <n v="0.56000000000000005"/>
    <n v="0.52"/>
    <n v="0"/>
    <n v="0.54"/>
  </r>
  <r>
    <x v="0"/>
    <x v="5"/>
    <x v="16"/>
    <x v="1"/>
    <x v="3"/>
    <x v="1"/>
    <n v="0"/>
    <n v="0"/>
    <n v="0"/>
    <n v="0"/>
  </r>
  <r>
    <x v="0"/>
    <x v="5"/>
    <x v="16"/>
    <x v="1"/>
    <x v="2"/>
    <x v="1"/>
    <n v="3.28"/>
    <n v="3.03"/>
    <n v="0.02"/>
    <n v="3.12"/>
  </r>
  <r>
    <x v="0"/>
    <x v="5"/>
    <x v="16"/>
    <x v="2"/>
    <x v="4"/>
    <x v="1"/>
    <n v="0.02"/>
    <n v="0.02"/>
    <n v="0"/>
    <n v="0.02"/>
  </r>
  <r>
    <x v="0"/>
    <x v="5"/>
    <x v="16"/>
    <x v="4"/>
    <x v="0"/>
    <x v="0"/>
    <n v="0.09"/>
    <n v="0.09"/>
    <n v="0.02"/>
    <n v="0.09"/>
  </r>
  <r>
    <x v="0"/>
    <x v="5"/>
    <x v="16"/>
    <x v="4"/>
    <x v="4"/>
    <x v="0"/>
    <n v="12.09"/>
    <n v="11.18"/>
    <n v="1.95"/>
    <n v="11.22"/>
  </r>
  <r>
    <x v="0"/>
    <x v="5"/>
    <x v="16"/>
    <x v="4"/>
    <x v="1"/>
    <x v="0"/>
    <n v="1.1399999999999999"/>
    <n v="1.06"/>
    <n v="0.09"/>
    <n v="1.05"/>
  </r>
  <r>
    <x v="0"/>
    <x v="5"/>
    <x v="16"/>
    <x v="0"/>
    <x v="4"/>
    <x v="0"/>
    <n v="5.9"/>
    <n v="5.46"/>
    <n v="1.96"/>
    <n v="5.49"/>
  </r>
  <r>
    <x v="0"/>
    <x v="5"/>
    <x v="16"/>
    <x v="0"/>
    <x v="1"/>
    <x v="0"/>
    <n v="0.73"/>
    <n v="0.68"/>
    <n v="0.15"/>
    <n v="0.67"/>
  </r>
  <r>
    <x v="0"/>
    <x v="5"/>
    <x v="16"/>
    <x v="1"/>
    <x v="0"/>
    <x v="0"/>
    <n v="3.69"/>
    <n v="3.41"/>
    <n v="1.91"/>
    <n v="3.42"/>
  </r>
  <r>
    <x v="0"/>
    <x v="5"/>
    <x v="16"/>
    <x v="1"/>
    <x v="4"/>
    <x v="0"/>
    <n v="26.67"/>
    <n v="24.65"/>
    <n v="8.76"/>
    <n v="24.64"/>
  </r>
  <r>
    <x v="0"/>
    <x v="5"/>
    <x v="16"/>
    <x v="1"/>
    <x v="1"/>
    <x v="0"/>
    <n v="4.2"/>
    <n v="3.88"/>
    <n v="0.35"/>
    <n v="3.87"/>
  </r>
  <r>
    <x v="0"/>
    <x v="5"/>
    <x v="16"/>
    <x v="1"/>
    <x v="3"/>
    <x v="2"/>
    <n v="2.06"/>
    <n v="1.91"/>
    <n v="0"/>
    <n v="1.8"/>
  </r>
  <r>
    <x v="0"/>
    <x v="5"/>
    <x v="16"/>
    <x v="1"/>
    <x v="1"/>
    <x v="1"/>
    <n v="2"/>
    <n v="1.85"/>
    <n v="0.03"/>
    <n v="1.92"/>
  </r>
  <r>
    <x v="0"/>
    <x v="5"/>
    <x v="16"/>
    <x v="0"/>
    <x v="0"/>
    <x v="0"/>
    <n v="1.7"/>
    <n v="1.57"/>
    <n v="0.95"/>
    <n v="1.54"/>
  </r>
  <r>
    <x v="0"/>
    <x v="5"/>
    <x v="16"/>
    <x v="1"/>
    <x v="1"/>
    <x v="2"/>
    <n v="0.77"/>
    <n v="0.71"/>
    <n v="0.01"/>
    <n v="0.67"/>
  </r>
  <r>
    <x v="0"/>
    <x v="5"/>
    <x v="16"/>
    <x v="2"/>
    <x v="2"/>
    <x v="3"/>
    <n v="0.05"/>
    <n v="0.04"/>
    <n v="0"/>
    <n v="0.05"/>
  </r>
  <r>
    <x v="0"/>
    <x v="5"/>
    <x v="16"/>
    <x v="4"/>
    <x v="4"/>
    <x v="2"/>
    <n v="0.38"/>
    <n v="0.36"/>
    <n v="0.03"/>
    <n v="0.33"/>
  </r>
  <r>
    <x v="0"/>
    <x v="5"/>
    <x v="16"/>
    <x v="4"/>
    <x v="1"/>
    <x v="2"/>
    <n v="0.98"/>
    <n v="0.9"/>
    <n v="0.03"/>
    <n v="0.85"/>
  </r>
  <r>
    <x v="0"/>
    <x v="5"/>
    <x v="16"/>
    <x v="1"/>
    <x v="4"/>
    <x v="1"/>
    <n v="0.37"/>
    <n v="0.34"/>
    <n v="0.02"/>
    <n v="0.36"/>
  </r>
  <r>
    <x v="0"/>
    <x v="5"/>
    <x v="16"/>
    <x v="1"/>
    <x v="4"/>
    <x v="2"/>
    <n v="0.65"/>
    <n v="0.61"/>
    <n v="0.02"/>
    <n v="0.56999999999999995"/>
  </r>
  <r>
    <x v="0"/>
    <x v="5"/>
    <x v="16"/>
    <x v="2"/>
    <x v="3"/>
    <x v="2"/>
    <n v="2.46"/>
    <n v="2.27"/>
    <n v="0"/>
    <n v="2.19"/>
  </r>
  <r>
    <x v="0"/>
    <x v="5"/>
    <x v="16"/>
    <x v="2"/>
    <x v="3"/>
    <x v="3"/>
    <n v="0.17"/>
    <n v="0.16"/>
    <n v="0"/>
    <n v="0.17"/>
  </r>
  <r>
    <x v="0"/>
    <x v="5"/>
    <x v="16"/>
    <x v="0"/>
    <x v="3"/>
    <x v="1"/>
    <n v="0.61"/>
    <n v="0.56000000000000005"/>
    <n v="0"/>
    <n v="0.56000000000000005"/>
  </r>
  <r>
    <x v="0"/>
    <x v="5"/>
    <x v="16"/>
    <x v="4"/>
    <x v="4"/>
    <x v="1"/>
    <n v="0.16"/>
    <n v="0.15"/>
    <n v="0.01"/>
    <n v="0.15"/>
  </r>
  <r>
    <x v="0"/>
    <x v="5"/>
    <x v="16"/>
    <x v="2"/>
    <x v="4"/>
    <x v="0"/>
    <n v="1.08"/>
    <n v="1"/>
    <n v="0.3"/>
    <n v="1.03"/>
  </r>
  <r>
    <x v="0"/>
    <x v="5"/>
    <x v="16"/>
    <x v="0"/>
    <x v="0"/>
    <x v="1"/>
    <n v="0.09"/>
    <n v="0.08"/>
    <n v="0.01"/>
    <n v="0.08"/>
  </r>
  <r>
    <x v="0"/>
    <x v="5"/>
    <x v="16"/>
    <x v="0"/>
    <x v="4"/>
    <x v="1"/>
    <n v="0.61"/>
    <n v="0.56000000000000005"/>
    <n v="0.03"/>
    <n v="0.55000000000000004"/>
  </r>
  <r>
    <x v="0"/>
    <x v="5"/>
    <x v="16"/>
    <x v="0"/>
    <x v="1"/>
    <x v="1"/>
    <n v="0.35"/>
    <n v="0.33"/>
    <n v="0"/>
    <n v="0.32"/>
  </r>
  <r>
    <x v="0"/>
    <x v="5"/>
    <x v="16"/>
    <x v="4"/>
    <x v="0"/>
    <x v="1"/>
    <n v="0.26"/>
    <n v="0.24"/>
    <n v="0.01"/>
    <n v="0.25"/>
  </r>
  <r>
    <x v="0"/>
    <x v="5"/>
    <x v="16"/>
    <x v="1"/>
    <x v="0"/>
    <x v="1"/>
    <n v="2.25"/>
    <n v="2.08"/>
    <n v="0.08"/>
    <n v="2.2200000000000002"/>
  </r>
  <r>
    <x v="0"/>
    <x v="5"/>
    <x v="16"/>
    <x v="4"/>
    <x v="2"/>
    <x v="2"/>
    <n v="0.19"/>
    <n v="0.17"/>
    <n v="0"/>
    <n v="0.16"/>
  </r>
  <r>
    <x v="0"/>
    <x v="6"/>
    <x v="17"/>
    <x v="4"/>
    <x v="0"/>
    <x v="1"/>
    <n v="1.2"/>
    <n v="0.94"/>
    <n v="0.08"/>
    <n v="1.03"/>
  </r>
  <r>
    <x v="0"/>
    <x v="6"/>
    <x v="17"/>
    <x v="4"/>
    <x v="4"/>
    <x v="1"/>
    <n v="2.44"/>
    <n v="1.9"/>
    <n v="0.1"/>
    <n v="2.08"/>
  </r>
  <r>
    <x v="0"/>
    <x v="6"/>
    <x v="17"/>
    <x v="0"/>
    <x v="0"/>
    <x v="1"/>
    <n v="0.64"/>
    <n v="0.5"/>
    <n v="0.03"/>
    <n v="0.55000000000000004"/>
  </r>
  <r>
    <x v="0"/>
    <x v="6"/>
    <x v="17"/>
    <x v="0"/>
    <x v="4"/>
    <x v="1"/>
    <n v="2.5"/>
    <n v="1.95"/>
    <n v="0.12"/>
    <n v="2.14"/>
  </r>
  <r>
    <x v="0"/>
    <x v="6"/>
    <x v="17"/>
    <x v="0"/>
    <x v="1"/>
    <x v="1"/>
    <n v="3.48"/>
    <n v="2.71"/>
    <n v="0.1"/>
    <n v="2.97"/>
  </r>
  <r>
    <x v="0"/>
    <x v="6"/>
    <x v="17"/>
    <x v="1"/>
    <x v="0"/>
    <x v="1"/>
    <n v="17.39"/>
    <n v="13.56"/>
    <n v="1.48"/>
    <n v="15.02"/>
  </r>
  <r>
    <x v="0"/>
    <x v="6"/>
    <x v="17"/>
    <x v="4"/>
    <x v="1"/>
    <x v="2"/>
    <n v="10.23"/>
    <n v="7.98"/>
    <n v="0.28000000000000003"/>
    <n v="8.9"/>
  </r>
  <r>
    <x v="0"/>
    <x v="6"/>
    <x v="17"/>
    <x v="0"/>
    <x v="3"/>
    <x v="1"/>
    <n v="42.33"/>
    <n v="33.020000000000003"/>
    <n v="0.02"/>
    <n v="18.09"/>
  </r>
  <r>
    <x v="0"/>
    <x v="6"/>
    <x v="17"/>
    <x v="2"/>
    <x v="3"/>
    <x v="3"/>
    <n v="6.38"/>
    <n v="4.9800000000000004"/>
    <n v="0"/>
    <n v="3.44"/>
  </r>
  <r>
    <x v="0"/>
    <x v="6"/>
    <x v="17"/>
    <x v="2"/>
    <x v="2"/>
    <x v="3"/>
    <n v="1.96"/>
    <n v="1.53"/>
    <n v="0"/>
    <n v="1.96"/>
  </r>
  <r>
    <x v="0"/>
    <x v="6"/>
    <x v="17"/>
    <x v="2"/>
    <x v="3"/>
    <x v="2"/>
    <n v="42.65"/>
    <n v="33.270000000000003"/>
    <n v="0.03"/>
    <n v="21.33"/>
  </r>
  <r>
    <x v="0"/>
    <x v="6"/>
    <x v="17"/>
    <x v="1"/>
    <x v="3"/>
    <x v="2"/>
    <n v="12.26"/>
    <n v="9.56"/>
    <n v="0.05"/>
    <n v="12.26"/>
  </r>
  <r>
    <x v="0"/>
    <x v="6"/>
    <x v="17"/>
    <x v="1"/>
    <x v="2"/>
    <x v="2"/>
    <n v="5.33"/>
    <n v="4.16"/>
    <n v="0.02"/>
    <n v="5.33"/>
  </r>
  <r>
    <x v="0"/>
    <x v="6"/>
    <x v="17"/>
    <x v="1"/>
    <x v="4"/>
    <x v="1"/>
    <n v="11.7"/>
    <n v="9.1300000000000008"/>
    <n v="0.49"/>
    <n v="10.15"/>
  </r>
  <r>
    <x v="0"/>
    <x v="6"/>
    <x v="17"/>
    <x v="1"/>
    <x v="4"/>
    <x v="2"/>
    <n v="9.93"/>
    <n v="7.74"/>
    <n v="0.26"/>
    <n v="8.6300000000000008"/>
  </r>
  <r>
    <x v="0"/>
    <x v="6"/>
    <x v="17"/>
    <x v="0"/>
    <x v="1"/>
    <x v="0"/>
    <n v="2.57"/>
    <n v="2"/>
    <n v="0.25"/>
    <n v="2.4500000000000002"/>
  </r>
  <r>
    <x v="0"/>
    <x v="6"/>
    <x v="17"/>
    <x v="1"/>
    <x v="1"/>
    <x v="2"/>
    <n v="10.33"/>
    <n v="8.06"/>
    <n v="0.2"/>
    <n v="9.76"/>
  </r>
  <r>
    <x v="0"/>
    <x v="6"/>
    <x v="17"/>
    <x v="0"/>
    <x v="4"/>
    <x v="0"/>
    <n v="58.05"/>
    <n v="45.27"/>
    <n v="22.4"/>
    <n v="56.03"/>
  </r>
  <r>
    <x v="0"/>
    <x v="6"/>
    <x v="17"/>
    <x v="4"/>
    <x v="4"/>
    <x v="2"/>
    <n v="11.71"/>
    <n v="9.14"/>
    <n v="0.51"/>
    <n v="10.19"/>
  </r>
  <r>
    <x v="0"/>
    <x v="6"/>
    <x v="17"/>
    <x v="2"/>
    <x v="4"/>
    <x v="0"/>
    <n v="16.010000000000002"/>
    <n v="12.48"/>
    <n v="5.6"/>
    <n v="15.09"/>
  </r>
  <r>
    <x v="0"/>
    <x v="6"/>
    <x v="17"/>
    <x v="2"/>
    <x v="0"/>
    <x v="0"/>
    <n v="16.37"/>
    <n v="12.77"/>
    <n v="14.48"/>
    <n v="15.26"/>
  </r>
  <r>
    <x v="0"/>
    <x v="6"/>
    <x v="17"/>
    <x v="1"/>
    <x v="2"/>
    <x v="0"/>
    <n v="4.71"/>
    <n v="3.67"/>
    <n v="0.21"/>
    <n v="4.21"/>
  </r>
  <r>
    <x v="0"/>
    <x v="6"/>
    <x v="17"/>
    <x v="1"/>
    <x v="1"/>
    <x v="0"/>
    <n v="69.78"/>
    <n v="54.42"/>
    <n v="4.46"/>
    <n v="62.37"/>
  </r>
  <r>
    <x v="0"/>
    <x v="6"/>
    <x v="17"/>
    <x v="0"/>
    <x v="0"/>
    <x v="0"/>
    <n v="23.03"/>
    <n v="17.97"/>
    <n v="13.4"/>
    <n v="20.420000000000002"/>
  </r>
  <r>
    <x v="0"/>
    <x v="6"/>
    <x v="17"/>
    <x v="1"/>
    <x v="0"/>
    <x v="0"/>
    <n v="8.67"/>
    <n v="6.76"/>
    <n v="6.08"/>
    <n v="8.09"/>
  </r>
  <r>
    <x v="0"/>
    <x v="6"/>
    <x v="17"/>
    <x v="1"/>
    <x v="1"/>
    <x v="1"/>
    <n v="16.88"/>
    <n v="13.16"/>
    <n v="0.13"/>
    <n v="14.46"/>
  </r>
  <r>
    <x v="0"/>
    <x v="6"/>
    <x v="17"/>
    <x v="4"/>
    <x v="1"/>
    <x v="0"/>
    <n v="13.23"/>
    <n v="10.32"/>
    <n v="0.96"/>
    <n v="11.62"/>
  </r>
  <r>
    <x v="0"/>
    <x v="6"/>
    <x v="17"/>
    <x v="4"/>
    <x v="4"/>
    <x v="0"/>
    <n v="73.900000000000006"/>
    <n v="57.64"/>
    <n v="14.47"/>
    <n v="66.209999999999994"/>
  </r>
  <r>
    <x v="0"/>
    <x v="6"/>
    <x v="17"/>
    <x v="4"/>
    <x v="0"/>
    <x v="0"/>
    <n v="1.34"/>
    <n v="1.05"/>
    <n v="1.32"/>
    <n v="1.34"/>
  </r>
  <r>
    <x v="0"/>
    <x v="6"/>
    <x v="17"/>
    <x v="3"/>
    <x v="4"/>
    <x v="0"/>
    <n v="0.28000000000000003"/>
    <n v="0.22"/>
    <n v="7.0000000000000007E-2"/>
    <n v="0.26"/>
  </r>
  <r>
    <x v="0"/>
    <x v="6"/>
    <x v="17"/>
    <x v="2"/>
    <x v="3"/>
    <x v="1"/>
    <n v="64.59"/>
    <n v="50.37"/>
    <n v="0.05"/>
    <n v="39.5"/>
  </r>
  <r>
    <x v="0"/>
    <x v="6"/>
    <x v="17"/>
    <x v="1"/>
    <x v="2"/>
    <x v="1"/>
    <n v="47.5"/>
    <n v="37.049999999999997"/>
    <n v="0.19"/>
    <n v="40.6"/>
  </r>
  <r>
    <x v="0"/>
    <x v="6"/>
    <x v="17"/>
    <x v="1"/>
    <x v="4"/>
    <x v="0"/>
    <n v="131.28"/>
    <n v="102.39"/>
    <n v="41.88"/>
    <n v="119.26"/>
  </r>
  <r>
    <x v="0"/>
    <x v="6"/>
    <x v="18"/>
    <x v="1"/>
    <x v="0"/>
    <x v="0"/>
    <n v="5.78"/>
    <n v="5.0199999999999996"/>
    <n v="3.46"/>
    <n v="4.93"/>
  </r>
  <r>
    <x v="0"/>
    <x v="6"/>
    <x v="18"/>
    <x v="2"/>
    <x v="3"/>
    <x v="2"/>
    <n v="5.4"/>
    <n v="4.6900000000000004"/>
    <n v="0.01"/>
    <n v="2.33"/>
  </r>
  <r>
    <x v="0"/>
    <x v="6"/>
    <x v="18"/>
    <x v="1"/>
    <x v="1"/>
    <x v="0"/>
    <n v="9.2200000000000006"/>
    <n v="8.01"/>
    <n v="0.51"/>
    <n v="7.74"/>
  </r>
  <r>
    <x v="0"/>
    <x v="6"/>
    <x v="18"/>
    <x v="0"/>
    <x v="3"/>
    <x v="1"/>
    <n v="12.71"/>
    <n v="11.04"/>
    <n v="0.01"/>
    <n v="5.53"/>
  </r>
  <r>
    <x v="0"/>
    <x v="6"/>
    <x v="18"/>
    <x v="0"/>
    <x v="1"/>
    <x v="1"/>
    <n v="3.33"/>
    <n v="2.89"/>
    <n v="7.0000000000000007E-2"/>
    <n v="2.86"/>
  </r>
  <r>
    <x v="0"/>
    <x v="6"/>
    <x v="18"/>
    <x v="0"/>
    <x v="4"/>
    <x v="1"/>
    <n v="1.34"/>
    <n v="1.1599999999999999"/>
    <n v="0.06"/>
    <n v="1.1599999999999999"/>
  </r>
  <r>
    <x v="0"/>
    <x v="6"/>
    <x v="18"/>
    <x v="0"/>
    <x v="0"/>
    <x v="1"/>
    <n v="0.05"/>
    <n v="0.04"/>
    <n v="0"/>
    <n v="0.04"/>
  </r>
  <r>
    <x v="0"/>
    <x v="6"/>
    <x v="18"/>
    <x v="4"/>
    <x v="4"/>
    <x v="1"/>
    <n v="0.44"/>
    <n v="0.38"/>
    <n v="0.02"/>
    <n v="0.38"/>
  </r>
  <r>
    <x v="0"/>
    <x v="6"/>
    <x v="18"/>
    <x v="1"/>
    <x v="4"/>
    <x v="1"/>
    <n v="1.61"/>
    <n v="1.4"/>
    <n v="0.06"/>
    <n v="1.31"/>
  </r>
  <r>
    <x v="0"/>
    <x v="6"/>
    <x v="18"/>
    <x v="2"/>
    <x v="2"/>
    <x v="3"/>
    <n v="2.16"/>
    <n v="1.87"/>
    <n v="0"/>
    <n v="1.73"/>
  </r>
  <r>
    <x v="0"/>
    <x v="6"/>
    <x v="18"/>
    <x v="1"/>
    <x v="1"/>
    <x v="1"/>
    <n v="6.08"/>
    <n v="5.28"/>
    <n v="0.05"/>
    <n v="5.14"/>
  </r>
  <r>
    <x v="0"/>
    <x v="6"/>
    <x v="18"/>
    <x v="1"/>
    <x v="3"/>
    <x v="2"/>
    <n v="2.94"/>
    <n v="2.56"/>
    <n v="0.01"/>
    <n v="2.4500000000000002"/>
  </r>
  <r>
    <x v="0"/>
    <x v="6"/>
    <x v="18"/>
    <x v="1"/>
    <x v="2"/>
    <x v="2"/>
    <n v="2.6"/>
    <n v="2.2599999999999998"/>
    <n v="0.02"/>
    <n v="2.17"/>
  </r>
  <r>
    <x v="0"/>
    <x v="6"/>
    <x v="18"/>
    <x v="1"/>
    <x v="1"/>
    <x v="2"/>
    <n v="0.57999999999999996"/>
    <n v="0.5"/>
    <n v="0.01"/>
    <n v="0.48"/>
  </r>
  <r>
    <x v="0"/>
    <x v="6"/>
    <x v="18"/>
    <x v="1"/>
    <x v="4"/>
    <x v="2"/>
    <n v="1.42"/>
    <n v="1.23"/>
    <n v="0.06"/>
    <n v="1.18"/>
  </r>
  <r>
    <x v="0"/>
    <x v="6"/>
    <x v="18"/>
    <x v="4"/>
    <x v="1"/>
    <x v="2"/>
    <n v="0.12"/>
    <n v="0.1"/>
    <n v="0"/>
    <n v="0.1"/>
  </r>
  <r>
    <x v="0"/>
    <x v="6"/>
    <x v="18"/>
    <x v="4"/>
    <x v="4"/>
    <x v="2"/>
    <n v="4.55"/>
    <n v="3.95"/>
    <n v="0.22"/>
    <n v="3.79"/>
  </r>
  <r>
    <x v="0"/>
    <x v="6"/>
    <x v="18"/>
    <x v="4"/>
    <x v="0"/>
    <x v="1"/>
    <n v="0.52"/>
    <n v="0.45"/>
    <n v="0.03"/>
    <n v="0.45"/>
  </r>
  <r>
    <x v="0"/>
    <x v="6"/>
    <x v="18"/>
    <x v="4"/>
    <x v="1"/>
    <x v="0"/>
    <n v="0.78"/>
    <n v="0.67"/>
    <n v="0.13"/>
    <n v="0.65"/>
  </r>
  <r>
    <x v="0"/>
    <x v="6"/>
    <x v="18"/>
    <x v="2"/>
    <x v="0"/>
    <x v="0"/>
    <n v="7.3"/>
    <n v="6.34"/>
    <n v="5.68"/>
    <n v="6"/>
  </r>
  <r>
    <x v="0"/>
    <x v="6"/>
    <x v="18"/>
    <x v="1"/>
    <x v="2"/>
    <x v="0"/>
    <n v="0.47"/>
    <n v="0.41"/>
    <n v="0.02"/>
    <n v="0.39"/>
  </r>
  <r>
    <x v="0"/>
    <x v="6"/>
    <x v="18"/>
    <x v="1"/>
    <x v="4"/>
    <x v="0"/>
    <n v="36.57"/>
    <n v="31.76"/>
    <n v="13.58"/>
    <n v="30.86"/>
  </r>
  <r>
    <x v="0"/>
    <x v="6"/>
    <x v="18"/>
    <x v="0"/>
    <x v="2"/>
    <x v="0"/>
    <n v="0.06"/>
    <n v="0.05"/>
    <n v="0"/>
    <n v="0.06"/>
  </r>
  <r>
    <x v="0"/>
    <x v="6"/>
    <x v="18"/>
    <x v="0"/>
    <x v="1"/>
    <x v="0"/>
    <n v="3.35"/>
    <n v="2.91"/>
    <n v="0.22"/>
    <n v="2.82"/>
  </r>
  <r>
    <x v="0"/>
    <x v="6"/>
    <x v="18"/>
    <x v="1"/>
    <x v="0"/>
    <x v="1"/>
    <n v="1.82"/>
    <n v="1.58"/>
    <n v="0.16"/>
    <n v="1.49"/>
  </r>
  <r>
    <x v="0"/>
    <x v="6"/>
    <x v="18"/>
    <x v="0"/>
    <x v="0"/>
    <x v="0"/>
    <n v="7.58"/>
    <n v="6.58"/>
    <n v="4.5199999999999996"/>
    <n v="6.4"/>
  </r>
  <r>
    <x v="0"/>
    <x v="6"/>
    <x v="18"/>
    <x v="2"/>
    <x v="4"/>
    <x v="0"/>
    <n v="6.07"/>
    <n v="5.27"/>
    <n v="2.59"/>
    <n v="5.16"/>
  </r>
  <r>
    <x v="0"/>
    <x v="6"/>
    <x v="18"/>
    <x v="4"/>
    <x v="4"/>
    <x v="0"/>
    <n v="16.579999999999998"/>
    <n v="14.4"/>
    <n v="3.36"/>
    <n v="13.98"/>
  </r>
  <r>
    <x v="0"/>
    <x v="6"/>
    <x v="18"/>
    <x v="4"/>
    <x v="0"/>
    <x v="0"/>
    <n v="0.22"/>
    <n v="0.19"/>
    <n v="0.08"/>
    <n v="0.18"/>
  </r>
  <r>
    <x v="0"/>
    <x v="6"/>
    <x v="18"/>
    <x v="3"/>
    <x v="4"/>
    <x v="0"/>
    <n v="0.26"/>
    <n v="0.23"/>
    <n v="0.04"/>
    <n v="0.22"/>
  </r>
  <r>
    <x v="0"/>
    <x v="6"/>
    <x v="18"/>
    <x v="2"/>
    <x v="3"/>
    <x v="1"/>
    <n v="10.63"/>
    <n v="9.23"/>
    <n v="0.01"/>
    <n v="6.7"/>
  </r>
  <r>
    <x v="0"/>
    <x v="6"/>
    <x v="18"/>
    <x v="2"/>
    <x v="4"/>
    <x v="1"/>
    <n v="0.46"/>
    <n v="0.4"/>
    <n v="0"/>
    <n v="0.46"/>
  </r>
  <r>
    <x v="0"/>
    <x v="6"/>
    <x v="18"/>
    <x v="1"/>
    <x v="2"/>
    <x v="1"/>
    <n v="17.57"/>
    <n v="15.26"/>
    <n v="0.09"/>
    <n v="15.06"/>
  </r>
  <r>
    <x v="0"/>
    <x v="6"/>
    <x v="18"/>
    <x v="0"/>
    <x v="4"/>
    <x v="0"/>
    <n v="4.6500000000000004"/>
    <n v="4.04"/>
    <n v="2.2599999999999998"/>
    <n v="3.91"/>
  </r>
  <r>
    <x v="0"/>
    <x v="2"/>
    <x v="19"/>
    <x v="0"/>
    <x v="4"/>
    <x v="1"/>
    <n v="1.04"/>
    <n v="1.04"/>
    <n v="0.11"/>
    <n v="0.97"/>
  </r>
  <r>
    <x v="0"/>
    <x v="2"/>
    <x v="19"/>
    <x v="1"/>
    <x v="1"/>
    <x v="0"/>
    <n v="20.21"/>
    <n v="20.260000000000002"/>
    <n v="1.18"/>
    <n v="18.98"/>
  </r>
  <r>
    <x v="0"/>
    <x v="2"/>
    <x v="19"/>
    <x v="4"/>
    <x v="0"/>
    <x v="0"/>
    <n v="0.03"/>
    <n v="0.03"/>
    <n v="0.01"/>
    <n v="0.03"/>
  </r>
  <r>
    <x v="0"/>
    <x v="2"/>
    <x v="19"/>
    <x v="4"/>
    <x v="4"/>
    <x v="0"/>
    <n v="24.58"/>
    <n v="24.63"/>
    <n v="4.47"/>
    <n v="23.08"/>
  </r>
  <r>
    <x v="0"/>
    <x v="2"/>
    <x v="19"/>
    <x v="4"/>
    <x v="1"/>
    <x v="0"/>
    <n v="3.65"/>
    <n v="3.66"/>
    <n v="0.28999999999999998"/>
    <n v="3.35"/>
  </r>
  <r>
    <x v="0"/>
    <x v="2"/>
    <x v="19"/>
    <x v="0"/>
    <x v="0"/>
    <x v="0"/>
    <n v="4.45"/>
    <n v="4.45"/>
    <n v="2.44"/>
    <n v="4.03"/>
  </r>
  <r>
    <x v="0"/>
    <x v="2"/>
    <x v="19"/>
    <x v="0"/>
    <x v="4"/>
    <x v="0"/>
    <n v="38.950000000000003"/>
    <n v="39.03"/>
    <n v="10.57"/>
    <n v="36.590000000000003"/>
  </r>
  <r>
    <x v="0"/>
    <x v="2"/>
    <x v="19"/>
    <x v="0"/>
    <x v="1"/>
    <x v="0"/>
    <n v="0.13"/>
    <n v="0.13"/>
    <n v="0.03"/>
    <n v="0.12"/>
  </r>
  <r>
    <x v="0"/>
    <x v="2"/>
    <x v="19"/>
    <x v="1"/>
    <x v="4"/>
    <x v="2"/>
    <n v="1.46"/>
    <n v="1.46"/>
    <n v="0.02"/>
    <n v="1.28"/>
  </r>
  <r>
    <x v="0"/>
    <x v="2"/>
    <x v="19"/>
    <x v="1"/>
    <x v="4"/>
    <x v="0"/>
    <n v="103.55"/>
    <n v="103.77"/>
    <n v="24.23"/>
    <n v="98.14"/>
  </r>
  <r>
    <x v="0"/>
    <x v="2"/>
    <x v="19"/>
    <x v="2"/>
    <x v="4"/>
    <x v="1"/>
    <n v="0.02"/>
    <n v="0.02"/>
    <n v="0"/>
    <n v="0.02"/>
  </r>
  <r>
    <x v="0"/>
    <x v="2"/>
    <x v="19"/>
    <x v="1"/>
    <x v="2"/>
    <x v="0"/>
    <n v="1.28"/>
    <n v="1.28"/>
    <n v="0.03"/>
    <n v="1.1499999999999999"/>
  </r>
  <r>
    <x v="0"/>
    <x v="2"/>
    <x v="19"/>
    <x v="2"/>
    <x v="0"/>
    <x v="0"/>
    <n v="4.9400000000000004"/>
    <n v="4.95"/>
    <n v="3.11"/>
    <n v="4.83"/>
  </r>
  <r>
    <x v="0"/>
    <x v="2"/>
    <x v="19"/>
    <x v="0"/>
    <x v="3"/>
    <x v="1"/>
    <n v="0.66"/>
    <n v="0.66"/>
    <n v="0"/>
    <n v="0.59"/>
  </r>
  <r>
    <x v="0"/>
    <x v="2"/>
    <x v="19"/>
    <x v="2"/>
    <x v="4"/>
    <x v="0"/>
    <n v="6.75"/>
    <n v="6.77"/>
    <n v="1.67"/>
    <n v="6.59"/>
  </r>
  <r>
    <x v="0"/>
    <x v="2"/>
    <x v="19"/>
    <x v="4"/>
    <x v="1"/>
    <x v="2"/>
    <n v="6.47"/>
    <n v="6.48"/>
    <n v="0.16"/>
    <n v="5.62"/>
  </r>
  <r>
    <x v="0"/>
    <x v="2"/>
    <x v="19"/>
    <x v="4"/>
    <x v="4"/>
    <x v="2"/>
    <n v="1.88"/>
    <n v="1.88"/>
    <n v="0.08"/>
    <n v="1.71"/>
  </r>
  <r>
    <x v="0"/>
    <x v="2"/>
    <x v="19"/>
    <x v="1"/>
    <x v="0"/>
    <x v="0"/>
    <n v="12.19"/>
    <n v="12.21"/>
    <n v="6.9"/>
    <n v="11.59"/>
  </r>
  <r>
    <x v="0"/>
    <x v="2"/>
    <x v="19"/>
    <x v="4"/>
    <x v="2"/>
    <x v="2"/>
    <n v="0.73"/>
    <n v="0.73"/>
    <n v="0"/>
    <n v="0.64"/>
  </r>
  <r>
    <x v="0"/>
    <x v="2"/>
    <x v="19"/>
    <x v="1"/>
    <x v="1"/>
    <x v="2"/>
    <n v="0.78"/>
    <n v="0.78"/>
    <n v="0.01"/>
    <n v="0.7"/>
  </r>
  <r>
    <x v="0"/>
    <x v="2"/>
    <x v="19"/>
    <x v="1"/>
    <x v="2"/>
    <x v="2"/>
    <n v="0.73"/>
    <n v="0.73"/>
    <n v="0"/>
    <n v="0.65"/>
  </r>
  <r>
    <x v="0"/>
    <x v="2"/>
    <x v="19"/>
    <x v="1"/>
    <x v="3"/>
    <x v="2"/>
    <n v="1.1599999999999999"/>
    <n v="1.17"/>
    <n v="0"/>
    <n v="1.03"/>
  </r>
  <r>
    <x v="0"/>
    <x v="2"/>
    <x v="19"/>
    <x v="2"/>
    <x v="2"/>
    <x v="3"/>
    <n v="0.63"/>
    <n v="0.63"/>
    <n v="0"/>
    <n v="0.63"/>
  </r>
  <r>
    <x v="0"/>
    <x v="2"/>
    <x v="19"/>
    <x v="2"/>
    <x v="3"/>
    <x v="3"/>
    <n v="0.17"/>
    <n v="0.17"/>
    <n v="0"/>
    <n v="0.17"/>
  </r>
  <r>
    <x v="0"/>
    <x v="2"/>
    <x v="19"/>
    <x v="4"/>
    <x v="0"/>
    <x v="1"/>
    <n v="0.45"/>
    <n v="0.45"/>
    <n v="0.02"/>
    <n v="0.42"/>
  </r>
  <r>
    <x v="0"/>
    <x v="2"/>
    <x v="19"/>
    <x v="3"/>
    <x v="4"/>
    <x v="0"/>
    <n v="6.32"/>
    <n v="6.34"/>
    <n v="1.42"/>
    <n v="5.99"/>
  </r>
  <r>
    <x v="0"/>
    <x v="2"/>
    <x v="19"/>
    <x v="0"/>
    <x v="0"/>
    <x v="1"/>
    <n v="0.13"/>
    <n v="0.13"/>
    <n v="0.01"/>
    <n v="0.12"/>
  </r>
  <r>
    <x v="0"/>
    <x v="2"/>
    <x v="19"/>
    <x v="2"/>
    <x v="3"/>
    <x v="1"/>
    <n v="1.06"/>
    <n v="1.07"/>
    <n v="0"/>
    <n v="1.05"/>
  </r>
  <r>
    <x v="0"/>
    <x v="2"/>
    <x v="19"/>
    <x v="0"/>
    <x v="1"/>
    <x v="1"/>
    <n v="0.34"/>
    <n v="0.34"/>
    <n v="0.01"/>
    <n v="0.31"/>
  </r>
  <r>
    <x v="0"/>
    <x v="2"/>
    <x v="19"/>
    <x v="1"/>
    <x v="0"/>
    <x v="1"/>
    <n v="1.98"/>
    <n v="1.99"/>
    <n v="0.11"/>
    <n v="1.96"/>
  </r>
  <r>
    <x v="0"/>
    <x v="2"/>
    <x v="19"/>
    <x v="1"/>
    <x v="4"/>
    <x v="1"/>
    <n v="1.25"/>
    <n v="1.25"/>
    <n v="0.04"/>
    <n v="1.25"/>
  </r>
  <r>
    <x v="0"/>
    <x v="2"/>
    <x v="19"/>
    <x v="1"/>
    <x v="1"/>
    <x v="1"/>
    <n v="3.54"/>
    <n v="3.54"/>
    <n v="0.04"/>
    <n v="3.3"/>
  </r>
  <r>
    <x v="0"/>
    <x v="2"/>
    <x v="19"/>
    <x v="1"/>
    <x v="2"/>
    <x v="1"/>
    <n v="17.649999999999999"/>
    <n v="17.68"/>
    <n v="0.05"/>
    <n v="16.07"/>
  </r>
  <r>
    <x v="0"/>
    <x v="2"/>
    <x v="19"/>
    <x v="1"/>
    <x v="3"/>
    <x v="1"/>
    <n v="0.19"/>
    <n v="0.19"/>
    <n v="0"/>
    <n v="0.17"/>
  </r>
  <r>
    <x v="0"/>
    <x v="2"/>
    <x v="19"/>
    <x v="4"/>
    <x v="4"/>
    <x v="1"/>
    <n v="0.34"/>
    <n v="0.34"/>
    <n v="0.01"/>
    <n v="0.32"/>
  </r>
  <r>
    <x v="0"/>
    <x v="7"/>
    <x v="20"/>
    <x v="4"/>
    <x v="2"/>
    <x v="2"/>
    <n v="0.79"/>
    <n v="0.81"/>
    <n v="0"/>
    <n v="0.68"/>
  </r>
  <r>
    <x v="0"/>
    <x v="7"/>
    <x v="20"/>
    <x v="0"/>
    <x v="1"/>
    <x v="0"/>
    <n v="0.8"/>
    <n v="0.82"/>
    <n v="0.16"/>
    <n v="0.72"/>
  </r>
  <r>
    <x v="0"/>
    <x v="7"/>
    <x v="20"/>
    <x v="4"/>
    <x v="4"/>
    <x v="2"/>
    <n v="1.35"/>
    <n v="1.4"/>
    <n v="0.06"/>
    <n v="1.2"/>
  </r>
  <r>
    <x v="0"/>
    <x v="7"/>
    <x v="20"/>
    <x v="2"/>
    <x v="4"/>
    <x v="1"/>
    <n v="0.05"/>
    <n v="0.05"/>
    <n v="0"/>
    <n v="0.05"/>
  </r>
  <r>
    <x v="0"/>
    <x v="7"/>
    <x v="20"/>
    <x v="3"/>
    <x v="4"/>
    <x v="0"/>
    <n v="3.18"/>
    <n v="3.28"/>
    <n v="0.45"/>
    <n v="2.92"/>
  </r>
  <r>
    <x v="0"/>
    <x v="7"/>
    <x v="20"/>
    <x v="4"/>
    <x v="0"/>
    <x v="0"/>
    <n v="0.37"/>
    <n v="0.39"/>
    <n v="0.08"/>
    <n v="0.35"/>
  </r>
  <r>
    <x v="0"/>
    <x v="7"/>
    <x v="20"/>
    <x v="4"/>
    <x v="4"/>
    <x v="0"/>
    <n v="52.09"/>
    <n v="53.8"/>
    <n v="8.59"/>
    <n v="48.14"/>
  </r>
  <r>
    <x v="0"/>
    <x v="7"/>
    <x v="20"/>
    <x v="4"/>
    <x v="1"/>
    <x v="0"/>
    <n v="10.15"/>
    <n v="10.48"/>
    <n v="0.76"/>
    <n v="9.35"/>
  </r>
  <r>
    <x v="0"/>
    <x v="7"/>
    <x v="20"/>
    <x v="1"/>
    <x v="2"/>
    <x v="1"/>
    <n v="7.34"/>
    <n v="7.58"/>
    <n v="7.0000000000000007E-2"/>
    <n v="6.88"/>
  </r>
  <r>
    <x v="0"/>
    <x v="7"/>
    <x v="20"/>
    <x v="0"/>
    <x v="4"/>
    <x v="0"/>
    <n v="14.8"/>
    <n v="15.29"/>
    <n v="4.46"/>
    <n v="13.63"/>
  </r>
  <r>
    <x v="0"/>
    <x v="7"/>
    <x v="20"/>
    <x v="1"/>
    <x v="1"/>
    <x v="1"/>
    <n v="4.3"/>
    <n v="4.4400000000000004"/>
    <n v="0.08"/>
    <n v="4.08"/>
  </r>
  <r>
    <x v="0"/>
    <x v="7"/>
    <x v="20"/>
    <x v="1"/>
    <x v="0"/>
    <x v="0"/>
    <n v="6.86"/>
    <n v="7.08"/>
    <n v="3.47"/>
    <n v="6.38"/>
  </r>
  <r>
    <x v="0"/>
    <x v="7"/>
    <x v="20"/>
    <x v="1"/>
    <x v="4"/>
    <x v="0"/>
    <n v="81.67"/>
    <n v="84.34"/>
    <n v="19.79"/>
    <n v="75.569999999999993"/>
  </r>
  <r>
    <x v="0"/>
    <x v="7"/>
    <x v="20"/>
    <x v="1"/>
    <x v="1"/>
    <x v="0"/>
    <n v="25.54"/>
    <n v="26.37"/>
    <n v="1.38"/>
    <n v="23.57"/>
  </r>
  <r>
    <x v="0"/>
    <x v="7"/>
    <x v="20"/>
    <x v="1"/>
    <x v="2"/>
    <x v="0"/>
    <n v="1"/>
    <n v="1.04"/>
    <n v="0.02"/>
    <n v="0.9"/>
  </r>
  <r>
    <x v="0"/>
    <x v="7"/>
    <x v="20"/>
    <x v="2"/>
    <x v="0"/>
    <x v="0"/>
    <n v="2.29"/>
    <n v="2.37"/>
    <n v="1.4"/>
    <n v="2.1800000000000002"/>
  </r>
  <r>
    <x v="0"/>
    <x v="7"/>
    <x v="20"/>
    <x v="2"/>
    <x v="4"/>
    <x v="0"/>
    <n v="3.61"/>
    <n v="3.72"/>
    <n v="0.92"/>
    <n v="3.41"/>
  </r>
  <r>
    <x v="0"/>
    <x v="7"/>
    <x v="20"/>
    <x v="0"/>
    <x v="0"/>
    <x v="0"/>
    <n v="2.48"/>
    <n v="2.56"/>
    <n v="1.36"/>
    <n v="2.2400000000000002"/>
  </r>
  <r>
    <x v="0"/>
    <x v="7"/>
    <x v="20"/>
    <x v="4"/>
    <x v="0"/>
    <x v="1"/>
    <n v="0.65"/>
    <n v="0.68"/>
    <n v="0.04"/>
    <n v="0.61"/>
  </r>
  <r>
    <x v="0"/>
    <x v="7"/>
    <x v="20"/>
    <x v="1"/>
    <x v="1"/>
    <x v="2"/>
    <n v="1.66"/>
    <n v="1.71"/>
    <n v="0.01"/>
    <n v="1.47"/>
  </r>
  <r>
    <x v="0"/>
    <x v="7"/>
    <x v="20"/>
    <x v="1"/>
    <x v="4"/>
    <x v="2"/>
    <n v="1.59"/>
    <n v="1.65"/>
    <n v="0.03"/>
    <n v="1.39"/>
  </r>
  <r>
    <x v="0"/>
    <x v="7"/>
    <x v="20"/>
    <x v="1"/>
    <x v="2"/>
    <x v="2"/>
    <n v="0.32"/>
    <n v="0.33"/>
    <n v="0"/>
    <n v="0.28999999999999998"/>
  </r>
  <r>
    <x v="0"/>
    <x v="7"/>
    <x v="20"/>
    <x v="1"/>
    <x v="3"/>
    <x v="2"/>
    <n v="3.87"/>
    <n v="4"/>
    <n v="0"/>
    <n v="3.44"/>
  </r>
  <r>
    <x v="0"/>
    <x v="7"/>
    <x v="20"/>
    <x v="2"/>
    <x v="2"/>
    <x v="2"/>
    <n v="0.13"/>
    <n v="0.14000000000000001"/>
    <n v="0"/>
    <n v="0.13"/>
  </r>
  <r>
    <x v="0"/>
    <x v="7"/>
    <x v="20"/>
    <x v="2"/>
    <x v="3"/>
    <x v="2"/>
    <n v="1.42"/>
    <n v="1.46"/>
    <n v="0"/>
    <n v="1.42"/>
  </r>
  <r>
    <x v="0"/>
    <x v="7"/>
    <x v="20"/>
    <x v="1"/>
    <x v="3"/>
    <x v="1"/>
    <n v="0.01"/>
    <n v="0.01"/>
    <n v="0"/>
    <n v="0"/>
  </r>
  <r>
    <x v="0"/>
    <x v="7"/>
    <x v="20"/>
    <x v="2"/>
    <x v="3"/>
    <x v="3"/>
    <n v="0.51"/>
    <n v="0.53"/>
    <n v="0"/>
    <n v="0.51"/>
  </r>
  <r>
    <x v="0"/>
    <x v="7"/>
    <x v="20"/>
    <x v="4"/>
    <x v="1"/>
    <x v="2"/>
    <n v="2.3199999999999998"/>
    <n v="2.39"/>
    <n v="0.05"/>
    <n v="2.02"/>
  </r>
  <r>
    <x v="0"/>
    <x v="7"/>
    <x v="20"/>
    <x v="4"/>
    <x v="4"/>
    <x v="1"/>
    <n v="0.47"/>
    <n v="0.49"/>
    <n v="0.03"/>
    <n v="0.44"/>
  </r>
  <r>
    <x v="0"/>
    <x v="7"/>
    <x v="20"/>
    <x v="0"/>
    <x v="0"/>
    <x v="1"/>
    <n v="0.33"/>
    <n v="0.34"/>
    <n v="0.02"/>
    <n v="0.3"/>
  </r>
  <r>
    <x v="0"/>
    <x v="7"/>
    <x v="20"/>
    <x v="0"/>
    <x v="4"/>
    <x v="1"/>
    <n v="1.72"/>
    <n v="1.77"/>
    <n v="0.09"/>
    <n v="1.58"/>
  </r>
  <r>
    <x v="0"/>
    <x v="7"/>
    <x v="20"/>
    <x v="0"/>
    <x v="1"/>
    <x v="1"/>
    <n v="0.83"/>
    <n v="0.86"/>
    <n v="0.01"/>
    <n v="0.77"/>
  </r>
  <r>
    <x v="0"/>
    <x v="7"/>
    <x v="20"/>
    <x v="1"/>
    <x v="0"/>
    <x v="1"/>
    <n v="9.2799999999999994"/>
    <n v="9.59"/>
    <n v="1.02"/>
    <n v="8.36"/>
  </r>
  <r>
    <x v="0"/>
    <x v="7"/>
    <x v="20"/>
    <x v="1"/>
    <x v="4"/>
    <x v="1"/>
    <n v="1.51"/>
    <n v="1.56"/>
    <n v="0.08"/>
    <n v="1.44"/>
  </r>
  <r>
    <x v="0"/>
    <x v="7"/>
    <x v="20"/>
    <x v="2"/>
    <x v="2"/>
    <x v="3"/>
    <n v="9.09"/>
    <n v="9.39"/>
    <n v="0.01"/>
    <n v="9.08"/>
  </r>
  <r>
    <x v="0"/>
    <x v="2"/>
    <x v="21"/>
    <x v="4"/>
    <x v="1"/>
    <x v="0"/>
    <n v="11.44"/>
    <n v="11.46"/>
    <n v="0.89"/>
    <n v="10.51"/>
  </r>
  <r>
    <x v="0"/>
    <x v="2"/>
    <x v="21"/>
    <x v="1"/>
    <x v="0"/>
    <x v="1"/>
    <n v="5.05"/>
    <n v="5.0599999999999996"/>
    <n v="0.39"/>
    <n v="4.9800000000000004"/>
  </r>
  <r>
    <x v="0"/>
    <x v="2"/>
    <x v="21"/>
    <x v="1"/>
    <x v="4"/>
    <x v="1"/>
    <n v="2.77"/>
    <n v="2.78"/>
    <n v="0.14000000000000001"/>
    <n v="2.72"/>
  </r>
  <r>
    <x v="0"/>
    <x v="2"/>
    <x v="21"/>
    <x v="1"/>
    <x v="1"/>
    <x v="1"/>
    <n v="20.49"/>
    <n v="20.53"/>
    <n v="0.28999999999999998"/>
    <n v="18.920000000000002"/>
  </r>
  <r>
    <x v="0"/>
    <x v="2"/>
    <x v="21"/>
    <x v="1"/>
    <x v="2"/>
    <x v="1"/>
    <n v="35.36"/>
    <n v="35.44"/>
    <n v="0.15"/>
    <n v="32.18"/>
  </r>
  <r>
    <x v="0"/>
    <x v="2"/>
    <x v="21"/>
    <x v="1"/>
    <x v="3"/>
    <x v="1"/>
    <n v="0.03"/>
    <n v="0.03"/>
    <n v="0"/>
    <n v="0.03"/>
  </r>
  <r>
    <x v="0"/>
    <x v="2"/>
    <x v="21"/>
    <x v="2"/>
    <x v="4"/>
    <x v="1"/>
    <n v="0.39"/>
    <n v="0.4"/>
    <n v="0.01"/>
    <n v="0.35"/>
  </r>
  <r>
    <x v="0"/>
    <x v="2"/>
    <x v="21"/>
    <x v="2"/>
    <x v="3"/>
    <x v="1"/>
    <n v="13.62"/>
    <n v="13.65"/>
    <n v="0.03"/>
    <n v="13.17"/>
  </r>
  <r>
    <x v="0"/>
    <x v="2"/>
    <x v="21"/>
    <x v="0"/>
    <x v="3"/>
    <x v="1"/>
    <n v="9.49"/>
    <n v="9.51"/>
    <n v="0.01"/>
    <n v="8.5500000000000007"/>
  </r>
  <r>
    <x v="0"/>
    <x v="2"/>
    <x v="21"/>
    <x v="4"/>
    <x v="0"/>
    <x v="0"/>
    <n v="1.29"/>
    <n v="1.29"/>
    <n v="0.28000000000000003"/>
    <n v="1.2"/>
  </r>
  <r>
    <x v="0"/>
    <x v="2"/>
    <x v="21"/>
    <x v="4"/>
    <x v="4"/>
    <x v="0"/>
    <n v="100.38"/>
    <n v="100.59"/>
    <n v="17.18"/>
    <n v="93.28"/>
  </r>
  <r>
    <x v="0"/>
    <x v="2"/>
    <x v="21"/>
    <x v="0"/>
    <x v="4"/>
    <x v="0"/>
    <n v="65.739999999999995"/>
    <n v="65.88"/>
    <n v="21.55"/>
    <n v="60.66"/>
  </r>
  <r>
    <x v="0"/>
    <x v="2"/>
    <x v="21"/>
    <x v="0"/>
    <x v="1"/>
    <x v="0"/>
    <n v="4.68"/>
    <n v="4.6900000000000004"/>
    <n v="1.08"/>
    <n v="4.2699999999999996"/>
  </r>
  <r>
    <x v="0"/>
    <x v="2"/>
    <x v="21"/>
    <x v="1"/>
    <x v="0"/>
    <x v="0"/>
    <n v="26.16"/>
    <n v="26.21"/>
    <n v="11.34"/>
    <n v="24.13"/>
  </r>
  <r>
    <x v="0"/>
    <x v="2"/>
    <x v="21"/>
    <x v="1"/>
    <x v="4"/>
    <x v="0"/>
    <n v="232.98"/>
    <n v="233.47"/>
    <n v="59.13"/>
    <n v="214.65"/>
  </r>
  <r>
    <x v="0"/>
    <x v="2"/>
    <x v="21"/>
    <x v="1"/>
    <x v="1"/>
    <x v="0"/>
    <n v="57.28"/>
    <n v="57.41"/>
    <n v="3.52"/>
    <n v="52.87"/>
  </r>
  <r>
    <x v="0"/>
    <x v="2"/>
    <x v="21"/>
    <x v="1"/>
    <x v="2"/>
    <x v="0"/>
    <n v="3.59"/>
    <n v="3.6"/>
    <n v="0.08"/>
    <n v="3.26"/>
  </r>
  <r>
    <x v="0"/>
    <x v="2"/>
    <x v="21"/>
    <x v="2"/>
    <x v="0"/>
    <x v="0"/>
    <n v="18.8"/>
    <n v="18.84"/>
    <n v="13.2"/>
    <n v="17.739999999999998"/>
  </r>
  <r>
    <x v="0"/>
    <x v="2"/>
    <x v="21"/>
    <x v="3"/>
    <x v="4"/>
    <x v="0"/>
    <n v="15.36"/>
    <n v="15.39"/>
    <n v="2.41"/>
    <n v="14.11"/>
  </r>
  <r>
    <x v="0"/>
    <x v="2"/>
    <x v="21"/>
    <x v="1"/>
    <x v="2"/>
    <x v="2"/>
    <n v="2.57"/>
    <n v="2.57"/>
    <n v="0.01"/>
    <n v="2.36"/>
  </r>
  <r>
    <x v="0"/>
    <x v="2"/>
    <x v="21"/>
    <x v="0"/>
    <x v="0"/>
    <x v="0"/>
    <n v="26.33"/>
    <n v="26.39"/>
    <n v="15.07"/>
    <n v="24.05"/>
  </r>
  <r>
    <x v="0"/>
    <x v="2"/>
    <x v="21"/>
    <x v="0"/>
    <x v="2"/>
    <x v="1"/>
    <n v="0.33"/>
    <n v="0.33"/>
    <n v="0"/>
    <n v="0.33"/>
  </r>
  <r>
    <x v="0"/>
    <x v="2"/>
    <x v="21"/>
    <x v="4"/>
    <x v="4"/>
    <x v="2"/>
    <n v="1.7"/>
    <n v="1.71"/>
    <n v="0.1"/>
    <n v="1.57"/>
  </r>
  <r>
    <x v="0"/>
    <x v="2"/>
    <x v="21"/>
    <x v="4"/>
    <x v="1"/>
    <x v="2"/>
    <n v="4.1500000000000004"/>
    <n v="4.16"/>
    <n v="0.12"/>
    <n v="3.66"/>
  </r>
  <r>
    <x v="0"/>
    <x v="2"/>
    <x v="21"/>
    <x v="4"/>
    <x v="2"/>
    <x v="2"/>
    <n v="1.02"/>
    <n v="1.02"/>
    <n v="0.01"/>
    <n v="0.94"/>
  </r>
  <r>
    <x v="0"/>
    <x v="2"/>
    <x v="21"/>
    <x v="1"/>
    <x v="1"/>
    <x v="2"/>
    <n v="4.6399999999999997"/>
    <n v="4.6500000000000004"/>
    <n v="0.08"/>
    <n v="4.2699999999999996"/>
  </r>
  <r>
    <x v="0"/>
    <x v="2"/>
    <x v="21"/>
    <x v="2"/>
    <x v="4"/>
    <x v="0"/>
    <n v="14.62"/>
    <n v="14.66"/>
    <n v="3.42"/>
    <n v="13.79"/>
  </r>
  <r>
    <x v="0"/>
    <x v="2"/>
    <x v="21"/>
    <x v="1"/>
    <x v="3"/>
    <x v="2"/>
    <n v="8.1300000000000008"/>
    <n v="8.15"/>
    <n v="0.01"/>
    <n v="7.47"/>
  </r>
  <r>
    <x v="0"/>
    <x v="2"/>
    <x v="21"/>
    <x v="4"/>
    <x v="4"/>
    <x v="1"/>
    <n v="2.5299999999999998"/>
    <n v="2.54"/>
    <n v="0.14000000000000001"/>
    <n v="2.29"/>
  </r>
  <r>
    <x v="0"/>
    <x v="2"/>
    <x v="21"/>
    <x v="0"/>
    <x v="1"/>
    <x v="1"/>
    <n v="4.4800000000000004"/>
    <n v="4.49"/>
    <n v="0.06"/>
    <n v="4.04"/>
  </r>
  <r>
    <x v="0"/>
    <x v="2"/>
    <x v="21"/>
    <x v="1"/>
    <x v="4"/>
    <x v="2"/>
    <n v="6.49"/>
    <n v="6.5"/>
    <n v="0.24"/>
    <n v="5.66"/>
  </r>
  <r>
    <x v="0"/>
    <x v="2"/>
    <x v="21"/>
    <x v="0"/>
    <x v="0"/>
    <x v="1"/>
    <n v="2.12"/>
    <n v="2.12"/>
    <n v="0.1"/>
    <n v="1.97"/>
  </r>
  <r>
    <x v="0"/>
    <x v="2"/>
    <x v="21"/>
    <x v="2"/>
    <x v="2"/>
    <x v="2"/>
    <n v="0.84"/>
    <n v="0.84"/>
    <n v="0"/>
    <n v="0.84"/>
  </r>
  <r>
    <x v="0"/>
    <x v="2"/>
    <x v="21"/>
    <x v="4"/>
    <x v="0"/>
    <x v="1"/>
    <n v="3.12"/>
    <n v="3.13"/>
    <n v="0.21"/>
    <n v="2.83"/>
  </r>
  <r>
    <x v="0"/>
    <x v="2"/>
    <x v="21"/>
    <x v="2"/>
    <x v="3"/>
    <x v="3"/>
    <n v="117.16"/>
    <n v="117.41"/>
    <n v="0.09"/>
    <n v="117.16"/>
  </r>
  <r>
    <x v="0"/>
    <x v="2"/>
    <x v="21"/>
    <x v="2"/>
    <x v="2"/>
    <x v="3"/>
    <n v="71.930000000000007"/>
    <n v="72.09"/>
    <n v="0.06"/>
    <n v="71.790000000000006"/>
  </r>
  <r>
    <x v="0"/>
    <x v="2"/>
    <x v="21"/>
    <x v="2"/>
    <x v="3"/>
    <x v="2"/>
    <n v="77.34"/>
    <n v="77.510000000000005"/>
    <n v="0.06"/>
    <n v="69.08"/>
  </r>
  <r>
    <x v="0"/>
    <x v="2"/>
    <x v="21"/>
    <x v="0"/>
    <x v="4"/>
    <x v="1"/>
    <n v="9.6"/>
    <n v="9.6199999999999992"/>
    <n v="0.51"/>
    <n v="8.65"/>
  </r>
  <r>
    <x v="0"/>
    <x v="8"/>
    <x v="22"/>
    <x v="1"/>
    <x v="2"/>
    <x v="1"/>
    <n v="172.36"/>
    <n v="155.02000000000001"/>
    <n v="0.51"/>
    <n v="154.35"/>
  </r>
  <r>
    <x v="0"/>
    <x v="8"/>
    <x v="22"/>
    <x v="2"/>
    <x v="1"/>
    <x v="3"/>
    <n v="124.07"/>
    <n v="111.59"/>
    <n v="0.08"/>
    <n v="124.07"/>
  </r>
  <r>
    <x v="0"/>
    <x v="8"/>
    <x v="22"/>
    <x v="4"/>
    <x v="4"/>
    <x v="0"/>
    <n v="441.51"/>
    <n v="397.11"/>
    <n v="63.62"/>
    <n v="402.14"/>
  </r>
  <r>
    <x v="0"/>
    <x v="8"/>
    <x v="22"/>
    <x v="4"/>
    <x v="0"/>
    <x v="0"/>
    <n v="8.0500000000000007"/>
    <n v="7.24"/>
    <n v="2.15"/>
    <n v="7.34"/>
  </r>
  <r>
    <x v="0"/>
    <x v="8"/>
    <x v="22"/>
    <x v="4"/>
    <x v="1"/>
    <x v="0"/>
    <n v="24.83"/>
    <n v="22.33"/>
    <n v="1.25"/>
    <n v="22.34"/>
  </r>
  <r>
    <x v="0"/>
    <x v="8"/>
    <x v="22"/>
    <x v="3"/>
    <x v="4"/>
    <x v="0"/>
    <n v="18.89"/>
    <n v="16.989999999999998"/>
    <n v="2.38"/>
    <n v="17.239999999999998"/>
  </r>
  <r>
    <x v="0"/>
    <x v="8"/>
    <x v="22"/>
    <x v="2"/>
    <x v="3"/>
    <x v="1"/>
    <n v="64.59"/>
    <n v="58.09"/>
    <n v="0.08"/>
    <n v="59.96"/>
  </r>
  <r>
    <x v="0"/>
    <x v="8"/>
    <x v="22"/>
    <x v="2"/>
    <x v="1"/>
    <x v="1"/>
    <n v="1.41"/>
    <n v="1.27"/>
    <n v="0.01"/>
    <n v="1.41"/>
  </r>
  <r>
    <x v="0"/>
    <x v="8"/>
    <x v="22"/>
    <x v="2"/>
    <x v="4"/>
    <x v="1"/>
    <n v="1.25"/>
    <n v="1.1200000000000001"/>
    <n v="0.01"/>
    <n v="1.1200000000000001"/>
  </r>
  <r>
    <x v="0"/>
    <x v="8"/>
    <x v="22"/>
    <x v="2"/>
    <x v="0"/>
    <x v="1"/>
    <n v="1.1499999999999999"/>
    <n v="1.04"/>
    <n v="0"/>
    <n v="1.03"/>
  </r>
  <r>
    <x v="0"/>
    <x v="8"/>
    <x v="22"/>
    <x v="1"/>
    <x v="3"/>
    <x v="1"/>
    <n v="4.75"/>
    <n v="4.2699999999999996"/>
    <n v="0.04"/>
    <n v="4.2699999999999996"/>
  </r>
  <r>
    <x v="0"/>
    <x v="8"/>
    <x v="22"/>
    <x v="1"/>
    <x v="1"/>
    <x v="1"/>
    <n v="118.39"/>
    <n v="106.48"/>
    <n v="1.21"/>
    <n v="105.37"/>
  </r>
  <r>
    <x v="0"/>
    <x v="8"/>
    <x v="22"/>
    <x v="1"/>
    <x v="4"/>
    <x v="1"/>
    <n v="16.88"/>
    <n v="15.19"/>
    <n v="0.53"/>
    <n v="14.13"/>
  </r>
  <r>
    <x v="0"/>
    <x v="8"/>
    <x v="22"/>
    <x v="1"/>
    <x v="0"/>
    <x v="1"/>
    <n v="121.97"/>
    <n v="109.7"/>
    <n v="6.52"/>
    <n v="107.22"/>
  </r>
  <r>
    <x v="0"/>
    <x v="8"/>
    <x v="22"/>
    <x v="0"/>
    <x v="3"/>
    <x v="1"/>
    <n v="9"/>
    <n v="8.09"/>
    <n v="0.01"/>
    <n v="8.18"/>
  </r>
  <r>
    <x v="0"/>
    <x v="8"/>
    <x v="22"/>
    <x v="0"/>
    <x v="1"/>
    <x v="1"/>
    <n v="14.47"/>
    <n v="13.02"/>
    <n v="0.21"/>
    <n v="13.16"/>
  </r>
  <r>
    <x v="0"/>
    <x v="8"/>
    <x v="22"/>
    <x v="0"/>
    <x v="4"/>
    <x v="1"/>
    <n v="77.150000000000006"/>
    <n v="69.39"/>
    <n v="3.74"/>
    <n v="70.94"/>
  </r>
  <r>
    <x v="0"/>
    <x v="8"/>
    <x v="22"/>
    <x v="0"/>
    <x v="0"/>
    <x v="1"/>
    <n v="21.97"/>
    <n v="19.760000000000002"/>
    <n v="0.48"/>
    <n v="20.49"/>
  </r>
  <r>
    <x v="0"/>
    <x v="8"/>
    <x v="22"/>
    <x v="4"/>
    <x v="0"/>
    <x v="1"/>
    <n v="7.66"/>
    <n v="6.89"/>
    <n v="0.23"/>
    <n v="7.5"/>
  </r>
  <r>
    <x v="0"/>
    <x v="8"/>
    <x v="22"/>
    <x v="2"/>
    <x v="2"/>
    <x v="3"/>
    <n v="363.12"/>
    <n v="326.58999999999997"/>
    <n v="0.21"/>
    <n v="346.76"/>
  </r>
  <r>
    <x v="0"/>
    <x v="8"/>
    <x v="22"/>
    <x v="0"/>
    <x v="0"/>
    <x v="0"/>
    <n v="199.53"/>
    <n v="179.46"/>
    <n v="46.96"/>
    <n v="175.97"/>
  </r>
  <r>
    <x v="0"/>
    <x v="8"/>
    <x v="22"/>
    <x v="4"/>
    <x v="2"/>
    <x v="2"/>
    <n v="7.32"/>
    <n v="6.58"/>
    <n v="0.04"/>
    <n v="6.48"/>
  </r>
  <r>
    <x v="0"/>
    <x v="8"/>
    <x v="22"/>
    <x v="2"/>
    <x v="3"/>
    <x v="3"/>
    <n v="376.76"/>
    <n v="338.86"/>
    <n v="0.1"/>
    <n v="370.68"/>
  </r>
  <r>
    <x v="0"/>
    <x v="8"/>
    <x v="22"/>
    <x v="2"/>
    <x v="3"/>
    <x v="2"/>
    <n v="240.19"/>
    <n v="216.03"/>
    <n v="0.16"/>
    <n v="227.32"/>
  </r>
  <r>
    <x v="0"/>
    <x v="8"/>
    <x v="22"/>
    <x v="4"/>
    <x v="4"/>
    <x v="2"/>
    <n v="34.03"/>
    <n v="30.61"/>
    <n v="1.1100000000000001"/>
    <n v="30.72"/>
  </r>
  <r>
    <x v="0"/>
    <x v="8"/>
    <x v="22"/>
    <x v="4"/>
    <x v="1"/>
    <x v="2"/>
    <n v="22.08"/>
    <n v="19.86"/>
    <n v="0.34"/>
    <n v="19.559999999999999"/>
  </r>
  <r>
    <x v="0"/>
    <x v="8"/>
    <x v="22"/>
    <x v="0"/>
    <x v="1"/>
    <x v="2"/>
    <n v="10.4"/>
    <n v="9.36"/>
    <n v="0.16"/>
    <n v="10.4"/>
  </r>
  <r>
    <x v="0"/>
    <x v="8"/>
    <x v="22"/>
    <x v="2"/>
    <x v="0"/>
    <x v="3"/>
    <n v="37.11"/>
    <n v="33.369999999999997"/>
    <n v="0.1"/>
    <n v="37.11"/>
  </r>
  <r>
    <x v="0"/>
    <x v="8"/>
    <x v="22"/>
    <x v="1"/>
    <x v="4"/>
    <x v="2"/>
    <n v="57.6"/>
    <n v="51.81"/>
    <n v="1.68"/>
    <n v="49.44"/>
  </r>
  <r>
    <x v="0"/>
    <x v="8"/>
    <x v="22"/>
    <x v="1"/>
    <x v="1"/>
    <x v="2"/>
    <n v="99.12"/>
    <n v="89.15"/>
    <n v="0.98"/>
    <n v="85.08"/>
  </r>
  <r>
    <x v="0"/>
    <x v="8"/>
    <x v="22"/>
    <x v="1"/>
    <x v="2"/>
    <x v="2"/>
    <n v="24.85"/>
    <n v="22.35"/>
    <n v="0.11"/>
    <n v="21.33"/>
  </r>
  <r>
    <x v="0"/>
    <x v="8"/>
    <x v="22"/>
    <x v="1"/>
    <x v="3"/>
    <x v="2"/>
    <n v="45.18"/>
    <n v="40.64"/>
    <n v="0.05"/>
    <n v="38.78"/>
  </r>
  <r>
    <x v="0"/>
    <x v="8"/>
    <x v="22"/>
    <x v="0"/>
    <x v="2"/>
    <x v="2"/>
    <n v="18.36"/>
    <n v="16.510000000000002"/>
    <n v="0.1"/>
    <n v="18.36"/>
  </r>
  <r>
    <x v="0"/>
    <x v="8"/>
    <x v="22"/>
    <x v="2"/>
    <x v="2"/>
    <x v="2"/>
    <n v="3.78"/>
    <n v="3.4"/>
    <n v="0.01"/>
    <n v="3.6"/>
  </r>
  <r>
    <x v="0"/>
    <x v="8"/>
    <x v="22"/>
    <x v="0"/>
    <x v="4"/>
    <x v="0"/>
    <n v="214.36"/>
    <n v="192.8"/>
    <n v="31.67"/>
    <n v="193.47"/>
  </r>
  <r>
    <x v="0"/>
    <x v="8"/>
    <x v="22"/>
    <x v="2"/>
    <x v="4"/>
    <x v="0"/>
    <n v="98.35"/>
    <n v="88.46"/>
    <n v="13"/>
    <n v="93.5"/>
  </r>
  <r>
    <x v="0"/>
    <x v="8"/>
    <x v="22"/>
    <x v="2"/>
    <x v="0"/>
    <x v="0"/>
    <n v="397.65"/>
    <n v="357.65"/>
    <n v="112.75"/>
    <n v="362.66"/>
  </r>
  <r>
    <x v="0"/>
    <x v="8"/>
    <x v="22"/>
    <x v="1"/>
    <x v="3"/>
    <x v="0"/>
    <n v="0.44"/>
    <n v="0.4"/>
    <n v="0"/>
    <n v="0.44"/>
  </r>
  <r>
    <x v="0"/>
    <x v="8"/>
    <x v="22"/>
    <x v="1"/>
    <x v="2"/>
    <x v="0"/>
    <n v="3.98"/>
    <n v="3.58"/>
    <n v="0.09"/>
    <n v="3.62"/>
  </r>
  <r>
    <x v="0"/>
    <x v="8"/>
    <x v="22"/>
    <x v="1"/>
    <x v="1"/>
    <x v="0"/>
    <n v="98.54"/>
    <n v="88.63"/>
    <n v="3.25"/>
    <n v="90.63"/>
  </r>
  <r>
    <x v="0"/>
    <x v="8"/>
    <x v="22"/>
    <x v="1"/>
    <x v="4"/>
    <x v="0"/>
    <n v="1067.04"/>
    <n v="959.72"/>
    <n v="191.75"/>
    <n v="954.78"/>
  </r>
  <r>
    <x v="0"/>
    <x v="8"/>
    <x v="22"/>
    <x v="1"/>
    <x v="0"/>
    <x v="0"/>
    <n v="244.75"/>
    <n v="220.13"/>
    <n v="64.52"/>
    <n v="219.6"/>
  </r>
  <r>
    <x v="0"/>
    <x v="8"/>
    <x v="22"/>
    <x v="0"/>
    <x v="3"/>
    <x v="0"/>
    <n v="11.36"/>
    <n v="10.220000000000001"/>
    <n v="0.03"/>
    <n v="10.52"/>
  </r>
  <r>
    <x v="0"/>
    <x v="8"/>
    <x v="22"/>
    <x v="0"/>
    <x v="2"/>
    <x v="0"/>
    <n v="10.49"/>
    <n v="9.44"/>
    <n v="0.04"/>
    <n v="10.49"/>
  </r>
  <r>
    <x v="0"/>
    <x v="8"/>
    <x v="22"/>
    <x v="0"/>
    <x v="1"/>
    <x v="0"/>
    <n v="11.85"/>
    <n v="10.66"/>
    <n v="0.15"/>
    <n v="11.85"/>
  </r>
  <r>
    <x v="0"/>
    <x v="8"/>
    <x v="22"/>
    <x v="2"/>
    <x v="1"/>
    <x v="2"/>
    <n v="27.7"/>
    <n v="24.91"/>
    <n v="0.03"/>
    <n v="27.36"/>
  </r>
  <r>
    <x v="0"/>
    <x v="6"/>
    <x v="23"/>
    <x v="2"/>
    <x v="3"/>
    <x v="3"/>
    <n v="9.7899999999999991"/>
    <n v="10"/>
    <n v="0"/>
    <n v="5.37"/>
  </r>
  <r>
    <x v="0"/>
    <x v="6"/>
    <x v="23"/>
    <x v="4"/>
    <x v="4"/>
    <x v="0"/>
    <n v="16.649999999999999"/>
    <n v="17.010000000000002"/>
    <n v="2.66"/>
    <n v="14.41"/>
  </r>
  <r>
    <x v="0"/>
    <x v="6"/>
    <x v="23"/>
    <x v="4"/>
    <x v="4"/>
    <x v="2"/>
    <n v="2.06"/>
    <n v="2.11"/>
    <n v="0.06"/>
    <n v="1.85"/>
  </r>
  <r>
    <x v="0"/>
    <x v="6"/>
    <x v="23"/>
    <x v="2"/>
    <x v="3"/>
    <x v="2"/>
    <n v="9.49"/>
    <n v="9.6999999999999993"/>
    <n v="0.01"/>
    <n v="4.75"/>
  </r>
  <r>
    <x v="0"/>
    <x v="6"/>
    <x v="23"/>
    <x v="2"/>
    <x v="4"/>
    <x v="0"/>
    <n v="4.8899999999999997"/>
    <n v="5"/>
    <n v="1.64"/>
    <n v="4.5599999999999996"/>
  </r>
  <r>
    <x v="0"/>
    <x v="6"/>
    <x v="23"/>
    <x v="2"/>
    <x v="0"/>
    <x v="0"/>
    <n v="2.94"/>
    <n v="3.01"/>
    <n v="2.5499999999999998"/>
    <n v="2.72"/>
  </r>
  <r>
    <x v="0"/>
    <x v="6"/>
    <x v="23"/>
    <x v="1"/>
    <x v="2"/>
    <x v="0"/>
    <n v="2.63"/>
    <n v="2.68"/>
    <n v="0.06"/>
    <n v="2.23"/>
  </r>
  <r>
    <x v="0"/>
    <x v="6"/>
    <x v="23"/>
    <x v="1"/>
    <x v="1"/>
    <x v="0"/>
    <n v="32.549999999999997"/>
    <n v="33.270000000000003"/>
    <n v="1.62"/>
    <n v="28.37"/>
  </r>
  <r>
    <x v="0"/>
    <x v="6"/>
    <x v="23"/>
    <x v="1"/>
    <x v="4"/>
    <x v="0"/>
    <n v="47.78"/>
    <n v="48.84"/>
    <n v="13.79"/>
    <n v="42.64"/>
  </r>
  <r>
    <x v="0"/>
    <x v="6"/>
    <x v="23"/>
    <x v="1"/>
    <x v="0"/>
    <x v="0"/>
    <n v="2.68"/>
    <n v="2.74"/>
    <n v="1.86"/>
    <n v="2.57"/>
  </r>
  <r>
    <x v="0"/>
    <x v="6"/>
    <x v="23"/>
    <x v="0"/>
    <x v="4"/>
    <x v="0"/>
    <n v="6.53"/>
    <n v="6.67"/>
    <n v="1.53"/>
    <n v="5.6"/>
  </r>
  <r>
    <x v="0"/>
    <x v="6"/>
    <x v="23"/>
    <x v="4"/>
    <x v="1"/>
    <x v="0"/>
    <n v="2.04"/>
    <n v="2.09"/>
    <n v="0.13"/>
    <n v="1.87"/>
  </r>
  <r>
    <x v="0"/>
    <x v="6"/>
    <x v="23"/>
    <x v="4"/>
    <x v="0"/>
    <x v="0"/>
    <n v="0.17"/>
    <n v="0.17"/>
    <n v="0.09"/>
    <n v="0.15"/>
  </r>
  <r>
    <x v="0"/>
    <x v="6"/>
    <x v="23"/>
    <x v="3"/>
    <x v="4"/>
    <x v="0"/>
    <n v="1.0900000000000001"/>
    <n v="1.1200000000000001"/>
    <n v="0.21"/>
    <n v="0.95"/>
  </r>
  <r>
    <x v="0"/>
    <x v="6"/>
    <x v="23"/>
    <x v="2"/>
    <x v="3"/>
    <x v="1"/>
    <n v="11.54"/>
    <n v="11.8"/>
    <n v="0.01"/>
    <n v="5.74"/>
  </r>
  <r>
    <x v="0"/>
    <x v="6"/>
    <x v="23"/>
    <x v="1"/>
    <x v="2"/>
    <x v="1"/>
    <n v="8.0500000000000007"/>
    <n v="8.23"/>
    <n v="0.03"/>
    <n v="6.63"/>
  </r>
  <r>
    <x v="0"/>
    <x v="6"/>
    <x v="23"/>
    <x v="1"/>
    <x v="3"/>
    <x v="2"/>
    <n v="8.57"/>
    <n v="8.76"/>
    <n v="0.02"/>
    <n v="8.57"/>
  </r>
  <r>
    <x v="0"/>
    <x v="6"/>
    <x v="23"/>
    <x v="4"/>
    <x v="1"/>
    <x v="2"/>
    <n v="1.25"/>
    <n v="1.27"/>
    <n v="0.04"/>
    <n v="1.25"/>
  </r>
  <r>
    <x v="0"/>
    <x v="6"/>
    <x v="23"/>
    <x v="1"/>
    <x v="4"/>
    <x v="2"/>
    <n v="4.3499999999999996"/>
    <n v="4.45"/>
    <n v="0.11"/>
    <n v="3.48"/>
  </r>
  <r>
    <x v="0"/>
    <x v="6"/>
    <x v="23"/>
    <x v="0"/>
    <x v="0"/>
    <x v="0"/>
    <n v="7.03"/>
    <n v="7.19"/>
    <n v="2.94"/>
    <n v="6"/>
  </r>
  <r>
    <x v="0"/>
    <x v="6"/>
    <x v="23"/>
    <x v="1"/>
    <x v="2"/>
    <x v="2"/>
    <n v="4.72"/>
    <n v="4.82"/>
    <n v="0.02"/>
    <n v="4.72"/>
  </r>
  <r>
    <x v="0"/>
    <x v="6"/>
    <x v="23"/>
    <x v="1"/>
    <x v="1"/>
    <x v="1"/>
    <n v="5.48"/>
    <n v="5.6"/>
    <n v="0.05"/>
    <n v="4.5199999999999996"/>
  </r>
  <r>
    <x v="0"/>
    <x v="6"/>
    <x v="23"/>
    <x v="2"/>
    <x v="2"/>
    <x v="3"/>
    <n v="8.83"/>
    <n v="9.0299999999999994"/>
    <n v="0.01"/>
    <n v="8.83"/>
  </r>
  <r>
    <x v="0"/>
    <x v="6"/>
    <x v="23"/>
    <x v="4"/>
    <x v="0"/>
    <x v="1"/>
    <n v="0.31"/>
    <n v="0.32"/>
    <n v="0.02"/>
    <n v="0.26"/>
  </r>
  <r>
    <x v="0"/>
    <x v="6"/>
    <x v="23"/>
    <x v="4"/>
    <x v="4"/>
    <x v="1"/>
    <n v="0.85"/>
    <n v="0.87"/>
    <n v="0.04"/>
    <n v="0.7"/>
  </r>
  <r>
    <x v="0"/>
    <x v="6"/>
    <x v="23"/>
    <x v="0"/>
    <x v="4"/>
    <x v="1"/>
    <n v="2.09"/>
    <n v="2.14"/>
    <n v="7.0000000000000007E-2"/>
    <n v="1.71"/>
  </r>
  <r>
    <x v="0"/>
    <x v="6"/>
    <x v="23"/>
    <x v="0"/>
    <x v="1"/>
    <x v="1"/>
    <n v="2.14"/>
    <n v="2.19"/>
    <n v="0.06"/>
    <n v="1.76"/>
  </r>
  <r>
    <x v="0"/>
    <x v="6"/>
    <x v="23"/>
    <x v="0"/>
    <x v="3"/>
    <x v="1"/>
    <n v="7.82"/>
    <n v="8"/>
    <n v="0"/>
    <n v="3.21"/>
  </r>
  <r>
    <x v="0"/>
    <x v="6"/>
    <x v="23"/>
    <x v="1"/>
    <x v="0"/>
    <x v="1"/>
    <n v="3.07"/>
    <n v="3.14"/>
    <n v="0.26"/>
    <n v="2.67"/>
  </r>
  <r>
    <x v="0"/>
    <x v="6"/>
    <x v="23"/>
    <x v="1"/>
    <x v="4"/>
    <x v="1"/>
    <n v="0.96"/>
    <n v="0.98"/>
    <n v="0.06"/>
    <n v="0.81"/>
  </r>
  <r>
    <x v="0"/>
    <x v="6"/>
    <x v="23"/>
    <x v="0"/>
    <x v="0"/>
    <x v="1"/>
    <n v="0.13"/>
    <n v="0.13"/>
    <n v="0"/>
    <n v="0.11"/>
  </r>
  <r>
    <x v="0"/>
    <x v="6"/>
    <x v="23"/>
    <x v="1"/>
    <x v="1"/>
    <x v="2"/>
    <n v="4.13"/>
    <n v="4.22"/>
    <n v="0.05"/>
    <n v="3.31"/>
  </r>
  <r>
    <x v="0"/>
    <x v="0"/>
    <x v="24"/>
    <x v="2"/>
    <x v="2"/>
    <x v="0"/>
    <n v="0.9"/>
    <n v="0.9"/>
    <n v="0"/>
    <n v="0.9"/>
  </r>
  <r>
    <x v="0"/>
    <x v="0"/>
    <x v="24"/>
    <x v="0"/>
    <x v="4"/>
    <x v="0"/>
    <n v="25.76"/>
    <n v="25.48"/>
    <n v="8.4"/>
    <n v="25.03"/>
  </r>
  <r>
    <x v="0"/>
    <x v="0"/>
    <x v="24"/>
    <x v="0"/>
    <x v="1"/>
    <x v="0"/>
    <n v="1.01"/>
    <n v="1"/>
    <n v="0.31"/>
    <n v="1.01"/>
  </r>
  <r>
    <x v="0"/>
    <x v="0"/>
    <x v="24"/>
    <x v="1"/>
    <x v="0"/>
    <x v="0"/>
    <n v="15.97"/>
    <n v="15.8"/>
    <n v="8.01"/>
    <n v="15.5"/>
  </r>
  <r>
    <x v="0"/>
    <x v="0"/>
    <x v="24"/>
    <x v="1"/>
    <x v="4"/>
    <x v="0"/>
    <n v="72.25"/>
    <n v="71.48"/>
    <n v="16.190000000000001"/>
    <n v="69.680000000000007"/>
  </r>
  <r>
    <x v="0"/>
    <x v="0"/>
    <x v="24"/>
    <x v="1"/>
    <x v="1"/>
    <x v="0"/>
    <n v="17.309999999999999"/>
    <n v="17.12"/>
    <n v="1.1599999999999999"/>
    <n v="16.55"/>
  </r>
  <r>
    <x v="0"/>
    <x v="0"/>
    <x v="24"/>
    <x v="1"/>
    <x v="2"/>
    <x v="0"/>
    <n v="1.76"/>
    <n v="1.74"/>
    <n v="0.06"/>
    <n v="1.7"/>
  </r>
  <r>
    <x v="0"/>
    <x v="0"/>
    <x v="24"/>
    <x v="2"/>
    <x v="4"/>
    <x v="0"/>
    <n v="18.45"/>
    <n v="18.25"/>
    <n v="2.41"/>
    <n v="18.18"/>
  </r>
  <r>
    <x v="0"/>
    <x v="0"/>
    <x v="24"/>
    <x v="2"/>
    <x v="3"/>
    <x v="1"/>
    <n v="33.700000000000003"/>
    <n v="33.33"/>
    <n v="0.09"/>
    <n v="32.020000000000003"/>
  </r>
  <r>
    <x v="0"/>
    <x v="0"/>
    <x v="24"/>
    <x v="0"/>
    <x v="0"/>
    <x v="0"/>
    <n v="9.73"/>
    <n v="9.6199999999999992"/>
    <n v="6.52"/>
    <n v="9.4"/>
  </r>
  <r>
    <x v="0"/>
    <x v="0"/>
    <x v="24"/>
    <x v="2"/>
    <x v="0"/>
    <x v="0"/>
    <n v="7.95"/>
    <n v="7.87"/>
    <n v="4.3"/>
    <n v="7.69"/>
  </r>
  <r>
    <x v="0"/>
    <x v="0"/>
    <x v="24"/>
    <x v="2"/>
    <x v="3"/>
    <x v="2"/>
    <n v="45.2"/>
    <n v="44.72"/>
    <n v="0.03"/>
    <n v="41.92"/>
  </r>
  <r>
    <x v="0"/>
    <x v="0"/>
    <x v="24"/>
    <x v="4"/>
    <x v="4"/>
    <x v="2"/>
    <n v="2.75"/>
    <n v="2.72"/>
    <n v="0.11"/>
    <n v="2.54"/>
  </r>
  <r>
    <x v="0"/>
    <x v="0"/>
    <x v="24"/>
    <x v="4"/>
    <x v="1"/>
    <x v="2"/>
    <n v="4.67"/>
    <n v="4.62"/>
    <n v="0.15"/>
    <n v="4.3099999999999996"/>
  </r>
  <r>
    <x v="0"/>
    <x v="0"/>
    <x v="24"/>
    <x v="4"/>
    <x v="2"/>
    <x v="2"/>
    <n v="1.97"/>
    <n v="1.95"/>
    <n v="0.01"/>
    <n v="1.82"/>
  </r>
  <r>
    <x v="0"/>
    <x v="0"/>
    <x v="24"/>
    <x v="1"/>
    <x v="4"/>
    <x v="2"/>
    <n v="2.58"/>
    <n v="2.5499999999999998"/>
    <n v="0.11"/>
    <n v="2.38"/>
  </r>
  <r>
    <x v="0"/>
    <x v="0"/>
    <x v="24"/>
    <x v="1"/>
    <x v="1"/>
    <x v="2"/>
    <n v="4.04"/>
    <n v="3.99"/>
    <n v="0.06"/>
    <n v="3.72"/>
  </r>
  <r>
    <x v="0"/>
    <x v="0"/>
    <x v="24"/>
    <x v="1"/>
    <x v="2"/>
    <x v="2"/>
    <n v="2.15"/>
    <n v="2.13"/>
    <n v="0.01"/>
    <n v="1.98"/>
  </r>
  <r>
    <x v="0"/>
    <x v="0"/>
    <x v="24"/>
    <x v="1"/>
    <x v="3"/>
    <x v="2"/>
    <n v="5.31"/>
    <n v="5.25"/>
    <n v="0.01"/>
    <n v="4.9000000000000004"/>
  </r>
  <r>
    <x v="0"/>
    <x v="0"/>
    <x v="24"/>
    <x v="4"/>
    <x v="0"/>
    <x v="0"/>
    <n v="1.02"/>
    <n v="1.01"/>
    <n v="0.34"/>
    <n v="0.95"/>
  </r>
  <r>
    <x v="0"/>
    <x v="0"/>
    <x v="24"/>
    <x v="2"/>
    <x v="2"/>
    <x v="2"/>
    <n v="2.1800000000000002"/>
    <n v="2.15"/>
    <n v="0"/>
    <n v="2.09"/>
  </r>
  <r>
    <x v="0"/>
    <x v="0"/>
    <x v="24"/>
    <x v="4"/>
    <x v="1"/>
    <x v="0"/>
    <n v="4.91"/>
    <n v="4.8600000000000003"/>
    <n v="0.49"/>
    <n v="4.6500000000000004"/>
  </r>
  <r>
    <x v="0"/>
    <x v="0"/>
    <x v="24"/>
    <x v="2"/>
    <x v="2"/>
    <x v="3"/>
    <n v="21.38"/>
    <n v="21.15"/>
    <n v="0.01"/>
    <n v="20.88"/>
  </r>
  <r>
    <x v="0"/>
    <x v="0"/>
    <x v="24"/>
    <x v="2"/>
    <x v="3"/>
    <x v="3"/>
    <n v="8.5"/>
    <n v="8.4"/>
    <n v="0"/>
    <n v="7.93"/>
  </r>
  <r>
    <x v="0"/>
    <x v="0"/>
    <x v="24"/>
    <x v="4"/>
    <x v="0"/>
    <x v="1"/>
    <n v="4.1500000000000004"/>
    <n v="4.1100000000000003"/>
    <n v="0.36"/>
    <n v="3.96"/>
  </r>
  <r>
    <x v="0"/>
    <x v="0"/>
    <x v="24"/>
    <x v="3"/>
    <x v="4"/>
    <x v="0"/>
    <n v="1.89"/>
    <n v="1.87"/>
    <n v="0.33"/>
    <n v="1.83"/>
  </r>
  <r>
    <x v="0"/>
    <x v="0"/>
    <x v="24"/>
    <x v="2"/>
    <x v="1"/>
    <x v="2"/>
    <n v="0.44"/>
    <n v="0.43"/>
    <n v="0"/>
    <n v="0.42"/>
  </r>
  <r>
    <x v="0"/>
    <x v="0"/>
    <x v="24"/>
    <x v="4"/>
    <x v="4"/>
    <x v="0"/>
    <n v="51.12"/>
    <n v="50.57"/>
    <n v="8.4"/>
    <n v="48.83"/>
  </r>
  <r>
    <x v="0"/>
    <x v="0"/>
    <x v="24"/>
    <x v="4"/>
    <x v="4"/>
    <x v="1"/>
    <n v="4.09"/>
    <n v="4.05"/>
    <n v="0.18"/>
    <n v="3.89"/>
  </r>
  <r>
    <x v="0"/>
    <x v="0"/>
    <x v="24"/>
    <x v="1"/>
    <x v="2"/>
    <x v="1"/>
    <n v="50.6"/>
    <n v="50.06"/>
    <n v="0.2"/>
    <n v="48.26"/>
  </r>
  <r>
    <x v="0"/>
    <x v="0"/>
    <x v="24"/>
    <x v="1"/>
    <x v="1"/>
    <x v="1"/>
    <n v="17.670000000000002"/>
    <n v="17.48"/>
    <n v="0.23"/>
    <n v="16.8"/>
  </r>
  <r>
    <x v="0"/>
    <x v="0"/>
    <x v="24"/>
    <x v="1"/>
    <x v="0"/>
    <x v="1"/>
    <n v="4.21"/>
    <n v="4.17"/>
    <n v="0.25"/>
    <n v="3.98"/>
  </r>
  <r>
    <x v="0"/>
    <x v="0"/>
    <x v="24"/>
    <x v="0"/>
    <x v="3"/>
    <x v="1"/>
    <n v="15.35"/>
    <n v="15.18"/>
    <n v="0.02"/>
    <n v="14.65"/>
  </r>
  <r>
    <x v="0"/>
    <x v="0"/>
    <x v="24"/>
    <x v="0"/>
    <x v="1"/>
    <x v="1"/>
    <n v="3.78"/>
    <n v="3.74"/>
    <n v="0.04"/>
    <n v="3.61"/>
  </r>
  <r>
    <x v="0"/>
    <x v="0"/>
    <x v="24"/>
    <x v="0"/>
    <x v="4"/>
    <x v="1"/>
    <n v="6.06"/>
    <n v="5.99"/>
    <n v="0.26"/>
    <n v="5.78"/>
  </r>
  <r>
    <x v="0"/>
    <x v="0"/>
    <x v="24"/>
    <x v="0"/>
    <x v="0"/>
    <x v="1"/>
    <n v="1.89"/>
    <n v="1.87"/>
    <n v="0.08"/>
    <n v="1.8"/>
  </r>
  <r>
    <x v="0"/>
    <x v="0"/>
    <x v="24"/>
    <x v="1"/>
    <x v="4"/>
    <x v="1"/>
    <n v="3.53"/>
    <n v="3.49"/>
    <n v="0.18"/>
    <n v="3.34"/>
  </r>
  <r>
    <x v="0"/>
    <x v="2"/>
    <x v="25"/>
    <x v="2"/>
    <x v="2"/>
    <x v="0"/>
    <n v="1.77"/>
    <n v="1.77"/>
    <n v="0"/>
    <n v="1.62"/>
  </r>
  <r>
    <x v="0"/>
    <x v="2"/>
    <x v="25"/>
    <x v="0"/>
    <x v="0"/>
    <x v="0"/>
    <n v="8.9"/>
    <n v="8.92"/>
    <n v="4.67"/>
    <n v="8.0399999999999991"/>
  </r>
  <r>
    <x v="0"/>
    <x v="2"/>
    <x v="25"/>
    <x v="0"/>
    <x v="4"/>
    <x v="0"/>
    <n v="46.17"/>
    <n v="46.27"/>
    <n v="13.4"/>
    <n v="43.15"/>
  </r>
  <r>
    <x v="0"/>
    <x v="2"/>
    <x v="25"/>
    <x v="1"/>
    <x v="0"/>
    <x v="0"/>
    <n v="26.05"/>
    <n v="26.1"/>
    <n v="13.02"/>
    <n v="24.34"/>
  </r>
  <r>
    <x v="0"/>
    <x v="2"/>
    <x v="25"/>
    <x v="1"/>
    <x v="1"/>
    <x v="0"/>
    <n v="42.01"/>
    <n v="42.1"/>
    <n v="2.31"/>
    <n v="38.840000000000003"/>
  </r>
  <r>
    <x v="0"/>
    <x v="2"/>
    <x v="25"/>
    <x v="1"/>
    <x v="2"/>
    <x v="0"/>
    <n v="9.06"/>
    <n v="9.08"/>
    <n v="0.09"/>
    <n v="8.4499999999999993"/>
  </r>
  <r>
    <x v="0"/>
    <x v="2"/>
    <x v="25"/>
    <x v="4"/>
    <x v="1"/>
    <x v="0"/>
    <n v="11.8"/>
    <n v="11.83"/>
    <n v="0.93"/>
    <n v="10.77"/>
  </r>
  <r>
    <x v="0"/>
    <x v="2"/>
    <x v="25"/>
    <x v="2"/>
    <x v="4"/>
    <x v="0"/>
    <n v="8.8000000000000007"/>
    <n v="8.82"/>
    <n v="2.2599999999999998"/>
    <n v="8.5"/>
  </r>
  <r>
    <x v="0"/>
    <x v="2"/>
    <x v="25"/>
    <x v="0"/>
    <x v="1"/>
    <x v="0"/>
    <n v="1.48"/>
    <n v="1.48"/>
    <n v="0.3"/>
    <n v="1.35"/>
  </r>
  <r>
    <x v="0"/>
    <x v="2"/>
    <x v="25"/>
    <x v="2"/>
    <x v="0"/>
    <x v="0"/>
    <n v="8.6999999999999993"/>
    <n v="8.7200000000000006"/>
    <n v="5.36"/>
    <n v="8.3800000000000008"/>
  </r>
  <r>
    <x v="0"/>
    <x v="2"/>
    <x v="25"/>
    <x v="2"/>
    <x v="3"/>
    <x v="3"/>
    <n v="22.12"/>
    <n v="22.16"/>
    <n v="0.02"/>
    <n v="22.12"/>
  </r>
  <r>
    <x v="0"/>
    <x v="2"/>
    <x v="25"/>
    <x v="4"/>
    <x v="4"/>
    <x v="0"/>
    <n v="87.55"/>
    <n v="87.74"/>
    <n v="14.87"/>
    <n v="80.89"/>
  </r>
  <r>
    <x v="0"/>
    <x v="2"/>
    <x v="25"/>
    <x v="1"/>
    <x v="4"/>
    <x v="0"/>
    <n v="199.34"/>
    <n v="199.76"/>
    <n v="50.27"/>
    <n v="185.52"/>
  </r>
  <r>
    <x v="0"/>
    <x v="2"/>
    <x v="25"/>
    <x v="4"/>
    <x v="1"/>
    <x v="2"/>
    <n v="12.51"/>
    <n v="12.54"/>
    <n v="0.25"/>
    <n v="10.88"/>
  </r>
  <r>
    <x v="0"/>
    <x v="2"/>
    <x v="25"/>
    <x v="4"/>
    <x v="2"/>
    <x v="2"/>
    <n v="1.24"/>
    <n v="1.24"/>
    <n v="0"/>
    <n v="1.07"/>
  </r>
  <r>
    <x v="0"/>
    <x v="2"/>
    <x v="25"/>
    <x v="1"/>
    <x v="4"/>
    <x v="2"/>
    <n v="6.42"/>
    <n v="6.43"/>
    <n v="0.05"/>
    <n v="5.62"/>
  </r>
  <r>
    <x v="0"/>
    <x v="2"/>
    <x v="25"/>
    <x v="1"/>
    <x v="1"/>
    <x v="2"/>
    <n v="11.54"/>
    <n v="11.56"/>
    <n v="0.06"/>
    <n v="10.14"/>
  </r>
  <r>
    <x v="0"/>
    <x v="2"/>
    <x v="25"/>
    <x v="1"/>
    <x v="2"/>
    <x v="2"/>
    <n v="1.01"/>
    <n v="1.01"/>
    <n v="0"/>
    <n v="0.89"/>
  </r>
  <r>
    <x v="0"/>
    <x v="2"/>
    <x v="25"/>
    <x v="2"/>
    <x v="2"/>
    <x v="2"/>
    <n v="1.54"/>
    <n v="1.55"/>
    <n v="0.01"/>
    <n v="1.54"/>
  </r>
  <r>
    <x v="0"/>
    <x v="2"/>
    <x v="25"/>
    <x v="2"/>
    <x v="2"/>
    <x v="3"/>
    <n v="7.51"/>
    <n v="7.52"/>
    <n v="0.01"/>
    <n v="7.5"/>
  </r>
  <r>
    <x v="0"/>
    <x v="2"/>
    <x v="25"/>
    <x v="4"/>
    <x v="0"/>
    <x v="1"/>
    <n v="1.78"/>
    <n v="1.79"/>
    <n v="0.12"/>
    <n v="1.61"/>
  </r>
  <r>
    <x v="0"/>
    <x v="2"/>
    <x v="25"/>
    <x v="4"/>
    <x v="4"/>
    <x v="1"/>
    <n v="1.17"/>
    <n v="1.18"/>
    <n v="7.0000000000000007E-2"/>
    <n v="1.06"/>
  </r>
  <r>
    <x v="0"/>
    <x v="2"/>
    <x v="25"/>
    <x v="0"/>
    <x v="0"/>
    <x v="1"/>
    <n v="1.03"/>
    <n v="1.04"/>
    <n v="7.0000000000000007E-2"/>
    <n v="0.93"/>
  </r>
  <r>
    <x v="0"/>
    <x v="2"/>
    <x v="25"/>
    <x v="0"/>
    <x v="4"/>
    <x v="1"/>
    <n v="5.18"/>
    <n v="5.19"/>
    <n v="0.26"/>
    <n v="4.67"/>
  </r>
  <r>
    <x v="0"/>
    <x v="2"/>
    <x v="25"/>
    <x v="1"/>
    <x v="2"/>
    <x v="1"/>
    <n v="22.04"/>
    <n v="22.08"/>
    <n v="0.1"/>
    <n v="20.32"/>
  </r>
  <r>
    <x v="0"/>
    <x v="2"/>
    <x v="25"/>
    <x v="3"/>
    <x v="4"/>
    <x v="0"/>
    <n v="10.87"/>
    <n v="10.89"/>
    <n v="1.7"/>
    <n v="10.01"/>
  </r>
  <r>
    <x v="0"/>
    <x v="2"/>
    <x v="25"/>
    <x v="2"/>
    <x v="3"/>
    <x v="2"/>
    <n v="7.32"/>
    <n v="7.33"/>
    <n v="0.01"/>
    <n v="7.32"/>
  </r>
  <r>
    <x v="0"/>
    <x v="2"/>
    <x v="25"/>
    <x v="0"/>
    <x v="1"/>
    <x v="1"/>
    <n v="2.16"/>
    <n v="2.16"/>
    <n v="0.03"/>
    <n v="1.95"/>
  </r>
  <r>
    <x v="0"/>
    <x v="2"/>
    <x v="25"/>
    <x v="2"/>
    <x v="4"/>
    <x v="1"/>
    <n v="0.14000000000000001"/>
    <n v="0.14000000000000001"/>
    <n v="0"/>
    <n v="0.12"/>
  </r>
  <r>
    <x v="0"/>
    <x v="2"/>
    <x v="25"/>
    <x v="2"/>
    <x v="3"/>
    <x v="1"/>
    <n v="2.09"/>
    <n v="2.09"/>
    <n v="0"/>
    <n v="1.89"/>
  </r>
  <r>
    <x v="0"/>
    <x v="2"/>
    <x v="25"/>
    <x v="1"/>
    <x v="3"/>
    <x v="1"/>
    <n v="0.02"/>
    <n v="0.02"/>
    <n v="0"/>
    <n v="0.02"/>
  </r>
  <r>
    <x v="0"/>
    <x v="2"/>
    <x v="25"/>
    <x v="4"/>
    <x v="4"/>
    <x v="2"/>
    <n v="3.46"/>
    <n v="3.47"/>
    <n v="0.08"/>
    <n v="3.17"/>
  </r>
  <r>
    <x v="0"/>
    <x v="2"/>
    <x v="25"/>
    <x v="1"/>
    <x v="1"/>
    <x v="1"/>
    <n v="10.48"/>
    <n v="10.5"/>
    <n v="0.12"/>
    <n v="9.68"/>
  </r>
  <r>
    <x v="0"/>
    <x v="2"/>
    <x v="25"/>
    <x v="1"/>
    <x v="4"/>
    <x v="1"/>
    <n v="3.39"/>
    <n v="3.4"/>
    <n v="0.08"/>
    <n v="3.34"/>
  </r>
  <r>
    <x v="0"/>
    <x v="2"/>
    <x v="25"/>
    <x v="1"/>
    <x v="0"/>
    <x v="1"/>
    <n v="6.06"/>
    <n v="6.08"/>
    <n v="0.3"/>
    <n v="6"/>
  </r>
  <r>
    <x v="0"/>
    <x v="2"/>
    <x v="25"/>
    <x v="0"/>
    <x v="3"/>
    <x v="1"/>
    <n v="4.21"/>
    <n v="4.22"/>
    <n v="0"/>
    <n v="3.8"/>
  </r>
  <r>
    <x v="0"/>
    <x v="2"/>
    <x v="25"/>
    <x v="4"/>
    <x v="0"/>
    <x v="0"/>
    <n v="0.32"/>
    <n v="0.32"/>
    <n v="7.0000000000000007E-2"/>
    <n v="0.3"/>
  </r>
  <r>
    <x v="0"/>
    <x v="1"/>
    <x v="26"/>
    <x v="1"/>
    <x v="1"/>
    <x v="2"/>
    <n v="1.58"/>
    <n v="1.8"/>
    <n v="0.02"/>
    <n v="1.29"/>
  </r>
  <r>
    <x v="0"/>
    <x v="1"/>
    <x v="26"/>
    <x v="1"/>
    <x v="2"/>
    <x v="2"/>
    <n v="0.28999999999999998"/>
    <n v="0.32"/>
    <n v="0"/>
    <n v="0.23"/>
  </r>
  <r>
    <x v="0"/>
    <x v="1"/>
    <x v="26"/>
    <x v="4"/>
    <x v="1"/>
    <x v="2"/>
    <n v="0.12"/>
    <n v="0.14000000000000001"/>
    <n v="0"/>
    <n v="0.1"/>
  </r>
  <r>
    <x v="0"/>
    <x v="1"/>
    <x v="26"/>
    <x v="4"/>
    <x v="4"/>
    <x v="2"/>
    <n v="0.05"/>
    <n v="0.06"/>
    <n v="0"/>
    <n v="0.04"/>
  </r>
  <r>
    <x v="0"/>
    <x v="1"/>
    <x v="26"/>
    <x v="1"/>
    <x v="0"/>
    <x v="0"/>
    <n v="1.83"/>
    <n v="2.08"/>
    <n v="1.1499999999999999"/>
    <n v="1.66"/>
  </r>
  <r>
    <x v="0"/>
    <x v="1"/>
    <x v="26"/>
    <x v="1"/>
    <x v="4"/>
    <x v="0"/>
    <n v="25.52"/>
    <n v="29.01"/>
    <n v="5.17"/>
    <n v="22.25"/>
  </r>
  <r>
    <x v="0"/>
    <x v="1"/>
    <x v="26"/>
    <x v="1"/>
    <x v="1"/>
    <x v="0"/>
    <n v="10"/>
    <n v="11.36"/>
    <n v="0.49"/>
    <n v="8.7200000000000006"/>
  </r>
  <r>
    <x v="0"/>
    <x v="1"/>
    <x v="26"/>
    <x v="2"/>
    <x v="0"/>
    <x v="0"/>
    <n v="2.0299999999999998"/>
    <n v="2.2999999999999998"/>
    <n v="1.66"/>
    <n v="1.91"/>
  </r>
  <r>
    <x v="0"/>
    <x v="1"/>
    <x v="26"/>
    <x v="2"/>
    <x v="4"/>
    <x v="0"/>
    <n v="2.54"/>
    <n v="2.88"/>
    <n v="0.85"/>
    <n v="2.3199999999999998"/>
  </r>
  <r>
    <x v="0"/>
    <x v="1"/>
    <x v="26"/>
    <x v="1"/>
    <x v="3"/>
    <x v="2"/>
    <n v="0.62"/>
    <n v="0.71"/>
    <n v="0"/>
    <n v="0.53"/>
  </r>
  <r>
    <x v="0"/>
    <x v="1"/>
    <x v="26"/>
    <x v="2"/>
    <x v="3"/>
    <x v="1"/>
    <n v="4.4800000000000004"/>
    <n v="5.0999999999999996"/>
    <n v="0"/>
    <n v="1.93"/>
  </r>
  <r>
    <x v="0"/>
    <x v="1"/>
    <x v="26"/>
    <x v="1"/>
    <x v="2"/>
    <x v="0"/>
    <n v="0.13"/>
    <n v="0.15"/>
    <n v="0"/>
    <n v="0.11"/>
  </r>
  <r>
    <x v="0"/>
    <x v="1"/>
    <x v="26"/>
    <x v="1"/>
    <x v="4"/>
    <x v="1"/>
    <n v="3.1"/>
    <n v="3.52"/>
    <n v="0.08"/>
    <n v="2.67"/>
  </r>
  <r>
    <x v="0"/>
    <x v="1"/>
    <x v="26"/>
    <x v="0"/>
    <x v="0"/>
    <x v="0"/>
    <n v="4.04"/>
    <n v="4.59"/>
    <n v="1.34"/>
    <n v="3.45"/>
  </r>
  <r>
    <x v="0"/>
    <x v="1"/>
    <x v="26"/>
    <x v="0"/>
    <x v="4"/>
    <x v="0"/>
    <n v="8.64"/>
    <n v="9.82"/>
    <n v="1.44"/>
    <n v="7.42"/>
  </r>
  <r>
    <x v="0"/>
    <x v="1"/>
    <x v="26"/>
    <x v="4"/>
    <x v="1"/>
    <x v="0"/>
    <n v="0.13"/>
    <n v="0.14000000000000001"/>
    <n v="0.01"/>
    <n v="0.11"/>
  </r>
  <r>
    <x v="0"/>
    <x v="1"/>
    <x v="26"/>
    <x v="4"/>
    <x v="4"/>
    <x v="0"/>
    <n v="17.100000000000001"/>
    <n v="19.440000000000001"/>
    <n v="2.12"/>
    <n v="14.81"/>
  </r>
  <r>
    <x v="0"/>
    <x v="1"/>
    <x v="26"/>
    <x v="1"/>
    <x v="1"/>
    <x v="1"/>
    <n v="5.34"/>
    <n v="6.07"/>
    <n v="0.08"/>
    <n v="4.58"/>
  </r>
  <r>
    <x v="0"/>
    <x v="1"/>
    <x v="26"/>
    <x v="1"/>
    <x v="2"/>
    <x v="1"/>
    <n v="5.91"/>
    <n v="6.72"/>
    <n v="0.05"/>
    <n v="5.05"/>
  </r>
  <r>
    <x v="0"/>
    <x v="1"/>
    <x v="26"/>
    <x v="2"/>
    <x v="2"/>
    <x v="3"/>
    <n v="1.7"/>
    <n v="1.93"/>
    <n v="0"/>
    <n v="1.7"/>
  </r>
  <r>
    <x v="0"/>
    <x v="1"/>
    <x v="26"/>
    <x v="1"/>
    <x v="0"/>
    <x v="1"/>
    <n v="3.87"/>
    <n v="4.4000000000000004"/>
    <n v="0.28999999999999998"/>
    <n v="3.33"/>
  </r>
  <r>
    <x v="0"/>
    <x v="1"/>
    <x v="26"/>
    <x v="0"/>
    <x v="1"/>
    <x v="1"/>
    <n v="0.74"/>
    <n v="0.84"/>
    <n v="0.01"/>
    <n v="0.62"/>
  </r>
  <r>
    <x v="0"/>
    <x v="1"/>
    <x v="26"/>
    <x v="0"/>
    <x v="4"/>
    <x v="1"/>
    <n v="0.3"/>
    <n v="0.34"/>
    <n v="0.01"/>
    <n v="0.27"/>
  </r>
  <r>
    <x v="0"/>
    <x v="1"/>
    <x v="26"/>
    <x v="0"/>
    <x v="0"/>
    <x v="1"/>
    <n v="0.2"/>
    <n v="0.22"/>
    <n v="0.01"/>
    <n v="0.16"/>
  </r>
  <r>
    <x v="0"/>
    <x v="1"/>
    <x v="26"/>
    <x v="4"/>
    <x v="4"/>
    <x v="1"/>
    <n v="0.09"/>
    <n v="0.1"/>
    <n v="0.01"/>
    <n v="0.08"/>
  </r>
  <r>
    <x v="0"/>
    <x v="1"/>
    <x v="26"/>
    <x v="4"/>
    <x v="0"/>
    <x v="1"/>
    <n v="0.1"/>
    <n v="0.11"/>
    <n v="0.01"/>
    <n v="0.08"/>
  </r>
  <r>
    <x v="0"/>
    <x v="1"/>
    <x v="26"/>
    <x v="2"/>
    <x v="3"/>
    <x v="3"/>
    <n v="2.94"/>
    <n v="3.35"/>
    <n v="0"/>
    <n v="1.47"/>
  </r>
  <r>
    <x v="0"/>
    <x v="2"/>
    <x v="27"/>
    <x v="2"/>
    <x v="4"/>
    <x v="0"/>
    <n v="2.56"/>
    <n v="2.63"/>
    <n v="0.69"/>
    <n v="2.44"/>
  </r>
  <r>
    <x v="0"/>
    <x v="2"/>
    <x v="27"/>
    <x v="2"/>
    <x v="0"/>
    <x v="0"/>
    <n v="2.82"/>
    <n v="2.9"/>
    <n v="1.9"/>
    <n v="2.67"/>
  </r>
  <r>
    <x v="0"/>
    <x v="2"/>
    <x v="27"/>
    <x v="1"/>
    <x v="1"/>
    <x v="0"/>
    <n v="10.47"/>
    <n v="10.77"/>
    <n v="0.59"/>
    <n v="9.67"/>
  </r>
  <r>
    <x v="0"/>
    <x v="2"/>
    <x v="27"/>
    <x v="1"/>
    <x v="4"/>
    <x v="1"/>
    <n v="0.57999999999999996"/>
    <n v="0.6"/>
    <n v="0.03"/>
    <n v="0.56999999999999995"/>
  </r>
  <r>
    <x v="0"/>
    <x v="2"/>
    <x v="27"/>
    <x v="0"/>
    <x v="1"/>
    <x v="1"/>
    <n v="1.68"/>
    <n v="1.73"/>
    <n v="0.01"/>
    <n v="1.63"/>
  </r>
  <r>
    <x v="0"/>
    <x v="2"/>
    <x v="27"/>
    <x v="1"/>
    <x v="2"/>
    <x v="0"/>
    <n v="0.48"/>
    <n v="0.5"/>
    <n v="0.01"/>
    <n v="0.44"/>
  </r>
  <r>
    <x v="0"/>
    <x v="2"/>
    <x v="27"/>
    <x v="4"/>
    <x v="4"/>
    <x v="2"/>
    <n v="0.55000000000000004"/>
    <n v="0.56999999999999995"/>
    <n v="0.03"/>
    <n v="0.48"/>
  </r>
  <r>
    <x v="0"/>
    <x v="2"/>
    <x v="27"/>
    <x v="4"/>
    <x v="1"/>
    <x v="2"/>
    <n v="0.82"/>
    <n v="0.84"/>
    <n v="0.02"/>
    <n v="0.71"/>
  </r>
  <r>
    <x v="0"/>
    <x v="2"/>
    <x v="27"/>
    <x v="4"/>
    <x v="2"/>
    <x v="2"/>
    <n v="0.32"/>
    <n v="0.33"/>
    <n v="0"/>
    <n v="0.28000000000000003"/>
  </r>
  <r>
    <x v="0"/>
    <x v="2"/>
    <x v="27"/>
    <x v="1"/>
    <x v="4"/>
    <x v="2"/>
    <n v="0.49"/>
    <n v="0.51"/>
    <n v="0.02"/>
    <n v="0.43"/>
  </r>
  <r>
    <x v="0"/>
    <x v="2"/>
    <x v="27"/>
    <x v="1"/>
    <x v="1"/>
    <x v="2"/>
    <n v="1.05"/>
    <n v="1.08"/>
    <n v="0.01"/>
    <n v="0.91"/>
  </r>
  <r>
    <x v="0"/>
    <x v="2"/>
    <x v="27"/>
    <x v="1"/>
    <x v="3"/>
    <x v="2"/>
    <n v="1.1100000000000001"/>
    <n v="1.1499999999999999"/>
    <n v="0"/>
    <n v="0.97"/>
  </r>
  <r>
    <x v="0"/>
    <x v="2"/>
    <x v="27"/>
    <x v="2"/>
    <x v="2"/>
    <x v="2"/>
    <n v="0.02"/>
    <n v="0.02"/>
    <n v="0"/>
    <n v="0.02"/>
  </r>
  <r>
    <x v="0"/>
    <x v="2"/>
    <x v="27"/>
    <x v="2"/>
    <x v="3"/>
    <x v="2"/>
    <n v="3.09"/>
    <n v="3.18"/>
    <n v="0.01"/>
    <n v="2.72"/>
  </r>
  <r>
    <x v="0"/>
    <x v="2"/>
    <x v="27"/>
    <x v="2"/>
    <x v="2"/>
    <x v="3"/>
    <n v="3.69"/>
    <n v="3.79"/>
    <n v="0"/>
    <n v="3.68"/>
  </r>
  <r>
    <x v="0"/>
    <x v="2"/>
    <x v="27"/>
    <x v="2"/>
    <x v="3"/>
    <x v="3"/>
    <n v="7.48"/>
    <n v="7.69"/>
    <n v="0"/>
    <n v="7.48"/>
  </r>
  <r>
    <x v="0"/>
    <x v="2"/>
    <x v="27"/>
    <x v="4"/>
    <x v="0"/>
    <x v="1"/>
    <n v="0.51"/>
    <n v="0.53"/>
    <n v="0.03"/>
    <n v="0.47"/>
  </r>
  <r>
    <x v="0"/>
    <x v="2"/>
    <x v="27"/>
    <x v="4"/>
    <x v="4"/>
    <x v="1"/>
    <n v="0.36"/>
    <n v="0.37"/>
    <n v="0.02"/>
    <n v="0.33"/>
  </r>
  <r>
    <x v="0"/>
    <x v="2"/>
    <x v="27"/>
    <x v="1"/>
    <x v="2"/>
    <x v="1"/>
    <n v="4.93"/>
    <n v="5.07"/>
    <n v="0.02"/>
    <n v="4.49"/>
  </r>
  <r>
    <x v="0"/>
    <x v="2"/>
    <x v="27"/>
    <x v="2"/>
    <x v="3"/>
    <x v="1"/>
    <n v="5.66"/>
    <n v="5.81"/>
    <n v="0.01"/>
    <n v="5.62"/>
  </r>
  <r>
    <x v="0"/>
    <x v="2"/>
    <x v="27"/>
    <x v="0"/>
    <x v="1"/>
    <x v="0"/>
    <n v="0.37"/>
    <n v="0.38"/>
    <n v="0.08"/>
    <n v="0.34"/>
  </r>
  <r>
    <x v="0"/>
    <x v="2"/>
    <x v="27"/>
    <x v="0"/>
    <x v="4"/>
    <x v="0"/>
    <n v="12.63"/>
    <n v="12.99"/>
    <n v="3.74"/>
    <n v="11.67"/>
  </r>
  <r>
    <x v="0"/>
    <x v="2"/>
    <x v="27"/>
    <x v="0"/>
    <x v="0"/>
    <x v="0"/>
    <n v="2.34"/>
    <n v="2.41"/>
    <n v="1.31"/>
    <n v="2.13"/>
  </r>
  <r>
    <x v="0"/>
    <x v="2"/>
    <x v="27"/>
    <x v="4"/>
    <x v="1"/>
    <x v="0"/>
    <n v="6.82"/>
    <n v="7.01"/>
    <n v="0.54"/>
    <n v="6.24"/>
  </r>
  <r>
    <x v="0"/>
    <x v="2"/>
    <x v="27"/>
    <x v="4"/>
    <x v="4"/>
    <x v="0"/>
    <n v="45.24"/>
    <n v="46.51"/>
    <n v="7.83"/>
    <n v="41.64"/>
  </r>
  <r>
    <x v="0"/>
    <x v="2"/>
    <x v="27"/>
    <x v="0"/>
    <x v="0"/>
    <x v="1"/>
    <n v="0.24"/>
    <n v="0.25"/>
    <n v="0.02"/>
    <n v="0.22"/>
  </r>
  <r>
    <x v="0"/>
    <x v="2"/>
    <x v="27"/>
    <x v="3"/>
    <x v="4"/>
    <x v="0"/>
    <n v="2.54"/>
    <n v="2.61"/>
    <n v="0.37"/>
    <n v="2.33"/>
  </r>
  <r>
    <x v="0"/>
    <x v="2"/>
    <x v="27"/>
    <x v="0"/>
    <x v="4"/>
    <x v="1"/>
    <n v="1.86"/>
    <n v="1.91"/>
    <n v="0.09"/>
    <n v="1.73"/>
  </r>
  <r>
    <x v="0"/>
    <x v="2"/>
    <x v="27"/>
    <x v="2"/>
    <x v="4"/>
    <x v="1"/>
    <n v="0.03"/>
    <n v="0.03"/>
    <n v="0"/>
    <n v="0.03"/>
  </r>
  <r>
    <x v="0"/>
    <x v="2"/>
    <x v="27"/>
    <x v="1"/>
    <x v="3"/>
    <x v="1"/>
    <n v="0"/>
    <n v="0"/>
    <n v="0"/>
    <n v="0"/>
  </r>
  <r>
    <x v="0"/>
    <x v="2"/>
    <x v="27"/>
    <x v="1"/>
    <x v="1"/>
    <x v="1"/>
    <n v="3.02"/>
    <n v="3.1"/>
    <n v="0.04"/>
    <n v="2.8"/>
  </r>
  <r>
    <x v="0"/>
    <x v="2"/>
    <x v="27"/>
    <x v="1"/>
    <x v="0"/>
    <x v="1"/>
    <n v="3.75"/>
    <n v="3.85"/>
    <n v="0.25"/>
    <n v="3.69"/>
  </r>
  <r>
    <x v="0"/>
    <x v="2"/>
    <x v="27"/>
    <x v="0"/>
    <x v="3"/>
    <x v="1"/>
    <n v="1.17"/>
    <n v="1.2"/>
    <n v="0"/>
    <n v="1.05"/>
  </r>
  <r>
    <x v="0"/>
    <x v="2"/>
    <x v="27"/>
    <x v="1"/>
    <x v="0"/>
    <x v="0"/>
    <n v="5.74"/>
    <n v="5.9"/>
    <n v="2.9"/>
    <n v="5.36"/>
  </r>
  <r>
    <x v="0"/>
    <x v="2"/>
    <x v="27"/>
    <x v="4"/>
    <x v="0"/>
    <x v="0"/>
    <n v="0.22"/>
    <n v="0.23"/>
    <n v="0.05"/>
    <n v="0.21"/>
  </r>
  <r>
    <x v="0"/>
    <x v="2"/>
    <x v="27"/>
    <x v="1"/>
    <x v="4"/>
    <x v="0"/>
    <n v="48.4"/>
    <n v="49.76"/>
    <n v="12.38"/>
    <n v="44.92"/>
  </r>
  <r>
    <x v="0"/>
    <x v="5"/>
    <x v="28"/>
    <x v="1"/>
    <x v="0"/>
    <x v="0"/>
    <n v="11.83"/>
    <n v="11.21"/>
    <n v="6.68"/>
    <n v="11.13"/>
  </r>
  <r>
    <x v="0"/>
    <x v="5"/>
    <x v="28"/>
    <x v="1"/>
    <x v="2"/>
    <x v="1"/>
    <n v="12.52"/>
    <n v="11.87"/>
    <n v="0.06"/>
    <n v="11.69"/>
  </r>
  <r>
    <x v="0"/>
    <x v="5"/>
    <x v="28"/>
    <x v="1"/>
    <x v="3"/>
    <x v="1"/>
    <n v="0.01"/>
    <n v="0.01"/>
    <n v="0"/>
    <n v="0.01"/>
  </r>
  <r>
    <x v="0"/>
    <x v="5"/>
    <x v="28"/>
    <x v="2"/>
    <x v="4"/>
    <x v="1"/>
    <n v="0.09"/>
    <n v="0.08"/>
    <n v="0"/>
    <n v="0.08"/>
  </r>
  <r>
    <x v="0"/>
    <x v="5"/>
    <x v="28"/>
    <x v="3"/>
    <x v="4"/>
    <x v="0"/>
    <n v="3.12"/>
    <n v="2.96"/>
    <n v="0.55000000000000004"/>
    <n v="2.9"/>
  </r>
  <r>
    <x v="0"/>
    <x v="5"/>
    <x v="28"/>
    <x v="4"/>
    <x v="4"/>
    <x v="0"/>
    <n v="33.94"/>
    <n v="32.17"/>
    <n v="5.82"/>
    <n v="31.56"/>
  </r>
  <r>
    <x v="0"/>
    <x v="5"/>
    <x v="28"/>
    <x v="4"/>
    <x v="1"/>
    <x v="0"/>
    <n v="3.21"/>
    <n v="3.05"/>
    <n v="0.24"/>
    <n v="2.99"/>
  </r>
  <r>
    <x v="0"/>
    <x v="5"/>
    <x v="28"/>
    <x v="0"/>
    <x v="0"/>
    <x v="0"/>
    <n v="7.3"/>
    <n v="6.92"/>
    <n v="4.0199999999999996"/>
    <n v="6.72"/>
  </r>
  <r>
    <x v="0"/>
    <x v="5"/>
    <x v="28"/>
    <x v="1"/>
    <x v="1"/>
    <x v="1"/>
    <n v="6.35"/>
    <n v="6.02"/>
    <n v="0.08"/>
    <n v="5.98"/>
  </r>
  <r>
    <x v="0"/>
    <x v="5"/>
    <x v="28"/>
    <x v="0"/>
    <x v="1"/>
    <x v="0"/>
    <n v="2.12"/>
    <n v="2.0099999999999998"/>
    <n v="0.44"/>
    <n v="1.97"/>
  </r>
  <r>
    <x v="0"/>
    <x v="5"/>
    <x v="28"/>
    <x v="2"/>
    <x v="3"/>
    <x v="1"/>
    <n v="5.48"/>
    <n v="5.2"/>
    <n v="0.04"/>
    <n v="5.39"/>
  </r>
  <r>
    <x v="0"/>
    <x v="5"/>
    <x v="28"/>
    <x v="1"/>
    <x v="4"/>
    <x v="0"/>
    <n v="78.97"/>
    <n v="74.849999999999994"/>
    <n v="25.3"/>
    <n v="73.56"/>
  </r>
  <r>
    <x v="0"/>
    <x v="5"/>
    <x v="28"/>
    <x v="1"/>
    <x v="1"/>
    <x v="0"/>
    <n v="12.21"/>
    <n v="11.57"/>
    <n v="1.06"/>
    <n v="11.32"/>
  </r>
  <r>
    <x v="0"/>
    <x v="5"/>
    <x v="28"/>
    <x v="1"/>
    <x v="2"/>
    <x v="0"/>
    <n v="0.67"/>
    <n v="0.64"/>
    <n v="0.02"/>
    <n v="0.61"/>
  </r>
  <r>
    <x v="0"/>
    <x v="5"/>
    <x v="28"/>
    <x v="2"/>
    <x v="0"/>
    <x v="0"/>
    <n v="7.77"/>
    <n v="7.36"/>
    <n v="4.83"/>
    <n v="7.32"/>
  </r>
  <r>
    <x v="0"/>
    <x v="5"/>
    <x v="28"/>
    <x v="2"/>
    <x v="4"/>
    <x v="0"/>
    <n v="3.92"/>
    <n v="3.71"/>
    <n v="1.04"/>
    <n v="3.73"/>
  </r>
  <r>
    <x v="0"/>
    <x v="5"/>
    <x v="28"/>
    <x v="4"/>
    <x v="4"/>
    <x v="1"/>
    <n v="0.94"/>
    <n v="0.89"/>
    <n v="0.06"/>
    <n v="0.89"/>
  </r>
  <r>
    <x v="0"/>
    <x v="5"/>
    <x v="28"/>
    <x v="0"/>
    <x v="4"/>
    <x v="0"/>
    <n v="30.41"/>
    <n v="28.82"/>
    <n v="9.2899999999999991"/>
    <n v="28.23"/>
  </r>
  <r>
    <x v="0"/>
    <x v="5"/>
    <x v="28"/>
    <x v="1"/>
    <x v="2"/>
    <x v="2"/>
    <n v="2.4700000000000002"/>
    <n v="2.34"/>
    <n v="0.01"/>
    <n v="2.15"/>
  </r>
  <r>
    <x v="0"/>
    <x v="5"/>
    <x v="28"/>
    <x v="4"/>
    <x v="0"/>
    <x v="1"/>
    <n v="1.0900000000000001"/>
    <n v="1.03"/>
    <n v="7.0000000000000007E-2"/>
    <n v="1.02"/>
  </r>
  <r>
    <x v="0"/>
    <x v="5"/>
    <x v="28"/>
    <x v="2"/>
    <x v="3"/>
    <x v="3"/>
    <n v="5.29"/>
    <n v="5.01"/>
    <n v="0"/>
    <n v="5.29"/>
  </r>
  <r>
    <x v="0"/>
    <x v="5"/>
    <x v="28"/>
    <x v="2"/>
    <x v="2"/>
    <x v="3"/>
    <n v="5.72"/>
    <n v="5.42"/>
    <n v="0"/>
    <n v="5.72"/>
  </r>
  <r>
    <x v="0"/>
    <x v="5"/>
    <x v="28"/>
    <x v="4"/>
    <x v="0"/>
    <x v="0"/>
    <n v="0.31"/>
    <n v="0.28999999999999998"/>
    <n v="7.0000000000000007E-2"/>
    <n v="0.28999999999999998"/>
  </r>
  <r>
    <x v="0"/>
    <x v="5"/>
    <x v="28"/>
    <x v="1"/>
    <x v="3"/>
    <x v="2"/>
    <n v="1.79"/>
    <n v="1.7"/>
    <n v="0"/>
    <n v="1.56"/>
  </r>
  <r>
    <x v="0"/>
    <x v="5"/>
    <x v="28"/>
    <x v="1"/>
    <x v="4"/>
    <x v="1"/>
    <n v="4.6399999999999997"/>
    <n v="4.4000000000000004"/>
    <n v="0.06"/>
    <n v="4.63"/>
  </r>
  <r>
    <x v="0"/>
    <x v="5"/>
    <x v="28"/>
    <x v="1"/>
    <x v="1"/>
    <x v="2"/>
    <n v="1.34"/>
    <n v="1.27"/>
    <n v="0.01"/>
    <n v="1.1599999999999999"/>
  </r>
  <r>
    <x v="0"/>
    <x v="5"/>
    <x v="28"/>
    <x v="1"/>
    <x v="4"/>
    <x v="2"/>
    <n v="1.4"/>
    <n v="1.32"/>
    <n v="0.04"/>
    <n v="1.21"/>
  </r>
  <r>
    <x v="0"/>
    <x v="5"/>
    <x v="28"/>
    <x v="4"/>
    <x v="2"/>
    <x v="2"/>
    <n v="0.28999999999999998"/>
    <n v="0.27"/>
    <n v="0"/>
    <n v="0.25"/>
  </r>
  <r>
    <x v="0"/>
    <x v="5"/>
    <x v="28"/>
    <x v="4"/>
    <x v="4"/>
    <x v="2"/>
    <n v="0.57999999999999996"/>
    <n v="0.55000000000000004"/>
    <n v="0.04"/>
    <n v="0.51"/>
  </r>
  <r>
    <x v="0"/>
    <x v="5"/>
    <x v="28"/>
    <x v="0"/>
    <x v="0"/>
    <x v="1"/>
    <n v="0.51"/>
    <n v="0.48"/>
    <n v="0.03"/>
    <n v="0.47"/>
  </r>
  <r>
    <x v="0"/>
    <x v="5"/>
    <x v="28"/>
    <x v="0"/>
    <x v="4"/>
    <x v="1"/>
    <n v="3.09"/>
    <n v="2.93"/>
    <n v="0.17"/>
    <n v="2.88"/>
  </r>
  <r>
    <x v="0"/>
    <x v="5"/>
    <x v="28"/>
    <x v="0"/>
    <x v="1"/>
    <x v="1"/>
    <n v="1.91"/>
    <n v="1.81"/>
    <n v="0.02"/>
    <n v="1.82"/>
  </r>
  <r>
    <x v="0"/>
    <x v="5"/>
    <x v="28"/>
    <x v="0"/>
    <x v="2"/>
    <x v="1"/>
    <n v="0.96"/>
    <n v="0.91"/>
    <n v="0"/>
    <n v="0.96"/>
  </r>
  <r>
    <x v="0"/>
    <x v="5"/>
    <x v="28"/>
    <x v="0"/>
    <x v="3"/>
    <x v="1"/>
    <n v="5.6"/>
    <n v="5.3"/>
    <n v="0.01"/>
    <n v="5.4"/>
  </r>
  <r>
    <x v="0"/>
    <x v="5"/>
    <x v="28"/>
    <x v="4"/>
    <x v="1"/>
    <x v="2"/>
    <n v="2.5299999999999998"/>
    <n v="2.4"/>
    <n v="0.05"/>
    <n v="2.2000000000000002"/>
  </r>
  <r>
    <x v="0"/>
    <x v="5"/>
    <x v="28"/>
    <x v="2"/>
    <x v="3"/>
    <x v="2"/>
    <n v="3.29"/>
    <n v="3.12"/>
    <n v="0"/>
    <n v="2.99"/>
  </r>
  <r>
    <x v="0"/>
    <x v="5"/>
    <x v="28"/>
    <x v="1"/>
    <x v="0"/>
    <x v="1"/>
    <n v="2.87"/>
    <n v="2.72"/>
    <n v="0.17"/>
    <n v="2.78"/>
  </r>
  <r>
    <x v="0"/>
    <x v="2"/>
    <x v="29"/>
    <x v="4"/>
    <x v="4"/>
    <x v="2"/>
    <n v="1.37"/>
    <n v="1.37"/>
    <n v="0.06"/>
    <n v="1.21"/>
  </r>
  <r>
    <x v="0"/>
    <x v="2"/>
    <x v="29"/>
    <x v="4"/>
    <x v="0"/>
    <x v="1"/>
    <n v="0.87"/>
    <n v="0.87"/>
    <n v="0.04"/>
    <n v="0.84"/>
  </r>
  <r>
    <x v="0"/>
    <x v="2"/>
    <x v="29"/>
    <x v="2"/>
    <x v="3"/>
    <x v="3"/>
    <n v="0.4"/>
    <n v="0.41"/>
    <n v="0"/>
    <n v="0.4"/>
  </r>
  <r>
    <x v="0"/>
    <x v="2"/>
    <x v="29"/>
    <x v="2"/>
    <x v="2"/>
    <x v="3"/>
    <n v="4.37"/>
    <n v="4.38"/>
    <n v="0"/>
    <n v="4.3600000000000003"/>
  </r>
  <r>
    <x v="0"/>
    <x v="2"/>
    <x v="29"/>
    <x v="1"/>
    <x v="3"/>
    <x v="2"/>
    <n v="0.84"/>
    <n v="0.84"/>
    <n v="0"/>
    <n v="0.75"/>
  </r>
  <r>
    <x v="0"/>
    <x v="2"/>
    <x v="29"/>
    <x v="1"/>
    <x v="1"/>
    <x v="2"/>
    <n v="0.19"/>
    <n v="0.2"/>
    <n v="0"/>
    <n v="0.17"/>
  </r>
  <r>
    <x v="0"/>
    <x v="2"/>
    <x v="29"/>
    <x v="1"/>
    <x v="4"/>
    <x v="2"/>
    <n v="0.21"/>
    <n v="0.22"/>
    <n v="0.01"/>
    <n v="0.19"/>
  </r>
  <r>
    <x v="0"/>
    <x v="2"/>
    <x v="29"/>
    <x v="4"/>
    <x v="1"/>
    <x v="2"/>
    <n v="2.5499999999999998"/>
    <n v="2.5499999999999998"/>
    <n v="7.0000000000000007E-2"/>
    <n v="2.2200000000000002"/>
  </r>
  <r>
    <x v="0"/>
    <x v="2"/>
    <x v="29"/>
    <x v="2"/>
    <x v="3"/>
    <x v="2"/>
    <n v="2.15"/>
    <n v="2.16"/>
    <n v="0"/>
    <n v="1.91"/>
  </r>
  <r>
    <x v="0"/>
    <x v="2"/>
    <x v="29"/>
    <x v="4"/>
    <x v="4"/>
    <x v="1"/>
    <n v="0.37"/>
    <n v="0.37"/>
    <n v="0.02"/>
    <n v="0.35"/>
  </r>
  <r>
    <x v="0"/>
    <x v="2"/>
    <x v="29"/>
    <x v="4"/>
    <x v="2"/>
    <x v="2"/>
    <n v="0.62"/>
    <n v="0.62"/>
    <n v="0"/>
    <n v="0.54"/>
  </r>
  <r>
    <x v="0"/>
    <x v="2"/>
    <x v="29"/>
    <x v="1"/>
    <x v="0"/>
    <x v="0"/>
    <n v="4.91"/>
    <n v="4.92"/>
    <n v="2.16"/>
    <n v="4.55"/>
  </r>
  <r>
    <x v="0"/>
    <x v="2"/>
    <x v="29"/>
    <x v="2"/>
    <x v="4"/>
    <x v="0"/>
    <n v="1.34"/>
    <n v="1.34"/>
    <n v="0.36"/>
    <n v="1.29"/>
  </r>
  <r>
    <x v="0"/>
    <x v="2"/>
    <x v="29"/>
    <x v="2"/>
    <x v="0"/>
    <x v="0"/>
    <n v="3.27"/>
    <n v="3.28"/>
    <n v="1.79"/>
    <n v="3.11"/>
  </r>
  <r>
    <x v="0"/>
    <x v="2"/>
    <x v="29"/>
    <x v="1"/>
    <x v="2"/>
    <x v="0"/>
    <n v="0.49"/>
    <n v="0.49"/>
    <n v="0.01"/>
    <n v="0.44"/>
  </r>
  <r>
    <x v="0"/>
    <x v="2"/>
    <x v="29"/>
    <x v="1"/>
    <x v="2"/>
    <x v="2"/>
    <n v="0.22"/>
    <n v="0.22"/>
    <n v="0"/>
    <n v="0.19"/>
  </r>
  <r>
    <x v="0"/>
    <x v="2"/>
    <x v="29"/>
    <x v="1"/>
    <x v="4"/>
    <x v="0"/>
    <n v="28.34"/>
    <n v="28.4"/>
    <n v="7.53"/>
    <n v="26.15"/>
  </r>
  <r>
    <x v="0"/>
    <x v="2"/>
    <x v="29"/>
    <x v="0"/>
    <x v="0"/>
    <x v="1"/>
    <n v="0.24"/>
    <n v="0.24"/>
    <n v="0.02"/>
    <n v="0.22"/>
  </r>
  <r>
    <x v="0"/>
    <x v="2"/>
    <x v="29"/>
    <x v="0"/>
    <x v="1"/>
    <x v="0"/>
    <n v="0.33"/>
    <n v="0.33"/>
    <n v="7.0000000000000007E-2"/>
    <n v="0.3"/>
  </r>
  <r>
    <x v="0"/>
    <x v="2"/>
    <x v="29"/>
    <x v="0"/>
    <x v="4"/>
    <x v="0"/>
    <n v="9.67"/>
    <n v="9.69"/>
    <n v="3.01"/>
    <n v="8.93"/>
  </r>
  <r>
    <x v="0"/>
    <x v="2"/>
    <x v="29"/>
    <x v="0"/>
    <x v="0"/>
    <x v="0"/>
    <n v="3.64"/>
    <n v="3.65"/>
    <n v="1.88"/>
    <n v="3.3"/>
  </r>
  <r>
    <x v="0"/>
    <x v="2"/>
    <x v="29"/>
    <x v="4"/>
    <x v="1"/>
    <x v="0"/>
    <n v="1.68"/>
    <n v="1.69"/>
    <n v="0.13"/>
    <n v="1.54"/>
  </r>
  <r>
    <x v="0"/>
    <x v="2"/>
    <x v="29"/>
    <x v="4"/>
    <x v="4"/>
    <x v="0"/>
    <n v="18.28"/>
    <n v="18.32"/>
    <n v="3.07"/>
    <n v="16.940000000000001"/>
  </r>
  <r>
    <x v="0"/>
    <x v="2"/>
    <x v="29"/>
    <x v="4"/>
    <x v="0"/>
    <x v="0"/>
    <n v="0.05"/>
    <n v="0.05"/>
    <n v="0.01"/>
    <n v="0.05"/>
  </r>
  <r>
    <x v="0"/>
    <x v="2"/>
    <x v="29"/>
    <x v="1"/>
    <x v="2"/>
    <x v="1"/>
    <n v="5.43"/>
    <n v="5.44"/>
    <n v="0.03"/>
    <n v="5.1100000000000003"/>
  </r>
  <r>
    <x v="0"/>
    <x v="2"/>
    <x v="29"/>
    <x v="1"/>
    <x v="1"/>
    <x v="0"/>
    <n v="4.17"/>
    <n v="4.18"/>
    <n v="0.25"/>
    <n v="3.83"/>
  </r>
  <r>
    <x v="0"/>
    <x v="2"/>
    <x v="29"/>
    <x v="0"/>
    <x v="4"/>
    <x v="1"/>
    <n v="1.05"/>
    <n v="1.05"/>
    <n v="0.05"/>
    <n v="0.95"/>
  </r>
  <r>
    <x v="0"/>
    <x v="2"/>
    <x v="29"/>
    <x v="0"/>
    <x v="1"/>
    <x v="1"/>
    <n v="0.56999999999999995"/>
    <n v="0.56999999999999995"/>
    <n v="0.01"/>
    <n v="0.53"/>
  </r>
  <r>
    <x v="0"/>
    <x v="2"/>
    <x v="29"/>
    <x v="0"/>
    <x v="3"/>
    <x v="1"/>
    <n v="0.89"/>
    <n v="0.89"/>
    <n v="0"/>
    <n v="0.8"/>
  </r>
  <r>
    <x v="0"/>
    <x v="2"/>
    <x v="29"/>
    <x v="1"/>
    <x v="0"/>
    <x v="1"/>
    <n v="0.88"/>
    <n v="0.88"/>
    <n v="0.05"/>
    <n v="0.85"/>
  </r>
  <r>
    <x v="0"/>
    <x v="2"/>
    <x v="29"/>
    <x v="1"/>
    <x v="1"/>
    <x v="1"/>
    <n v="2.6"/>
    <n v="2.6"/>
    <n v="0.04"/>
    <n v="2.46"/>
  </r>
  <r>
    <x v="0"/>
    <x v="2"/>
    <x v="29"/>
    <x v="1"/>
    <x v="3"/>
    <x v="1"/>
    <n v="0"/>
    <n v="0"/>
    <n v="0"/>
    <n v="0"/>
  </r>
  <r>
    <x v="0"/>
    <x v="2"/>
    <x v="29"/>
    <x v="2"/>
    <x v="4"/>
    <x v="1"/>
    <n v="0.03"/>
    <n v="0.03"/>
    <n v="0"/>
    <n v="0.03"/>
  </r>
  <r>
    <x v="0"/>
    <x v="2"/>
    <x v="29"/>
    <x v="2"/>
    <x v="3"/>
    <x v="1"/>
    <n v="0.35"/>
    <n v="0.36"/>
    <n v="0"/>
    <n v="0.32"/>
  </r>
  <r>
    <x v="0"/>
    <x v="2"/>
    <x v="29"/>
    <x v="3"/>
    <x v="4"/>
    <x v="0"/>
    <n v="1.9"/>
    <n v="1.9"/>
    <n v="0.24"/>
    <n v="1.73"/>
  </r>
  <r>
    <x v="0"/>
    <x v="2"/>
    <x v="29"/>
    <x v="1"/>
    <x v="4"/>
    <x v="1"/>
    <n v="2.77"/>
    <n v="2.78"/>
    <n v="0.11"/>
    <n v="2.77"/>
  </r>
  <r>
    <x v="0"/>
    <x v="5"/>
    <x v="30"/>
    <x v="1"/>
    <x v="3"/>
    <x v="1"/>
    <n v="0.01"/>
    <n v="0.01"/>
    <n v="0"/>
    <n v="0.01"/>
  </r>
  <r>
    <x v="0"/>
    <x v="5"/>
    <x v="30"/>
    <x v="2"/>
    <x v="4"/>
    <x v="1"/>
    <n v="0.16"/>
    <n v="0.16"/>
    <n v="0"/>
    <n v="0.15"/>
  </r>
  <r>
    <x v="0"/>
    <x v="5"/>
    <x v="30"/>
    <x v="2"/>
    <x v="3"/>
    <x v="1"/>
    <n v="4.49"/>
    <n v="4.5"/>
    <n v="0.02"/>
    <n v="4.1399999999999997"/>
  </r>
  <r>
    <x v="0"/>
    <x v="5"/>
    <x v="30"/>
    <x v="2"/>
    <x v="4"/>
    <x v="0"/>
    <n v="4.78"/>
    <n v="4.79"/>
    <n v="1.3"/>
    <n v="4.51"/>
  </r>
  <r>
    <x v="0"/>
    <x v="5"/>
    <x v="30"/>
    <x v="3"/>
    <x v="4"/>
    <x v="0"/>
    <n v="5.24"/>
    <n v="5.25"/>
    <n v="0.79"/>
    <n v="4.8"/>
  </r>
  <r>
    <x v="0"/>
    <x v="5"/>
    <x v="30"/>
    <x v="4"/>
    <x v="0"/>
    <x v="0"/>
    <n v="0.45"/>
    <n v="0.45"/>
    <n v="0.1"/>
    <n v="0.42"/>
  </r>
  <r>
    <x v="0"/>
    <x v="5"/>
    <x v="30"/>
    <x v="4"/>
    <x v="4"/>
    <x v="0"/>
    <n v="52.09"/>
    <n v="52.2"/>
    <n v="8.6300000000000008"/>
    <n v="48"/>
  </r>
  <r>
    <x v="0"/>
    <x v="5"/>
    <x v="30"/>
    <x v="1"/>
    <x v="2"/>
    <x v="0"/>
    <n v="1.55"/>
    <n v="1.55"/>
    <n v="0.04"/>
    <n v="1.39"/>
  </r>
  <r>
    <x v="0"/>
    <x v="5"/>
    <x v="30"/>
    <x v="0"/>
    <x v="0"/>
    <x v="0"/>
    <n v="8.41"/>
    <n v="8.43"/>
    <n v="4.51"/>
    <n v="7.62"/>
  </r>
  <r>
    <x v="0"/>
    <x v="5"/>
    <x v="30"/>
    <x v="1"/>
    <x v="1"/>
    <x v="0"/>
    <n v="22.31"/>
    <n v="22.35"/>
    <n v="2.1"/>
    <n v="20.54"/>
  </r>
  <r>
    <x v="0"/>
    <x v="5"/>
    <x v="30"/>
    <x v="4"/>
    <x v="1"/>
    <x v="0"/>
    <n v="5.53"/>
    <n v="5.54"/>
    <n v="0.41"/>
    <n v="5.0999999999999996"/>
  </r>
  <r>
    <x v="0"/>
    <x v="5"/>
    <x v="30"/>
    <x v="1"/>
    <x v="2"/>
    <x v="1"/>
    <n v="19.71"/>
    <n v="19.75"/>
    <n v="0.1"/>
    <n v="18.46"/>
  </r>
  <r>
    <x v="0"/>
    <x v="5"/>
    <x v="30"/>
    <x v="1"/>
    <x v="4"/>
    <x v="0"/>
    <n v="134.69"/>
    <n v="134.97999999999999"/>
    <n v="49.24"/>
    <n v="123.91"/>
  </r>
  <r>
    <x v="0"/>
    <x v="5"/>
    <x v="30"/>
    <x v="0"/>
    <x v="0"/>
    <x v="1"/>
    <n v="0.89"/>
    <n v="0.89"/>
    <n v="0.06"/>
    <n v="0.82"/>
  </r>
  <r>
    <x v="0"/>
    <x v="5"/>
    <x v="30"/>
    <x v="1"/>
    <x v="0"/>
    <x v="0"/>
    <n v="18.05"/>
    <n v="18.09"/>
    <n v="9.8800000000000008"/>
    <n v="16.63"/>
  </r>
  <r>
    <x v="0"/>
    <x v="5"/>
    <x v="30"/>
    <x v="0"/>
    <x v="1"/>
    <x v="0"/>
    <n v="4.96"/>
    <n v="4.97"/>
    <n v="1.08"/>
    <n v="4.5599999999999996"/>
  </r>
  <r>
    <x v="0"/>
    <x v="5"/>
    <x v="30"/>
    <x v="0"/>
    <x v="4"/>
    <x v="0"/>
    <n v="26.42"/>
    <n v="26.47"/>
    <n v="9.08"/>
    <n v="24.26"/>
  </r>
  <r>
    <x v="0"/>
    <x v="5"/>
    <x v="30"/>
    <x v="2"/>
    <x v="0"/>
    <x v="0"/>
    <n v="6.63"/>
    <n v="6.64"/>
    <n v="4.42"/>
    <n v="6.24"/>
  </r>
  <r>
    <x v="0"/>
    <x v="5"/>
    <x v="30"/>
    <x v="4"/>
    <x v="4"/>
    <x v="2"/>
    <n v="1.36"/>
    <n v="1.37"/>
    <n v="0.08"/>
    <n v="1.19"/>
  </r>
  <r>
    <x v="0"/>
    <x v="5"/>
    <x v="30"/>
    <x v="2"/>
    <x v="3"/>
    <x v="3"/>
    <n v="4.0599999999999996"/>
    <n v="4.07"/>
    <n v="0"/>
    <n v="4.0599999999999996"/>
  </r>
  <r>
    <x v="0"/>
    <x v="5"/>
    <x v="30"/>
    <x v="2"/>
    <x v="2"/>
    <x v="3"/>
    <n v="1.9"/>
    <n v="1.91"/>
    <n v="0"/>
    <n v="1.9"/>
  </r>
  <r>
    <x v="0"/>
    <x v="5"/>
    <x v="30"/>
    <x v="2"/>
    <x v="3"/>
    <x v="2"/>
    <n v="10.9"/>
    <n v="10.92"/>
    <n v="0.01"/>
    <n v="9.69"/>
  </r>
  <r>
    <x v="0"/>
    <x v="5"/>
    <x v="30"/>
    <x v="1"/>
    <x v="3"/>
    <x v="2"/>
    <n v="8.7200000000000006"/>
    <n v="8.74"/>
    <n v="0.02"/>
    <n v="7.59"/>
  </r>
  <r>
    <x v="0"/>
    <x v="5"/>
    <x v="30"/>
    <x v="1"/>
    <x v="1"/>
    <x v="2"/>
    <n v="3.14"/>
    <n v="3.15"/>
    <n v="0.05"/>
    <n v="2.73"/>
  </r>
  <r>
    <x v="0"/>
    <x v="5"/>
    <x v="30"/>
    <x v="1"/>
    <x v="4"/>
    <x v="2"/>
    <n v="1.99"/>
    <n v="2"/>
    <n v="0.05"/>
    <n v="1.73"/>
  </r>
  <r>
    <x v="0"/>
    <x v="5"/>
    <x v="30"/>
    <x v="0"/>
    <x v="1"/>
    <x v="1"/>
    <n v="2.36"/>
    <n v="2.36"/>
    <n v="0.03"/>
    <n v="2.1800000000000002"/>
  </r>
  <r>
    <x v="0"/>
    <x v="5"/>
    <x v="30"/>
    <x v="4"/>
    <x v="1"/>
    <x v="2"/>
    <n v="4.78"/>
    <n v="4.79"/>
    <n v="0.14000000000000001"/>
    <n v="4.1500000000000004"/>
  </r>
  <r>
    <x v="0"/>
    <x v="5"/>
    <x v="30"/>
    <x v="1"/>
    <x v="1"/>
    <x v="1"/>
    <n v="10.82"/>
    <n v="10.85"/>
    <n v="0.17"/>
    <n v="10.220000000000001"/>
  </r>
  <r>
    <x v="0"/>
    <x v="5"/>
    <x v="30"/>
    <x v="1"/>
    <x v="2"/>
    <x v="2"/>
    <n v="2.9"/>
    <n v="2.9"/>
    <n v="0.01"/>
    <n v="2.52"/>
  </r>
  <r>
    <x v="0"/>
    <x v="5"/>
    <x v="30"/>
    <x v="4"/>
    <x v="4"/>
    <x v="1"/>
    <n v="1.3"/>
    <n v="1.3"/>
    <n v="0.08"/>
    <n v="1.21"/>
  </r>
  <r>
    <x v="0"/>
    <x v="5"/>
    <x v="30"/>
    <x v="4"/>
    <x v="0"/>
    <x v="1"/>
    <n v="2.11"/>
    <n v="2.11"/>
    <n v="0.1"/>
    <n v="2"/>
  </r>
  <r>
    <x v="0"/>
    <x v="5"/>
    <x v="30"/>
    <x v="0"/>
    <x v="4"/>
    <x v="1"/>
    <n v="5"/>
    <n v="5.01"/>
    <n v="0.27"/>
    <n v="4.62"/>
  </r>
  <r>
    <x v="0"/>
    <x v="5"/>
    <x v="30"/>
    <x v="0"/>
    <x v="3"/>
    <x v="1"/>
    <n v="4.8099999999999996"/>
    <n v="4.82"/>
    <n v="0"/>
    <n v="4.4400000000000004"/>
  </r>
  <r>
    <x v="0"/>
    <x v="5"/>
    <x v="30"/>
    <x v="1"/>
    <x v="0"/>
    <x v="1"/>
    <n v="2.97"/>
    <n v="2.97"/>
    <n v="0.25"/>
    <n v="2.9"/>
  </r>
  <r>
    <x v="0"/>
    <x v="5"/>
    <x v="30"/>
    <x v="1"/>
    <x v="4"/>
    <x v="1"/>
    <n v="3.16"/>
    <n v="3.17"/>
    <n v="0.12"/>
    <n v="3.09"/>
  </r>
  <r>
    <x v="0"/>
    <x v="5"/>
    <x v="30"/>
    <x v="4"/>
    <x v="2"/>
    <x v="2"/>
    <n v="0.75"/>
    <n v="0.75"/>
    <n v="0.01"/>
    <n v="0.65"/>
  </r>
  <r>
    <x v="0"/>
    <x v="5"/>
    <x v="30"/>
    <x v="2"/>
    <x v="2"/>
    <x v="2"/>
    <n v="0.64"/>
    <n v="0.64"/>
    <n v="0"/>
    <n v="0.64"/>
  </r>
  <r>
    <x v="0"/>
    <x v="6"/>
    <x v="31"/>
    <x v="0"/>
    <x v="1"/>
    <x v="0"/>
    <n v="1.49"/>
    <n v="1.49"/>
    <n v="0.1"/>
    <n v="1.26"/>
  </r>
  <r>
    <x v="0"/>
    <x v="6"/>
    <x v="31"/>
    <x v="2"/>
    <x v="0"/>
    <x v="1"/>
    <n v="0.05"/>
    <n v="0.05"/>
    <n v="0"/>
    <n v="0.05"/>
  </r>
  <r>
    <x v="0"/>
    <x v="6"/>
    <x v="31"/>
    <x v="2"/>
    <x v="4"/>
    <x v="1"/>
    <n v="0.32"/>
    <n v="0.32"/>
    <n v="0"/>
    <n v="0.26"/>
  </r>
  <r>
    <x v="0"/>
    <x v="6"/>
    <x v="31"/>
    <x v="2"/>
    <x v="3"/>
    <x v="1"/>
    <n v="4.91"/>
    <n v="4.91"/>
    <n v="0.01"/>
    <n v="3.75"/>
  </r>
  <r>
    <x v="0"/>
    <x v="6"/>
    <x v="31"/>
    <x v="4"/>
    <x v="0"/>
    <x v="0"/>
    <n v="0.1"/>
    <n v="0.1"/>
    <n v="0.04"/>
    <n v="0.08"/>
  </r>
  <r>
    <x v="0"/>
    <x v="6"/>
    <x v="31"/>
    <x v="4"/>
    <x v="4"/>
    <x v="0"/>
    <n v="15.86"/>
    <n v="15.86"/>
    <n v="2.81"/>
    <n v="13.68"/>
  </r>
  <r>
    <x v="0"/>
    <x v="6"/>
    <x v="31"/>
    <x v="1"/>
    <x v="2"/>
    <x v="1"/>
    <n v="14.73"/>
    <n v="14.73"/>
    <n v="7.0000000000000007E-2"/>
    <n v="12.56"/>
  </r>
  <r>
    <x v="0"/>
    <x v="6"/>
    <x v="31"/>
    <x v="0"/>
    <x v="4"/>
    <x v="0"/>
    <n v="17.98"/>
    <n v="17.98"/>
    <n v="4.88"/>
    <n v="15.8"/>
  </r>
  <r>
    <x v="0"/>
    <x v="6"/>
    <x v="31"/>
    <x v="1"/>
    <x v="0"/>
    <x v="0"/>
    <n v="6.38"/>
    <n v="6.38"/>
    <n v="4.05"/>
    <n v="5.78"/>
  </r>
  <r>
    <x v="0"/>
    <x v="6"/>
    <x v="31"/>
    <x v="1"/>
    <x v="4"/>
    <x v="0"/>
    <n v="80.23"/>
    <n v="80.23"/>
    <n v="25.34"/>
    <n v="72.98"/>
  </r>
  <r>
    <x v="0"/>
    <x v="6"/>
    <x v="31"/>
    <x v="1"/>
    <x v="2"/>
    <x v="0"/>
    <n v="0.21"/>
    <n v="0.21"/>
    <n v="0.01"/>
    <n v="0.18"/>
  </r>
  <r>
    <x v="0"/>
    <x v="6"/>
    <x v="31"/>
    <x v="2"/>
    <x v="0"/>
    <x v="0"/>
    <n v="10.69"/>
    <n v="10.69"/>
    <n v="9.3000000000000007"/>
    <n v="9.4499999999999993"/>
  </r>
  <r>
    <x v="0"/>
    <x v="6"/>
    <x v="31"/>
    <x v="2"/>
    <x v="4"/>
    <x v="0"/>
    <n v="8.08"/>
    <n v="8.08"/>
    <n v="3.01"/>
    <n v="7.12"/>
  </r>
  <r>
    <x v="0"/>
    <x v="6"/>
    <x v="31"/>
    <x v="4"/>
    <x v="4"/>
    <x v="2"/>
    <n v="2.21"/>
    <n v="2.21"/>
    <n v="0.11"/>
    <n v="1.92"/>
  </r>
  <r>
    <x v="0"/>
    <x v="6"/>
    <x v="31"/>
    <x v="0"/>
    <x v="0"/>
    <x v="0"/>
    <n v="7.14"/>
    <n v="7.14"/>
    <n v="3.53"/>
    <n v="6.16"/>
  </r>
  <r>
    <x v="0"/>
    <x v="6"/>
    <x v="31"/>
    <x v="2"/>
    <x v="2"/>
    <x v="3"/>
    <n v="0.5"/>
    <n v="0.5"/>
    <n v="0"/>
    <n v="0.5"/>
  </r>
  <r>
    <x v="0"/>
    <x v="6"/>
    <x v="31"/>
    <x v="4"/>
    <x v="1"/>
    <x v="2"/>
    <n v="0.47"/>
    <n v="0.47"/>
    <n v="0.01"/>
    <n v="0.41"/>
  </r>
  <r>
    <x v="0"/>
    <x v="6"/>
    <x v="31"/>
    <x v="1"/>
    <x v="1"/>
    <x v="0"/>
    <n v="23.25"/>
    <n v="23.25"/>
    <n v="1.43"/>
    <n v="20.309999999999999"/>
  </r>
  <r>
    <x v="0"/>
    <x v="6"/>
    <x v="31"/>
    <x v="1"/>
    <x v="1"/>
    <x v="1"/>
    <n v="9.82"/>
    <n v="9.82"/>
    <n v="0.1"/>
    <n v="8.19"/>
  </r>
  <r>
    <x v="0"/>
    <x v="6"/>
    <x v="31"/>
    <x v="1"/>
    <x v="1"/>
    <x v="2"/>
    <n v="3.36"/>
    <n v="3.36"/>
    <n v="0.05"/>
    <n v="2.8"/>
  </r>
  <r>
    <x v="0"/>
    <x v="6"/>
    <x v="31"/>
    <x v="1"/>
    <x v="2"/>
    <x v="2"/>
    <n v="2.4300000000000002"/>
    <n v="2.4300000000000002"/>
    <n v="0.01"/>
    <n v="2.08"/>
  </r>
  <r>
    <x v="0"/>
    <x v="6"/>
    <x v="31"/>
    <x v="1"/>
    <x v="3"/>
    <x v="2"/>
    <n v="5.29"/>
    <n v="5.29"/>
    <n v="0.01"/>
    <n v="4.3499999999999996"/>
  </r>
  <r>
    <x v="0"/>
    <x v="6"/>
    <x v="31"/>
    <x v="2"/>
    <x v="3"/>
    <x v="2"/>
    <n v="13.52"/>
    <n v="13.52"/>
    <n v="0.01"/>
    <n v="6.34"/>
  </r>
  <r>
    <x v="0"/>
    <x v="6"/>
    <x v="31"/>
    <x v="1"/>
    <x v="4"/>
    <x v="2"/>
    <n v="3.71"/>
    <n v="3.71"/>
    <n v="0.08"/>
    <n v="3.07"/>
  </r>
  <r>
    <x v="0"/>
    <x v="6"/>
    <x v="31"/>
    <x v="4"/>
    <x v="4"/>
    <x v="1"/>
    <n v="0.23"/>
    <n v="0.23"/>
    <n v="0.01"/>
    <n v="0.2"/>
  </r>
  <r>
    <x v="0"/>
    <x v="6"/>
    <x v="31"/>
    <x v="1"/>
    <x v="4"/>
    <x v="1"/>
    <n v="2.76"/>
    <n v="2.76"/>
    <n v="0.12"/>
    <n v="2.31"/>
  </r>
  <r>
    <x v="0"/>
    <x v="6"/>
    <x v="31"/>
    <x v="1"/>
    <x v="0"/>
    <x v="1"/>
    <n v="3.64"/>
    <n v="3.64"/>
    <n v="0.22"/>
    <n v="3.02"/>
  </r>
  <r>
    <x v="0"/>
    <x v="6"/>
    <x v="31"/>
    <x v="0"/>
    <x v="3"/>
    <x v="1"/>
    <n v="11.27"/>
    <n v="11.27"/>
    <n v="0.01"/>
    <n v="4.57"/>
  </r>
  <r>
    <x v="0"/>
    <x v="6"/>
    <x v="31"/>
    <x v="0"/>
    <x v="1"/>
    <x v="1"/>
    <n v="2.2999999999999998"/>
    <n v="2.2999999999999998"/>
    <n v="0.06"/>
    <n v="1.95"/>
  </r>
  <r>
    <x v="0"/>
    <x v="6"/>
    <x v="31"/>
    <x v="0"/>
    <x v="4"/>
    <x v="1"/>
    <n v="1.56"/>
    <n v="1.56"/>
    <n v="7.0000000000000007E-2"/>
    <n v="1.31"/>
  </r>
  <r>
    <x v="0"/>
    <x v="6"/>
    <x v="31"/>
    <x v="4"/>
    <x v="0"/>
    <x v="1"/>
    <n v="0.16"/>
    <n v="0.16"/>
    <n v="0.01"/>
    <n v="0.14000000000000001"/>
  </r>
  <r>
    <x v="0"/>
    <x v="6"/>
    <x v="31"/>
    <x v="2"/>
    <x v="3"/>
    <x v="3"/>
    <n v="13.44"/>
    <n v="13.44"/>
    <n v="0"/>
    <n v="6.72"/>
  </r>
  <r>
    <x v="0"/>
    <x v="9"/>
    <x v="32"/>
    <x v="4"/>
    <x v="0"/>
    <x v="1"/>
    <n v="0.56000000000000005"/>
    <n v="0.53"/>
    <n v="0.03"/>
    <n v="0.53"/>
  </r>
  <r>
    <x v="0"/>
    <x v="9"/>
    <x v="32"/>
    <x v="0"/>
    <x v="3"/>
    <x v="1"/>
    <n v="1.28"/>
    <n v="1.21"/>
    <n v="0"/>
    <n v="1.18"/>
  </r>
  <r>
    <x v="0"/>
    <x v="9"/>
    <x v="32"/>
    <x v="0"/>
    <x v="1"/>
    <x v="1"/>
    <n v="0.63"/>
    <n v="0.6"/>
    <n v="0.01"/>
    <n v="0.57999999999999996"/>
  </r>
  <r>
    <x v="0"/>
    <x v="9"/>
    <x v="32"/>
    <x v="0"/>
    <x v="4"/>
    <x v="1"/>
    <n v="1.33"/>
    <n v="1.26"/>
    <n v="7.0000000000000007E-2"/>
    <n v="1.23"/>
  </r>
  <r>
    <x v="0"/>
    <x v="9"/>
    <x v="32"/>
    <x v="4"/>
    <x v="2"/>
    <x v="2"/>
    <n v="0.2"/>
    <n v="0.19"/>
    <n v="0"/>
    <n v="0.17"/>
  </r>
  <r>
    <x v="0"/>
    <x v="9"/>
    <x v="32"/>
    <x v="0"/>
    <x v="0"/>
    <x v="1"/>
    <n v="0.24"/>
    <n v="0.22"/>
    <n v="0.02"/>
    <n v="0.22"/>
  </r>
  <r>
    <x v="0"/>
    <x v="9"/>
    <x v="32"/>
    <x v="1"/>
    <x v="4"/>
    <x v="2"/>
    <n v="0.53"/>
    <n v="0.5"/>
    <n v="0.01"/>
    <n v="0.46"/>
  </r>
  <r>
    <x v="0"/>
    <x v="9"/>
    <x v="32"/>
    <x v="2"/>
    <x v="3"/>
    <x v="3"/>
    <n v="1.08"/>
    <n v="1.03"/>
    <n v="0"/>
    <n v="1.08"/>
  </r>
  <r>
    <x v="0"/>
    <x v="9"/>
    <x v="32"/>
    <x v="1"/>
    <x v="1"/>
    <x v="2"/>
    <n v="0.83"/>
    <n v="0.79"/>
    <n v="0.01"/>
    <n v="0.73"/>
  </r>
  <r>
    <x v="0"/>
    <x v="9"/>
    <x v="32"/>
    <x v="1"/>
    <x v="2"/>
    <x v="2"/>
    <n v="0.77"/>
    <n v="0.73"/>
    <n v="0"/>
    <n v="0.67"/>
  </r>
  <r>
    <x v="0"/>
    <x v="9"/>
    <x v="32"/>
    <x v="2"/>
    <x v="3"/>
    <x v="2"/>
    <n v="2.9"/>
    <n v="2.75"/>
    <n v="0"/>
    <n v="2.58"/>
  </r>
  <r>
    <x v="0"/>
    <x v="9"/>
    <x v="32"/>
    <x v="1"/>
    <x v="3"/>
    <x v="2"/>
    <n v="2.3199999999999998"/>
    <n v="2.2000000000000002"/>
    <n v="0"/>
    <n v="2.02"/>
  </r>
  <r>
    <x v="0"/>
    <x v="9"/>
    <x v="32"/>
    <x v="4"/>
    <x v="1"/>
    <x v="2"/>
    <n v="1.27"/>
    <n v="1.21"/>
    <n v="0.04"/>
    <n v="1.1000000000000001"/>
  </r>
  <r>
    <x v="0"/>
    <x v="9"/>
    <x v="32"/>
    <x v="2"/>
    <x v="2"/>
    <x v="3"/>
    <n v="0.51"/>
    <n v="0.48"/>
    <n v="0"/>
    <n v="0.5"/>
  </r>
  <r>
    <x v="0"/>
    <x v="9"/>
    <x v="32"/>
    <x v="1"/>
    <x v="0"/>
    <x v="1"/>
    <n v="0.79"/>
    <n v="0.75"/>
    <n v="7.0000000000000007E-2"/>
    <n v="0.77"/>
  </r>
  <r>
    <x v="0"/>
    <x v="9"/>
    <x v="32"/>
    <x v="2"/>
    <x v="2"/>
    <x v="2"/>
    <n v="0.17"/>
    <n v="0.16"/>
    <n v="0"/>
    <n v="0.17"/>
  </r>
  <r>
    <x v="0"/>
    <x v="9"/>
    <x v="32"/>
    <x v="4"/>
    <x v="4"/>
    <x v="1"/>
    <n v="0.35"/>
    <n v="0.33"/>
    <n v="0.02"/>
    <n v="0.32"/>
  </r>
  <r>
    <x v="0"/>
    <x v="9"/>
    <x v="32"/>
    <x v="0"/>
    <x v="4"/>
    <x v="0"/>
    <n v="7.02"/>
    <n v="6.67"/>
    <n v="2.41"/>
    <n v="6.45"/>
  </r>
  <r>
    <x v="0"/>
    <x v="9"/>
    <x v="32"/>
    <x v="2"/>
    <x v="4"/>
    <x v="0"/>
    <n v="1.27"/>
    <n v="1.21"/>
    <n v="0.34"/>
    <n v="1.2"/>
  </r>
  <r>
    <x v="0"/>
    <x v="9"/>
    <x v="32"/>
    <x v="2"/>
    <x v="0"/>
    <x v="0"/>
    <n v="1.76"/>
    <n v="1.67"/>
    <n v="1.18"/>
    <n v="1.66"/>
  </r>
  <r>
    <x v="0"/>
    <x v="9"/>
    <x v="32"/>
    <x v="1"/>
    <x v="2"/>
    <x v="0"/>
    <n v="0.41"/>
    <n v="0.39"/>
    <n v="0.01"/>
    <n v="0.37"/>
  </r>
  <r>
    <x v="0"/>
    <x v="9"/>
    <x v="32"/>
    <x v="1"/>
    <x v="1"/>
    <x v="0"/>
    <n v="5.93"/>
    <n v="5.63"/>
    <n v="0.56000000000000005"/>
    <n v="5.46"/>
  </r>
  <r>
    <x v="0"/>
    <x v="9"/>
    <x v="32"/>
    <x v="1"/>
    <x v="4"/>
    <x v="0"/>
    <n v="35.799999999999997"/>
    <n v="34.020000000000003"/>
    <n v="13.09"/>
    <n v="32.94"/>
  </r>
  <r>
    <x v="0"/>
    <x v="9"/>
    <x v="32"/>
    <x v="1"/>
    <x v="0"/>
    <x v="0"/>
    <n v="4.8"/>
    <n v="4.5599999999999996"/>
    <n v="2.62"/>
    <n v="4.42"/>
  </r>
  <r>
    <x v="0"/>
    <x v="9"/>
    <x v="32"/>
    <x v="0"/>
    <x v="1"/>
    <x v="0"/>
    <n v="1.32"/>
    <n v="1.25"/>
    <n v="0.28999999999999998"/>
    <n v="1.21"/>
  </r>
  <r>
    <x v="0"/>
    <x v="9"/>
    <x v="32"/>
    <x v="4"/>
    <x v="4"/>
    <x v="0"/>
    <n v="13.85"/>
    <n v="13.16"/>
    <n v="2.29"/>
    <n v="12.76"/>
  </r>
  <r>
    <x v="0"/>
    <x v="9"/>
    <x v="32"/>
    <x v="4"/>
    <x v="4"/>
    <x v="2"/>
    <n v="0.36"/>
    <n v="0.34"/>
    <n v="0.02"/>
    <n v="0.32"/>
  </r>
  <r>
    <x v="0"/>
    <x v="9"/>
    <x v="32"/>
    <x v="1"/>
    <x v="4"/>
    <x v="1"/>
    <n v="0.84"/>
    <n v="0.8"/>
    <n v="0.03"/>
    <n v="0.82"/>
  </r>
  <r>
    <x v="0"/>
    <x v="9"/>
    <x v="32"/>
    <x v="0"/>
    <x v="0"/>
    <x v="0"/>
    <n v="2.2400000000000002"/>
    <n v="2.12"/>
    <n v="1.2"/>
    <n v="2.0299999999999998"/>
  </r>
  <r>
    <x v="0"/>
    <x v="9"/>
    <x v="32"/>
    <x v="4"/>
    <x v="1"/>
    <x v="0"/>
    <n v="1.47"/>
    <n v="1.4"/>
    <n v="0.11"/>
    <n v="1.35"/>
  </r>
  <r>
    <x v="0"/>
    <x v="9"/>
    <x v="32"/>
    <x v="3"/>
    <x v="4"/>
    <x v="0"/>
    <n v="1.39"/>
    <n v="1.32"/>
    <n v="0.21"/>
    <n v="1.28"/>
  </r>
  <r>
    <x v="0"/>
    <x v="9"/>
    <x v="32"/>
    <x v="2"/>
    <x v="4"/>
    <x v="1"/>
    <n v="0.04"/>
    <n v="0.04"/>
    <n v="0"/>
    <n v="0.04"/>
  </r>
  <r>
    <x v="0"/>
    <x v="9"/>
    <x v="32"/>
    <x v="1"/>
    <x v="3"/>
    <x v="1"/>
    <n v="0"/>
    <n v="0"/>
    <n v="0"/>
    <n v="0"/>
  </r>
  <r>
    <x v="0"/>
    <x v="9"/>
    <x v="32"/>
    <x v="1"/>
    <x v="2"/>
    <x v="1"/>
    <n v="5.24"/>
    <n v="4.9800000000000004"/>
    <n v="0.03"/>
    <n v="4.91"/>
  </r>
  <r>
    <x v="0"/>
    <x v="9"/>
    <x v="32"/>
    <x v="1"/>
    <x v="1"/>
    <x v="1"/>
    <n v="2.88"/>
    <n v="2.73"/>
    <n v="0.05"/>
    <n v="2.72"/>
  </r>
  <r>
    <x v="0"/>
    <x v="9"/>
    <x v="32"/>
    <x v="2"/>
    <x v="3"/>
    <x v="1"/>
    <n v="1.19"/>
    <n v="1.1299999999999999"/>
    <n v="0.01"/>
    <n v="1.1000000000000001"/>
  </r>
  <r>
    <x v="0"/>
    <x v="9"/>
    <x v="32"/>
    <x v="4"/>
    <x v="0"/>
    <x v="0"/>
    <n v="0.12"/>
    <n v="0.11"/>
    <n v="0.03"/>
    <n v="0.11"/>
  </r>
  <r>
    <x v="0"/>
    <x v="0"/>
    <x v="33"/>
    <x v="4"/>
    <x v="1"/>
    <x v="2"/>
    <n v="3.06"/>
    <n v="3.06"/>
    <n v="0.1"/>
    <n v="2.94"/>
  </r>
  <r>
    <x v="0"/>
    <x v="0"/>
    <x v="33"/>
    <x v="4"/>
    <x v="0"/>
    <x v="1"/>
    <n v="2.14"/>
    <n v="2.14"/>
    <n v="0.21"/>
    <n v="2.04"/>
  </r>
  <r>
    <x v="0"/>
    <x v="0"/>
    <x v="33"/>
    <x v="2"/>
    <x v="3"/>
    <x v="3"/>
    <n v="11.13"/>
    <n v="11.13"/>
    <n v="0.01"/>
    <n v="10.75"/>
  </r>
  <r>
    <x v="0"/>
    <x v="0"/>
    <x v="33"/>
    <x v="2"/>
    <x v="2"/>
    <x v="3"/>
    <n v="7.39"/>
    <n v="7.39"/>
    <n v="0"/>
    <n v="6.9"/>
  </r>
  <r>
    <x v="0"/>
    <x v="0"/>
    <x v="33"/>
    <x v="2"/>
    <x v="3"/>
    <x v="2"/>
    <n v="16.13"/>
    <n v="16.13"/>
    <n v="0.01"/>
    <n v="15.32"/>
  </r>
  <r>
    <x v="0"/>
    <x v="0"/>
    <x v="33"/>
    <x v="2"/>
    <x v="2"/>
    <x v="2"/>
    <n v="0.88"/>
    <n v="0.88"/>
    <n v="0"/>
    <n v="0.85"/>
  </r>
  <r>
    <x v="0"/>
    <x v="0"/>
    <x v="33"/>
    <x v="1"/>
    <x v="2"/>
    <x v="0"/>
    <n v="0.86"/>
    <n v="0.86"/>
    <n v="0.03"/>
    <n v="0.8"/>
  </r>
  <r>
    <x v="0"/>
    <x v="0"/>
    <x v="33"/>
    <x v="2"/>
    <x v="0"/>
    <x v="0"/>
    <n v="13.89"/>
    <n v="13.89"/>
    <n v="6.48"/>
    <n v="13.14"/>
  </r>
  <r>
    <x v="0"/>
    <x v="0"/>
    <x v="33"/>
    <x v="4"/>
    <x v="4"/>
    <x v="1"/>
    <n v="2.15"/>
    <n v="2.15"/>
    <n v="0.09"/>
    <n v="2.02"/>
  </r>
  <r>
    <x v="0"/>
    <x v="0"/>
    <x v="33"/>
    <x v="4"/>
    <x v="4"/>
    <x v="2"/>
    <n v="2.14"/>
    <n v="2.14"/>
    <n v="0.08"/>
    <n v="2.0499999999999998"/>
  </r>
  <r>
    <x v="0"/>
    <x v="0"/>
    <x v="33"/>
    <x v="2"/>
    <x v="4"/>
    <x v="0"/>
    <n v="11.21"/>
    <n v="11.21"/>
    <n v="3.07"/>
    <n v="10.66"/>
  </r>
  <r>
    <x v="0"/>
    <x v="0"/>
    <x v="33"/>
    <x v="4"/>
    <x v="2"/>
    <x v="2"/>
    <n v="1.36"/>
    <n v="1.36"/>
    <n v="0.01"/>
    <n v="1.3"/>
  </r>
  <r>
    <x v="0"/>
    <x v="0"/>
    <x v="33"/>
    <x v="1"/>
    <x v="4"/>
    <x v="2"/>
    <n v="2.0499999999999998"/>
    <n v="2.0499999999999998"/>
    <n v="0.1"/>
    <n v="1.97"/>
  </r>
  <r>
    <x v="0"/>
    <x v="0"/>
    <x v="33"/>
    <x v="1"/>
    <x v="1"/>
    <x v="2"/>
    <n v="2.2400000000000002"/>
    <n v="2.2400000000000002"/>
    <n v="0.04"/>
    <n v="2.14"/>
  </r>
  <r>
    <x v="0"/>
    <x v="0"/>
    <x v="33"/>
    <x v="1"/>
    <x v="2"/>
    <x v="2"/>
    <n v="1.17"/>
    <n v="1.17"/>
    <n v="0.01"/>
    <n v="1.1200000000000001"/>
  </r>
  <r>
    <x v="0"/>
    <x v="0"/>
    <x v="33"/>
    <x v="1"/>
    <x v="3"/>
    <x v="2"/>
    <n v="7.28"/>
    <n v="7.28"/>
    <n v="0.02"/>
    <n v="7.02"/>
  </r>
  <r>
    <x v="0"/>
    <x v="0"/>
    <x v="33"/>
    <x v="0"/>
    <x v="4"/>
    <x v="0"/>
    <n v="36.619999999999997"/>
    <n v="36.619999999999997"/>
    <n v="11.29"/>
    <n v="34.14"/>
  </r>
  <r>
    <x v="0"/>
    <x v="0"/>
    <x v="33"/>
    <x v="2"/>
    <x v="2"/>
    <x v="0"/>
    <n v="1.77"/>
    <n v="1.77"/>
    <n v="0"/>
    <n v="1.77"/>
  </r>
  <r>
    <x v="0"/>
    <x v="0"/>
    <x v="33"/>
    <x v="4"/>
    <x v="0"/>
    <x v="0"/>
    <n v="1.79"/>
    <n v="1.79"/>
    <n v="0.59"/>
    <n v="1.67"/>
  </r>
  <r>
    <x v="0"/>
    <x v="0"/>
    <x v="33"/>
    <x v="1"/>
    <x v="0"/>
    <x v="0"/>
    <n v="18.100000000000001"/>
    <n v="18.100000000000001"/>
    <n v="8.57"/>
    <n v="16.989999999999998"/>
  </r>
  <r>
    <x v="0"/>
    <x v="0"/>
    <x v="33"/>
    <x v="0"/>
    <x v="0"/>
    <x v="1"/>
    <n v="1.17"/>
    <n v="1.17"/>
    <n v="0.03"/>
    <n v="1.1200000000000001"/>
  </r>
  <r>
    <x v="0"/>
    <x v="0"/>
    <x v="33"/>
    <x v="1"/>
    <x v="1"/>
    <x v="0"/>
    <n v="15.23"/>
    <n v="15.23"/>
    <n v="1.38"/>
    <n v="14.47"/>
  </r>
  <r>
    <x v="0"/>
    <x v="0"/>
    <x v="33"/>
    <x v="0"/>
    <x v="0"/>
    <x v="0"/>
    <n v="11.54"/>
    <n v="11.54"/>
    <n v="7.01"/>
    <n v="10.63"/>
  </r>
  <r>
    <x v="0"/>
    <x v="0"/>
    <x v="33"/>
    <x v="4"/>
    <x v="4"/>
    <x v="0"/>
    <n v="44.76"/>
    <n v="44.76"/>
    <n v="7.53"/>
    <n v="41.85"/>
  </r>
  <r>
    <x v="0"/>
    <x v="0"/>
    <x v="33"/>
    <x v="1"/>
    <x v="4"/>
    <x v="0"/>
    <n v="83.68"/>
    <n v="83.68"/>
    <n v="21.63"/>
    <n v="79.28"/>
  </r>
  <r>
    <x v="0"/>
    <x v="0"/>
    <x v="33"/>
    <x v="3"/>
    <x v="4"/>
    <x v="0"/>
    <n v="0.36"/>
    <n v="0.36"/>
    <n v="7.0000000000000007E-2"/>
    <n v="0.34"/>
  </r>
  <r>
    <x v="0"/>
    <x v="0"/>
    <x v="33"/>
    <x v="2"/>
    <x v="3"/>
    <x v="1"/>
    <n v="12.49"/>
    <n v="12.49"/>
    <n v="0.03"/>
    <n v="11.89"/>
  </r>
  <r>
    <x v="0"/>
    <x v="0"/>
    <x v="33"/>
    <x v="0"/>
    <x v="3"/>
    <x v="1"/>
    <n v="12.94"/>
    <n v="12.94"/>
    <n v="0.01"/>
    <n v="12.35"/>
  </r>
  <r>
    <x v="0"/>
    <x v="0"/>
    <x v="33"/>
    <x v="4"/>
    <x v="1"/>
    <x v="0"/>
    <n v="4.42"/>
    <n v="4.42"/>
    <n v="0.56999999999999995"/>
    <n v="4.1100000000000003"/>
  </r>
  <r>
    <x v="0"/>
    <x v="0"/>
    <x v="33"/>
    <x v="0"/>
    <x v="1"/>
    <x v="1"/>
    <n v="2.2599999999999998"/>
    <n v="2.2599999999999998"/>
    <n v="0.03"/>
    <n v="2.16"/>
  </r>
  <r>
    <x v="0"/>
    <x v="0"/>
    <x v="33"/>
    <x v="0"/>
    <x v="1"/>
    <x v="0"/>
    <n v="0.83"/>
    <n v="0.83"/>
    <n v="0.37"/>
    <n v="0.83"/>
  </r>
  <r>
    <x v="0"/>
    <x v="0"/>
    <x v="33"/>
    <x v="1"/>
    <x v="0"/>
    <x v="1"/>
    <n v="0.89"/>
    <n v="0.89"/>
    <n v="0.05"/>
    <n v="0.83"/>
  </r>
  <r>
    <x v="0"/>
    <x v="0"/>
    <x v="33"/>
    <x v="1"/>
    <x v="4"/>
    <x v="1"/>
    <n v="0.9"/>
    <n v="0.9"/>
    <n v="0.06"/>
    <n v="0.86"/>
  </r>
  <r>
    <x v="0"/>
    <x v="0"/>
    <x v="33"/>
    <x v="1"/>
    <x v="1"/>
    <x v="1"/>
    <n v="9.52"/>
    <n v="9.52"/>
    <n v="0.12"/>
    <n v="9.07"/>
  </r>
  <r>
    <x v="0"/>
    <x v="0"/>
    <x v="33"/>
    <x v="1"/>
    <x v="2"/>
    <x v="1"/>
    <n v="26.7"/>
    <n v="26.7"/>
    <n v="0.11"/>
    <n v="25.47"/>
  </r>
  <r>
    <x v="0"/>
    <x v="0"/>
    <x v="33"/>
    <x v="0"/>
    <x v="4"/>
    <x v="1"/>
    <n v="3.55"/>
    <n v="3.55"/>
    <n v="0.18"/>
    <n v="3.38"/>
  </r>
  <r>
    <x v="0"/>
    <x v="7"/>
    <x v="34"/>
    <x v="0"/>
    <x v="0"/>
    <x v="0"/>
    <n v="17.059999999999999"/>
    <n v="17.07"/>
    <n v="9.3800000000000008"/>
    <n v="15.42"/>
  </r>
  <r>
    <x v="0"/>
    <x v="7"/>
    <x v="34"/>
    <x v="1"/>
    <x v="2"/>
    <x v="1"/>
    <n v="28.63"/>
    <n v="28.66"/>
    <n v="0.19"/>
    <n v="27.02"/>
  </r>
  <r>
    <x v="0"/>
    <x v="7"/>
    <x v="34"/>
    <x v="2"/>
    <x v="4"/>
    <x v="1"/>
    <n v="0.12"/>
    <n v="0.12"/>
    <n v="0"/>
    <n v="0.11"/>
  </r>
  <r>
    <x v="0"/>
    <x v="7"/>
    <x v="34"/>
    <x v="2"/>
    <x v="3"/>
    <x v="1"/>
    <n v="2.48"/>
    <n v="2.48"/>
    <n v="0.01"/>
    <n v="2.48"/>
  </r>
  <r>
    <x v="0"/>
    <x v="7"/>
    <x v="34"/>
    <x v="3"/>
    <x v="4"/>
    <x v="0"/>
    <n v="5.74"/>
    <n v="5.75"/>
    <n v="0.72"/>
    <n v="5.25"/>
  </r>
  <r>
    <x v="0"/>
    <x v="7"/>
    <x v="34"/>
    <x v="4"/>
    <x v="0"/>
    <x v="0"/>
    <n v="0.23"/>
    <n v="0.23"/>
    <n v="0.05"/>
    <n v="0.21"/>
  </r>
  <r>
    <x v="0"/>
    <x v="7"/>
    <x v="34"/>
    <x v="4"/>
    <x v="4"/>
    <x v="0"/>
    <n v="64.98"/>
    <n v="65.040000000000006"/>
    <n v="11.05"/>
    <n v="60.31"/>
  </r>
  <r>
    <x v="0"/>
    <x v="7"/>
    <x v="34"/>
    <x v="4"/>
    <x v="1"/>
    <x v="0"/>
    <n v="7.38"/>
    <n v="7.39"/>
    <n v="0.56999999999999995"/>
    <n v="6.77"/>
  </r>
  <r>
    <x v="0"/>
    <x v="7"/>
    <x v="34"/>
    <x v="0"/>
    <x v="4"/>
    <x v="0"/>
    <n v="58.38"/>
    <n v="58.43"/>
    <n v="17.63"/>
    <n v="53.94"/>
  </r>
  <r>
    <x v="0"/>
    <x v="7"/>
    <x v="34"/>
    <x v="0"/>
    <x v="1"/>
    <x v="0"/>
    <n v="1.25"/>
    <n v="1.25"/>
    <n v="0.25"/>
    <n v="1.1200000000000001"/>
  </r>
  <r>
    <x v="0"/>
    <x v="7"/>
    <x v="34"/>
    <x v="0"/>
    <x v="2"/>
    <x v="0"/>
    <n v="1.08"/>
    <n v="1.08"/>
    <n v="0.01"/>
    <n v="1.05"/>
  </r>
  <r>
    <x v="0"/>
    <x v="7"/>
    <x v="34"/>
    <x v="1"/>
    <x v="0"/>
    <x v="0"/>
    <n v="17.239999999999998"/>
    <n v="17.260000000000002"/>
    <n v="7.92"/>
    <n v="16"/>
  </r>
  <r>
    <x v="0"/>
    <x v="7"/>
    <x v="34"/>
    <x v="1"/>
    <x v="4"/>
    <x v="0"/>
    <n v="124.65"/>
    <n v="124.77"/>
    <n v="32.630000000000003"/>
    <n v="115.53"/>
  </r>
  <r>
    <x v="0"/>
    <x v="7"/>
    <x v="34"/>
    <x v="1"/>
    <x v="1"/>
    <x v="0"/>
    <n v="25.79"/>
    <n v="25.81"/>
    <n v="1.61"/>
    <n v="23.75"/>
  </r>
  <r>
    <x v="0"/>
    <x v="7"/>
    <x v="34"/>
    <x v="2"/>
    <x v="4"/>
    <x v="0"/>
    <n v="7.84"/>
    <n v="7.85"/>
    <n v="1.94"/>
    <n v="7.61"/>
  </r>
  <r>
    <x v="0"/>
    <x v="7"/>
    <x v="34"/>
    <x v="2"/>
    <x v="0"/>
    <x v="0"/>
    <n v="10.88"/>
    <n v="10.89"/>
    <n v="7.4"/>
    <n v="10.55"/>
  </r>
  <r>
    <x v="0"/>
    <x v="7"/>
    <x v="34"/>
    <x v="1"/>
    <x v="4"/>
    <x v="1"/>
    <n v="3.72"/>
    <n v="3.72"/>
    <n v="0.19"/>
    <n v="3.7"/>
  </r>
  <r>
    <x v="0"/>
    <x v="7"/>
    <x v="34"/>
    <x v="1"/>
    <x v="1"/>
    <x v="1"/>
    <n v="19.07"/>
    <n v="19.09"/>
    <n v="0.36"/>
    <n v="18.27"/>
  </r>
  <r>
    <x v="0"/>
    <x v="7"/>
    <x v="34"/>
    <x v="1"/>
    <x v="2"/>
    <x v="0"/>
    <n v="1.63"/>
    <n v="1.64"/>
    <n v="0.03"/>
    <n v="1.48"/>
  </r>
  <r>
    <x v="0"/>
    <x v="7"/>
    <x v="34"/>
    <x v="1"/>
    <x v="3"/>
    <x v="2"/>
    <n v="4.87"/>
    <n v="4.88"/>
    <n v="0.01"/>
    <n v="4.33"/>
  </r>
  <r>
    <x v="0"/>
    <x v="7"/>
    <x v="34"/>
    <x v="1"/>
    <x v="3"/>
    <x v="1"/>
    <n v="0.14000000000000001"/>
    <n v="0.14000000000000001"/>
    <n v="0"/>
    <n v="0.13"/>
  </r>
  <r>
    <x v="0"/>
    <x v="7"/>
    <x v="34"/>
    <x v="4"/>
    <x v="1"/>
    <x v="2"/>
    <n v="7"/>
    <n v="7"/>
    <n v="0.19"/>
    <n v="6.08"/>
  </r>
  <r>
    <x v="0"/>
    <x v="7"/>
    <x v="34"/>
    <x v="4"/>
    <x v="2"/>
    <x v="2"/>
    <n v="1.79"/>
    <n v="1.79"/>
    <n v="0.01"/>
    <n v="1.55"/>
  </r>
  <r>
    <x v="0"/>
    <x v="7"/>
    <x v="34"/>
    <x v="1"/>
    <x v="4"/>
    <x v="2"/>
    <n v="6.84"/>
    <n v="6.84"/>
    <n v="0.17"/>
    <n v="5.98"/>
  </r>
  <r>
    <x v="0"/>
    <x v="7"/>
    <x v="34"/>
    <x v="1"/>
    <x v="0"/>
    <x v="1"/>
    <n v="5.77"/>
    <n v="5.78"/>
    <n v="0.4"/>
    <n v="5.73"/>
  </r>
  <r>
    <x v="0"/>
    <x v="7"/>
    <x v="34"/>
    <x v="1"/>
    <x v="2"/>
    <x v="2"/>
    <n v="7.83"/>
    <n v="7.84"/>
    <n v="0.03"/>
    <n v="6.96"/>
  </r>
  <r>
    <x v="0"/>
    <x v="7"/>
    <x v="34"/>
    <x v="4"/>
    <x v="4"/>
    <x v="2"/>
    <n v="3.1"/>
    <n v="3.1"/>
    <n v="0.14000000000000001"/>
    <n v="2.76"/>
  </r>
  <r>
    <x v="0"/>
    <x v="7"/>
    <x v="34"/>
    <x v="2"/>
    <x v="2"/>
    <x v="2"/>
    <n v="0.78"/>
    <n v="0.79"/>
    <n v="0"/>
    <n v="0.78"/>
  </r>
  <r>
    <x v="0"/>
    <x v="7"/>
    <x v="34"/>
    <x v="2"/>
    <x v="3"/>
    <x v="2"/>
    <n v="2.25"/>
    <n v="2.25"/>
    <n v="0"/>
    <n v="2.25"/>
  </r>
  <r>
    <x v="0"/>
    <x v="7"/>
    <x v="34"/>
    <x v="0"/>
    <x v="2"/>
    <x v="1"/>
    <n v="0.26"/>
    <n v="0.26"/>
    <n v="0"/>
    <n v="0.26"/>
  </r>
  <r>
    <x v="0"/>
    <x v="7"/>
    <x v="34"/>
    <x v="2"/>
    <x v="2"/>
    <x v="3"/>
    <n v="6.14"/>
    <n v="6.14"/>
    <n v="0.01"/>
    <n v="6.13"/>
  </r>
  <r>
    <x v="0"/>
    <x v="7"/>
    <x v="34"/>
    <x v="2"/>
    <x v="3"/>
    <x v="3"/>
    <n v="0.39"/>
    <n v="0.39"/>
    <n v="0"/>
    <n v="0.39"/>
  </r>
  <r>
    <x v="0"/>
    <x v="7"/>
    <x v="34"/>
    <x v="4"/>
    <x v="0"/>
    <x v="1"/>
    <n v="2.54"/>
    <n v="2.54"/>
    <n v="0.17"/>
    <n v="2.36"/>
  </r>
  <r>
    <x v="0"/>
    <x v="7"/>
    <x v="34"/>
    <x v="4"/>
    <x v="4"/>
    <x v="1"/>
    <n v="1.67"/>
    <n v="1.67"/>
    <n v="0.1"/>
    <n v="1.57"/>
  </r>
  <r>
    <x v="0"/>
    <x v="7"/>
    <x v="34"/>
    <x v="0"/>
    <x v="0"/>
    <x v="1"/>
    <n v="2.17"/>
    <n v="2.17"/>
    <n v="0.1"/>
    <n v="2.06"/>
  </r>
  <r>
    <x v="0"/>
    <x v="7"/>
    <x v="34"/>
    <x v="0"/>
    <x v="4"/>
    <x v="1"/>
    <n v="6.24"/>
    <n v="6.24"/>
    <n v="0.32"/>
    <n v="5.79"/>
  </r>
  <r>
    <x v="0"/>
    <x v="7"/>
    <x v="34"/>
    <x v="0"/>
    <x v="1"/>
    <x v="1"/>
    <n v="2.25"/>
    <n v="2.25"/>
    <n v="0.03"/>
    <n v="2.08"/>
  </r>
  <r>
    <x v="0"/>
    <x v="7"/>
    <x v="34"/>
    <x v="2"/>
    <x v="4"/>
    <x v="3"/>
    <n v="5.32"/>
    <n v="5.32"/>
    <n v="0"/>
    <n v="5.32"/>
  </r>
  <r>
    <x v="0"/>
    <x v="7"/>
    <x v="34"/>
    <x v="1"/>
    <x v="1"/>
    <x v="2"/>
    <n v="6.41"/>
    <n v="6.42"/>
    <n v="7.0000000000000007E-2"/>
    <n v="5.7"/>
  </r>
  <r>
    <x v="0"/>
    <x v="7"/>
    <x v="34"/>
    <x v="0"/>
    <x v="3"/>
    <x v="1"/>
    <n v="0.83"/>
    <n v="0.83"/>
    <n v="0"/>
    <n v="0.83"/>
  </r>
  <r>
    <x v="0"/>
    <x v="10"/>
    <x v="35"/>
    <x v="4"/>
    <x v="1"/>
    <x v="0"/>
    <n v="2.42"/>
    <n v="2.4300000000000002"/>
    <n v="0.19"/>
    <n v="2.2200000000000002"/>
  </r>
  <r>
    <x v="0"/>
    <x v="10"/>
    <x v="35"/>
    <x v="4"/>
    <x v="4"/>
    <x v="0"/>
    <n v="21.34"/>
    <n v="21.36"/>
    <n v="3.63"/>
    <n v="19.8"/>
  </r>
  <r>
    <x v="0"/>
    <x v="10"/>
    <x v="35"/>
    <x v="4"/>
    <x v="0"/>
    <x v="0"/>
    <n v="7.0000000000000007E-2"/>
    <n v="7.0000000000000007E-2"/>
    <n v="0.02"/>
    <n v="7.0000000000000007E-2"/>
  </r>
  <r>
    <x v="0"/>
    <x v="10"/>
    <x v="35"/>
    <x v="3"/>
    <x v="4"/>
    <x v="0"/>
    <n v="1.88"/>
    <n v="1.89"/>
    <n v="0.24"/>
    <n v="1.72"/>
  </r>
  <r>
    <x v="0"/>
    <x v="10"/>
    <x v="35"/>
    <x v="2"/>
    <x v="3"/>
    <x v="1"/>
    <n v="0.81"/>
    <n v="0.81"/>
    <n v="0"/>
    <n v="0.81"/>
  </r>
  <r>
    <x v="0"/>
    <x v="10"/>
    <x v="35"/>
    <x v="2"/>
    <x v="4"/>
    <x v="1"/>
    <n v="0.04"/>
    <n v="0.04"/>
    <n v="0"/>
    <n v="0.04"/>
  </r>
  <r>
    <x v="0"/>
    <x v="10"/>
    <x v="35"/>
    <x v="1"/>
    <x v="2"/>
    <x v="1"/>
    <n v="9.4"/>
    <n v="9.41"/>
    <n v="0.06"/>
    <n v="8.8699999999999992"/>
  </r>
  <r>
    <x v="0"/>
    <x v="10"/>
    <x v="35"/>
    <x v="1"/>
    <x v="3"/>
    <x v="1"/>
    <n v="0.04"/>
    <n v="0.04"/>
    <n v="0"/>
    <n v="0.04"/>
  </r>
  <r>
    <x v="0"/>
    <x v="10"/>
    <x v="35"/>
    <x v="0"/>
    <x v="0"/>
    <x v="0"/>
    <n v="5.6"/>
    <n v="5.61"/>
    <n v="3.08"/>
    <n v="5.0599999999999996"/>
  </r>
  <r>
    <x v="0"/>
    <x v="10"/>
    <x v="35"/>
    <x v="0"/>
    <x v="4"/>
    <x v="0"/>
    <n v="19.170000000000002"/>
    <n v="19.190000000000001"/>
    <n v="5.79"/>
    <n v="17.71"/>
  </r>
  <r>
    <x v="0"/>
    <x v="10"/>
    <x v="35"/>
    <x v="0"/>
    <x v="1"/>
    <x v="0"/>
    <n v="0.41"/>
    <n v="0.41"/>
    <n v="0.08"/>
    <n v="0.37"/>
  </r>
  <r>
    <x v="0"/>
    <x v="10"/>
    <x v="35"/>
    <x v="0"/>
    <x v="2"/>
    <x v="0"/>
    <n v="0.35"/>
    <n v="0.35"/>
    <n v="0"/>
    <n v="0.34"/>
  </r>
  <r>
    <x v="0"/>
    <x v="10"/>
    <x v="35"/>
    <x v="1"/>
    <x v="0"/>
    <x v="0"/>
    <n v="5.66"/>
    <n v="5.67"/>
    <n v="2.6"/>
    <n v="5.25"/>
  </r>
  <r>
    <x v="0"/>
    <x v="10"/>
    <x v="35"/>
    <x v="1"/>
    <x v="4"/>
    <x v="0"/>
    <n v="40.93"/>
    <n v="40.97"/>
    <n v="10.72"/>
    <n v="37.94"/>
  </r>
  <r>
    <x v="0"/>
    <x v="10"/>
    <x v="35"/>
    <x v="1"/>
    <x v="1"/>
    <x v="0"/>
    <n v="8.4700000000000006"/>
    <n v="8.48"/>
    <n v="0.53"/>
    <n v="7.8"/>
  </r>
  <r>
    <x v="0"/>
    <x v="10"/>
    <x v="35"/>
    <x v="1"/>
    <x v="2"/>
    <x v="0"/>
    <n v="0.54"/>
    <n v="0.54"/>
    <n v="0.01"/>
    <n v="0.48"/>
  </r>
  <r>
    <x v="0"/>
    <x v="10"/>
    <x v="35"/>
    <x v="1"/>
    <x v="1"/>
    <x v="1"/>
    <n v="6.26"/>
    <n v="6.27"/>
    <n v="0.12"/>
    <n v="6"/>
  </r>
  <r>
    <x v="0"/>
    <x v="10"/>
    <x v="35"/>
    <x v="2"/>
    <x v="4"/>
    <x v="0"/>
    <n v="2.57"/>
    <n v="2.58"/>
    <n v="0.64"/>
    <n v="2.5"/>
  </r>
  <r>
    <x v="0"/>
    <x v="10"/>
    <x v="35"/>
    <x v="2"/>
    <x v="4"/>
    <x v="3"/>
    <n v="1.75"/>
    <n v="1.75"/>
    <n v="0"/>
    <n v="1.75"/>
  </r>
  <r>
    <x v="0"/>
    <x v="10"/>
    <x v="35"/>
    <x v="2"/>
    <x v="0"/>
    <x v="0"/>
    <n v="3.57"/>
    <n v="3.58"/>
    <n v="2.4300000000000002"/>
    <n v="3.46"/>
  </r>
  <r>
    <x v="0"/>
    <x v="10"/>
    <x v="35"/>
    <x v="2"/>
    <x v="2"/>
    <x v="3"/>
    <n v="2.02"/>
    <n v="2.02"/>
    <n v="0"/>
    <n v="2.0099999999999998"/>
  </r>
  <r>
    <x v="0"/>
    <x v="10"/>
    <x v="35"/>
    <x v="4"/>
    <x v="4"/>
    <x v="2"/>
    <n v="1.02"/>
    <n v="1.02"/>
    <n v="0.05"/>
    <n v="0.9"/>
  </r>
  <r>
    <x v="0"/>
    <x v="10"/>
    <x v="35"/>
    <x v="4"/>
    <x v="1"/>
    <x v="2"/>
    <n v="2.2999999999999998"/>
    <n v="2.2999999999999998"/>
    <n v="0.06"/>
    <n v="2"/>
  </r>
  <r>
    <x v="0"/>
    <x v="10"/>
    <x v="35"/>
    <x v="4"/>
    <x v="2"/>
    <x v="2"/>
    <n v="0.59"/>
    <n v="0.59"/>
    <n v="0"/>
    <n v="0.51"/>
  </r>
  <r>
    <x v="0"/>
    <x v="10"/>
    <x v="35"/>
    <x v="1"/>
    <x v="4"/>
    <x v="2"/>
    <n v="2.25"/>
    <n v="2.25"/>
    <n v="0.05"/>
    <n v="1.96"/>
  </r>
  <r>
    <x v="0"/>
    <x v="10"/>
    <x v="35"/>
    <x v="1"/>
    <x v="1"/>
    <x v="2"/>
    <n v="2.11"/>
    <n v="2.11"/>
    <n v="0.02"/>
    <n v="1.87"/>
  </r>
  <r>
    <x v="0"/>
    <x v="10"/>
    <x v="35"/>
    <x v="1"/>
    <x v="2"/>
    <x v="2"/>
    <n v="2.57"/>
    <n v="2.57"/>
    <n v="0.01"/>
    <n v="2.29"/>
  </r>
  <r>
    <x v="0"/>
    <x v="10"/>
    <x v="35"/>
    <x v="1"/>
    <x v="3"/>
    <x v="2"/>
    <n v="1.6"/>
    <n v="1.6"/>
    <n v="0"/>
    <n v="1.42"/>
  </r>
  <r>
    <x v="0"/>
    <x v="10"/>
    <x v="35"/>
    <x v="2"/>
    <x v="3"/>
    <x v="3"/>
    <n v="0.13"/>
    <n v="0.13"/>
    <n v="0"/>
    <n v="0.13"/>
  </r>
  <r>
    <x v="0"/>
    <x v="10"/>
    <x v="35"/>
    <x v="2"/>
    <x v="3"/>
    <x v="2"/>
    <n v="0.74"/>
    <n v="0.74"/>
    <n v="0"/>
    <n v="0.74"/>
  </r>
  <r>
    <x v="0"/>
    <x v="10"/>
    <x v="35"/>
    <x v="1"/>
    <x v="4"/>
    <x v="1"/>
    <n v="1.22"/>
    <n v="1.22"/>
    <n v="0.06"/>
    <n v="1.22"/>
  </r>
  <r>
    <x v="0"/>
    <x v="10"/>
    <x v="35"/>
    <x v="4"/>
    <x v="0"/>
    <x v="1"/>
    <n v="0.83"/>
    <n v="0.83"/>
    <n v="0.06"/>
    <n v="0.78"/>
  </r>
  <r>
    <x v="0"/>
    <x v="10"/>
    <x v="35"/>
    <x v="4"/>
    <x v="4"/>
    <x v="1"/>
    <n v="0.55000000000000004"/>
    <n v="0.55000000000000004"/>
    <n v="0.03"/>
    <n v="0.52"/>
  </r>
  <r>
    <x v="0"/>
    <x v="10"/>
    <x v="35"/>
    <x v="0"/>
    <x v="0"/>
    <x v="1"/>
    <n v="0.71"/>
    <n v="0.71"/>
    <n v="0.03"/>
    <n v="0.68"/>
  </r>
  <r>
    <x v="0"/>
    <x v="10"/>
    <x v="35"/>
    <x v="0"/>
    <x v="4"/>
    <x v="1"/>
    <n v="2.0499999999999998"/>
    <n v="2.0499999999999998"/>
    <n v="0.11"/>
    <n v="1.9"/>
  </r>
  <r>
    <x v="0"/>
    <x v="10"/>
    <x v="35"/>
    <x v="0"/>
    <x v="1"/>
    <x v="1"/>
    <n v="0.74"/>
    <n v="0.74"/>
    <n v="0.01"/>
    <n v="0.68"/>
  </r>
  <r>
    <x v="0"/>
    <x v="10"/>
    <x v="35"/>
    <x v="0"/>
    <x v="2"/>
    <x v="1"/>
    <n v="0.09"/>
    <n v="0.09"/>
    <n v="0"/>
    <n v="0.09"/>
  </r>
  <r>
    <x v="0"/>
    <x v="10"/>
    <x v="35"/>
    <x v="0"/>
    <x v="3"/>
    <x v="1"/>
    <n v="0.27"/>
    <n v="0.27"/>
    <n v="0"/>
    <n v="0.27"/>
  </r>
  <r>
    <x v="0"/>
    <x v="10"/>
    <x v="35"/>
    <x v="1"/>
    <x v="0"/>
    <x v="1"/>
    <n v="1.9"/>
    <n v="1.9"/>
    <n v="0.13"/>
    <n v="1.88"/>
  </r>
  <r>
    <x v="0"/>
    <x v="10"/>
    <x v="35"/>
    <x v="2"/>
    <x v="2"/>
    <x v="2"/>
    <n v="0.26"/>
    <n v="0.26"/>
    <n v="0"/>
    <n v="0.26"/>
  </r>
  <r>
    <x v="0"/>
    <x v="2"/>
    <x v="36"/>
    <x v="1"/>
    <x v="4"/>
    <x v="2"/>
    <n v="0.76"/>
    <n v="0.76"/>
    <n v="0.02"/>
    <n v="0.67"/>
  </r>
  <r>
    <x v="0"/>
    <x v="2"/>
    <x v="36"/>
    <x v="0"/>
    <x v="4"/>
    <x v="0"/>
    <n v="3.74"/>
    <n v="3.75"/>
    <n v="1.1299999999999999"/>
    <n v="3.46"/>
  </r>
  <r>
    <x v="0"/>
    <x v="2"/>
    <x v="36"/>
    <x v="1"/>
    <x v="2"/>
    <x v="1"/>
    <n v="4.5199999999999996"/>
    <n v="4.5199999999999996"/>
    <n v="0.02"/>
    <n v="4.2699999999999996"/>
  </r>
  <r>
    <x v="0"/>
    <x v="2"/>
    <x v="36"/>
    <x v="1"/>
    <x v="3"/>
    <x v="1"/>
    <n v="0.01"/>
    <n v="0.01"/>
    <n v="0"/>
    <n v="0.01"/>
  </r>
  <r>
    <x v="0"/>
    <x v="2"/>
    <x v="36"/>
    <x v="2"/>
    <x v="4"/>
    <x v="1"/>
    <n v="0.02"/>
    <n v="0.02"/>
    <n v="0"/>
    <n v="0.02"/>
  </r>
  <r>
    <x v="0"/>
    <x v="2"/>
    <x v="36"/>
    <x v="2"/>
    <x v="2"/>
    <x v="1"/>
    <n v="0.14000000000000001"/>
    <n v="0.14000000000000001"/>
    <n v="0"/>
    <n v="0.14000000000000001"/>
  </r>
  <r>
    <x v="0"/>
    <x v="2"/>
    <x v="36"/>
    <x v="2"/>
    <x v="3"/>
    <x v="1"/>
    <n v="1.08"/>
    <n v="1.08"/>
    <n v="0"/>
    <n v="1.04"/>
  </r>
  <r>
    <x v="0"/>
    <x v="2"/>
    <x v="36"/>
    <x v="3"/>
    <x v="4"/>
    <x v="0"/>
    <n v="1.1200000000000001"/>
    <n v="1.1200000000000001"/>
    <n v="0.16"/>
    <n v="1.03"/>
  </r>
  <r>
    <x v="0"/>
    <x v="2"/>
    <x v="36"/>
    <x v="4"/>
    <x v="0"/>
    <x v="0"/>
    <n v="0.05"/>
    <n v="0.05"/>
    <n v="0.01"/>
    <n v="0.05"/>
  </r>
  <r>
    <x v="0"/>
    <x v="2"/>
    <x v="36"/>
    <x v="4"/>
    <x v="4"/>
    <x v="0"/>
    <n v="13.35"/>
    <n v="13.38"/>
    <n v="2.2400000000000002"/>
    <n v="12.36"/>
  </r>
  <r>
    <x v="0"/>
    <x v="2"/>
    <x v="36"/>
    <x v="1"/>
    <x v="1"/>
    <x v="1"/>
    <n v="2.0299999999999998"/>
    <n v="2.0299999999999998"/>
    <n v="0.03"/>
    <n v="1.91"/>
  </r>
  <r>
    <x v="0"/>
    <x v="2"/>
    <x v="36"/>
    <x v="0"/>
    <x v="0"/>
    <x v="0"/>
    <n v="1.05"/>
    <n v="1.05"/>
    <n v="0.56999999999999995"/>
    <n v="0.96"/>
  </r>
  <r>
    <x v="0"/>
    <x v="2"/>
    <x v="36"/>
    <x v="2"/>
    <x v="0"/>
    <x v="0"/>
    <n v="0.75"/>
    <n v="0.75"/>
    <n v="0.47"/>
    <n v="0.71"/>
  </r>
  <r>
    <x v="0"/>
    <x v="2"/>
    <x v="36"/>
    <x v="0"/>
    <x v="1"/>
    <x v="0"/>
    <n v="0.14000000000000001"/>
    <n v="0.14000000000000001"/>
    <n v="0.03"/>
    <n v="0.13"/>
  </r>
  <r>
    <x v="0"/>
    <x v="2"/>
    <x v="36"/>
    <x v="1"/>
    <x v="0"/>
    <x v="0"/>
    <n v="2.44"/>
    <n v="2.44"/>
    <n v="1.08"/>
    <n v="2.27"/>
  </r>
  <r>
    <x v="0"/>
    <x v="2"/>
    <x v="36"/>
    <x v="1"/>
    <x v="4"/>
    <x v="0"/>
    <n v="20.74"/>
    <n v="20.78"/>
    <n v="5.09"/>
    <n v="19.21"/>
  </r>
  <r>
    <x v="0"/>
    <x v="2"/>
    <x v="36"/>
    <x v="1"/>
    <x v="1"/>
    <x v="0"/>
    <n v="4.97"/>
    <n v="4.9800000000000004"/>
    <n v="0.26"/>
    <n v="4.6100000000000003"/>
  </r>
  <r>
    <x v="0"/>
    <x v="2"/>
    <x v="36"/>
    <x v="1"/>
    <x v="2"/>
    <x v="0"/>
    <n v="0.39"/>
    <n v="0.4"/>
    <n v="0.01"/>
    <n v="0.36"/>
  </r>
  <r>
    <x v="0"/>
    <x v="2"/>
    <x v="36"/>
    <x v="2"/>
    <x v="4"/>
    <x v="0"/>
    <n v="0.99"/>
    <n v="0.99"/>
    <n v="0.15"/>
    <n v="0.93"/>
  </r>
  <r>
    <x v="0"/>
    <x v="2"/>
    <x v="36"/>
    <x v="4"/>
    <x v="1"/>
    <x v="2"/>
    <n v="0.69"/>
    <n v="0.69"/>
    <n v="0.02"/>
    <n v="0.6"/>
  </r>
  <r>
    <x v="0"/>
    <x v="2"/>
    <x v="36"/>
    <x v="4"/>
    <x v="4"/>
    <x v="2"/>
    <n v="0.33"/>
    <n v="0.33"/>
    <n v="0.01"/>
    <n v="0.3"/>
  </r>
  <r>
    <x v="0"/>
    <x v="2"/>
    <x v="36"/>
    <x v="4"/>
    <x v="1"/>
    <x v="0"/>
    <n v="2.2400000000000002"/>
    <n v="2.2400000000000002"/>
    <n v="0.17"/>
    <n v="2.0699999999999998"/>
  </r>
  <r>
    <x v="0"/>
    <x v="2"/>
    <x v="36"/>
    <x v="1"/>
    <x v="1"/>
    <x v="2"/>
    <n v="0.82"/>
    <n v="0.82"/>
    <n v="0"/>
    <n v="0.75"/>
  </r>
  <r>
    <x v="0"/>
    <x v="2"/>
    <x v="36"/>
    <x v="2"/>
    <x v="2"/>
    <x v="0"/>
    <n v="0.41"/>
    <n v="0.41"/>
    <n v="0"/>
    <n v="0.37"/>
  </r>
  <r>
    <x v="0"/>
    <x v="2"/>
    <x v="36"/>
    <x v="1"/>
    <x v="4"/>
    <x v="1"/>
    <n v="0.69"/>
    <n v="0.69"/>
    <n v="0.02"/>
    <n v="0.67"/>
  </r>
  <r>
    <x v="0"/>
    <x v="2"/>
    <x v="36"/>
    <x v="4"/>
    <x v="2"/>
    <x v="2"/>
    <n v="0.19"/>
    <n v="0.19"/>
    <n v="0"/>
    <n v="0.17"/>
  </r>
  <r>
    <x v="0"/>
    <x v="2"/>
    <x v="36"/>
    <x v="1"/>
    <x v="2"/>
    <x v="2"/>
    <n v="0.25"/>
    <n v="0.25"/>
    <n v="0"/>
    <n v="0.22"/>
  </r>
  <r>
    <x v="0"/>
    <x v="2"/>
    <x v="36"/>
    <x v="1"/>
    <x v="3"/>
    <x v="2"/>
    <n v="1.07"/>
    <n v="1.07"/>
    <n v="0"/>
    <n v="0.94"/>
  </r>
  <r>
    <x v="0"/>
    <x v="2"/>
    <x v="36"/>
    <x v="2"/>
    <x v="2"/>
    <x v="2"/>
    <n v="0.09"/>
    <n v="0.09"/>
    <n v="0"/>
    <n v="0.09"/>
  </r>
  <r>
    <x v="0"/>
    <x v="2"/>
    <x v="36"/>
    <x v="2"/>
    <x v="3"/>
    <x v="2"/>
    <n v="1.74"/>
    <n v="1.75"/>
    <n v="0"/>
    <n v="1.59"/>
  </r>
  <r>
    <x v="0"/>
    <x v="2"/>
    <x v="36"/>
    <x v="2"/>
    <x v="0"/>
    <x v="3"/>
    <n v="0.09"/>
    <n v="0.09"/>
    <n v="0"/>
    <n v="0.08"/>
  </r>
  <r>
    <x v="0"/>
    <x v="2"/>
    <x v="36"/>
    <x v="2"/>
    <x v="4"/>
    <x v="3"/>
    <n v="0"/>
    <n v="0"/>
    <n v="0"/>
    <n v="0"/>
  </r>
  <r>
    <x v="0"/>
    <x v="2"/>
    <x v="36"/>
    <x v="2"/>
    <x v="1"/>
    <x v="3"/>
    <n v="0.56000000000000005"/>
    <n v="0.56000000000000005"/>
    <n v="0"/>
    <n v="0.56000000000000005"/>
  </r>
  <r>
    <x v="0"/>
    <x v="2"/>
    <x v="36"/>
    <x v="0"/>
    <x v="2"/>
    <x v="1"/>
    <n v="0.01"/>
    <n v="0.01"/>
    <n v="0"/>
    <n v="0.01"/>
  </r>
  <r>
    <x v="0"/>
    <x v="2"/>
    <x v="36"/>
    <x v="2"/>
    <x v="3"/>
    <x v="3"/>
    <n v="5.21"/>
    <n v="5.22"/>
    <n v="0"/>
    <n v="5.21"/>
  </r>
  <r>
    <x v="0"/>
    <x v="2"/>
    <x v="36"/>
    <x v="4"/>
    <x v="0"/>
    <x v="1"/>
    <n v="0.3"/>
    <n v="0.3"/>
    <n v="0.02"/>
    <n v="0.27"/>
  </r>
  <r>
    <x v="0"/>
    <x v="2"/>
    <x v="36"/>
    <x v="4"/>
    <x v="4"/>
    <x v="1"/>
    <n v="0.19"/>
    <n v="0.19"/>
    <n v="0.01"/>
    <n v="0.17"/>
  </r>
  <r>
    <x v="0"/>
    <x v="2"/>
    <x v="36"/>
    <x v="0"/>
    <x v="0"/>
    <x v="1"/>
    <n v="0.23"/>
    <n v="0.23"/>
    <n v="0.01"/>
    <n v="0.21"/>
  </r>
  <r>
    <x v="0"/>
    <x v="2"/>
    <x v="36"/>
    <x v="0"/>
    <x v="4"/>
    <x v="1"/>
    <n v="0.74"/>
    <n v="0.74"/>
    <n v="0.04"/>
    <n v="0.67"/>
  </r>
  <r>
    <x v="0"/>
    <x v="2"/>
    <x v="36"/>
    <x v="0"/>
    <x v="1"/>
    <x v="1"/>
    <n v="0.34"/>
    <n v="0.34"/>
    <n v="0"/>
    <n v="0.31"/>
  </r>
  <r>
    <x v="0"/>
    <x v="2"/>
    <x v="36"/>
    <x v="1"/>
    <x v="0"/>
    <x v="1"/>
    <n v="1.41"/>
    <n v="1.41"/>
    <n v="7.0000000000000007E-2"/>
    <n v="1.38"/>
  </r>
  <r>
    <x v="0"/>
    <x v="2"/>
    <x v="36"/>
    <x v="0"/>
    <x v="3"/>
    <x v="1"/>
    <n v="0.7"/>
    <n v="0.7"/>
    <n v="0"/>
    <n v="0.64"/>
  </r>
  <r>
    <x v="0"/>
    <x v="2"/>
    <x v="36"/>
    <x v="2"/>
    <x v="2"/>
    <x v="3"/>
    <n v="3.3"/>
    <n v="3.31"/>
    <n v="0"/>
    <n v="3.29"/>
  </r>
  <r>
    <x v="0"/>
    <x v="9"/>
    <x v="37"/>
    <x v="4"/>
    <x v="1"/>
    <x v="0"/>
    <n v="15.06"/>
    <n v="14.31"/>
    <n v="1.1000000000000001"/>
    <n v="13.92"/>
  </r>
  <r>
    <x v="0"/>
    <x v="9"/>
    <x v="37"/>
    <x v="4"/>
    <x v="4"/>
    <x v="0"/>
    <n v="120.13"/>
    <n v="114.16"/>
    <n v="19.8"/>
    <n v="110.54"/>
  </r>
  <r>
    <x v="0"/>
    <x v="9"/>
    <x v="37"/>
    <x v="4"/>
    <x v="0"/>
    <x v="0"/>
    <n v="1.0900000000000001"/>
    <n v="1.03"/>
    <n v="0.24"/>
    <n v="1.01"/>
  </r>
  <r>
    <x v="0"/>
    <x v="9"/>
    <x v="37"/>
    <x v="3"/>
    <x v="4"/>
    <x v="0"/>
    <n v="13.09"/>
    <n v="12.44"/>
    <n v="2.17"/>
    <n v="12.02"/>
  </r>
  <r>
    <x v="0"/>
    <x v="9"/>
    <x v="37"/>
    <x v="2"/>
    <x v="4"/>
    <x v="1"/>
    <n v="0.08"/>
    <n v="0.08"/>
    <n v="0"/>
    <n v="7.0000000000000007E-2"/>
  </r>
  <r>
    <x v="0"/>
    <x v="9"/>
    <x v="37"/>
    <x v="1"/>
    <x v="4"/>
    <x v="0"/>
    <n v="211.38"/>
    <n v="200.87"/>
    <n v="61.59"/>
    <n v="196.17"/>
  </r>
  <r>
    <x v="0"/>
    <x v="9"/>
    <x v="37"/>
    <x v="1"/>
    <x v="3"/>
    <x v="1"/>
    <n v="0.01"/>
    <n v="0.01"/>
    <n v="0"/>
    <n v="0.01"/>
  </r>
  <r>
    <x v="0"/>
    <x v="9"/>
    <x v="37"/>
    <x v="2"/>
    <x v="3"/>
    <x v="1"/>
    <n v="7.23"/>
    <n v="6.87"/>
    <n v="0.02"/>
    <n v="7.09"/>
  </r>
  <r>
    <x v="0"/>
    <x v="9"/>
    <x v="37"/>
    <x v="0"/>
    <x v="0"/>
    <x v="0"/>
    <n v="19.95"/>
    <n v="18.96"/>
    <n v="10.78"/>
    <n v="18.149999999999999"/>
  </r>
  <r>
    <x v="0"/>
    <x v="9"/>
    <x v="37"/>
    <x v="0"/>
    <x v="4"/>
    <x v="0"/>
    <n v="64.099999999999994"/>
    <n v="60.91"/>
    <n v="24.74"/>
    <n v="58.8"/>
  </r>
  <r>
    <x v="0"/>
    <x v="9"/>
    <x v="37"/>
    <x v="2"/>
    <x v="0"/>
    <x v="0"/>
    <n v="6.27"/>
    <n v="5.96"/>
    <n v="3.85"/>
    <n v="5.85"/>
  </r>
  <r>
    <x v="0"/>
    <x v="9"/>
    <x v="37"/>
    <x v="1"/>
    <x v="0"/>
    <x v="0"/>
    <n v="40.72"/>
    <n v="38.69"/>
    <n v="17.84"/>
    <n v="38.61"/>
  </r>
  <r>
    <x v="0"/>
    <x v="9"/>
    <x v="37"/>
    <x v="1"/>
    <x v="1"/>
    <x v="0"/>
    <n v="43.66"/>
    <n v="41.49"/>
    <n v="2.4500000000000002"/>
    <n v="40.31"/>
  </r>
  <r>
    <x v="0"/>
    <x v="9"/>
    <x v="37"/>
    <x v="4"/>
    <x v="1"/>
    <x v="2"/>
    <n v="8.83"/>
    <n v="8.39"/>
    <n v="0.2"/>
    <n v="7.68"/>
  </r>
  <r>
    <x v="0"/>
    <x v="9"/>
    <x v="37"/>
    <x v="1"/>
    <x v="2"/>
    <x v="0"/>
    <n v="2.93"/>
    <n v="2.78"/>
    <n v="7.0000000000000007E-2"/>
    <n v="2.65"/>
  </r>
  <r>
    <x v="0"/>
    <x v="9"/>
    <x v="37"/>
    <x v="1"/>
    <x v="2"/>
    <x v="1"/>
    <n v="19.71"/>
    <n v="18.73"/>
    <n v="0.11"/>
    <n v="18.579999999999998"/>
  </r>
  <r>
    <x v="0"/>
    <x v="9"/>
    <x v="37"/>
    <x v="2"/>
    <x v="2"/>
    <x v="3"/>
    <n v="7.81"/>
    <n v="7.42"/>
    <n v="0.01"/>
    <n v="7.8"/>
  </r>
  <r>
    <x v="0"/>
    <x v="9"/>
    <x v="37"/>
    <x v="0"/>
    <x v="1"/>
    <x v="0"/>
    <n v="3.91"/>
    <n v="3.72"/>
    <n v="0.83"/>
    <n v="3.56"/>
  </r>
  <r>
    <x v="0"/>
    <x v="9"/>
    <x v="37"/>
    <x v="2"/>
    <x v="3"/>
    <x v="3"/>
    <n v="1.58"/>
    <n v="1.5"/>
    <n v="0"/>
    <n v="1.58"/>
  </r>
  <r>
    <x v="0"/>
    <x v="9"/>
    <x v="37"/>
    <x v="2"/>
    <x v="4"/>
    <x v="0"/>
    <n v="7.06"/>
    <n v="6.71"/>
    <n v="1.81"/>
    <n v="6.57"/>
  </r>
  <r>
    <x v="0"/>
    <x v="9"/>
    <x v="37"/>
    <x v="4"/>
    <x v="2"/>
    <x v="2"/>
    <n v="2.4700000000000002"/>
    <n v="2.35"/>
    <n v="0.01"/>
    <n v="2.15"/>
  </r>
  <r>
    <x v="0"/>
    <x v="9"/>
    <x v="37"/>
    <x v="1"/>
    <x v="4"/>
    <x v="2"/>
    <n v="5.35"/>
    <n v="5.09"/>
    <n v="0.09"/>
    <n v="4.66"/>
  </r>
  <r>
    <x v="0"/>
    <x v="9"/>
    <x v="37"/>
    <x v="1"/>
    <x v="1"/>
    <x v="2"/>
    <n v="6.84"/>
    <n v="6.5"/>
    <n v="0.06"/>
    <n v="5.95"/>
  </r>
  <r>
    <x v="0"/>
    <x v="9"/>
    <x v="37"/>
    <x v="1"/>
    <x v="2"/>
    <x v="2"/>
    <n v="2.5499999999999998"/>
    <n v="2.42"/>
    <n v="0.01"/>
    <n v="2.2200000000000002"/>
  </r>
  <r>
    <x v="0"/>
    <x v="9"/>
    <x v="37"/>
    <x v="1"/>
    <x v="3"/>
    <x v="2"/>
    <n v="28.59"/>
    <n v="27.17"/>
    <n v="0.04"/>
    <n v="24.86"/>
  </r>
  <r>
    <x v="0"/>
    <x v="9"/>
    <x v="37"/>
    <x v="4"/>
    <x v="0"/>
    <x v="1"/>
    <n v="1.7"/>
    <n v="1.62"/>
    <n v="0.12"/>
    <n v="1.58"/>
  </r>
  <r>
    <x v="0"/>
    <x v="9"/>
    <x v="37"/>
    <x v="2"/>
    <x v="3"/>
    <x v="2"/>
    <n v="56.04"/>
    <n v="53.26"/>
    <n v="0.03"/>
    <n v="49.91"/>
  </r>
  <r>
    <x v="0"/>
    <x v="9"/>
    <x v="37"/>
    <x v="4"/>
    <x v="4"/>
    <x v="2"/>
    <n v="5.85"/>
    <n v="5.56"/>
    <n v="0.21"/>
    <n v="5.28"/>
  </r>
  <r>
    <x v="0"/>
    <x v="9"/>
    <x v="37"/>
    <x v="4"/>
    <x v="4"/>
    <x v="1"/>
    <n v="0.98"/>
    <n v="0.94"/>
    <n v="0.06"/>
    <n v="0.91"/>
  </r>
  <r>
    <x v="0"/>
    <x v="9"/>
    <x v="37"/>
    <x v="0"/>
    <x v="0"/>
    <x v="1"/>
    <n v="0.87"/>
    <n v="0.82"/>
    <n v="0.06"/>
    <n v="0.8"/>
  </r>
  <r>
    <x v="0"/>
    <x v="9"/>
    <x v="37"/>
    <x v="0"/>
    <x v="4"/>
    <x v="1"/>
    <n v="3.91"/>
    <n v="3.72"/>
    <n v="0.21"/>
    <n v="3.62"/>
  </r>
  <r>
    <x v="0"/>
    <x v="9"/>
    <x v="37"/>
    <x v="0"/>
    <x v="1"/>
    <x v="1"/>
    <n v="1.59"/>
    <n v="1.51"/>
    <n v="0.02"/>
    <n v="1.47"/>
  </r>
  <r>
    <x v="0"/>
    <x v="9"/>
    <x v="37"/>
    <x v="0"/>
    <x v="3"/>
    <x v="1"/>
    <n v="3.37"/>
    <n v="3.21"/>
    <n v="0"/>
    <n v="3.12"/>
  </r>
  <r>
    <x v="0"/>
    <x v="9"/>
    <x v="37"/>
    <x v="1"/>
    <x v="0"/>
    <x v="1"/>
    <n v="3.17"/>
    <n v="3.01"/>
    <n v="0.32"/>
    <n v="3.04"/>
  </r>
  <r>
    <x v="0"/>
    <x v="9"/>
    <x v="37"/>
    <x v="1"/>
    <x v="4"/>
    <x v="1"/>
    <n v="2.63"/>
    <n v="2.5"/>
    <n v="0.13"/>
    <n v="2.59"/>
  </r>
  <r>
    <x v="0"/>
    <x v="9"/>
    <x v="37"/>
    <x v="1"/>
    <x v="1"/>
    <x v="1"/>
    <n v="11.39"/>
    <n v="10.82"/>
    <n v="0.17"/>
    <n v="10.82"/>
  </r>
  <r>
    <x v="0"/>
    <x v="9"/>
    <x v="37"/>
    <x v="2"/>
    <x v="2"/>
    <x v="2"/>
    <n v="0.15"/>
    <n v="0.14000000000000001"/>
    <n v="0"/>
    <n v="0.15"/>
  </r>
  <r>
    <x v="0"/>
    <x v="7"/>
    <x v="38"/>
    <x v="1"/>
    <x v="2"/>
    <x v="1"/>
    <n v="4.7"/>
    <n v="4.7"/>
    <n v="0.03"/>
    <n v="4.4400000000000004"/>
  </r>
  <r>
    <x v="0"/>
    <x v="7"/>
    <x v="38"/>
    <x v="0"/>
    <x v="1"/>
    <x v="0"/>
    <n v="0.2"/>
    <n v="0.2"/>
    <n v="0.04"/>
    <n v="0.18"/>
  </r>
  <r>
    <x v="0"/>
    <x v="7"/>
    <x v="38"/>
    <x v="1"/>
    <x v="4"/>
    <x v="1"/>
    <n v="0.61"/>
    <n v="0.61"/>
    <n v="0.03"/>
    <n v="0.61"/>
  </r>
  <r>
    <x v="0"/>
    <x v="7"/>
    <x v="38"/>
    <x v="2"/>
    <x v="4"/>
    <x v="1"/>
    <n v="0.02"/>
    <n v="0.02"/>
    <n v="0"/>
    <n v="0.02"/>
  </r>
  <r>
    <x v="0"/>
    <x v="7"/>
    <x v="38"/>
    <x v="2"/>
    <x v="3"/>
    <x v="1"/>
    <n v="0.41"/>
    <n v="0.41"/>
    <n v="0"/>
    <n v="0.41"/>
  </r>
  <r>
    <x v="0"/>
    <x v="7"/>
    <x v="38"/>
    <x v="3"/>
    <x v="4"/>
    <x v="0"/>
    <n v="0.94"/>
    <n v="0.94"/>
    <n v="0.12"/>
    <n v="0.86"/>
  </r>
  <r>
    <x v="0"/>
    <x v="7"/>
    <x v="38"/>
    <x v="4"/>
    <x v="0"/>
    <x v="0"/>
    <n v="0.04"/>
    <n v="0.04"/>
    <n v="0.01"/>
    <n v="0.03"/>
  </r>
  <r>
    <x v="0"/>
    <x v="7"/>
    <x v="38"/>
    <x v="4"/>
    <x v="4"/>
    <x v="0"/>
    <n v="10.67"/>
    <n v="10.67"/>
    <n v="1.81"/>
    <n v="9.9"/>
  </r>
  <r>
    <x v="0"/>
    <x v="7"/>
    <x v="38"/>
    <x v="4"/>
    <x v="1"/>
    <x v="0"/>
    <n v="1.21"/>
    <n v="1.21"/>
    <n v="0.09"/>
    <n v="1.1100000000000001"/>
  </r>
  <r>
    <x v="0"/>
    <x v="7"/>
    <x v="38"/>
    <x v="1"/>
    <x v="4"/>
    <x v="2"/>
    <n v="1.1200000000000001"/>
    <n v="1.1200000000000001"/>
    <n v="0.03"/>
    <n v="0.98"/>
  </r>
  <r>
    <x v="0"/>
    <x v="7"/>
    <x v="38"/>
    <x v="0"/>
    <x v="4"/>
    <x v="0"/>
    <n v="9.58"/>
    <n v="9.58"/>
    <n v="2.89"/>
    <n v="8.86"/>
  </r>
  <r>
    <x v="0"/>
    <x v="7"/>
    <x v="38"/>
    <x v="1"/>
    <x v="1"/>
    <x v="1"/>
    <n v="3.13"/>
    <n v="3.13"/>
    <n v="0.06"/>
    <n v="3"/>
  </r>
  <r>
    <x v="0"/>
    <x v="7"/>
    <x v="38"/>
    <x v="0"/>
    <x v="2"/>
    <x v="0"/>
    <n v="0.18"/>
    <n v="0.18"/>
    <n v="0"/>
    <n v="0.17"/>
  </r>
  <r>
    <x v="0"/>
    <x v="7"/>
    <x v="38"/>
    <x v="1"/>
    <x v="0"/>
    <x v="0"/>
    <n v="2.83"/>
    <n v="2.83"/>
    <n v="1.3"/>
    <n v="2.63"/>
  </r>
  <r>
    <x v="0"/>
    <x v="7"/>
    <x v="38"/>
    <x v="1"/>
    <x v="4"/>
    <x v="0"/>
    <n v="20.47"/>
    <n v="20.46"/>
    <n v="5.36"/>
    <n v="18.97"/>
  </r>
  <r>
    <x v="0"/>
    <x v="7"/>
    <x v="38"/>
    <x v="1"/>
    <x v="1"/>
    <x v="0"/>
    <n v="4.2300000000000004"/>
    <n v="4.2300000000000004"/>
    <n v="0.26"/>
    <n v="3.9"/>
  </r>
  <r>
    <x v="0"/>
    <x v="7"/>
    <x v="38"/>
    <x v="1"/>
    <x v="2"/>
    <x v="0"/>
    <n v="0.27"/>
    <n v="0.27"/>
    <n v="0.01"/>
    <n v="0.24"/>
  </r>
  <r>
    <x v="0"/>
    <x v="7"/>
    <x v="38"/>
    <x v="2"/>
    <x v="0"/>
    <x v="0"/>
    <n v="1.79"/>
    <n v="1.79"/>
    <n v="1.22"/>
    <n v="1.73"/>
  </r>
  <r>
    <x v="0"/>
    <x v="7"/>
    <x v="38"/>
    <x v="2"/>
    <x v="4"/>
    <x v="0"/>
    <n v="1.29"/>
    <n v="1.29"/>
    <n v="0.32"/>
    <n v="1.25"/>
  </r>
  <r>
    <x v="0"/>
    <x v="7"/>
    <x v="38"/>
    <x v="0"/>
    <x v="0"/>
    <x v="0"/>
    <n v="2.8"/>
    <n v="2.8"/>
    <n v="1.54"/>
    <n v="2.5299999999999998"/>
  </r>
  <r>
    <x v="0"/>
    <x v="7"/>
    <x v="38"/>
    <x v="4"/>
    <x v="0"/>
    <x v="1"/>
    <n v="0.42"/>
    <n v="0.42"/>
    <n v="0.03"/>
    <n v="0.39"/>
  </r>
  <r>
    <x v="0"/>
    <x v="7"/>
    <x v="38"/>
    <x v="4"/>
    <x v="1"/>
    <x v="2"/>
    <n v="1.1499999999999999"/>
    <n v="1.1499999999999999"/>
    <n v="0.03"/>
    <n v="1"/>
  </r>
  <r>
    <x v="0"/>
    <x v="7"/>
    <x v="38"/>
    <x v="4"/>
    <x v="2"/>
    <x v="2"/>
    <n v="0.28999999999999998"/>
    <n v="0.28999999999999998"/>
    <n v="0"/>
    <n v="0.25"/>
  </r>
  <r>
    <x v="0"/>
    <x v="7"/>
    <x v="38"/>
    <x v="1"/>
    <x v="1"/>
    <x v="2"/>
    <n v="1.05"/>
    <n v="1.05"/>
    <n v="0.01"/>
    <n v="0.94"/>
  </r>
  <r>
    <x v="0"/>
    <x v="7"/>
    <x v="38"/>
    <x v="1"/>
    <x v="3"/>
    <x v="2"/>
    <n v="0.8"/>
    <n v="0.8"/>
    <n v="0"/>
    <n v="0.71"/>
  </r>
  <r>
    <x v="0"/>
    <x v="7"/>
    <x v="38"/>
    <x v="2"/>
    <x v="2"/>
    <x v="2"/>
    <n v="0.13"/>
    <n v="0.13"/>
    <n v="0"/>
    <n v="0.13"/>
  </r>
  <r>
    <x v="0"/>
    <x v="7"/>
    <x v="38"/>
    <x v="2"/>
    <x v="3"/>
    <x v="2"/>
    <n v="0.37"/>
    <n v="0.37"/>
    <n v="0"/>
    <n v="0.37"/>
  </r>
  <r>
    <x v="0"/>
    <x v="7"/>
    <x v="38"/>
    <x v="2"/>
    <x v="4"/>
    <x v="3"/>
    <n v="0.87"/>
    <n v="0.87"/>
    <n v="0"/>
    <n v="0.87"/>
  </r>
  <r>
    <x v="0"/>
    <x v="7"/>
    <x v="38"/>
    <x v="1"/>
    <x v="3"/>
    <x v="1"/>
    <n v="0.02"/>
    <n v="0.02"/>
    <n v="0"/>
    <n v="0.02"/>
  </r>
  <r>
    <x v="0"/>
    <x v="7"/>
    <x v="38"/>
    <x v="2"/>
    <x v="3"/>
    <x v="3"/>
    <n v="0.06"/>
    <n v="0.06"/>
    <n v="0"/>
    <n v="0.06"/>
  </r>
  <r>
    <x v="0"/>
    <x v="7"/>
    <x v="38"/>
    <x v="4"/>
    <x v="4"/>
    <x v="2"/>
    <n v="0.51"/>
    <n v="0.51"/>
    <n v="0.02"/>
    <n v="0.45"/>
  </r>
  <r>
    <x v="0"/>
    <x v="7"/>
    <x v="38"/>
    <x v="4"/>
    <x v="4"/>
    <x v="1"/>
    <n v="0.27"/>
    <n v="0.27"/>
    <n v="0.02"/>
    <n v="0.26"/>
  </r>
  <r>
    <x v="0"/>
    <x v="7"/>
    <x v="38"/>
    <x v="0"/>
    <x v="0"/>
    <x v="1"/>
    <n v="0.36"/>
    <n v="0.36"/>
    <n v="0.02"/>
    <n v="0.34"/>
  </r>
  <r>
    <x v="0"/>
    <x v="7"/>
    <x v="38"/>
    <x v="0"/>
    <x v="4"/>
    <x v="1"/>
    <n v="1.02"/>
    <n v="1.02"/>
    <n v="0.05"/>
    <n v="0.95"/>
  </r>
  <r>
    <x v="0"/>
    <x v="7"/>
    <x v="38"/>
    <x v="0"/>
    <x v="1"/>
    <x v="1"/>
    <n v="0.37"/>
    <n v="0.37"/>
    <n v="0.01"/>
    <n v="0.34"/>
  </r>
  <r>
    <x v="0"/>
    <x v="7"/>
    <x v="38"/>
    <x v="0"/>
    <x v="2"/>
    <x v="1"/>
    <n v="0.04"/>
    <n v="0.04"/>
    <n v="0"/>
    <n v="0.04"/>
  </r>
  <r>
    <x v="0"/>
    <x v="7"/>
    <x v="38"/>
    <x v="0"/>
    <x v="3"/>
    <x v="1"/>
    <n v="0.14000000000000001"/>
    <n v="0.14000000000000001"/>
    <n v="0"/>
    <n v="0.14000000000000001"/>
  </r>
  <r>
    <x v="0"/>
    <x v="7"/>
    <x v="38"/>
    <x v="1"/>
    <x v="0"/>
    <x v="1"/>
    <n v="0.95"/>
    <n v="0.95"/>
    <n v="7.0000000000000007E-2"/>
    <n v="0.94"/>
  </r>
  <r>
    <x v="0"/>
    <x v="7"/>
    <x v="38"/>
    <x v="2"/>
    <x v="2"/>
    <x v="3"/>
    <n v="1.01"/>
    <n v="1.01"/>
    <n v="0"/>
    <n v="1.01"/>
  </r>
  <r>
    <x v="0"/>
    <x v="7"/>
    <x v="38"/>
    <x v="1"/>
    <x v="2"/>
    <x v="2"/>
    <n v="1.29"/>
    <n v="1.29"/>
    <n v="0"/>
    <n v="1.1399999999999999"/>
  </r>
  <r>
    <x v="0"/>
    <x v="1"/>
    <x v="39"/>
    <x v="2"/>
    <x v="2"/>
    <x v="3"/>
    <n v="25.22"/>
    <n v="27.48"/>
    <n v="0.01"/>
    <n v="25.22"/>
  </r>
  <r>
    <x v="0"/>
    <x v="1"/>
    <x v="39"/>
    <x v="1"/>
    <x v="0"/>
    <x v="1"/>
    <n v="5.99"/>
    <n v="6.52"/>
    <n v="0.42"/>
    <n v="5.0199999999999996"/>
  </r>
  <r>
    <x v="0"/>
    <x v="1"/>
    <x v="39"/>
    <x v="0"/>
    <x v="3"/>
    <x v="1"/>
    <n v="28.95"/>
    <n v="31.54"/>
    <n v="0.01"/>
    <n v="12.06"/>
  </r>
  <r>
    <x v="0"/>
    <x v="1"/>
    <x v="39"/>
    <x v="0"/>
    <x v="1"/>
    <x v="1"/>
    <n v="5.22"/>
    <n v="5.68"/>
    <n v="0.14000000000000001"/>
    <n v="4.3499999999999996"/>
  </r>
  <r>
    <x v="0"/>
    <x v="1"/>
    <x v="39"/>
    <x v="0"/>
    <x v="4"/>
    <x v="1"/>
    <n v="2.78"/>
    <n v="3.03"/>
    <n v="0.12"/>
    <n v="2.31"/>
  </r>
  <r>
    <x v="0"/>
    <x v="1"/>
    <x v="39"/>
    <x v="0"/>
    <x v="0"/>
    <x v="1"/>
    <n v="0.28999999999999998"/>
    <n v="0.32"/>
    <n v="0.01"/>
    <n v="0.24"/>
  </r>
  <r>
    <x v="0"/>
    <x v="1"/>
    <x v="39"/>
    <x v="4"/>
    <x v="4"/>
    <x v="1"/>
    <n v="0.54"/>
    <n v="0.59"/>
    <n v="0.03"/>
    <n v="0.45"/>
  </r>
  <r>
    <x v="0"/>
    <x v="1"/>
    <x v="39"/>
    <x v="2"/>
    <x v="3"/>
    <x v="3"/>
    <n v="7.61"/>
    <n v="8.2899999999999991"/>
    <n v="0"/>
    <n v="7.61"/>
  </r>
  <r>
    <x v="0"/>
    <x v="1"/>
    <x v="39"/>
    <x v="1"/>
    <x v="2"/>
    <x v="1"/>
    <n v="32.659999999999997"/>
    <n v="35.58"/>
    <n v="0.15"/>
    <n v="27.23"/>
  </r>
  <r>
    <x v="0"/>
    <x v="1"/>
    <x v="39"/>
    <x v="2"/>
    <x v="3"/>
    <x v="2"/>
    <n v="4.43"/>
    <n v="4.83"/>
    <n v="0"/>
    <n v="2.2200000000000002"/>
  </r>
  <r>
    <x v="0"/>
    <x v="1"/>
    <x v="39"/>
    <x v="2"/>
    <x v="2"/>
    <x v="2"/>
    <n v="1.1599999999999999"/>
    <n v="1.26"/>
    <n v="0.01"/>
    <n v="1.1599999999999999"/>
  </r>
  <r>
    <x v="0"/>
    <x v="1"/>
    <x v="39"/>
    <x v="1"/>
    <x v="3"/>
    <x v="2"/>
    <n v="4.32"/>
    <n v="4.71"/>
    <n v="0.01"/>
    <n v="4.32"/>
  </r>
  <r>
    <x v="0"/>
    <x v="1"/>
    <x v="39"/>
    <x v="1"/>
    <x v="2"/>
    <x v="2"/>
    <n v="4"/>
    <n v="4.3600000000000003"/>
    <n v="0.01"/>
    <n v="4"/>
  </r>
  <r>
    <x v="0"/>
    <x v="1"/>
    <x v="39"/>
    <x v="1"/>
    <x v="4"/>
    <x v="2"/>
    <n v="6.37"/>
    <n v="6.94"/>
    <n v="0.14000000000000001"/>
    <n v="5.0999999999999996"/>
  </r>
  <r>
    <x v="0"/>
    <x v="1"/>
    <x v="39"/>
    <x v="4"/>
    <x v="4"/>
    <x v="2"/>
    <n v="3.4"/>
    <n v="3.7"/>
    <n v="0.05"/>
    <n v="2.8"/>
  </r>
  <r>
    <x v="0"/>
    <x v="1"/>
    <x v="39"/>
    <x v="4"/>
    <x v="0"/>
    <x v="1"/>
    <n v="0.82"/>
    <n v="0.9"/>
    <n v="0.05"/>
    <n v="0.69"/>
  </r>
  <r>
    <x v="0"/>
    <x v="1"/>
    <x v="39"/>
    <x v="0"/>
    <x v="0"/>
    <x v="0"/>
    <n v="3.17"/>
    <n v="3.46"/>
    <n v="1.21"/>
    <n v="2.71"/>
  </r>
  <r>
    <x v="0"/>
    <x v="1"/>
    <x v="39"/>
    <x v="2"/>
    <x v="4"/>
    <x v="0"/>
    <n v="3.75"/>
    <n v="4.08"/>
    <n v="1.28"/>
    <n v="3.21"/>
  </r>
  <r>
    <x v="0"/>
    <x v="1"/>
    <x v="39"/>
    <x v="2"/>
    <x v="0"/>
    <x v="0"/>
    <n v="3.12"/>
    <n v="3.4"/>
    <n v="2.83"/>
    <n v="2.83"/>
  </r>
  <r>
    <x v="0"/>
    <x v="1"/>
    <x v="39"/>
    <x v="1"/>
    <x v="2"/>
    <x v="0"/>
    <n v="1.49"/>
    <n v="1.62"/>
    <n v="0.04"/>
    <n v="1.26"/>
  </r>
  <r>
    <x v="0"/>
    <x v="1"/>
    <x v="39"/>
    <x v="1"/>
    <x v="1"/>
    <x v="0"/>
    <n v="43.43"/>
    <n v="47.31"/>
    <n v="2.34"/>
    <n v="36.880000000000003"/>
  </r>
  <r>
    <x v="0"/>
    <x v="1"/>
    <x v="39"/>
    <x v="1"/>
    <x v="4"/>
    <x v="0"/>
    <n v="135.74"/>
    <n v="147.86000000000001"/>
    <n v="28.06"/>
    <n v="116.31"/>
  </r>
  <r>
    <x v="0"/>
    <x v="1"/>
    <x v="39"/>
    <x v="1"/>
    <x v="0"/>
    <x v="0"/>
    <n v="4.8"/>
    <n v="5.22"/>
    <n v="2.71"/>
    <n v="4.2699999999999996"/>
  </r>
  <r>
    <x v="0"/>
    <x v="1"/>
    <x v="39"/>
    <x v="1"/>
    <x v="4"/>
    <x v="1"/>
    <n v="3.3"/>
    <n v="3.59"/>
    <n v="0.14000000000000001"/>
    <n v="2.72"/>
  </r>
  <r>
    <x v="0"/>
    <x v="1"/>
    <x v="39"/>
    <x v="0"/>
    <x v="4"/>
    <x v="0"/>
    <n v="1.27"/>
    <n v="1.38"/>
    <n v="0.37"/>
    <n v="1.1399999999999999"/>
  </r>
  <r>
    <x v="0"/>
    <x v="1"/>
    <x v="39"/>
    <x v="1"/>
    <x v="1"/>
    <x v="1"/>
    <n v="13.37"/>
    <n v="14.57"/>
    <n v="0.12"/>
    <n v="11.14"/>
  </r>
  <r>
    <x v="0"/>
    <x v="1"/>
    <x v="39"/>
    <x v="4"/>
    <x v="1"/>
    <x v="0"/>
    <n v="6.57"/>
    <n v="7.16"/>
    <n v="0.5"/>
    <n v="5.88"/>
  </r>
  <r>
    <x v="0"/>
    <x v="1"/>
    <x v="39"/>
    <x v="4"/>
    <x v="4"/>
    <x v="0"/>
    <n v="38.39"/>
    <n v="41.83"/>
    <n v="6.89"/>
    <n v="32.42"/>
  </r>
  <r>
    <x v="0"/>
    <x v="1"/>
    <x v="39"/>
    <x v="3"/>
    <x v="4"/>
    <x v="0"/>
    <n v="0.88"/>
    <n v="0.96"/>
    <n v="0.17"/>
    <n v="0.78"/>
  </r>
  <r>
    <x v="0"/>
    <x v="1"/>
    <x v="39"/>
    <x v="2"/>
    <x v="3"/>
    <x v="1"/>
    <n v="9.73"/>
    <n v="10.6"/>
    <n v="0.02"/>
    <n v="6.06"/>
  </r>
  <r>
    <x v="0"/>
    <x v="1"/>
    <x v="39"/>
    <x v="2"/>
    <x v="4"/>
    <x v="1"/>
    <n v="1.82"/>
    <n v="1.98"/>
    <n v="0.01"/>
    <n v="1.82"/>
  </r>
  <r>
    <x v="0"/>
    <x v="1"/>
    <x v="39"/>
    <x v="1"/>
    <x v="3"/>
    <x v="1"/>
    <n v="0.56000000000000005"/>
    <n v="0.61"/>
    <n v="0"/>
    <n v="0.56000000000000005"/>
  </r>
  <r>
    <x v="0"/>
    <x v="1"/>
    <x v="39"/>
    <x v="4"/>
    <x v="1"/>
    <x v="2"/>
    <n v="3.63"/>
    <n v="3.95"/>
    <n v="0.06"/>
    <n v="2.9"/>
  </r>
  <r>
    <x v="0"/>
    <x v="1"/>
    <x v="39"/>
    <x v="0"/>
    <x v="1"/>
    <x v="0"/>
    <n v="6.25"/>
    <n v="6.81"/>
    <n v="0.37"/>
    <n v="5.27"/>
  </r>
  <r>
    <x v="0"/>
    <x v="1"/>
    <x v="39"/>
    <x v="1"/>
    <x v="1"/>
    <x v="2"/>
    <n v="3.01"/>
    <n v="3.28"/>
    <n v="0.05"/>
    <n v="3.01"/>
  </r>
  <r>
    <x v="0"/>
    <x v="10"/>
    <x v="40"/>
    <x v="4"/>
    <x v="4"/>
    <x v="0"/>
    <n v="32.39"/>
    <n v="24.57"/>
    <n v="5.31"/>
    <n v="30.45"/>
  </r>
  <r>
    <x v="0"/>
    <x v="10"/>
    <x v="40"/>
    <x v="1"/>
    <x v="1"/>
    <x v="1"/>
    <n v="12.07"/>
    <n v="9.16"/>
    <n v="0.16"/>
    <n v="11.44"/>
  </r>
  <r>
    <x v="0"/>
    <x v="10"/>
    <x v="40"/>
    <x v="1"/>
    <x v="2"/>
    <x v="1"/>
    <n v="21.25"/>
    <n v="16.12"/>
    <n v="0.1"/>
    <n v="19.89"/>
  </r>
  <r>
    <x v="0"/>
    <x v="10"/>
    <x v="40"/>
    <x v="1"/>
    <x v="3"/>
    <x v="1"/>
    <n v="0.02"/>
    <n v="0.01"/>
    <n v="0"/>
    <n v="0.01"/>
  </r>
  <r>
    <x v="0"/>
    <x v="10"/>
    <x v="40"/>
    <x v="2"/>
    <x v="4"/>
    <x v="1"/>
    <n v="0.11"/>
    <n v="0.08"/>
    <n v="0"/>
    <n v="0.1"/>
  </r>
  <r>
    <x v="0"/>
    <x v="10"/>
    <x v="40"/>
    <x v="2"/>
    <x v="3"/>
    <x v="1"/>
    <n v="0.93"/>
    <n v="0.71"/>
    <n v="0.01"/>
    <n v="0.93"/>
  </r>
  <r>
    <x v="0"/>
    <x v="10"/>
    <x v="40"/>
    <x v="1"/>
    <x v="4"/>
    <x v="0"/>
    <n v="67.34"/>
    <n v="51.09"/>
    <n v="18.37"/>
    <n v="62.43"/>
  </r>
  <r>
    <x v="0"/>
    <x v="10"/>
    <x v="40"/>
    <x v="4"/>
    <x v="0"/>
    <x v="0"/>
    <n v="0.16"/>
    <n v="0.12"/>
    <n v="0.04"/>
    <n v="0.15"/>
  </r>
  <r>
    <x v="0"/>
    <x v="10"/>
    <x v="40"/>
    <x v="0"/>
    <x v="1"/>
    <x v="1"/>
    <n v="1.94"/>
    <n v="1.47"/>
    <n v="0.03"/>
    <n v="1.8"/>
  </r>
  <r>
    <x v="0"/>
    <x v="10"/>
    <x v="40"/>
    <x v="4"/>
    <x v="1"/>
    <x v="0"/>
    <n v="3.57"/>
    <n v="2.71"/>
    <n v="0.26"/>
    <n v="3.31"/>
  </r>
  <r>
    <x v="0"/>
    <x v="10"/>
    <x v="40"/>
    <x v="0"/>
    <x v="0"/>
    <x v="0"/>
    <n v="4.1399999999999997"/>
    <n v="3.14"/>
    <n v="2.2400000000000002"/>
    <n v="3.74"/>
  </r>
  <r>
    <x v="0"/>
    <x v="10"/>
    <x v="40"/>
    <x v="0"/>
    <x v="4"/>
    <x v="0"/>
    <n v="22.77"/>
    <n v="17.28"/>
    <n v="6.66"/>
    <n v="20.89"/>
  </r>
  <r>
    <x v="0"/>
    <x v="10"/>
    <x v="40"/>
    <x v="0"/>
    <x v="1"/>
    <x v="0"/>
    <n v="1.05"/>
    <n v="0.8"/>
    <n v="0.21"/>
    <n v="0.95"/>
  </r>
  <r>
    <x v="0"/>
    <x v="10"/>
    <x v="40"/>
    <x v="1"/>
    <x v="0"/>
    <x v="0"/>
    <n v="7.41"/>
    <n v="5.62"/>
    <n v="3.87"/>
    <n v="6.9"/>
  </r>
  <r>
    <x v="0"/>
    <x v="10"/>
    <x v="40"/>
    <x v="3"/>
    <x v="4"/>
    <x v="0"/>
    <n v="2.73"/>
    <n v="2.0699999999999998"/>
    <n v="0.35"/>
    <n v="2.5"/>
  </r>
  <r>
    <x v="0"/>
    <x v="10"/>
    <x v="40"/>
    <x v="1"/>
    <x v="0"/>
    <x v="1"/>
    <n v="2.4900000000000002"/>
    <n v="1.89"/>
    <n v="0.15"/>
    <n v="2.44"/>
  </r>
  <r>
    <x v="0"/>
    <x v="10"/>
    <x v="40"/>
    <x v="4"/>
    <x v="0"/>
    <x v="1"/>
    <n v="2.12"/>
    <n v="1.61"/>
    <n v="0.14000000000000001"/>
    <n v="1.97"/>
  </r>
  <r>
    <x v="0"/>
    <x v="10"/>
    <x v="40"/>
    <x v="0"/>
    <x v="4"/>
    <x v="1"/>
    <n v="5.21"/>
    <n v="3.95"/>
    <n v="0.25"/>
    <n v="4.8099999999999996"/>
  </r>
  <r>
    <x v="0"/>
    <x v="10"/>
    <x v="40"/>
    <x v="0"/>
    <x v="0"/>
    <x v="1"/>
    <n v="1.41"/>
    <n v="1.07"/>
    <n v="0.09"/>
    <n v="1.3"/>
  </r>
  <r>
    <x v="0"/>
    <x v="10"/>
    <x v="40"/>
    <x v="4"/>
    <x v="4"/>
    <x v="1"/>
    <n v="1.1100000000000001"/>
    <n v="0.84"/>
    <n v="7.0000000000000007E-2"/>
    <n v="1.04"/>
  </r>
  <r>
    <x v="0"/>
    <x v="10"/>
    <x v="40"/>
    <x v="2"/>
    <x v="3"/>
    <x v="3"/>
    <n v="0.97"/>
    <n v="0.74"/>
    <n v="0"/>
    <n v="0.97"/>
  </r>
  <r>
    <x v="0"/>
    <x v="10"/>
    <x v="40"/>
    <x v="2"/>
    <x v="3"/>
    <x v="2"/>
    <n v="5.59"/>
    <n v="4.24"/>
    <n v="0"/>
    <n v="5.59"/>
  </r>
  <r>
    <x v="0"/>
    <x v="10"/>
    <x v="40"/>
    <x v="2"/>
    <x v="2"/>
    <x v="2"/>
    <n v="0.48"/>
    <n v="0.36"/>
    <n v="0"/>
    <n v="0.48"/>
  </r>
  <r>
    <x v="0"/>
    <x v="10"/>
    <x v="40"/>
    <x v="1"/>
    <x v="3"/>
    <x v="2"/>
    <n v="0.79"/>
    <n v="0.6"/>
    <n v="0"/>
    <n v="0.7"/>
  </r>
  <r>
    <x v="0"/>
    <x v="10"/>
    <x v="40"/>
    <x v="1"/>
    <x v="1"/>
    <x v="2"/>
    <n v="0.46"/>
    <n v="0.35"/>
    <n v="0"/>
    <n v="0.41"/>
  </r>
  <r>
    <x v="0"/>
    <x v="10"/>
    <x v="40"/>
    <x v="1"/>
    <x v="4"/>
    <x v="2"/>
    <n v="1.35"/>
    <n v="1.02"/>
    <n v="0.02"/>
    <n v="1.19"/>
  </r>
  <r>
    <x v="0"/>
    <x v="10"/>
    <x v="40"/>
    <x v="4"/>
    <x v="2"/>
    <x v="2"/>
    <n v="0.38"/>
    <n v="0.28999999999999998"/>
    <n v="0"/>
    <n v="0.33"/>
  </r>
  <r>
    <x v="0"/>
    <x v="10"/>
    <x v="40"/>
    <x v="4"/>
    <x v="1"/>
    <x v="2"/>
    <n v="6.95"/>
    <n v="5.27"/>
    <n v="0.1"/>
    <n v="6.06"/>
  </r>
  <r>
    <x v="0"/>
    <x v="10"/>
    <x v="40"/>
    <x v="4"/>
    <x v="4"/>
    <x v="2"/>
    <n v="1.25"/>
    <n v="0.95"/>
    <n v="0.04"/>
    <n v="1.1200000000000001"/>
  </r>
  <r>
    <x v="0"/>
    <x v="10"/>
    <x v="40"/>
    <x v="1"/>
    <x v="4"/>
    <x v="1"/>
    <n v="1.49"/>
    <n v="1.1299999999999999"/>
    <n v="0.06"/>
    <n v="1.49"/>
  </r>
  <r>
    <x v="0"/>
    <x v="10"/>
    <x v="40"/>
    <x v="1"/>
    <x v="2"/>
    <x v="0"/>
    <n v="6.31"/>
    <n v="4.79"/>
    <n v="0.02"/>
    <n v="5.99"/>
  </r>
  <r>
    <x v="0"/>
    <x v="10"/>
    <x v="40"/>
    <x v="2"/>
    <x v="0"/>
    <x v="0"/>
    <n v="2.63"/>
    <n v="1.99"/>
    <n v="1.62"/>
    <n v="2.5"/>
  </r>
  <r>
    <x v="0"/>
    <x v="10"/>
    <x v="40"/>
    <x v="2"/>
    <x v="4"/>
    <x v="0"/>
    <n v="2.79"/>
    <n v="2.12"/>
    <n v="0.69"/>
    <n v="2.68"/>
  </r>
  <r>
    <x v="0"/>
    <x v="10"/>
    <x v="40"/>
    <x v="1"/>
    <x v="1"/>
    <x v="0"/>
    <n v="17"/>
    <n v="12.89"/>
    <n v="0.99"/>
    <n v="15.76"/>
  </r>
  <r>
    <x v="0"/>
    <x v="10"/>
    <x v="40"/>
    <x v="2"/>
    <x v="2"/>
    <x v="3"/>
    <n v="9.89"/>
    <n v="7.5"/>
    <n v="0.01"/>
    <n v="9.8800000000000008"/>
  </r>
  <r>
    <x v="0"/>
    <x v="1"/>
    <x v="41"/>
    <x v="1"/>
    <x v="2"/>
    <x v="2"/>
    <n v="18.12"/>
    <n v="19.13"/>
    <n v="0.16"/>
    <n v="15.76"/>
  </r>
  <r>
    <x v="0"/>
    <x v="1"/>
    <x v="41"/>
    <x v="0"/>
    <x v="1"/>
    <x v="1"/>
    <n v="14.78"/>
    <n v="15.61"/>
    <n v="0.41"/>
    <n v="12.4"/>
  </r>
  <r>
    <x v="0"/>
    <x v="1"/>
    <x v="41"/>
    <x v="0"/>
    <x v="4"/>
    <x v="1"/>
    <n v="13.47"/>
    <n v="14.22"/>
    <n v="0.56000000000000005"/>
    <n v="11.23"/>
  </r>
  <r>
    <x v="0"/>
    <x v="1"/>
    <x v="41"/>
    <x v="0"/>
    <x v="0"/>
    <x v="1"/>
    <n v="0.32"/>
    <n v="0.34"/>
    <n v="0.01"/>
    <n v="0.27"/>
  </r>
  <r>
    <x v="0"/>
    <x v="1"/>
    <x v="41"/>
    <x v="4"/>
    <x v="4"/>
    <x v="1"/>
    <n v="2.0299999999999998"/>
    <n v="2.14"/>
    <n v="0.09"/>
    <n v="1.69"/>
  </r>
  <r>
    <x v="0"/>
    <x v="1"/>
    <x v="41"/>
    <x v="4"/>
    <x v="0"/>
    <x v="1"/>
    <n v="1.51"/>
    <n v="1.6"/>
    <n v="0.08"/>
    <n v="1.26"/>
  </r>
  <r>
    <x v="0"/>
    <x v="1"/>
    <x v="41"/>
    <x v="2"/>
    <x v="3"/>
    <x v="3"/>
    <n v="40.369999999999997"/>
    <n v="42.62"/>
    <n v="0.02"/>
    <n v="28.39"/>
  </r>
  <r>
    <x v="0"/>
    <x v="1"/>
    <x v="41"/>
    <x v="2"/>
    <x v="2"/>
    <x v="3"/>
    <n v="3.72"/>
    <n v="3.92"/>
    <n v="0"/>
    <n v="3.72"/>
  </r>
  <r>
    <x v="0"/>
    <x v="1"/>
    <x v="41"/>
    <x v="1"/>
    <x v="3"/>
    <x v="2"/>
    <n v="29.14"/>
    <n v="30.77"/>
    <n v="0.12"/>
    <n v="25.34"/>
  </r>
  <r>
    <x v="0"/>
    <x v="1"/>
    <x v="41"/>
    <x v="1"/>
    <x v="4"/>
    <x v="1"/>
    <n v="9.6"/>
    <n v="10.130000000000001"/>
    <n v="0.38"/>
    <n v="8.1"/>
  </r>
  <r>
    <x v="0"/>
    <x v="1"/>
    <x v="41"/>
    <x v="1"/>
    <x v="1"/>
    <x v="2"/>
    <n v="39.19"/>
    <n v="41.37"/>
    <n v="1.03"/>
    <n v="34.07"/>
  </r>
  <r>
    <x v="0"/>
    <x v="1"/>
    <x v="41"/>
    <x v="1"/>
    <x v="4"/>
    <x v="2"/>
    <n v="10.76"/>
    <n v="11.36"/>
    <n v="0.57999999999999996"/>
    <n v="9.35"/>
  </r>
  <r>
    <x v="0"/>
    <x v="1"/>
    <x v="41"/>
    <x v="4"/>
    <x v="1"/>
    <x v="2"/>
    <n v="5.98"/>
    <n v="6.31"/>
    <n v="0.14000000000000001"/>
    <n v="5.2"/>
  </r>
  <r>
    <x v="0"/>
    <x v="1"/>
    <x v="41"/>
    <x v="4"/>
    <x v="4"/>
    <x v="2"/>
    <n v="14.99"/>
    <n v="15.83"/>
    <n v="0.5"/>
    <n v="13.12"/>
  </r>
  <r>
    <x v="0"/>
    <x v="1"/>
    <x v="41"/>
    <x v="2"/>
    <x v="3"/>
    <x v="2"/>
    <n v="133.69999999999999"/>
    <n v="141.16"/>
    <n v="0.16"/>
    <n v="67.05"/>
  </r>
  <r>
    <x v="0"/>
    <x v="1"/>
    <x v="41"/>
    <x v="0"/>
    <x v="0"/>
    <x v="0"/>
    <n v="5.55"/>
    <n v="5.86"/>
    <n v="2.81"/>
    <n v="5.55"/>
  </r>
  <r>
    <x v="0"/>
    <x v="1"/>
    <x v="41"/>
    <x v="2"/>
    <x v="4"/>
    <x v="0"/>
    <n v="7.68"/>
    <n v="8.11"/>
    <n v="2.81"/>
    <n v="6.94"/>
  </r>
  <r>
    <x v="0"/>
    <x v="1"/>
    <x v="41"/>
    <x v="2"/>
    <x v="0"/>
    <x v="0"/>
    <n v="10.35"/>
    <n v="10.92"/>
    <n v="8.6"/>
    <n v="9.58"/>
  </r>
  <r>
    <x v="0"/>
    <x v="1"/>
    <x v="41"/>
    <x v="1"/>
    <x v="2"/>
    <x v="0"/>
    <n v="1.67"/>
    <n v="1.76"/>
    <n v="0.05"/>
    <n v="1.52"/>
  </r>
  <r>
    <x v="0"/>
    <x v="1"/>
    <x v="41"/>
    <x v="1"/>
    <x v="1"/>
    <x v="0"/>
    <n v="54.64"/>
    <n v="57.69"/>
    <n v="3.42"/>
    <n v="48.94"/>
  </r>
  <r>
    <x v="0"/>
    <x v="1"/>
    <x v="41"/>
    <x v="1"/>
    <x v="4"/>
    <x v="0"/>
    <n v="185.13"/>
    <n v="195.46"/>
    <n v="56.84"/>
    <n v="168.36"/>
  </r>
  <r>
    <x v="0"/>
    <x v="1"/>
    <x v="41"/>
    <x v="1"/>
    <x v="0"/>
    <x v="0"/>
    <n v="19.89"/>
    <n v="21"/>
    <n v="11.15"/>
    <n v="17.52"/>
  </r>
  <r>
    <x v="0"/>
    <x v="1"/>
    <x v="41"/>
    <x v="0"/>
    <x v="3"/>
    <x v="1"/>
    <n v="52.84"/>
    <n v="55.79"/>
    <n v="0.03"/>
    <n v="22.02"/>
  </r>
  <r>
    <x v="0"/>
    <x v="1"/>
    <x v="41"/>
    <x v="0"/>
    <x v="4"/>
    <x v="0"/>
    <n v="21.34"/>
    <n v="22.53"/>
    <n v="6.54"/>
    <n v="19.010000000000002"/>
  </r>
  <r>
    <x v="0"/>
    <x v="1"/>
    <x v="41"/>
    <x v="1"/>
    <x v="0"/>
    <x v="1"/>
    <n v="16.22"/>
    <n v="17.12"/>
    <n v="1.04"/>
    <n v="14.65"/>
  </r>
  <r>
    <x v="0"/>
    <x v="1"/>
    <x v="41"/>
    <x v="4"/>
    <x v="1"/>
    <x v="0"/>
    <n v="2.02"/>
    <n v="2.13"/>
    <n v="0.13"/>
    <n v="2.02"/>
  </r>
  <r>
    <x v="0"/>
    <x v="1"/>
    <x v="41"/>
    <x v="4"/>
    <x v="4"/>
    <x v="0"/>
    <n v="28.27"/>
    <n v="29.84"/>
    <n v="5.55"/>
    <n v="25.44"/>
  </r>
  <r>
    <x v="0"/>
    <x v="1"/>
    <x v="41"/>
    <x v="3"/>
    <x v="4"/>
    <x v="0"/>
    <n v="0.63"/>
    <n v="0.66"/>
    <n v="0.2"/>
    <n v="0.6"/>
  </r>
  <r>
    <x v="0"/>
    <x v="1"/>
    <x v="41"/>
    <x v="2"/>
    <x v="3"/>
    <x v="1"/>
    <n v="57.56"/>
    <n v="60.78"/>
    <n v="7.0000000000000007E-2"/>
    <n v="30.33"/>
  </r>
  <r>
    <x v="0"/>
    <x v="1"/>
    <x v="41"/>
    <x v="1"/>
    <x v="2"/>
    <x v="1"/>
    <n v="139.36000000000001"/>
    <n v="147.13999999999999"/>
    <n v="0.54"/>
    <n v="116.45"/>
  </r>
  <r>
    <x v="0"/>
    <x v="1"/>
    <x v="41"/>
    <x v="1"/>
    <x v="1"/>
    <x v="1"/>
    <n v="39.82"/>
    <n v="42.05"/>
    <n v="0.43"/>
    <n v="33.93"/>
  </r>
  <r>
    <x v="0"/>
    <x v="1"/>
    <x v="41"/>
    <x v="0"/>
    <x v="1"/>
    <x v="0"/>
    <n v="12.73"/>
    <n v="13.44"/>
    <n v="0.88"/>
    <n v="11.15"/>
  </r>
  <r>
    <x v="0"/>
    <x v="2"/>
    <x v="42"/>
    <x v="4"/>
    <x v="4"/>
    <x v="2"/>
    <n v="3.42"/>
    <n v="3.43"/>
    <n v="0.16"/>
    <n v="3.15"/>
  </r>
  <r>
    <x v="0"/>
    <x v="2"/>
    <x v="42"/>
    <x v="1"/>
    <x v="4"/>
    <x v="0"/>
    <n v="139.15"/>
    <n v="139.44999999999999"/>
    <n v="34.49"/>
    <n v="129.04"/>
  </r>
  <r>
    <x v="0"/>
    <x v="2"/>
    <x v="42"/>
    <x v="2"/>
    <x v="0"/>
    <x v="0"/>
    <n v="10.36"/>
    <n v="10.39"/>
    <n v="7.14"/>
    <n v="9.83"/>
  </r>
  <r>
    <x v="0"/>
    <x v="2"/>
    <x v="42"/>
    <x v="1"/>
    <x v="2"/>
    <x v="1"/>
    <n v="32.1"/>
    <n v="32.17"/>
    <n v="0.17"/>
    <n v="29.85"/>
  </r>
  <r>
    <x v="0"/>
    <x v="2"/>
    <x v="42"/>
    <x v="1"/>
    <x v="2"/>
    <x v="0"/>
    <n v="2.5"/>
    <n v="2.5"/>
    <n v="0.06"/>
    <n v="2.25"/>
  </r>
  <r>
    <x v="0"/>
    <x v="2"/>
    <x v="42"/>
    <x v="0"/>
    <x v="0"/>
    <x v="1"/>
    <n v="2.0699999999999998"/>
    <n v="2.0699999999999998"/>
    <n v="0.11"/>
    <n v="1.89"/>
  </r>
  <r>
    <x v="0"/>
    <x v="2"/>
    <x v="42"/>
    <x v="0"/>
    <x v="4"/>
    <x v="1"/>
    <n v="7.04"/>
    <n v="7.06"/>
    <n v="0.35"/>
    <n v="6.35"/>
  </r>
  <r>
    <x v="0"/>
    <x v="2"/>
    <x v="42"/>
    <x v="0"/>
    <x v="1"/>
    <x v="1"/>
    <n v="3.69"/>
    <n v="3.7"/>
    <n v="0.04"/>
    <n v="3.39"/>
  </r>
  <r>
    <x v="0"/>
    <x v="2"/>
    <x v="42"/>
    <x v="0"/>
    <x v="3"/>
    <x v="1"/>
    <n v="5.4"/>
    <n v="5.41"/>
    <n v="0.01"/>
    <n v="4.8600000000000003"/>
  </r>
  <r>
    <x v="0"/>
    <x v="2"/>
    <x v="42"/>
    <x v="1"/>
    <x v="0"/>
    <x v="1"/>
    <n v="7.52"/>
    <n v="7.53"/>
    <n v="0.48"/>
    <n v="7.41"/>
  </r>
  <r>
    <x v="0"/>
    <x v="2"/>
    <x v="42"/>
    <x v="4"/>
    <x v="0"/>
    <x v="1"/>
    <n v="3.8"/>
    <n v="3.81"/>
    <n v="0.19"/>
    <n v="3.53"/>
  </r>
  <r>
    <x v="0"/>
    <x v="2"/>
    <x v="42"/>
    <x v="1"/>
    <x v="1"/>
    <x v="1"/>
    <n v="20.99"/>
    <n v="21.03"/>
    <n v="0.33"/>
    <n v="19.77"/>
  </r>
  <r>
    <x v="0"/>
    <x v="2"/>
    <x v="42"/>
    <x v="2"/>
    <x v="3"/>
    <x v="3"/>
    <n v="35.46"/>
    <n v="35.54"/>
    <n v="0.03"/>
    <n v="35.46"/>
  </r>
  <r>
    <x v="0"/>
    <x v="2"/>
    <x v="42"/>
    <x v="1"/>
    <x v="3"/>
    <x v="1"/>
    <n v="0.02"/>
    <n v="0.02"/>
    <n v="0"/>
    <n v="0.02"/>
  </r>
  <r>
    <x v="0"/>
    <x v="2"/>
    <x v="42"/>
    <x v="2"/>
    <x v="4"/>
    <x v="1"/>
    <n v="0.18"/>
    <n v="0.18"/>
    <n v="0"/>
    <n v="0.16"/>
  </r>
  <r>
    <x v="0"/>
    <x v="2"/>
    <x v="42"/>
    <x v="2"/>
    <x v="3"/>
    <x v="1"/>
    <n v="9.19"/>
    <n v="9.2100000000000009"/>
    <n v="0.01"/>
    <n v="8.85"/>
  </r>
  <r>
    <x v="0"/>
    <x v="2"/>
    <x v="42"/>
    <x v="3"/>
    <x v="4"/>
    <x v="0"/>
    <n v="8.5399999999999991"/>
    <n v="8.5500000000000007"/>
    <n v="1.44"/>
    <n v="7.89"/>
  </r>
  <r>
    <x v="0"/>
    <x v="2"/>
    <x v="42"/>
    <x v="4"/>
    <x v="0"/>
    <x v="0"/>
    <n v="0.45"/>
    <n v="0.45"/>
    <n v="0.1"/>
    <n v="0.42"/>
  </r>
  <r>
    <x v="0"/>
    <x v="2"/>
    <x v="42"/>
    <x v="4"/>
    <x v="4"/>
    <x v="0"/>
    <n v="60.88"/>
    <n v="61.01"/>
    <n v="10.07"/>
    <n v="56.84"/>
  </r>
  <r>
    <x v="0"/>
    <x v="2"/>
    <x v="42"/>
    <x v="1"/>
    <x v="4"/>
    <x v="1"/>
    <n v="5.89"/>
    <n v="5.9"/>
    <n v="0.19"/>
    <n v="5.8"/>
  </r>
  <r>
    <x v="0"/>
    <x v="2"/>
    <x v="42"/>
    <x v="1"/>
    <x v="1"/>
    <x v="2"/>
    <n v="3.44"/>
    <n v="3.45"/>
    <n v="0.04"/>
    <n v="3.17"/>
  </r>
  <r>
    <x v="0"/>
    <x v="2"/>
    <x v="42"/>
    <x v="1"/>
    <x v="0"/>
    <x v="0"/>
    <n v="20.76"/>
    <n v="20.8"/>
    <n v="9.2200000000000006"/>
    <n v="19.309999999999999"/>
  </r>
  <r>
    <x v="0"/>
    <x v="2"/>
    <x v="42"/>
    <x v="0"/>
    <x v="1"/>
    <x v="0"/>
    <n v="0.96"/>
    <n v="0.96"/>
    <n v="0.2"/>
    <n v="0.87"/>
  </r>
  <r>
    <x v="0"/>
    <x v="2"/>
    <x v="42"/>
    <x v="0"/>
    <x v="4"/>
    <x v="0"/>
    <n v="42.16"/>
    <n v="42.25"/>
    <n v="13.03"/>
    <n v="38.880000000000003"/>
  </r>
  <r>
    <x v="0"/>
    <x v="2"/>
    <x v="42"/>
    <x v="0"/>
    <x v="0"/>
    <x v="0"/>
    <n v="16.91"/>
    <n v="16.95"/>
    <n v="10.09"/>
    <n v="15.4"/>
  </r>
  <r>
    <x v="0"/>
    <x v="2"/>
    <x v="42"/>
    <x v="4"/>
    <x v="1"/>
    <x v="0"/>
    <n v="6.11"/>
    <n v="6.12"/>
    <n v="0.45"/>
    <n v="5.64"/>
  </r>
  <r>
    <x v="0"/>
    <x v="2"/>
    <x v="42"/>
    <x v="4"/>
    <x v="1"/>
    <x v="2"/>
    <n v="8.92"/>
    <n v="8.94"/>
    <n v="0.21"/>
    <n v="7.75"/>
  </r>
  <r>
    <x v="0"/>
    <x v="2"/>
    <x v="42"/>
    <x v="4"/>
    <x v="4"/>
    <x v="1"/>
    <n v="1.68"/>
    <n v="1.68"/>
    <n v="0.1"/>
    <n v="1.53"/>
  </r>
  <r>
    <x v="0"/>
    <x v="2"/>
    <x v="42"/>
    <x v="1"/>
    <x v="4"/>
    <x v="2"/>
    <n v="5.05"/>
    <n v="5.0599999999999996"/>
    <n v="0.11"/>
    <n v="4.45"/>
  </r>
  <r>
    <x v="0"/>
    <x v="2"/>
    <x v="42"/>
    <x v="1"/>
    <x v="1"/>
    <x v="0"/>
    <n v="25.12"/>
    <n v="25.18"/>
    <n v="1.75"/>
    <n v="23.2"/>
  </r>
  <r>
    <x v="0"/>
    <x v="2"/>
    <x v="42"/>
    <x v="1"/>
    <x v="2"/>
    <x v="2"/>
    <n v="4.09"/>
    <n v="4.0999999999999996"/>
    <n v="0.01"/>
    <n v="3.76"/>
  </r>
  <r>
    <x v="0"/>
    <x v="2"/>
    <x v="42"/>
    <x v="1"/>
    <x v="3"/>
    <x v="2"/>
    <n v="5.48"/>
    <n v="5.49"/>
    <n v="0.01"/>
    <n v="5.04"/>
  </r>
  <r>
    <x v="0"/>
    <x v="2"/>
    <x v="42"/>
    <x v="2"/>
    <x v="2"/>
    <x v="2"/>
    <n v="0.51"/>
    <n v="0.51"/>
    <n v="0"/>
    <n v="0.51"/>
  </r>
  <r>
    <x v="0"/>
    <x v="2"/>
    <x v="42"/>
    <x v="2"/>
    <x v="3"/>
    <x v="2"/>
    <n v="17.22"/>
    <n v="17.25"/>
    <n v="0.02"/>
    <n v="15.33"/>
  </r>
  <r>
    <x v="0"/>
    <x v="2"/>
    <x v="42"/>
    <x v="2"/>
    <x v="2"/>
    <x v="3"/>
    <n v="24.72"/>
    <n v="24.77"/>
    <n v="0.02"/>
    <n v="24.68"/>
  </r>
  <r>
    <x v="0"/>
    <x v="2"/>
    <x v="42"/>
    <x v="2"/>
    <x v="4"/>
    <x v="0"/>
    <n v="6.31"/>
    <n v="6.33"/>
    <n v="1.34"/>
    <n v="6.07"/>
  </r>
  <r>
    <x v="0"/>
    <x v="2"/>
    <x v="42"/>
    <x v="4"/>
    <x v="2"/>
    <x v="2"/>
    <n v="1.98"/>
    <n v="1.98"/>
    <n v="0.01"/>
    <n v="1.72"/>
  </r>
  <r>
    <x v="0"/>
    <x v="2"/>
    <x v="43"/>
    <x v="2"/>
    <x v="0"/>
    <x v="0"/>
    <n v="4.75"/>
    <n v="5.25"/>
    <n v="2.83"/>
    <n v="4.49"/>
  </r>
  <r>
    <x v="0"/>
    <x v="2"/>
    <x v="43"/>
    <x v="2"/>
    <x v="4"/>
    <x v="0"/>
    <n v="3.2"/>
    <n v="3.54"/>
    <n v="0.84"/>
    <n v="3.07"/>
  </r>
  <r>
    <x v="0"/>
    <x v="2"/>
    <x v="43"/>
    <x v="2"/>
    <x v="2"/>
    <x v="3"/>
    <n v="3.54"/>
    <n v="3.92"/>
    <n v="0"/>
    <n v="3.53"/>
  </r>
  <r>
    <x v="0"/>
    <x v="2"/>
    <x v="43"/>
    <x v="4"/>
    <x v="1"/>
    <x v="2"/>
    <n v="4.0199999999999996"/>
    <n v="4.4400000000000004"/>
    <n v="0.08"/>
    <n v="3.49"/>
  </r>
  <r>
    <x v="0"/>
    <x v="2"/>
    <x v="43"/>
    <x v="0"/>
    <x v="3"/>
    <x v="1"/>
    <n v="1.42"/>
    <n v="1.56"/>
    <n v="0"/>
    <n v="1.27"/>
  </r>
  <r>
    <x v="0"/>
    <x v="2"/>
    <x v="43"/>
    <x v="0"/>
    <x v="1"/>
    <x v="1"/>
    <n v="1.41"/>
    <n v="1.55"/>
    <n v="0.02"/>
    <n v="1.27"/>
  </r>
  <r>
    <x v="0"/>
    <x v="2"/>
    <x v="43"/>
    <x v="0"/>
    <x v="4"/>
    <x v="1"/>
    <n v="1.83"/>
    <n v="2.02"/>
    <n v="0.09"/>
    <n v="1.65"/>
  </r>
  <r>
    <x v="0"/>
    <x v="2"/>
    <x v="43"/>
    <x v="0"/>
    <x v="0"/>
    <x v="1"/>
    <n v="0.42"/>
    <n v="0.46"/>
    <n v="0.03"/>
    <n v="0.38"/>
  </r>
  <r>
    <x v="0"/>
    <x v="2"/>
    <x v="43"/>
    <x v="4"/>
    <x v="4"/>
    <x v="1"/>
    <n v="0.6"/>
    <n v="0.66"/>
    <n v="0.03"/>
    <n v="0.56000000000000005"/>
  </r>
  <r>
    <x v="0"/>
    <x v="2"/>
    <x v="43"/>
    <x v="1"/>
    <x v="4"/>
    <x v="1"/>
    <n v="3.3"/>
    <n v="3.65"/>
    <n v="0.16"/>
    <n v="3.21"/>
  </r>
  <r>
    <x v="0"/>
    <x v="2"/>
    <x v="43"/>
    <x v="2"/>
    <x v="3"/>
    <x v="3"/>
    <n v="13.69"/>
    <n v="15.14"/>
    <n v="0.01"/>
    <n v="13.69"/>
  </r>
  <r>
    <x v="0"/>
    <x v="2"/>
    <x v="43"/>
    <x v="1"/>
    <x v="1"/>
    <x v="1"/>
    <n v="12.34"/>
    <n v="13.65"/>
    <n v="0.18"/>
    <n v="12.04"/>
  </r>
  <r>
    <x v="0"/>
    <x v="2"/>
    <x v="43"/>
    <x v="2"/>
    <x v="3"/>
    <x v="2"/>
    <n v="2.06"/>
    <n v="2.2799999999999998"/>
    <n v="0"/>
    <n v="2.06"/>
  </r>
  <r>
    <x v="0"/>
    <x v="2"/>
    <x v="43"/>
    <x v="2"/>
    <x v="2"/>
    <x v="2"/>
    <n v="0.15"/>
    <n v="0.17"/>
    <n v="0"/>
    <n v="0.15"/>
  </r>
  <r>
    <x v="0"/>
    <x v="2"/>
    <x v="43"/>
    <x v="1"/>
    <x v="3"/>
    <x v="2"/>
    <n v="2.4900000000000002"/>
    <n v="2.75"/>
    <n v="0"/>
    <n v="2.16"/>
  </r>
  <r>
    <x v="0"/>
    <x v="2"/>
    <x v="43"/>
    <x v="1"/>
    <x v="1"/>
    <x v="2"/>
    <n v="2.94"/>
    <n v="3.25"/>
    <n v="0.02"/>
    <n v="2.56"/>
  </r>
  <r>
    <x v="0"/>
    <x v="2"/>
    <x v="43"/>
    <x v="1"/>
    <x v="4"/>
    <x v="2"/>
    <n v="12.62"/>
    <n v="13.96"/>
    <n v="0.23"/>
    <n v="10.97"/>
  </r>
  <r>
    <x v="0"/>
    <x v="2"/>
    <x v="43"/>
    <x v="4"/>
    <x v="2"/>
    <x v="2"/>
    <n v="0.75"/>
    <n v="0.83"/>
    <n v="0"/>
    <n v="0.65"/>
  </r>
  <r>
    <x v="0"/>
    <x v="2"/>
    <x v="43"/>
    <x v="4"/>
    <x v="4"/>
    <x v="2"/>
    <n v="1.54"/>
    <n v="1.71"/>
    <n v="0.05"/>
    <n v="1.35"/>
  </r>
  <r>
    <x v="0"/>
    <x v="2"/>
    <x v="43"/>
    <x v="4"/>
    <x v="0"/>
    <x v="1"/>
    <n v="0.82"/>
    <n v="0.91"/>
    <n v="0.05"/>
    <n v="0.75"/>
  </r>
  <r>
    <x v="0"/>
    <x v="2"/>
    <x v="43"/>
    <x v="4"/>
    <x v="1"/>
    <x v="0"/>
    <n v="10.130000000000001"/>
    <n v="11.21"/>
    <n v="0.8"/>
    <n v="9.25"/>
  </r>
  <r>
    <x v="0"/>
    <x v="2"/>
    <x v="43"/>
    <x v="1"/>
    <x v="1"/>
    <x v="0"/>
    <n v="20.47"/>
    <n v="22.64"/>
    <n v="1.07"/>
    <n v="18.93"/>
  </r>
  <r>
    <x v="0"/>
    <x v="2"/>
    <x v="43"/>
    <x v="1"/>
    <x v="4"/>
    <x v="0"/>
    <n v="90.77"/>
    <n v="100.38"/>
    <n v="23.91"/>
    <n v="83.71"/>
  </r>
  <r>
    <x v="0"/>
    <x v="2"/>
    <x v="43"/>
    <x v="1"/>
    <x v="0"/>
    <x v="0"/>
    <n v="12.31"/>
    <n v="13.61"/>
    <n v="5.42"/>
    <n v="11.4"/>
  </r>
  <r>
    <x v="0"/>
    <x v="2"/>
    <x v="43"/>
    <x v="0"/>
    <x v="1"/>
    <x v="0"/>
    <n v="0.79"/>
    <n v="0.87"/>
    <n v="0.16"/>
    <n v="0.72"/>
  </r>
  <r>
    <x v="0"/>
    <x v="2"/>
    <x v="43"/>
    <x v="1"/>
    <x v="0"/>
    <x v="1"/>
    <n v="17.97"/>
    <n v="19.87"/>
    <n v="1.43"/>
    <n v="17.63"/>
  </r>
  <r>
    <x v="0"/>
    <x v="2"/>
    <x v="43"/>
    <x v="0"/>
    <x v="0"/>
    <x v="0"/>
    <n v="7.54"/>
    <n v="8.34"/>
    <n v="3.98"/>
    <n v="6.85"/>
  </r>
  <r>
    <x v="0"/>
    <x v="2"/>
    <x v="43"/>
    <x v="1"/>
    <x v="2"/>
    <x v="0"/>
    <n v="1.42"/>
    <n v="1.57"/>
    <n v="0.03"/>
    <n v="1.28"/>
  </r>
  <r>
    <x v="0"/>
    <x v="2"/>
    <x v="43"/>
    <x v="4"/>
    <x v="4"/>
    <x v="0"/>
    <n v="60.71"/>
    <n v="67.14"/>
    <n v="10.51"/>
    <n v="55.85"/>
  </r>
  <r>
    <x v="0"/>
    <x v="2"/>
    <x v="43"/>
    <x v="4"/>
    <x v="0"/>
    <x v="0"/>
    <n v="0.12"/>
    <n v="0.13"/>
    <n v="0.03"/>
    <n v="0.11"/>
  </r>
  <r>
    <x v="0"/>
    <x v="2"/>
    <x v="43"/>
    <x v="3"/>
    <x v="4"/>
    <x v="0"/>
    <n v="5.31"/>
    <n v="5.87"/>
    <n v="0.82"/>
    <n v="4.8899999999999997"/>
  </r>
  <r>
    <x v="0"/>
    <x v="2"/>
    <x v="43"/>
    <x v="2"/>
    <x v="3"/>
    <x v="1"/>
    <n v="1.97"/>
    <n v="2.1800000000000002"/>
    <n v="0"/>
    <n v="1.91"/>
  </r>
  <r>
    <x v="0"/>
    <x v="2"/>
    <x v="43"/>
    <x v="2"/>
    <x v="2"/>
    <x v="1"/>
    <n v="0.83"/>
    <n v="0.92"/>
    <n v="0"/>
    <n v="0.83"/>
  </r>
  <r>
    <x v="0"/>
    <x v="2"/>
    <x v="43"/>
    <x v="2"/>
    <x v="4"/>
    <x v="1"/>
    <n v="0.05"/>
    <n v="0.06"/>
    <n v="0"/>
    <n v="0.04"/>
  </r>
  <r>
    <x v="0"/>
    <x v="2"/>
    <x v="43"/>
    <x v="1"/>
    <x v="3"/>
    <x v="1"/>
    <n v="2.97"/>
    <n v="3.28"/>
    <n v="0.03"/>
    <n v="2.6"/>
  </r>
  <r>
    <x v="0"/>
    <x v="2"/>
    <x v="43"/>
    <x v="1"/>
    <x v="2"/>
    <x v="1"/>
    <n v="14.21"/>
    <n v="15.72"/>
    <n v="0.1"/>
    <n v="13.62"/>
  </r>
  <r>
    <x v="0"/>
    <x v="2"/>
    <x v="43"/>
    <x v="0"/>
    <x v="4"/>
    <x v="0"/>
    <n v="29.52"/>
    <n v="32.65"/>
    <n v="8.69"/>
    <n v="27.22"/>
  </r>
  <r>
    <x v="0"/>
    <x v="2"/>
    <x v="44"/>
    <x v="4"/>
    <x v="1"/>
    <x v="2"/>
    <n v="6.19"/>
    <n v="6.96"/>
    <n v="0.11"/>
    <n v="5.38"/>
  </r>
  <r>
    <x v="0"/>
    <x v="2"/>
    <x v="44"/>
    <x v="4"/>
    <x v="4"/>
    <x v="2"/>
    <n v="2.6"/>
    <n v="2.93"/>
    <n v="7.0000000000000007E-2"/>
    <n v="2.2599999999999998"/>
  </r>
  <r>
    <x v="0"/>
    <x v="2"/>
    <x v="44"/>
    <x v="1"/>
    <x v="4"/>
    <x v="2"/>
    <n v="6.29"/>
    <n v="7.07"/>
    <n v="0.09"/>
    <n v="5.47"/>
  </r>
  <r>
    <x v="0"/>
    <x v="2"/>
    <x v="44"/>
    <x v="1"/>
    <x v="4"/>
    <x v="1"/>
    <n v="7.04"/>
    <n v="7.92"/>
    <n v="0.26"/>
    <n v="7.02"/>
  </r>
  <r>
    <x v="0"/>
    <x v="2"/>
    <x v="44"/>
    <x v="1"/>
    <x v="4"/>
    <x v="0"/>
    <n v="112.46"/>
    <n v="126.53"/>
    <n v="27.65"/>
    <n v="103.73"/>
  </r>
  <r>
    <x v="0"/>
    <x v="2"/>
    <x v="44"/>
    <x v="3"/>
    <x v="4"/>
    <x v="0"/>
    <n v="5.6"/>
    <n v="6.3"/>
    <n v="0.66"/>
    <n v="5.12"/>
  </r>
  <r>
    <x v="0"/>
    <x v="2"/>
    <x v="44"/>
    <x v="4"/>
    <x v="0"/>
    <x v="0"/>
    <n v="0.15"/>
    <n v="0.17"/>
    <n v="0.03"/>
    <n v="0.14000000000000001"/>
  </r>
  <r>
    <x v="0"/>
    <x v="2"/>
    <x v="44"/>
    <x v="4"/>
    <x v="4"/>
    <x v="0"/>
    <n v="61.43"/>
    <n v="69.12"/>
    <n v="9.99"/>
    <n v="56.9"/>
  </r>
  <r>
    <x v="0"/>
    <x v="2"/>
    <x v="44"/>
    <x v="4"/>
    <x v="1"/>
    <x v="0"/>
    <n v="11.1"/>
    <n v="12.49"/>
    <n v="0.84"/>
    <n v="10.220000000000001"/>
  </r>
  <r>
    <x v="0"/>
    <x v="2"/>
    <x v="44"/>
    <x v="0"/>
    <x v="0"/>
    <x v="0"/>
    <n v="6.62"/>
    <n v="7.44"/>
    <n v="3.58"/>
    <n v="6.03"/>
  </r>
  <r>
    <x v="0"/>
    <x v="2"/>
    <x v="44"/>
    <x v="0"/>
    <x v="4"/>
    <x v="0"/>
    <n v="28.85"/>
    <n v="32.46"/>
    <n v="8.73"/>
    <n v="26.62"/>
  </r>
  <r>
    <x v="0"/>
    <x v="2"/>
    <x v="44"/>
    <x v="2"/>
    <x v="3"/>
    <x v="1"/>
    <n v="5.48"/>
    <n v="6.16"/>
    <n v="0.01"/>
    <n v="5.09"/>
  </r>
  <r>
    <x v="0"/>
    <x v="2"/>
    <x v="44"/>
    <x v="1"/>
    <x v="0"/>
    <x v="0"/>
    <n v="11.77"/>
    <n v="13.24"/>
    <n v="5.13"/>
    <n v="10.89"/>
  </r>
  <r>
    <x v="0"/>
    <x v="2"/>
    <x v="44"/>
    <x v="1"/>
    <x v="2"/>
    <x v="0"/>
    <n v="1.91"/>
    <n v="2.14"/>
    <n v="0.04"/>
    <n v="1.73"/>
  </r>
  <r>
    <x v="0"/>
    <x v="2"/>
    <x v="44"/>
    <x v="1"/>
    <x v="1"/>
    <x v="0"/>
    <n v="31.97"/>
    <n v="35.97"/>
    <n v="1.61"/>
    <n v="29.64"/>
  </r>
  <r>
    <x v="0"/>
    <x v="2"/>
    <x v="44"/>
    <x v="2"/>
    <x v="0"/>
    <x v="0"/>
    <n v="2.5099999999999998"/>
    <n v="2.83"/>
    <n v="1.67"/>
    <n v="2.39"/>
  </r>
  <r>
    <x v="0"/>
    <x v="2"/>
    <x v="44"/>
    <x v="1"/>
    <x v="1"/>
    <x v="2"/>
    <n v="2.04"/>
    <n v="2.29"/>
    <n v="0.01"/>
    <n v="1.97"/>
  </r>
  <r>
    <x v="0"/>
    <x v="2"/>
    <x v="44"/>
    <x v="2"/>
    <x v="4"/>
    <x v="0"/>
    <n v="2.97"/>
    <n v="3.35"/>
    <n v="0.74"/>
    <n v="2.83"/>
  </r>
  <r>
    <x v="0"/>
    <x v="2"/>
    <x v="44"/>
    <x v="0"/>
    <x v="3"/>
    <x v="1"/>
    <n v="7.07"/>
    <n v="7.95"/>
    <n v="0.01"/>
    <n v="6.37"/>
  </r>
  <r>
    <x v="0"/>
    <x v="2"/>
    <x v="44"/>
    <x v="4"/>
    <x v="2"/>
    <x v="2"/>
    <n v="1.24"/>
    <n v="1.4"/>
    <n v="0"/>
    <n v="1.08"/>
  </r>
  <r>
    <x v="0"/>
    <x v="2"/>
    <x v="44"/>
    <x v="0"/>
    <x v="1"/>
    <x v="0"/>
    <n v="0.8"/>
    <n v="0.9"/>
    <n v="0.16"/>
    <n v="0.73"/>
  </r>
  <r>
    <x v="0"/>
    <x v="2"/>
    <x v="44"/>
    <x v="2"/>
    <x v="2"/>
    <x v="2"/>
    <n v="2.0299999999999998"/>
    <n v="2.2799999999999998"/>
    <n v="0.01"/>
    <n v="2.0299999999999998"/>
  </r>
  <r>
    <x v="0"/>
    <x v="2"/>
    <x v="44"/>
    <x v="2"/>
    <x v="4"/>
    <x v="1"/>
    <n v="0.23"/>
    <n v="0.26"/>
    <n v="0"/>
    <n v="0.2"/>
  </r>
  <r>
    <x v="0"/>
    <x v="2"/>
    <x v="44"/>
    <x v="2"/>
    <x v="2"/>
    <x v="3"/>
    <n v="16.78"/>
    <n v="18.88"/>
    <n v="0.02"/>
    <n v="16.760000000000002"/>
  </r>
  <r>
    <x v="0"/>
    <x v="2"/>
    <x v="44"/>
    <x v="1"/>
    <x v="3"/>
    <x v="2"/>
    <n v="2.25"/>
    <n v="2.5299999999999998"/>
    <n v="0"/>
    <n v="1.96"/>
  </r>
  <r>
    <x v="0"/>
    <x v="2"/>
    <x v="44"/>
    <x v="2"/>
    <x v="3"/>
    <x v="3"/>
    <n v="38.97"/>
    <n v="43.84"/>
    <n v="0.03"/>
    <n v="38.97"/>
  </r>
  <r>
    <x v="0"/>
    <x v="2"/>
    <x v="44"/>
    <x v="4"/>
    <x v="0"/>
    <x v="1"/>
    <n v="3.08"/>
    <n v="3.47"/>
    <n v="0.2"/>
    <n v="2.8"/>
  </r>
  <r>
    <x v="0"/>
    <x v="2"/>
    <x v="44"/>
    <x v="4"/>
    <x v="4"/>
    <x v="1"/>
    <n v="2.86"/>
    <n v="3.22"/>
    <n v="0.14000000000000001"/>
    <n v="2.68"/>
  </r>
  <r>
    <x v="0"/>
    <x v="2"/>
    <x v="44"/>
    <x v="0"/>
    <x v="0"/>
    <x v="1"/>
    <n v="2.48"/>
    <n v="2.79"/>
    <n v="0.11"/>
    <n v="2.3199999999999998"/>
  </r>
  <r>
    <x v="0"/>
    <x v="2"/>
    <x v="44"/>
    <x v="0"/>
    <x v="1"/>
    <x v="1"/>
    <n v="3.61"/>
    <n v="4.0599999999999996"/>
    <n v="0.05"/>
    <n v="3.27"/>
  </r>
  <r>
    <x v="0"/>
    <x v="2"/>
    <x v="44"/>
    <x v="1"/>
    <x v="0"/>
    <x v="1"/>
    <n v="8.4700000000000006"/>
    <n v="9.5299999999999994"/>
    <n v="0.48"/>
    <n v="8.42"/>
  </r>
  <r>
    <x v="0"/>
    <x v="2"/>
    <x v="44"/>
    <x v="1"/>
    <x v="2"/>
    <x v="2"/>
    <n v="0.66"/>
    <n v="0.74"/>
    <n v="0"/>
    <n v="0.57999999999999996"/>
  </r>
  <r>
    <x v="0"/>
    <x v="2"/>
    <x v="44"/>
    <x v="1"/>
    <x v="1"/>
    <x v="1"/>
    <n v="20.36"/>
    <n v="22.9"/>
    <n v="0.26"/>
    <n v="19.07"/>
  </r>
  <r>
    <x v="0"/>
    <x v="2"/>
    <x v="44"/>
    <x v="1"/>
    <x v="2"/>
    <x v="1"/>
    <n v="46.18"/>
    <n v="51.96"/>
    <n v="0.28000000000000003"/>
    <n v="43.41"/>
  </r>
  <r>
    <x v="0"/>
    <x v="2"/>
    <x v="44"/>
    <x v="0"/>
    <x v="4"/>
    <x v="1"/>
    <n v="8.5299999999999994"/>
    <n v="9.6"/>
    <n v="0.43"/>
    <n v="7.69"/>
  </r>
  <r>
    <x v="0"/>
    <x v="2"/>
    <x v="44"/>
    <x v="2"/>
    <x v="3"/>
    <x v="2"/>
    <n v="2.64"/>
    <n v="2.97"/>
    <n v="0"/>
    <n v="2.64"/>
  </r>
  <r>
    <x v="0"/>
    <x v="2"/>
    <x v="44"/>
    <x v="1"/>
    <x v="3"/>
    <x v="1"/>
    <n v="0.04"/>
    <n v="0.04"/>
    <n v="0"/>
    <n v="0.04"/>
  </r>
  <r>
    <x v="0"/>
    <x v="4"/>
    <x v="45"/>
    <x v="2"/>
    <x v="0"/>
    <x v="0"/>
    <n v="10.82"/>
    <n v="11.48"/>
    <n v="9.44"/>
    <n v="9.91"/>
  </r>
  <r>
    <x v="0"/>
    <x v="4"/>
    <x v="45"/>
    <x v="2"/>
    <x v="3"/>
    <x v="1"/>
    <n v="3.88"/>
    <n v="4.12"/>
    <n v="0.01"/>
    <n v="3.26"/>
  </r>
  <r>
    <x v="0"/>
    <x v="4"/>
    <x v="45"/>
    <x v="4"/>
    <x v="4"/>
    <x v="0"/>
    <n v="29.97"/>
    <n v="31.81"/>
    <n v="5.75"/>
    <n v="26"/>
  </r>
  <r>
    <x v="0"/>
    <x v="4"/>
    <x v="45"/>
    <x v="4"/>
    <x v="1"/>
    <x v="0"/>
    <n v="4.53"/>
    <n v="4.8099999999999996"/>
    <n v="0.33"/>
    <n v="3.91"/>
  </r>
  <r>
    <x v="0"/>
    <x v="4"/>
    <x v="45"/>
    <x v="0"/>
    <x v="0"/>
    <x v="0"/>
    <n v="5.58"/>
    <n v="5.92"/>
    <n v="4.2300000000000004"/>
    <n v="4.84"/>
  </r>
  <r>
    <x v="0"/>
    <x v="4"/>
    <x v="45"/>
    <x v="0"/>
    <x v="4"/>
    <x v="0"/>
    <n v="7.93"/>
    <n v="8.41"/>
    <n v="2.93"/>
    <n v="7"/>
  </r>
  <r>
    <x v="0"/>
    <x v="4"/>
    <x v="45"/>
    <x v="1"/>
    <x v="0"/>
    <x v="0"/>
    <n v="10.92"/>
    <n v="11.59"/>
    <n v="8"/>
    <n v="9.8800000000000008"/>
  </r>
  <r>
    <x v="0"/>
    <x v="4"/>
    <x v="45"/>
    <x v="1"/>
    <x v="4"/>
    <x v="0"/>
    <n v="108.81"/>
    <n v="115.46"/>
    <n v="32.94"/>
    <n v="95.89"/>
  </r>
  <r>
    <x v="0"/>
    <x v="4"/>
    <x v="45"/>
    <x v="1"/>
    <x v="2"/>
    <x v="0"/>
    <n v="2.56"/>
    <n v="2.72"/>
    <n v="0.11"/>
    <n v="2.21"/>
  </r>
  <r>
    <x v="0"/>
    <x v="4"/>
    <x v="45"/>
    <x v="2"/>
    <x v="4"/>
    <x v="0"/>
    <n v="12.32"/>
    <n v="13.07"/>
    <n v="4.7300000000000004"/>
    <n v="10.93"/>
  </r>
  <r>
    <x v="0"/>
    <x v="4"/>
    <x v="45"/>
    <x v="2"/>
    <x v="4"/>
    <x v="1"/>
    <n v="0.85"/>
    <n v="0.9"/>
    <n v="0.01"/>
    <n v="0.71"/>
  </r>
  <r>
    <x v="0"/>
    <x v="4"/>
    <x v="45"/>
    <x v="0"/>
    <x v="4"/>
    <x v="1"/>
    <n v="4.3499999999999996"/>
    <n v="4.62"/>
    <n v="0.28999999999999998"/>
    <n v="3.57"/>
  </r>
  <r>
    <x v="0"/>
    <x v="4"/>
    <x v="45"/>
    <x v="1"/>
    <x v="1"/>
    <x v="0"/>
    <n v="32.1"/>
    <n v="34.06"/>
    <n v="1.88"/>
    <n v="27.81"/>
  </r>
  <r>
    <x v="0"/>
    <x v="4"/>
    <x v="45"/>
    <x v="4"/>
    <x v="0"/>
    <x v="1"/>
    <n v="0.54"/>
    <n v="0.56999999999999995"/>
    <n v="0.03"/>
    <n v="0.49"/>
  </r>
  <r>
    <x v="0"/>
    <x v="4"/>
    <x v="45"/>
    <x v="4"/>
    <x v="4"/>
    <x v="2"/>
    <n v="0.69"/>
    <n v="0.73"/>
    <n v="0.03"/>
    <n v="0.57999999999999996"/>
  </r>
  <r>
    <x v="0"/>
    <x v="4"/>
    <x v="45"/>
    <x v="4"/>
    <x v="1"/>
    <x v="2"/>
    <n v="1.99"/>
    <n v="2.11"/>
    <n v="0.05"/>
    <n v="1.67"/>
  </r>
  <r>
    <x v="0"/>
    <x v="4"/>
    <x v="45"/>
    <x v="1"/>
    <x v="1"/>
    <x v="2"/>
    <n v="4.8"/>
    <n v="5.09"/>
    <n v="0.12"/>
    <n v="4.3099999999999996"/>
  </r>
  <r>
    <x v="0"/>
    <x v="4"/>
    <x v="45"/>
    <x v="1"/>
    <x v="2"/>
    <x v="2"/>
    <n v="3.97"/>
    <n v="4.21"/>
    <n v="0.03"/>
    <n v="3.56"/>
  </r>
  <r>
    <x v="0"/>
    <x v="4"/>
    <x v="45"/>
    <x v="0"/>
    <x v="2"/>
    <x v="1"/>
    <n v="0.12"/>
    <n v="0.13"/>
    <n v="0"/>
    <n v="0.12"/>
  </r>
  <r>
    <x v="0"/>
    <x v="4"/>
    <x v="45"/>
    <x v="2"/>
    <x v="2"/>
    <x v="3"/>
    <n v="8.9600000000000009"/>
    <n v="9.51"/>
    <n v="0.01"/>
    <n v="8.9600000000000009"/>
  </r>
  <r>
    <x v="0"/>
    <x v="4"/>
    <x v="45"/>
    <x v="1"/>
    <x v="2"/>
    <x v="1"/>
    <n v="38.479999999999997"/>
    <n v="40.83"/>
    <n v="0.2"/>
    <n v="32.270000000000003"/>
  </r>
  <r>
    <x v="0"/>
    <x v="4"/>
    <x v="45"/>
    <x v="0"/>
    <x v="0"/>
    <x v="1"/>
    <n v="0.97"/>
    <n v="1.03"/>
    <n v="0.01"/>
    <n v="0.82"/>
  </r>
  <r>
    <x v="0"/>
    <x v="4"/>
    <x v="45"/>
    <x v="0"/>
    <x v="1"/>
    <x v="1"/>
    <n v="6.02"/>
    <n v="6.39"/>
    <n v="0.17"/>
    <n v="5.07"/>
  </r>
  <r>
    <x v="0"/>
    <x v="4"/>
    <x v="45"/>
    <x v="1"/>
    <x v="4"/>
    <x v="2"/>
    <n v="1.94"/>
    <n v="2.0499999999999998"/>
    <n v="0.16"/>
    <n v="1.63"/>
  </r>
  <r>
    <x v="0"/>
    <x v="4"/>
    <x v="45"/>
    <x v="1"/>
    <x v="0"/>
    <x v="1"/>
    <n v="7.43"/>
    <n v="7.88"/>
    <n v="0.52"/>
    <n v="6.19"/>
  </r>
  <r>
    <x v="0"/>
    <x v="4"/>
    <x v="45"/>
    <x v="1"/>
    <x v="4"/>
    <x v="1"/>
    <n v="4.1399999999999997"/>
    <n v="4.3899999999999997"/>
    <n v="0.16"/>
    <n v="3.45"/>
  </r>
  <r>
    <x v="0"/>
    <x v="4"/>
    <x v="45"/>
    <x v="1"/>
    <x v="1"/>
    <x v="1"/>
    <n v="10.97"/>
    <n v="11.64"/>
    <n v="0.09"/>
    <n v="9.02"/>
  </r>
  <r>
    <x v="0"/>
    <x v="4"/>
    <x v="45"/>
    <x v="1"/>
    <x v="3"/>
    <x v="2"/>
    <n v="6.44"/>
    <n v="6.83"/>
    <n v="0.02"/>
    <n v="5.78"/>
  </r>
  <r>
    <x v="0"/>
    <x v="6"/>
    <x v="46"/>
    <x v="4"/>
    <x v="4"/>
    <x v="2"/>
    <n v="0.93"/>
    <n v="0.96"/>
    <n v="0.03"/>
    <n v="0.77"/>
  </r>
  <r>
    <x v="0"/>
    <x v="6"/>
    <x v="46"/>
    <x v="2"/>
    <x v="2"/>
    <x v="3"/>
    <n v="1.22"/>
    <n v="1.26"/>
    <n v="0"/>
    <n v="1.22"/>
  </r>
  <r>
    <x v="0"/>
    <x v="6"/>
    <x v="46"/>
    <x v="4"/>
    <x v="1"/>
    <x v="0"/>
    <n v="1.19"/>
    <n v="1.23"/>
    <n v="0.09"/>
    <n v="1"/>
  </r>
  <r>
    <x v="0"/>
    <x v="6"/>
    <x v="46"/>
    <x v="0"/>
    <x v="1"/>
    <x v="1"/>
    <n v="4.66"/>
    <n v="4.8099999999999996"/>
    <n v="0.12"/>
    <n v="3.95"/>
  </r>
  <r>
    <x v="0"/>
    <x v="6"/>
    <x v="46"/>
    <x v="0"/>
    <x v="3"/>
    <x v="1"/>
    <n v="3.38"/>
    <n v="3.48"/>
    <n v="0"/>
    <n v="1.43"/>
  </r>
  <r>
    <x v="0"/>
    <x v="6"/>
    <x v="46"/>
    <x v="4"/>
    <x v="1"/>
    <x v="2"/>
    <n v="7.0000000000000007E-2"/>
    <n v="7.0000000000000007E-2"/>
    <n v="0"/>
    <n v="0.06"/>
  </r>
  <r>
    <x v="0"/>
    <x v="6"/>
    <x v="46"/>
    <x v="1"/>
    <x v="4"/>
    <x v="1"/>
    <n v="1.6"/>
    <n v="1.65"/>
    <n v="0.08"/>
    <n v="1.34"/>
  </r>
  <r>
    <x v="0"/>
    <x v="6"/>
    <x v="46"/>
    <x v="1"/>
    <x v="2"/>
    <x v="2"/>
    <n v="1.76"/>
    <n v="1.81"/>
    <n v="0.01"/>
    <n v="1.46"/>
  </r>
  <r>
    <x v="0"/>
    <x v="6"/>
    <x v="46"/>
    <x v="1"/>
    <x v="2"/>
    <x v="1"/>
    <n v="18.34"/>
    <n v="18.93"/>
    <n v="0.12"/>
    <n v="15.51"/>
  </r>
  <r>
    <x v="0"/>
    <x v="6"/>
    <x v="46"/>
    <x v="2"/>
    <x v="4"/>
    <x v="1"/>
    <n v="0.56000000000000005"/>
    <n v="0.56999999999999995"/>
    <n v="0"/>
    <n v="0.56000000000000005"/>
  </r>
  <r>
    <x v="0"/>
    <x v="6"/>
    <x v="46"/>
    <x v="2"/>
    <x v="3"/>
    <x v="1"/>
    <n v="6.2"/>
    <n v="6.4"/>
    <n v="0.01"/>
    <n v="4.54"/>
  </r>
  <r>
    <x v="0"/>
    <x v="6"/>
    <x v="46"/>
    <x v="0"/>
    <x v="4"/>
    <x v="1"/>
    <n v="1.51"/>
    <n v="1.56"/>
    <n v="7.0000000000000007E-2"/>
    <n v="1.28"/>
  </r>
  <r>
    <x v="0"/>
    <x v="6"/>
    <x v="46"/>
    <x v="4"/>
    <x v="4"/>
    <x v="0"/>
    <n v="16.239999999999998"/>
    <n v="16.77"/>
    <n v="2.99"/>
    <n v="13.71"/>
  </r>
  <r>
    <x v="0"/>
    <x v="6"/>
    <x v="46"/>
    <x v="1"/>
    <x v="0"/>
    <x v="1"/>
    <n v="3.58"/>
    <n v="3.7"/>
    <n v="0.26"/>
    <n v="3.01"/>
  </r>
  <r>
    <x v="0"/>
    <x v="6"/>
    <x v="46"/>
    <x v="0"/>
    <x v="0"/>
    <x v="0"/>
    <n v="5.9"/>
    <n v="6.09"/>
    <n v="3.27"/>
    <n v="5.0199999999999996"/>
  </r>
  <r>
    <x v="0"/>
    <x v="6"/>
    <x v="46"/>
    <x v="0"/>
    <x v="4"/>
    <x v="0"/>
    <n v="7.57"/>
    <n v="7.82"/>
    <n v="2.35"/>
    <n v="6.51"/>
  </r>
  <r>
    <x v="0"/>
    <x v="6"/>
    <x v="46"/>
    <x v="0"/>
    <x v="1"/>
    <x v="0"/>
    <n v="0.89"/>
    <n v="0.92"/>
    <n v="0.08"/>
    <n v="0.76"/>
  </r>
  <r>
    <x v="0"/>
    <x v="6"/>
    <x v="46"/>
    <x v="1"/>
    <x v="0"/>
    <x v="0"/>
    <n v="4.7699999999999996"/>
    <n v="4.92"/>
    <n v="2.73"/>
    <n v="4.17"/>
  </r>
  <r>
    <x v="0"/>
    <x v="6"/>
    <x v="46"/>
    <x v="1"/>
    <x v="4"/>
    <x v="0"/>
    <n v="45.66"/>
    <n v="47.13"/>
    <n v="15.5"/>
    <n v="40.22"/>
  </r>
  <r>
    <x v="0"/>
    <x v="6"/>
    <x v="46"/>
    <x v="1"/>
    <x v="1"/>
    <x v="0"/>
    <n v="9.8699999999999992"/>
    <n v="10.19"/>
    <n v="0.57999999999999996"/>
    <n v="8.51"/>
  </r>
  <r>
    <x v="0"/>
    <x v="6"/>
    <x v="46"/>
    <x v="1"/>
    <x v="2"/>
    <x v="0"/>
    <n v="0.3"/>
    <n v="0.31"/>
    <n v="0.01"/>
    <n v="0.25"/>
  </r>
  <r>
    <x v="0"/>
    <x v="6"/>
    <x v="46"/>
    <x v="2"/>
    <x v="0"/>
    <x v="0"/>
    <n v="7.88"/>
    <n v="8.1300000000000008"/>
    <n v="6.75"/>
    <n v="6.93"/>
  </r>
  <r>
    <x v="0"/>
    <x v="6"/>
    <x v="46"/>
    <x v="2"/>
    <x v="4"/>
    <x v="0"/>
    <n v="12.07"/>
    <n v="12.47"/>
    <n v="4.32"/>
    <n v="10.37"/>
  </r>
  <r>
    <x v="0"/>
    <x v="6"/>
    <x v="46"/>
    <x v="3"/>
    <x v="4"/>
    <x v="0"/>
    <n v="0.56999999999999995"/>
    <n v="0.59"/>
    <n v="0.11"/>
    <n v="0.47"/>
  </r>
  <r>
    <x v="0"/>
    <x v="6"/>
    <x v="46"/>
    <x v="4"/>
    <x v="4"/>
    <x v="1"/>
    <n v="0.27"/>
    <n v="0.28000000000000003"/>
    <n v="0.02"/>
    <n v="0.23"/>
  </r>
  <r>
    <x v="0"/>
    <x v="6"/>
    <x v="46"/>
    <x v="4"/>
    <x v="0"/>
    <x v="1"/>
    <n v="0.52"/>
    <n v="0.53"/>
    <n v="0.03"/>
    <n v="0.44"/>
  </r>
  <r>
    <x v="0"/>
    <x v="6"/>
    <x v="46"/>
    <x v="2"/>
    <x v="3"/>
    <x v="3"/>
    <n v="4.55"/>
    <n v="4.7"/>
    <n v="0"/>
    <n v="4.55"/>
  </r>
  <r>
    <x v="0"/>
    <x v="6"/>
    <x v="46"/>
    <x v="1"/>
    <x v="1"/>
    <x v="1"/>
    <n v="7.73"/>
    <n v="7.98"/>
    <n v="7.0000000000000007E-2"/>
    <n v="6.51"/>
  </r>
  <r>
    <x v="0"/>
    <x v="6"/>
    <x v="46"/>
    <x v="1"/>
    <x v="4"/>
    <x v="2"/>
    <n v="5.81"/>
    <n v="5.99"/>
    <n v="0.24"/>
    <n v="4.84"/>
  </r>
  <r>
    <x v="0"/>
    <x v="6"/>
    <x v="46"/>
    <x v="0"/>
    <x v="0"/>
    <x v="1"/>
    <n v="0.03"/>
    <n v="0.03"/>
    <n v="0"/>
    <n v="0.02"/>
  </r>
  <r>
    <x v="0"/>
    <x v="6"/>
    <x v="46"/>
    <x v="1"/>
    <x v="1"/>
    <x v="2"/>
    <n v="0.54"/>
    <n v="0.56000000000000005"/>
    <n v="0.01"/>
    <n v="0.45"/>
  </r>
  <r>
    <x v="0"/>
    <x v="6"/>
    <x v="46"/>
    <x v="1"/>
    <x v="3"/>
    <x v="2"/>
    <n v="2.41"/>
    <n v="2.4900000000000002"/>
    <n v="0.01"/>
    <n v="2.0099999999999998"/>
  </r>
  <r>
    <x v="0"/>
    <x v="7"/>
    <x v="47"/>
    <x v="0"/>
    <x v="1"/>
    <x v="1"/>
    <n v="1.1100000000000001"/>
    <n v="0.87"/>
    <n v="0.02"/>
    <n v="1.03"/>
  </r>
  <r>
    <x v="0"/>
    <x v="7"/>
    <x v="47"/>
    <x v="4"/>
    <x v="0"/>
    <x v="0"/>
    <n v="0.32"/>
    <n v="0.26"/>
    <n v="7.0000000000000007E-2"/>
    <n v="0.3"/>
  </r>
  <r>
    <x v="0"/>
    <x v="7"/>
    <x v="47"/>
    <x v="2"/>
    <x v="3"/>
    <x v="3"/>
    <n v="0.52"/>
    <n v="0.41"/>
    <n v="0"/>
    <n v="0.52"/>
  </r>
  <r>
    <x v="0"/>
    <x v="7"/>
    <x v="47"/>
    <x v="1"/>
    <x v="1"/>
    <x v="1"/>
    <n v="8.8000000000000007"/>
    <n v="6.94"/>
    <n v="0.17"/>
    <n v="8.5399999999999991"/>
  </r>
  <r>
    <x v="0"/>
    <x v="7"/>
    <x v="47"/>
    <x v="1"/>
    <x v="2"/>
    <x v="1"/>
    <n v="8.85"/>
    <n v="6.98"/>
    <n v="0.04"/>
    <n v="8.25"/>
  </r>
  <r>
    <x v="0"/>
    <x v="7"/>
    <x v="47"/>
    <x v="1"/>
    <x v="0"/>
    <x v="1"/>
    <n v="1.87"/>
    <n v="1.47"/>
    <n v="0.18"/>
    <n v="1.81"/>
  </r>
  <r>
    <x v="0"/>
    <x v="7"/>
    <x v="47"/>
    <x v="0"/>
    <x v="4"/>
    <x v="1"/>
    <n v="2.37"/>
    <n v="1.86"/>
    <n v="0.13"/>
    <n v="2.2000000000000002"/>
  </r>
  <r>
    <x v="0"/>
    <x v="7"/>
    <x v="47"/>
    <x v="0"/>
    <x v="0"/>
    <x v="1"/>
    <n v="0.41"/>
    <n v="0.32"/>
    <n v="0.03"/>
    <n v="0.38"/>
  </r>
  <r>
    <x v="0"/>
    <x v="7"/>
    <x v="47"/>
    <x v="4"/>
    <x v="4"/>
    <x v="1"/>
    <n v="0.61"/>
    <n v="0.48"/>
    <n v="0.04"/>
    <n v="0.56999999999999995"/>
  </r>
  <r>
    <x v="0"/>
    <x v="7"/>
    <x v="47"/>
    <x v="4"/>
    <x v="0"/>
    <x v="1"/>
    <n v="0.89"/>
    <n v="0.7"/>
    <n v="0.05"/>
    <n v="0.84"/>
  </r>
  <r>
    <x v="0"/>
    <x v="7"/>
    <x v="47"/>
    <x v="1"/>
    <x v="4"/>
    <x v="1"/>
    <n v="2.2000000000000002"/>
    <n v="1.73"/>
    <n v="0.12"/>
    <n v="2.15"/>
  </r>
  <r>
    <x v="0"/>
    <x v="7"/>
    <x v="47"/>
    <x v="1"/>
    <x v="3"/>
    <x v="1"/>
    <n v="0.01"/>
    <n v="0.01"/>
    <n v="0"/>
    <n v="0.01"/>
  </r>
  <r>
    <x v="0"/>
    <x v="7"/>
    <x v="47"/>
    <x v="2"/>
    <x v="4"/>
    <x v="1"/>
    <n v="0.08"/>
    <n v="7.0000000000000007E-2"/>
    <n v="0"/>
    <n v="0.08"/>
  </r>
  <r>
    <x v="0"/>
    <x v="7"/>
    <x v="47"/>
    <x v="3"/>
    <x v="4"/>
    <x v="0"/>
    <n v="3.56"/>
    <n v="2.8"/>
    <n v="0.62"/>
    <n v="3.26"/>
  </r>
  <r>
    <x v="0"/>
    <x v="7"/>
    <x v="47"/>
    <x v="4"/>
    <x v="4"/>
    <x v="0"/>
    <n v="24.01"/>
    <n v="18.920000000000002"/>
    <n v="4.07"/>
    <n v="22.14"/>
  </r>
  <r>
    <x v="0"/>
    <x v="7"/>
    <x v="47"/>
    <x v="0"/>
    <x v="0"/>
    <x v="0"/>
    <n v="7.26"/>
    <n v="5.72"/>
    <n v="3.99"/>
    <n v="6.56"/>
  </r>
  <r>
    <x v="0"/>
    <x v="7"/>
    <x v="47"/>
    <x v="0"/>
    <x v="4"/>
    <x v="0"/>
    <n v="21.99"/>
    <n v="17.329999999999998"/>
    <n v="7.24"/>
    <n v="20.07"/>
  </r>
  <r>
    <x v="0"/>
    <x v="7"/>
    <x v="47"/>
    <x v="0"/>
    <x v="1"/>
    <x v="0"/>
    <n v="0.49"/>
    <n v="0.38"/>
    <n v="0.1"/>
    <n v="0.44"/>
  </r>
  <r>
    <x v="0"/>
    <x v="7"/>
    <x v="47"/>
    <x v="1"/>
    <x v="0"/>
    <x v="0"/>
    <n v="7.74"/>
    <n v="6.1"/>
    <n v="3.62"/>
    <n v="7.12"/>
  </r>
  <r>
    <x v="0"/>
    <x v="7"/>
    <x v="47"/>
    <x v="1"/>
    <x v="4"/>
    <x v="0"/>
    <n v="51.9"/>
    <n v="40.909999999999997"/>
    <n v="13.6"/>
    <n v="47.56"/>
  </r>
  <r>
    <x v="0"/>
    <x v="7"/>
    <x v="47"/>
    <x v="1"/>
    <x v="1"/>
    <x v="0"/>
    <n v="7.7"/>
    <n v="6.07"/>
    <n v="0.48"/>
    <n v="7.04"/>
  </r>
  <r>
    <x v="0"/>
    <x v="7"/>
    <x v="47"/>
    <x v="1"/>
    <x v="2"/>
    <x v="0"/>
    <n v="1.1299999999999999"/>
    <n v="0.89"/>
    <n v="0.03"/>
    <n v="1.01"/>
  </r>
  <r>
    <x v="0"/>
    <x v="7"/>
    <x v="47"/>
    <x v="2"/>
    <x v="0"/>
    <x v="0"/>
    <n v="3.77"/>
    <n v="2.97"/>
    <n v="2.4300000000000002"/>
    <n v="3.55"/>
  </r>
  <r>
    <x v="0"/>
    <x v="7"/>
    <x v="47"/>
    <x v="2"/>
    <x v="4"/>
    <x v="0"/>
    <n v="2.95"/>
    <n v="2.3199999999999998"/>
    <n v="0.84"/>
    <n v="2.78"/>
  </r>
  <r>
    <x v="0"/>
    <x v="7"/>
    <x v="47"/>
    <x v="2"/>
    <x v="3"/>
    <x v="1"/>
    <n v="0.15"/>
    <n v="0.11"/>
    <n v="0"/>
    <n v="0.15"/>
  </r>
  <r>
    <x v="0"/>
    <x v="7"/>
    <x v="47"/>
    <x v="2"/>
    <x v="2"/>
    <x v="3"/>
    <n v="6.28"/>
    <n v="4.95"/>
    <n v="0.01"/>
    <n v="6.27"/>
  </r>
  <r>
    <x v="0"/>
    <x v="7"/>
    <x v="47"/>
    <x v="1"/>
    <x v="3"/>
    <x v="2"/>
    <n v="1.0900000000000001"/>
    <n v="0.86"/>
    <n v="0"/>
    <n v="0.97"/>
  </r>
  <r>
    <x v="0"/>
    <x v="7"/>
    <x v="47"/>
    <x v="1"/>
    <x v="2"/>
    <x v="2"/>
    <n v="2.1"/>
    <n v="1.65"/>
    <n v="0.02"/>
    <n v="1.86"/>
  </r>
  <r>
    <x v="0"/>
    <x v="7"/>
    <x v="47"/>
    <x v="1"/>
    <x v="1"/>
    <x v="2"/>
    <n v="3.3"/>
    <n v="2.6"/>
    <n v="0.08"/>
    <n v="2.94"/>
  </r>
  <r>
    <x v="0"/>
    <x v="7"/>
    <x v="47"/>
    <x v="1"/>
    <x v="4"/>
    <x v="2"/>
    <n v="1.73"/>
    <n v="1.36"/>
    <n v="0.11"/>
    <n v="1.5"/>
  </r>
  <r>
    <x v="0"/>
    <x v="7"/>
    <x v="47"/>
    <x v="4"/>
    <x v="2"/>
    <x v="2"/>
    <n v="0.49"/>
    <n v="0.38"/>
    <n v="0"/>
    <n v="0.42"/>
  </r>
  <r>
    <x v="0"/>
    <x v="7"/>
    <x v="47"/>
    <x v="4"/>
    <x v="1"/>
    <x v="2"/>
    <n v="0.79"/>
    <n v="0.63"/>
    <n v="0.05"/>
    <n v="0.69"/>
  </r>
  <r>
    <x v="0"/>
    <x v="7"/>
    <x v="47"/>
    <x v="4"/>
    <x v="4"/>
    <x v="2"/>
    <n v="0.67"/>
    <n v="0.53"/>
    <n v="0.06"/>
    <n v="0.57999999999999996"/>
  </r>
  <r>
    <x v="0"/>
    <x v="7"/>
    <x v="47"/>
    <x v="4"/>
    <x v="1"/>
    <x v="0"/>
    <n v="1.23"/>
    <n v="0.97"/>
    <n v="0.09"/>
    <n v="1.1299999999999999"/>
  </r>
  <r>
    <x v="0"/>
    <x v="2"/>
    <x v="48"/>
    <x v="0"/>
    <x v="4"/>
    <x v="1"/>
    <n v="23.06"/>
    <n v="23.34"/>
    <n v="1.1499999999999999"/>
    <n v="20.8"/>
  </r>
  <r>
    <x v="0"/>
    <x v="2"/>
    <x v="48"/>
    <x v="0"/>
    <x v="1"/>
    <x v="1"/>
    <n v="9.8800000000000008"/>
    <n v="10"/>
    <n v="0.13"/>
    <n v="8.92"/>
  </r>
  <r>
    <x v="0"/>
    <x v="2"/>
    <x v="48"/>
    <x v="0"/>
    <x v="2"/>
    <x v="1"/>
    <n v="1.1299999999999999"/>
    <n v="1.1399999999999999"/>
    <n v="0"/>
    <n v="1.08"/>
  </r>
  <r>
    <x v="0"/>
    <x v="2"/>
    <x v="48"/>
    <x v="0"/>
    <x v="3"/>
    <x v="1"/>
    <n v="19.12"/>
    <n v="19.34"/>
    <n v="0.02"/>
    <n v="17.22"/>
  </r>
  <r>
    <x v="0"/>
    <x v="2"/>
    <x v="48"/>
    <x v="1"/>
    <x v="0"/>
    <x v="1"/>
    <n v="38.85"/>
    <n v="39.31"/>
    <n v="2.21"/>
    <n v="38.369999999999997"/>
  </r>
  <r>
    <x v="0"/>
    <x v="2"/>
    <x v="48"/>
    <x v="1"/>
    <x v="4"/>
    <x v="1"/>
    <n v="22.56"/>
    <n v="22.83"/>
    <n v="0.78"/>
    <n v="22.47"/>
  </r>
  <r>
    <x v="0"/>
    <x v="2"/>
    <x v="48"/>
    <x v="1"/>
    <x v="1"/>
    <x v="1"/>
    <n v="61.05"/>
    <n v="61.77"/>
    <n v="0.83"/>
    <n v="57.59"/>
  </r>
  <r>
    <x v="0"/>
    <x v="2"/>
    <x v="48"/>
    <x v="1"/>
    <x v="2"/>
    <x v="1"/>
    <n v="138.07"/>
    <n v="139.69999999999999"/>
    <n v="0.97"/>
    <n v="130.72999999999999"/>
  </r>
  <r>
    <x v="0"/>
    <x v="2"/>
    <x v="48"/>
    <x v="0"/>
    <x v="0"/>
    <x v="1"/>
    <n v="4.7300000000000004"/>
    <n v="4.78"/>
    <n v="0.28000000000000003"/>
    <n v="4.29"/>
  </r>
  <r>
    <x v="0"/>
    <x v="2"/>
    <x v="48"/>
    <x v="2"/>
    <x v="4"/>
    <x v="1"/>
    <n v="0.57999999999999996"/>
    <n v="0.59"/>
    <n v="0.01"/>
    <n v="0.51"/>
  </r>
  <r>
    <x v="0"/>
    <x v="2"/>
    <x v="48"/>
    <x v="1"/>
    <x v="2"/>
    <x v="2"/>
    <n v="3.59"/>
    <n v="3.63"/>
    <n v="0.02"/>
    <n v="3.12"/>
  </r>
  <r>
    <x v="0"/>
    <x v="2"/>
    <x v="48"/>
    <x v="1"/>
    <x v="3"/>
    <x v="1"/>
    <n v="2.74"/>
    <n v="2.77"/>
    <n v="0.02"/>
    <n v="2.4"/>
  </r>
  <r>
    <x v="0"/>
    <x v="2"/>
    <x v="48"/>
    <x v="4"/>
    <x v="0"/>
    <x v="1"/>
    <n v="7.9"/>
    <n v="7.99"/>
    <n v="0.53"/>
    <n v="7.14"/>
  </r>
  <r>
    <x v="0"/>
    <x v="2"/>
    <x v="48"/>
    <x v="2"/>
    <x v="2"/>
    <x v="3"/>
    <n v="106.45"/>
    <n v="107.71"/>
    <n v="0.08"/>
    <n v="106.28"/>
  </r>
  <r>
    <x v="0"/>
    <x v="2"/>
    <x v="48"/>
    <x v="2"/>
    <x v="3"/>
    <x v="2"/>
    <n v="62.6"/>
    <n v="63.34"/>
    <n v="0.03"/>
    <n v="56.22"/>
  </r>
  <r>
    <x v="0"/>
    <x v="2"/>
    <x v="48"/>
    <x v="2"/>
    <x v="2"/>
    <x v="1"/>
    <n v="0.46"/>
    <n v="0.47"/>
    <n v="0"/>
    <n v="0.46"/>
  </r>
  <r>
    <x v="0"/>
    <x v="2"/>
    <x v="48"/>
    <x v="1"/>
    <x v="3"/>
    <x v="2"/>
    <n v="16.11"/>
    <n v="16.3"/>
    <n v="0.03"/>
    <n v="14.01"/>
  </r>
  <r>
    <x v="0"/>
    <x v="2"/>
    <x v="48"/>
    <x v="4"/>
    <x v="4"/>
    <x v="1"/>
    <n v="8.1"/>
    <n v="8.1999999999999993"/>
    <n v="0.37"/>
    <n v="7.6"/>
  </r>
  <r>
    <x v="0"/>
    <x v="2"/>
    <x v="48"/>
    <x v="1"/>
    <x v="1"/>
    <x v="2"/>
    <n v="7.16"/>
    <n v="7.24"/>
    <n v="0.08"/>
    <n v="6.23"/>
  </r>
  <r>
    <x v="0"/>
    <x v="2"/>
    <x v="48"/>
    <x v="1"/>
    <x v="4"/>
    <x v="2"/>
    <n v="20.12"/>
    <n v="20.36"/>
    <n v="0.56999999999999995"/>
    <n v="17.5"/>
  </r>
  <r>
    <x v="0"/>
    <x v="2"/>
    <x v="48"/>
    <x v="4"/>
    <x v="2"/>
    <x v="2"/>
    <n v="3.85"/>
    <n v="3.89"/>
    <n v="0.02"/>
    <n v="3.35"/>
  </r>
  <r>
    <x v="0"/>
    <x v="2"/>
    <x v="48"/>
    <x v="4"/>
    <x v="1"/>
    <x v="2"/>
    <n v="8.49"/>
    <n v="8.59"/>
    <n v="0.23"/>
    <n v="7.38"/>
  </r>
  <r>
    <x v="0"/>
    <x v="2"/>
    <x v="48"/>
    <x v="4"/>
    <x v="4"/>
    <x v="2"/>
    <n v="8.41"/>
    <n v="8.51"/>
    <n v="0.26"/>
    <n v="7.62"/>
  </r>
  <r>
    <x v="0"/>
    <x v="2"/>
    <x v="48"/>
    <x v="2"/>
    <x v="2"/>
    <x v="2"/>
    <n v="4.16"/>
    <n v="4.21"/>
    <n v="0.01"/>
    <n v="4.16"/>
  </r>
  <r>
    <x v="0"/>
    <x v="2"/>
    <x v="48"/>
    <x v="0"/>
    <x v="4"/>
    <x v="0"/>
    <n v="58.23"/>
    <n v="58.92"/>
    <n v="16.86"/>
    <n v="55.13"/>
  </r>
  <r>
    <x v="0"/>
    <x v="2"/>
    <x v="48"/>
    <x v="2"/>
    <x v="3"/>
    <x v="3"/>
    <n v="63.81"/>
    <n v="64.569999999999993"/>
    <n v="0.04"/>
    <n v="63.81"/>
  </r>
  <r>
    <x v="0"/>
    <x v="2"/>
    <x v="48"/>
    <x v="2"/>
    <x v="0"/>
    <x v="0"/>
    <n v="18.29"/>
    <n v="18.5"/>
    <n v="10.85"/>
    <n v="17.23"/>
  </r>
  <r>
    <x v="0"/>
    <x v="2"/>
    <x v="48"/>
    <x v="1"/>
    <x v="2"/>
    <x v="0"/>
    <n v="27.1"/>
    <n v="27.42"/>
    <n v="0.35"/>
    <n v="25.27"/>
  </r>
  <r>
    <x v="0"/>
    <x v="2"/>
    <x v="48"/>
    <x v="0"/>
    <x v="1"/>
    <x v="0"/>
    <n v="4.37"/>
    <n v="4.42"/>
    <n v="0.9"/>
    <n v="3.98"/>
  </r>
  <r>
    <x v="0"/>
    <x v="2"/>
    <x v="48"/>
    <x v="4"/>
    <x v="0"/>
    <x v="0"/>
    <n v="2.1800000000000002"/>
    <n v="2.2000000000000002"/>
    <n v="0.48"/>
    <n v="2.0299999999999998"/>
  </r>
  <r>
    <x v="0"/>
    <x v="2"/>
    <x v="48"/>
    <x v="2"/>
    <x v="3"/>
    <x v="1"/>
    <n v="30.81"/>
    <n v="31.17"/>
    <n v="0.03"/>
    <n v="29.51"/>
  </r>
  <r>
    <x v="0"/>
    <x v="2"/>
    <x v="48"/>
    <x v="3"/>
    <x v="4"/>
    <x v="0"/>
    <n v="43.39"/>
    <n v="43.9"/>
    <n v="6.9"/>
    <n v="40.450000000000003"/>
  </r>
  <r>
    <x v="0"/>
    <x v="2"/>
    <x v="48"/>
    <x v="1"/>
    <x v="1"/>
    <x v="0"/>
    <n v="197.03"/>
    <n v="199.37"/>
    <n v="10.18"/>
    <n v="184.04"/>
  </r>
  <r>
    <x v="0"/>
    <x v="2"/>
    <x v="48"/>
    <x v="1"/>
    <x v="4"/>
    <x v="0"/>
    <n v="735.13"/>
    <n v="743.85"/>
    <n v="182.37"/>
    <n v="688.58"/>
  </r>
  <r>
    <x v="0"/>
    <x v="2"/>
    <x v="48"/>
    <x v="1"/>
    <x v="0"/>
    <x v="0"/>
    <n v="62.92"/>
    <n v="63.67"/>
    <n v="30.87"/>
    <n v="59.06"/>
  </r>
  <r>
    <x v="0"/>
    <x v="2"/>
    <x v="48"/>
    <x v="4"/>
    <x v="4"/>
    <x v="0"/>
    <n v="406.29"/>
    <n v="411.11"/>
    <n v="68.3"/>
    <n v="380.11"/>
  </r>
  <r>
    <x v="0"/>
    <x v="2"/>
    <x v="48"/>
    <x v="4"/>
    <x v="1"/>
    <x v="0"/>
    <n v="86.48"/>
    <n v="87.51"/>
    <n v="6.76"/>
    <n v="80.55"/>
  </r>
  <r>
    <x v="0"/>
    <x v="2"/>
    <x v="48"/>
    <x v="0"/>
    <x v="0"/>
    <x v="0"/>
    <n v="7.51"/>
    <n v="7.6"/>
    <n v="4.1100000000000003"/>
    <n v="6.92"/>
  </r>
  <r>
    <x v="0"/>
    <x v="2"/>
    <x v="48"/>
    <x v="2"/>
    <x v="4"/>
    <x v="0"/>
    <n v="26.48"/>
    <n v="26.79"/>
    <n v="5.23"/>
    <n v="24.91"/>
  </r>
  <r>
    <x v="0"/>
    <x v="3"/>
    <x v="49"/>
    <x v="2"/>
    <x v="2"/>
    <x v="2"/>
    <n v="4.8899999999999997"/>
    <n v="4.8899999999999997"/>
    <n v="0.03"/>
    <n v="4.67"/>
  </r>
  <r>
    <x v="0"/>
    <x v="3"/>
    <x v="49"/>
    <x v="4"/>
    <x v="4"/>
    <x v="2"/>
    <n v="79.7"/>
    <n v="79.7"/>
    <n v="3.19"/>
    <n v="75.52"/>
  </r>
  <r>
    <x v="0"/>
    <x v="3"/>
    <x v="49"/>
    <x v="4"/>
    <x v="1"/>
    <x v="2"/>
    <n v="45.29"/>
    <n v="45.29"/>
    <n v="1.28"/>
    <n v="41.03"/>
  </r>
  <r>
    <x v="0"/>
    <x v="3"/>
    <x v="49"/>
    <x v="4"/>
    <x v="2"/>
    <x v="2"/>
    <n v="40.78"/>
    <n v="40.78"/>
    <n v="0.23"/>
    <n v="36.94"/>
  </r>
  <r>
    <x v="0"/>
    <x v="3"/>
    <x v="49"/>
    <x v="1"/>
    <x v="4"/>
    <x v="2"/>
    <n v="82.2"/>
    <n v="82.2"/>
    <n v="2.35"/>
    <n v="74.45"/>
  </r>
  <r>
    <x v="0"/>
    <x v="3"/>
    <x v="49"/>
    <x v="0"/>
    <x v="1"/>
    <x v="1"/>
    <n v="85.98"/>
    <n v="85.98"/>
    <n v="1.45"/>
    <n v="78.89"/>
  </r>
  <r>
    <x v="0"/>
    <x v="3"/>
    <x v="49"/>
    <x v="1"/>
    <x v="1"/>
    <x v="2"/>
    <n v="55.02"/>
    <n v="55.02"/>
    <n v="0.53"/>
    <n v="50.21"/>
  </r>
  <r>
    <x v="0"/>
    <x v="3"/>
    <x v="49"/>
    <x v="0"/>
    <x v="4"/>
    <x v="1"/>
    <n v="128.84"/>
    <n v="128.84"/>
    <n v="8.84"/>
    <n v="118.25"/>
  </r>
  <r>
    <x v="0"/>
    <x v="3"/>
    <x v="49"/>
    <x v="0"/>
    <x v="3"/>
    <x v="1"/>
    <n v="97.98"/>
    <n v="97.98"/>
    <n v="0.14000000000000001"/>
    <n v="89.89"/>
  </r>
  <r>
    <x v="0"/>
    <x v="3"/>
    <x v="49"/>
    <x v="1"/>
    <x v="3"/>
    <x v="2"/>
    <n v="165.79"/>
    <n v="165.79"/>
    <n v="0.23"/>
    <n v="150.16999999999999"/>
  </r>
  <r>
    <x v="0"/>
    <x v="3"/>
    <x v="49"/>
    <x v="1"/>
    <x v="0"/>
    <x v="1"/>
    <n v="238.33"/>
    <n v="238.33"/>
    <n v="14.91"/>
    <n v="211.19"/>
  </r>
  <r>
    <x v="0"/>
    <x v="3"/>
    <x v="49"/>
    <x v="2"/>
    <x v="3"/>
    <x v="2"/>
    <n v="337.8"/>
    <n v="337.8"/>
    <n v="0.28999999999999998"/>
    <n v="310.32"/>
  </r>
  <r>
    <x v="0"/>
    <x v="3"/>
    <x v="49"/>
    <x v="2"/>
    <x v="2"/>
    <x v="3"/>
    <n v="928.23"/>
    <n v="928.23"/>
    <n v="0.91"/>
    <n v="922.69"/>
  </r>
  <r>
    <x v="0"/>
    <x v="3"/>
    <x v="49"/>
    <x v="2"/>
    <x v="2"/>
    <x v="0"/>
    <n v="55.43"/>
    <n v="55.43"/>
    <n v="0.09"/>
    <n v="54.62"/>
  </r>
  <r>
    <x v="0"/>
    <x v="3"/>
    <x v="49"/>
    <x v="2"/>
    <x v="4"/>
    <x v="0"/>
    <n v="559.24"/>
    <n v="559.24"/>
    <n v="167.62"/>
    <n v="549.16999999999996"/>
  </r>
  <r>
    <x v="0"/>
    <x v="3"/>
    <x v="49"/>
    <x v="2"/>
    <x v="0"/>
    <x v="0"/>
    <n v="208.8"/>
    <n v="208.8"/>
    <n v="153.80000000000001"/>
    <n v="199.94"/>
  </r>
  <r>
    <x v="0"/>
    <x v="3"/>
    <x v="49"/>
    <x v="0"/>
    <x v="0"/>
    <x v="1"/>
    <n v="17.95"/>
    <n v="17.95"/>
    <n v="1.53"/>
    <n v="16.600000000000001"/>
  </r>
  <r>
    <x v="0"/>
    <x v="3"/>
    <x v="49"/>
    <x v="4"/>
    <x v="4"/>
    <x v="1"/>
    <n v="101.54"/>
    <n v="101.54"/>
    <n v="5.04"/>
    <n v="87.86"/>
  </r>
  <r>
    <x v="0"/>
    <x v="3"/>
    <x v="49"/>
    <x v="4"/>
    <x v="0"/>
    <x v="1"/>
    <n v="184.81"/>
    <n v="184.81"/>
    <n v="7.42"/>
    <n v="162.57"/>
  </r>
  <r>
    <x v="0"/>
    <x v="3"/>
    <x v="49"/>
    <x v="2"/>
    <x v="3"/>
    <x v="3"/>
    <n v="1037"/>
    <n v="1037"/>
    <n v="0.67"/>
    <n v="1030.82"/>
  </r>
  <r>
    <x v="0"/>
    <x v="3"/>
    <x v="49"/>
    <x v="1"/>
    <x v="2"/>
    <x v="2"/>
    <n v="25.83"/>
    <n v="25.83"/>
    <n v="0.13"/>
    <n v="23.38"/>
  </r>
  <r>
    <x v="0"/>
    <x v="3"/>
    <x v="49"/>
    <x v="1"/>
    <x v="4"/>
    <x v="0"/>
    <n v="6668.83"/>
    <n v="6668.83"/>
    <n v="1810.61"/>
    <n v="6353.24"/>
  </r>
  <r>
    <x v="0"/>
    <x v="3"/>
    <x v="49"/>
    <x v="2"/>
    <x v="3"/>
    <x v="1"/>
    <n v="445.9"/>
    <n v="445.9"/>
    <n v="0.63"/>
    <n v="400.84"/>
  </r>
  <r>
    <x v="0"/>
    <x v="3"/>
    <x v="49"/>
    <x v="3"/>
    <x v="4"/>
    <x v="0"/>
    <n v="783.46"/>
    <n v="783.46"/>
    <n v="109.32"/>
    <n v="726.38"/>
  </r>
  <r>
    <x v="0"/>
    <x v="3"/>
    <x v="49"/>
    <x v="4"/>
    <x v="0"/>
    <x v="0"/>
    <n v="131.59"/>
    <n v="131.59"/>
    <n v="14.39"/>
    <n v="116.42"/>
  </r>
  <r>
    <x v="0"/>
    <x v="3"/>
    <x v="49"/>
    <x v="4"/>
    <x v="4"/>
    <x v="0"/>
    <n v="2282.79"/>
    <n v="2282.79"/>
    <n v="400.53"/>
    <n v="2116.79"/>
  </r>
  <r>
    <x v="0"/>
    <x v="3"/>
    <x v="49"/>
    <x v="4"/>
    <x v="1"/>
    <x v="0"/>
    <n v="227.86"/>
    <n v="227.86"/>
    <n v="20.16"/>
    <n v="211.67"/>
  </r>
  <r>
    <x v="0"/>
    <x v="3"/>
    <x v="49"/>
    <x v="0"/>
    <x v="0"/>
    <x v="0"/>
    <n v="70.069999999999993"/>
    <n v="70.069999999999993"/>
    <n v="39.11"/>
    <n v="64.989999999999995"/>
  </r>
  <r>
    <x v="0"/>
    <x v="3"/>
    <x v="49"/>
    <x v="0"/>
    <x v="4"/>
    <x v="0"/>
    <n v="457.91"/>
    <n v="457.91"/>
    <n v="217.67"/>
    <n v="443.59"/>
  </r>
  <r>
    <x v="0"/>
    <x v="3"/>
    <x v="49"/>
    <x v="0"/>
    <x v="1"/>
    <x v="0"/>
    <n v="90.03"/>
    <n v="90.03"/>
    <n v="26.45"/>
    <n v="86.8"/>
  </r>
  <r>
    <x v="0"/>
    <x v="3"/>
    <x v="49"/>
    <x v="0"/>
    <x v="2"/>
    <x v="1"/>
    <n v="0.24"/>
    <n v="0.24"/>
    <n v="0"/>
    <n v="0.24"/>
  </r>
  <r>
    <x v="0"/>
    <x v="3"/>
    <x v="49"/>
    <x v="1"/>
    <x v="0"/>
    <x v="0"/>
    <n v="507.51"/>
    <n v="507.51"/>
    <n v="399.88"/>
    <n v="487.59"/>
  </r>
  <r>
    <x v="0"/>
    <x v="3"/>
    <x v="49"/>
    <x v="2"/>
    <x v="2"/>
    <x v="1"/>
    <n v="0.01"/>
    <n v="0.01"/>
    <n v="0"/>
    <n v="0.01"/>
  </r>
  <r>
    <x v="0"/>
    <x v="3"/>
    <x v="49"/>
    <x v="1"/>
    <x v="1"/>
    <x v="0"/>
    <n v="1369.43"/>
    <n v="1369.43"/>
    <n v="96.16"/>
    <n v="1297.51"/>
  </r>
  <r>
    <x v="0"/>
    <x v="3"/>
    <x v="49"/>
    <x v="1"/>
    <x v="2"/>
    <x v="0"/>
    <n v="105.24"/>
    <n v="105.24"/>
    <n v="4.74"/>
    <n v="96.72"/>
  </r>
  <r>
    <x v="0"/>
    <x v="3"/>
    <x v="49"/>
    <x v="2"/>
    <x v="4"/>
    <x v="1"/>
    <n v="7.9"/>
    <n v="7.9"/>
    <n v="0.05"/>
    <n v="7.54"/>
  </r>
  <r>
    <x v="0"/>
    <x v="3"/>
    <x v="49"/>
    <x v="1"/>
    <x v="3"/>
    <x v="1"/>
    <n v="23.83"/>
    <n v="23.83"/>
    <n v="0.12"/>
    <n v="22.04"/>
  </r>
  <r>
    <x v="0"/>
    <x v="3"/>
    <x v="49"/>
    <x v="1"/>
    <x v="2"/>
    <x v="1"/>
    <n v="699.4"/>
    <n v="699.4"/>
    <n v="6.13"/>
    <n v="637.20000000000005"/>
  </r>
  <r>
    <x v="0"/>
    <x v="3"/>
    <x v="49"/>
    <x v="1"/>
    <x v="1"/>
    <x v="1"/>
    <n v="459.01"/>
    <n v="459.01"/>
    <n v="7.44"/>
    <n v="414.07"/>
  </r>
  <r>
    <x v="0"/>
    <x v="3"/>
    <x v="49"/>
    <x v="1"/>
    <x v="4"/>
    <x v="1"/>
    <n v="177.32"/>
    <n v="177.32"/>
    <n v="8.3800000000000008"/>
    <n v="156.22"/>
  </r>
  <r>
    <x v="0"/>
    <x v="3"/>
    <x v="49"/>
    <x v="0"/>
    <x v="2"/>
    <x v="0"/>
    <n v="0.26"/>
    <n v="0.26"/>
    <n v="0"/>
    <n v="0.26"/>
  </r>
  <r>
    <x v="1"/>
    <x v="0"/>
    <x v="0"/>
    <x v="4"/>
    <x v="4"/>
    <x v="0"/>
    <n v="23.63"/>
    <n v="18.77"/>
    <n v="4.03"/>
    <n v="22.24"/>
  </r>
  <r>
    <x v="1"/>
    <x v="0"/>
    <x v="0"/>
    <x v="1"/>
    <x v="1"/>
    <x v="1"/>
    <n v="3.3"/>
    <n v="2.62"/>
    <n v="0.05"/>
    <n v="3.14"/>
  </r>
  <r>
    <x v="1"/>
    <x v="0"/>
    <x v="0"/>
    <x v="1"/>
    <x v="2"/>
    <x v="1"/>
    <n v="5.73"/>
    <n v="4.55"/>
    <n v="0.03"/>
    <n v="5.46"/>
  </r>
  <r>
    <x v="1"/>
    <x v="0"/>
    <x v="0"/>
    <x v="1"/>
    <x v="3"/>
    <x v="1"/>
    <n v="1.18"/>
    <n v="0.94"/>
    <n v="0"/>
    <n v="1.1299999999999999"/>
  </r>
  <r>
    <x v="1"/>
    <x v="0"/>
    <x v="0"/>
    <x v="2"/>
    <x v="3"/>
    <x v="1"/>
    <n v="8.35"/>
    <n v="6.63"/>
    <n v="0.02"/>
    <n v="7.95"/>
  </r>
  <r>
    <x v="1"/>
    <x v="0"/>
    <x v="0"/>
    <x v="3"/>
    <x v="0"/>
    <x v="0"/>
    <n v="0"/>
    <n v="0"/>
    <n v="0"/>
    <n v="0"/>
  </r>
  <r>
    <x v="1"/>
    <x v="0"/>
    <x v="0"/>
    <x v="3"/>
    <x v="4"/>
    <x v="0"/>
    <n v="0.22"/>
    <n v="0.18"/>
    <n v="0.04"/>
    <n v="0.21"/>
  </r>
  <r>
    <x v="1"/>
    <x v="0"/>
    <x v="0"/>
    <x v="1"/>
    <x v="4"/>
    <x v="1"/>
    <n v="0.79"/>
    <n v="0.63"/>
    <n v="0.04"/>
    <n v="0.75"/>
  </r>
  <r>
    <x v="1"/>
    <x v="0"/>
    <x v="0"/>
    <x v="4"/>
    <x v="0"/>
    <x v="0"/>
    <n v="0.24"/>
    <n v="0.19"/>
    <n v="0.08"/>
    <n v="0.23"/>
  </r>
  <r>
    <x v="1"/>
    <x v="0"/>
    <x v="0"/>
    <x v="1"/>
    <x v="1"/>
    <x v="0"/>
    <n v="11.53"/>
    <n v="9.16"/>
    <n v="0.57999999999999996"/>
    <n v="10.94"/>
  </r>
  <r>
    <x v="1"/>
    <x v="0"/>
    <x v="0"/>
    <x v="4"/>
    <x v="1"/>
    <x v="0"/>
    <n v="3.26"/>
    <n v="2.59"/>
    <n v="0.27"/>
    <n v="3.06"/>
  </r>
  <r>
    <x v="1"/>
    <x v="0"/>
    <x v="0"/>
    <x v="0"/>
    <x v="0"/>
    <x v="0"/>
    <n v="4.03"/>
    <n v="3.2"/>
    <n v="2.5299999999999998"/>
    <n v="3.81"/>
  </r>
  <r>
    <x v="1"/>
    <x v="0"/>
    <x v="0"/>
    <x v="0"/>
    <x v="4"/>
    <x v="0"/>
    <n v="8.1199999999999992"/>
    <n v="6.45"/>
    <n v="2.4700000000000002"/>
    <n v="7.82"/>
  </r>
  <r>
    <x v="1"/>
    <x v="0"/>
    <x v="0"/>
    <x v="1"/>
    <x v="0"/>
    <x v="0"/>
    <n v="5.86"/>
    <n v="4.6500000000000004"/>
    <n v="2.73"/>
    <n v="5.59"/>
  </r>
  <r>
    <x v="1"/>
    <x v="0"/>
    <x v="0"/>
    <x v="1"/>
    <x v="4"/>
    <x v="0"/>
    <n v="45.75"/>
    <n v="36.340000000000003"/>
    <n v="10.63"/>
    <n v="43.61"/>
  </r>
  <r>
    <x v="1"/>
    <x v="0"/>
    <x v="0"/>
    <x v="1"/>
    <x v="2"/>
    <x v="0"/>
    <n v="2.73"/>
    <n v="2.17"/>
    <n v="0.04"/>
    <n v="2.58"/>
  </r>
  <r>
    <x v="1"/>
    <x v="0"/>
    <x v="0"/>
    <x v="2"/>
    <x v="4"/>
    <x v="0"/>
    <n v="3.85"/>
    <n v="3.06"/>
    <n v="1.1100000000000001"/>
    <n v="3.65"/>
  </r>
  <r>
    <x v="1"/>
    <x v="0"/>
    <x v="0"/>
    <x v="3"/>
    <x v="1"/>
    <x v="0"/>
    <n v="0.11"/>
    <n v="0.09"/>
    <n v="0"/>
    <n v="0.11"/>
  </r>
  <r>
    <x v="1"/>
    <x v="0"/>
    <x v="0"/>
    <x v="4"/>
    <x v="1"/>
    <x v="2"/>
    <n v="1.77"/>
    <n v="1.41"/>
    <n v="0.05"/>
    <n v="1.67"/>
  </r>
  <r>
    <x v="1"/>
    <x v="0"/>
    <x v="0"/>
    <x v="2"/>
    <x v="0"/>
    <x v="0"/>
    <n v="8.1300000000000008"/>
    <n v="6.46"/>
    <n v="4.53"/>
    <n v="7.68"/>
  </r>
  <r>
    <x v="1"/>
    <x v="0"/>
    <x v="0"/>
    <x v="1"/>
    <x v="0"/>
    <x v="1"/>
    <n v="2.66"/>
    <n v="2.12"/>
    <n v="0.09"/>
    <n v="2.5099999999999998"/>
  </r>
  <r>
    <x v="1"/>
    <x v="0"/>
    <x v="0"/>
    <x v="4"/>
    <x v="4"/>
    <x v="2"/>
    <n v="1.01"/>
    <n v="0.8"/>
    <n v="0.05"/>
    <n v="0.94"/>
  </r>
  <r>
    <x v="1"/>
    <x v="0"/>
    <x v="0"/>
    <x v="4"/>
    <x v="2"/>
    <x v="2"/>
    <n v="5.33"/>
    <n v="4.2300000000000004"/>
    <n v="0.03"/>
    <n v="5.03"/>
  </r>
  <r>
    <x v="1"/>
    <x v="0"/>
    <x v="0"/>
    <x v="1"/>
    <x v="4"/>
    <x v="2"/>
    <n v="1.1100000000000001"/>
    <n v="0.88"/>
    <n v="0.03"/>
    <n v="1.04"/>
  </r>
  <r>
    <x v="1"/>
    <x v="0"/>
    <x v="0"/>
    <x v="1"/>
    <x v="1"/>
    <x v="2"/>
    <n v="0.2"/>
    <n v="0.16"/>
    <n v="0"/>
    <n v="0.19"/>
  </r>
  <r>
    <x v="1"/>
    <x v="0"/>
    <x v="0"/>
    <x v="1"/>
    <x v="2"/>
    <x v="2"/>
    <n v="0.62"/>
    <n v="0.49"/>
    <n v="0"/>
    <n v="0.57999999999999996"/>
  </r>
  <r>
    <x v="1"/>
    <x v="0"/>
    <x v="0"/>
    <x v="1"/>
    <x v="3"/>
    <x v="2"/>
    <n v="0.18"/>
    <n v="0.15"/>
    <n v="0"/>
    <n v="0.17"/>
  </r>
  <r>
    <x v="1"/>
    <x v="0"/>
    <x v="0"/>
    <x v="2"/>
    <x v="3"/>
    <x v="2"/>
    <n v="7.89"/>
    <n v="6.27"/>
    <n v="0.01"/>
    <n v="7.51"/>
  </r>
  <r>
    <x v="1"/>
    <x v="0"/>
    <x v="0"/>
    <x v="0"/>
    <x v="4"/>
    <x v="1"/>
    <n v="1.39"/>
    <n v="1.1000000000000001"/>
    <n v="0.04"/>
    <n v="1.32"/>
  </r>
  <r>
    <x v="1"/>
    <x v="0"/>
    <x v="0"/>
    <x v="2"/>
    <x v="3"/>
    <x v="3"/>
    <n v="9.58"/>
    <n v="7.61"/>
    <n v="0.01"/>
    <n v="9.35"/>
  </r>
  <r>
    <x v="1"/>
    <x v="0"/>
    <x v="0"/>
    <x v="4"/>
    <x v="0"/>
    <x v="1"/>
    <n v="1.24"/>
    <n v="0.99"/>
    <n v="7.0000000000000007E-2"/>
    <n v="1.18"/>
  </r>
  <r>
    <x v="1"/>
    <x v="0"/>
    <x v="0"/>
    <x v="4"/>
    <x v="4"/>
    <x v="1"/>
    <n v="0.02"/>
    <n v="0.02"/>
    <n v="0"/>
    <n v="0.02"/>
  </r>
  <r>
    <x v="1"/>
    <x v="0"/>
    <x v="0"/>
    <x v="4"/>
    <x v="1"/>
    <x v="1"/>
    <n v="0.06"/>
    <n v="0.04"/>
    <n v="0"/>
    <n v="0.05"/>
  </r>
  <r>
    <x v="1"/>
    <x v="0"/>
    <x v="0"/>
    <x v="0"/>
    <x v="0"/>
    <x v="1"/>
    <n v="0.94"/>
    <n v="0.75"/>
    <n v="0.04"/>
    <n v="0.9"/>
  </r>
  <r>
    <x v="1"/>
    <x v="0"/>
    <x v="0"/>
    <x v="0"/>
    <x v="1"/>
    <x v="1"/>
    <n v="0.09"/>
    <n v="7.0000000000000007E-2"/>
    <n v="0"/>
    <n v="0.09"/>
  </r>
  <r>
    <x v="1"/>
    <x v="0"/>
    <x v="0"/>
    <x v="0"/>
    <x v="3"/>
    <x v="1"/>
    <n v="0.14000000000000001"/>
    <n v="0.11"/>
    <n v="0"/>
    <n v="0.13"/>
  </r>
  <r>
    <x v="1"/>
    <x v="0"/>
    <x v="0"/>
    <x v="2"/>
    <x v="2"/>
    <x v="3"/>
    <n v="0.52"/>
    <n v="0.41"/>
    <n v="0"/>
    <n v="0.49"/>
  </r>
  <r>
    <x v="1"/>
    <x v="1"/>
    <x v="1"/>
    <x v="4"/>
    <x v="1"/>
    <x v="1"/>
    <n v="0.69"/>
    <n v="0.64"/>
    <n v="0.02"/>
    <n v="0.57999999999999996"/>
  </r>
  <r>
    <x v="1"/>
    <x v="1"/>
    <x v="1"/>
    <x v="0"/>
    <x v="0"/>
    <x v="1"/>
    <n v="0.25"/>
    <n v="0.23"/>
    <n v="0.01"/>
    <n v="0.22"/>
  </r>
  <r>
    <x v="1"/>
    <x v="1"/>
    <x v="1"/>
    <x v="0"/>
    <x v="4"/>
    <x v="1"/>
    <n v="6.71"/>
    <n v="6.28"/>
    <n v="0.04"/>
    <n v="5.64"/>
  </r>
  <r>
    <x v="1"/>
    <x v="1"/>
    <x v="1"/>
    <x v="0"/>
    <x v="1"/>
    <x v="1"/>
    <n v="0.44"/>
    <n v="0.41"/>
    <n v="0.01"/>
    <n v="0.37"/>
  </r>
  <r>
    <x v="1"/>
    <x v="1"/>
    <x v="1"/>
    <x v="1"/>
    <x v="0"/>
    <x v="1"/>
    <n v="18.23"/>
    <n v="17.05"/>
    <n v="1.17"/>
    <n v="15.53"/>
  </r>
  <r>
    <x v="1"/>
    <x v="1"/>
    <x v="1"/>
    <x v="2"/>
    <x v="2"/>
    <x v="3"/>
    <n v="37.49"/>
    <n v="35.06"/>
    <n v="0.02"/>
    <n v="37.49"/>
  </r>
  <r>
    <x v="1"/>
    <x v="1"/>
    <x v="1"/>
    <x v="1"/>
    <x v="1"/>
    <x v="1"/>
    <n v="15.55"/>
    <n v="14.54"/>
    <n v="0.27"/>
    <n v="13.2"/>
  </r>
  <r>
    <x v="1"/>
    <x v="1"/>
    <x v="1"/>
    <x v="0"/>
    <x v="3"/>
    <x v="1"/>
    <n v="8.83"/>
    <n v="8.26"/>
    <n v="0"/>
    <n v="4.42"/>
  </r>
  <r>
    <x v="1"/>
    <x v="1"/>
    <x v="1"/>
    <x v="4"/>
    <x v="4"/>
    <x v="1"/>
    <n v="0.05"/>
    <n v="0.05"/>
    <n v="0"/>
    <n v="0.04"/>
  </r>
  <r>
    <x v="1"/>
    <x v="1"/>
    <x v="1"/>
    <x v="1"/>
    <x v="1"/>
    <x v="2"/>
    <n v="2.08"/>
    <n v="1.94"/>
    <n v="0.03"/>
    <n v="1.7"/>
  </r>
  <r>
    <x v="1"/>
    <x v="1"/>
    <x v="1"/>
    <x v="2"/>
    <x v="3"/>
    <x v="3"/>
    <n v="173.35"/>
    <n v="162.11000000000001"/>
    <n v="0.05"/>
    <n v="89.69"/>
  </r>
  <r>
    <x v="1"/>
    <x v="1"/>
    <x v="1"/>
    <x v="2"/>
    <x v="3"/>
    <x v="2"/>
    <n v="38.32"/>
    <n v="35.840000000000003"/>
    <n v="0.02"/>
    <n v="19.16"/>
  </r>
  <r>
    <x v="1"/>
    <x v="1"/>
    <x v="1"/>
    <x v="1"/>
    <x v="3"/>
    <x v="2"/>
    <n v="2.4300000000000002"/>
    <n v="2.27"/>
    <n v="0.01"/>
    <n v="2.4300000000000002"/>
  </r>
  <r>
    <x v="1"/>
    <x v="1"/>
    <x v="1"/>
    <x v="1"/>
    <x v="3"/>
    <x v="1"/>
    <n v="6.09"/>
    <n v="5.69"/>
    <n v="0.01"/>
    <n v="5.77"/>
  </r>
  <r>
    <x v="1"/>
    <x v="1"/>
    <x v="1"/>
    <x v="1"/>
    <x v="0"/>
    <x v="0"/>
    <n v="16.21"/>
    <n v="15.16"/>
    <n v="7.8"/>
    <n v="14.39"/>
  </r>
  <r>
    <x v="1"/>
    <x v="1"/>
    <x v="1"/>
    <x v="1"/>
    <x v="4"/>
    <x v="2"/>
    <n v="2.3199999999999998"/>
    <n v="2.17"/>
    <n v="0.06"/>
    <n v="1.9"/>
  </r>
  <r>
    <x v="1"/>
    <x v="1"/>
    <x v="1"/>
    <x v="4"/>
    <x v="0"/>
    <x v="1"/>
    <n v="1.98"/>
    <n v="1.86"/>
    <n v="0.09"/>
    <n v="1.67"/>
  </r>
  <r>
    <x v="1"/>
    <x v="1"/>
    <x v="1"/>
    <x v="4"/>
    <x v="1"/>
    <x v="0"/>
    <n v="32.549999999999997"/>
    <n v="30.43"/>
    <n v="1.97"/>
    <n v="28.38"/>
  </r>
  <r>
    <x v="1"/>
    <x v="1"/>
    <x v="1"/>
    <x v="1"/>
    <x v="4"/>
    <x v="1"/>
    <n v="8.44"/>
    <n v="7.89"/>
    <n v="0.31"/>
    <n v="7.19"/>
  </r>
  <r>
    <x v="1"/>
    <x v="1"/>
    <x v="1"/>
    <x v="4"/>
    <x v="1"/>
    <x v="2"/>
    <n v="0.57999999999999996"/>
    <n v="0.54"/>
    <n v="0.01"/>
    <n v="0.47"/>
  </r>
  <r>
    <x v="1"/>
    <x v="1"/>
    <x v="1"/>
    <x v="4"/>
    <x v="4"/>
    <x v="2"/>
    <n v="5.38"/>
    <n v="5.03"/>
    <n v="0.19"/>
    <n v="5.38"/>
  </r>
  <r>
    <x v="1"/>
    <x v="1"/>
    <x v="1"/>
    <x v="2"/>
    <x v="0"/>
    <x v="0"/>
    <n v="6.44"/>
    <n v="6.02"/>
    <n v="5.4"/>
    <n v="6.39"/>
  </r>
  <r>
    <x v="1"/>
    <x v="1"/>
    <x v="1"/>
    <x v="1"/>
    <x v="2"/>
    <x v="0"/>
    <n v="11.45"/>
    <n v="10.71"/>
    <n v="0.33"/>
    <n v="9.76"/>
  </r>
  <r>
    <x v="1"/>
    <x v="1"/>
    <x v="1"/>
    <x v="1"/>
    <x v="1"/>
    <x v="0"/>
    <n v="81.61"/>
    <n v="76.319999999999993"/>
    <n v="5.51"/>
    <n v="74.81"/>
  </r>
  <r>
    <x v="1"/>
    <x v="1"/>
    <x v="1"/>
    <x v="0"/>
    <x v="0"/>
    <x v="0"/>
    <n v="33.270000000000003"/>
    <n v="31.11"/>
    <n v="8.75"/>
    <n v="28.41"/>
  </r>
  <r>
    <x v="1"/>
    <x v="1"/>
    <x v="1"/>
    <x v="0"/>
    <x v="4"/>
    <x v="0"/>
    <n v="35.43"/>
    <n v="33.130000000000003"/>
    <n v="9.94"/>
    <n v="30.52"/>
  </r>
  <r>
    <x v="1"/>
    <x v="1"/>
    <x v="1"/>
    <x v="2"/>
    <x v="4"/>
    <x v="0"/>
    <n v="10.11"/>
    <n v="9.4499999999999993"/>
    <n v="3.86"/>
    <n v="9.5399999999999991"/>
  </r>
  <r>
    <x v="1"/>
    <x v="1"/>
    <x v="1"/>
    <x v="4"/>
    <x v="4"/>
    <x v="0"/>
    <n v="107.56"/>
    <n v="100.58"/>
    <n v="19.899999999999999"/>
    <n v="94.51"/>
  </r>
  <r>
    <x v="1"/>
    <x v="1"/>
    <x v="1"/>
    <x v="4"/>
    <x v="0"/>
    <x v="0"/>
    <n v="2.36"/>
    <n v="2.21"/>
    <n v="0.13"/>
    <n v="2.0099999999999998"/>
  </r>
  <r>
    <x v="1"/>
    <x v="1"/>
    <x v="1"/>
    <x v="3"/>
    <x v="1"/>
    <x v="0"/>
    <n v="0.65"/>
    <n v="0.61"/>
    <n v="7.0000000000000007E-2"/>
    <n v="0.65"/>
  </r>
  <r>
    <x v="1"/>
    <x v="1"/>
    <x v="1"/>
    <x v="3"/>
    <x v="4"/>
    <x v="0"/>
    <n v="6.69"/>
    <n v="6.25"/>
    <n v="1.51"/>
    <n v="6.43"/>
  </r>
  <r>
    <x v="1"/>
    <x v="1"/>
    <x v="1"/>
    <x v="2"/>
    <x v="3"/>
    <x v="1"/>
    <n v="89.02"/>
    <n v="83.25"/>
    <n v="0.1"/>
    <n v="47.17"/>
  </r>
  <r>
    <x v="1"/>
    <x v="1"/>
    <x v="1"/>
    <x v="2"/>
    <x v="4"/>
    <x v="1"/>
    <n v="1.02"/>
    <n v="0.96"/>
    <n v="0"/>
    <n v="1.02"/>
  </r>
  <r>
    <x v="1"/>
    <x v="1"/>
    <x v="1"/>
    <x v="1"/>
    <x v="4"/>
    <x v="0"/>
    <n v="279.26"/>
    <n v="261.14999999999998"/>
    <n v="48.68"/>
    <n v="251.14"/>
  </r>
  <r>
    <x v="1"/>
    <x v="1"/>
    <x v="1"/>
    <x v="1"/>
    <x v="2"/>
    <x v="1"/>
    <n v="28.45"/>
    <n v="26.6"/>
    <n v="0.19"/>
    <n v="24.45"/>
  </r>
  <r>
    <x v="1"/>
    <x v="2"/>
    <x v="2"/>
    <x v="0"/>
    <x v="4"/>
    <x v="0"/>
    <n v="20.68"/>
    <n v="19.739999999999998"/>
    <n v="5.81"/>
    <n v="18.89"/>
  </r>
  <r>
    <x v="1"/>
    <x v="2"/>
    <x v="2"/>
    <x v="1"/>
    <x v="3"/>
    <x v="1"/>
    <n v="0.19"/>
    <n v="0.18"/>
    <n v="0"/>
    <n v="0.17"/>
  </r>
  <r>
    <x v="1"/>
    <x v="2"/>
    <x v="2"/>
    <x v="2"/>
    <x v="4"/>
    <x v="1"/>
    <n v="0.02"/>
    <n v="0.02"/>
    <n v="0"/>
    <n v="0.02"/>
  </r>
  <r>
    <x v="1"/>
    <x v="2"/>
    <x v="2"/>
    <x v="2"/>
    <x v="2"/>
    <x v="1"/>
    <n v="8.77"/>
    <n v="8.3699999999999992"/>
    <n v="0.03"/>
    <n v="8.51"/>
  </r>
  <r>
    <x v="1"/>
    <x v="2"/>
    <x v="2"/>
    <x v="4"/>
    <x v="4"/>
    <x v="2"/>
    <n v="0.76"/>
    <n v="0.73"/>
    <n v="0.05"/>
    <n v="0.66"/>
  </r>
  <r>
    <x v="1"/>
    <x v="2"/>
    <x v="2"/>
    <x v="2"/>
    <x v="3"/>
    <x v="1"/>
    <n v="8.67"/>
    <n v="8.2799999999999994"/>
    <n v="0.01"/>
    <n v="8.19"/>
  </r>
  <r>
    <x v="1"/>
    <x v="2"/>
    <x v="2"/>
    <x v="3"/>
    <x v="0"/>
    <x v="0"/>
    <n v="0.06"/>
    <n v="0.05"/>
    <n v="0.05"/>
    <n v="0.05"/>
  </r>
  <r>
    <x v="1"/>
    <x v="2"/>
    <x v="2"/>
    <x v="3"/>
    <x v="4"/>
    <x v="0"/>
    <n v="2.89"/>
    <n v="2.75"/>
    <n v="0.38"/>
    <n v="2.63"/>
  </r>
  <r>
    <x v="1"/>
    <x v="2"/>
    <x v="2"/>
    <x v="1"/>
    <x v="2"/>
    <x v="1"/>
    <n v="11.62"/>
    <n v="11.1"/>
    <n v="7.0000000000000007E-2"/>
    <n v="10.87"/>
  </r>
  <r>
    <x v="1"/>
    <x v="2"/>
    <x v="2"/>
    <x v="4"/>
    <x v="1"/>
    <x v="0"/>
    <n v="2.88"/>
    <n v="2.75"/>
    <n v="0.2"/>
    <n v="2.74"/>
  </r>
  <r>
    <x v="1"/>
    <x v="2"/>
    <x v="2"/>
    <x v="4"/>
    <x v="4"/>
    <x v="0"/>
    <n v="37.35"/>
    <n v="35.659999999999997"/>
    <n v="5.52"/>
    <n v="34.770000000000003"/>
  </r>
  <r>
    <x v="1"/>
    <x v="2"/>
    <x v="2"/>
    <x v="1"/>
    <x v="0"/>
    <x v="0"/>
    <n v="4.49"/>
    <n v="4.29"/>
    <n v="1.94"/>
    <n v="4.25"/>
  </r>
  <r>
    <x v="1"/>
    <x v="2"/>
    <x v="2"/>
    <x v="1"/>
    <x v="4"/>
    <x v="0"/>
    <n v="74.8"/>
    <n v="71.42"/>
    <n v="16.579999999999998"/>
    <n v="68.569999999999993"/>
  </r>
  <r>
    <x v="1"/>
    <x v="2"/>
    <x v="2"/>
    <x v="1"/>
    <x v="1"/>
    <x v="0"/>
    <n v="10.82"/>
    <n v="10.33"/>
    <n v="0.61"/>
    <n v="10"/>
  </r>
  <r>
    <x v="1"/>
    <x v="2"/>
    <x v="2"/>
    <x v="1"/>
    <x v="2"/>
    <x v="0"/>
    <n v="2.36"/>
    <n v="2.25"/>
    <n v="0.06"/>
    <n v="2.09"/>
  </r>
  <r>
    <x v="1"/>
    <x v="2"/>
    <x v="2"/>
    <x v="2"/>
    <x v="0"/>
    <x v="0"/>
    <n v="3.36"/>
    <n v="3.21"/>
    <n v="2.12"/>
    <n v="3.13"/>
  </r>
  <r>
    <x v="1"/>
    <x v="2"/>
    <x v="2"/>
    <x v="2"/>
    <x v="4"/>
    <x v="0"/>
    <n v="2.4300000000000002"/>
    <n v="2.3199999999999998"/>
    <n v="0.63"/>
    <n v="2.2799999999999998"/>
  </r>
  <r>
    <x v="1"/>
    <x v="2"/>
    <x v="2"/>
    <x v="4"/>
    <x v="0"/>
    <x v="0"/>
    <n v="0.21"/>
    <n v="0.2"/>
    <n v="0.04"/>
    <n v="0.2"/>
  </r>
  <r>
    <x v="1"/>
    <x v="2"/>
    <x v="2"/>
    <x v="2"/>
    <x v="2"/>
    <x v="3"/>
    <n v="1.31"/>
    <n v="1.25"/>
    <n v="0"/>
    <n v="1.31"/>
  </r>
  <r>
    <x v="1"/>
    <x v="2"/>
    <x v="2"/>
    <x v="0"/>
    <x v="0"/>
    <x v="0"/>
    <n v="3.34"/>
    <n v="3.19"/>
    <n v="1.54"/>
    <n v="3.06"/>
  </r>
  <r>
    <x v="1"/>
    <x v="2"/>
    <x v="2"/>
    <x v="1"/>
    <x v="1"/>
    <x v="1"/>
    <n v="3.21"/>
    <n v="3.06"/>
    <n v="0.04"/>
    <n v="2.96"/>
  </r>
  <r>
    <x v="1"/>
    <x v="2"/>
    <x v="2"/>
    <x v="1"/>
    <x v="4"/>
    <x v="2"/>
    <n v="6.17"/>
    <n v="5.9"/>
    <n v="0.12"/>
    <n v="5.37"/>
  </r>
  <r>
    <x v="1"/>
    <x v="2"/>
    <x v="2"/>
    <x v="1"/>
    <x v="1"/>
    <x v="2"/>
    <n v="0.08"/>
    <n v="0.08"/>
    <n v="0"/>
    <n v="7.0000000000000007E-2"/>
  </r>
  <r>
    <x v="1"/>
    <x v="2"/>
    <x v="2"/>
    <x v="2"/>
    <x v="3"/>
    <x v="2"/>
    <n v="8.5500000000000007"/>
    <n v="8.16"/>
    <n v="0.02"/>
    <n v="7.68"/>
  </r>
  <r>
    <x v="1"/>
    <x v="2"/>
    <x v="2"/>
    <x v="4"/>
    <x v="2"/>
    <x v="2"/>
    <n v="0.54"/>
    <n v="0.52"/>
    <n v="0"/>
    <n v="0.47"/>
  </r>
  <r>
    <x v="1"/>
    <x v="2"/>
    <x v="2"/>
    <x v="2"/>
    <x v="3"/>
    <x v="3"/>
    <n v="17.12"/>
    <n v="16.34"/>
    <n v="0.01"/>
    <n v="16.98"/>
  </r>
  <r>
    <x v="1"/>
    <x v="2"/>
    <x v="2"/>
    <x v="4"/>
    <x v="0"/>
    <x v="1"/>
    <n v="1.35"/>
    <n v="1.29"/>
    <n v="7.0000000000000007E-2"/>
    <n v="1.25"/>
  </r>
  <r>
    <x v="1"/>
    <x v="2"/>
    <x v="2"/>
    <x v="0"/>
    <x v="3"/>
    <x v="1"/>
    <n v="7.0000000000000007E-2"/>
    <n v="0.06"/>
    <n v="0"/>
    <n v="0.06"/>
  </r>
  <r>
    <x v="1"/>
    <x v="2"/>
    <x v="2"/>
    <x v="1"/>
    <x v="4"/>
    <x v="1"/>
    <n v="1.76"/>
    <n v="1.68"/>
    <n v="0.06"/>
    <n v="1.74"/>
  </r>
  <r>
    <x v="1"/>
    <x v="2"/>
    <x v="2"/>
    <x v="2"/>
    <x v="2"/>
    <x v="2"/>
    <n v="0.57999999999999996"/>
    <n v="0.55000000000000004"/>
    <n v="0"/>
    <n v="0.57999999999999996"/>
  </r>
  <r>
    <x v="1"/>
    <x v="2"/>
    <x v="2"/>
    <x v="1"/>
    <x v="0"/>
    <x v="1"/>
    <n v="4.3899999999999997"/>
    <n v="4.1900000000000004"/>
    <n v="0.24"/>
    <n v="4.33"/>
  </r>
  <r>
    <x v="1"/>
    <x v="2"/>
    <x v="2"/>
    <x v="4"/>
    <x v="1"/>
    <x v="2"/>
    <n v="0.56999999999999995"/>
    <n v="0.54"/>
    <n v="0.02"/>
    <n v="0.49"/>
  </r>
  <r>
    <x v="1"/>
    <x v="2"/>
    <x v="2"/>
    <x v="0"/>
    <x v="1"/>
    <x v="1"/>
    <n v="0.09"/>
    <n v="0.09"/>
    <n v="0"/>
    <n v="0.08"/>
  </r>
  <r>
    <x v="1"/>
    <x v="2"/>
    <x v="2"/>
    <x v="0"/>
    <x v="4"/>
    <x v="1"/>
    <n v="2.66"/>
    <n v="2.54"/>
    <n v="7.0000000000000007E-2"/>
    <n v="2.41"/>
  </r>
  <r>
    <x v="1"/>
    <x v="2"/>
    <x v="2"/>
    <x v="0"/>
    <x v="0"/>
    <x v="1"/>
    <n v="2.06"/>
    <n v="1.97"/>
    <n v="0.11"/>
    <n v="1.87"/>
  </r>
  <r>
    <x v="1"/>
    <x v="2"/>
    <x v="2"/>
    <x v="4"/>
    <x v="1"/>
    <x v="1"/>
    <n v="0.08"/>
    <n v="7.0000000000000007E-2"/>
    <n v="0"/>
    <n v="7.0000000000000007E-2"/>
  </r>
  <r>
    <x v="1"/>
    <x v="2"/>
    <x v="2"/>
    <x v="4"/>
    <x v="4"/>
    <x v="1"/>
    <n v="0.28999999999999998"/>
    <n v="0.28000000000000003"/>
    <n v="0.02"/>
    <n v="0.28999999999999998"/>
  </r>
  <r>
    <x v="1"/>
    <x v="2"/>
    <x v="3"/>
    <x v="4"/>
    <x v="0"/>
    <x v="1"/>
    <n v="2.6"/>
    <n v="2.4900000000000002"/>
    <n v="0.12"/>
    <n v="2.42"/>
  </r>
  <r>
    <x v="1"/>
    <x v="2"/>
    <x v="3"/>
    <x v="1"/>
    <x v="4"/>
    <x v="1"/>
    <n v="14.68"/>
    <n v="14.01"/>
    <n v="0.09"/>
    <n v="14.19"/>
  </r>
  <r>
    <x v="1"/>
    <x v="2"/>
    <x v="3"/>
    <x v="0"/>
    <x v="3"/>
    <x v="1"/>
    <n v="0.06"/>
    <n v="0.06"/>
    <n v="0"/>
    <n v="0.05"/>
  </r>
  <r>
    <x v="1"/>
    <x v="2"/>
    <x v="3"/>
    <x v="0"/>
    <x v="1"/>
    <x v="1"/>
    <n v="0.15"/>
    <n v="0.14000000000000001"/>
    <n v="0"/>
    <n v="0.13"/>
  </r>
  <r>
    <x v="1"/>
    <x v="2"/>
    <x v="3"/>
    <x v="0"/>
    <x v="4"/>
    <x v="1"/>
    <n v="3.93"/>
    <n v="3.75"/>
    <n v="0.09"/>
    <n v="3.54"/>
  </r>
  <r>
    <x v="1"/>
    <x v="2"/>
    <x v="3"/>
    <x v="0"/>
    <x v="0"/>
    <x v="1"/>
    <n v="3.42"/>
    <n v="3.27"/>
    <n v="0.2"/>
    <n v="3.08"/>
  </r>
  <r>
    <x v="1"/>
    <x v="2"/>
    <x v="3"/>
    <x v="4"/>
    <x v="1"/>
    <x v="1"/>
    <n v="0.13"/>
    <n v="0.13"/>
    <n v="0.01"/>
    <n v="0.12"/>
  </r>
  <r>
    <x v="1"/>
    <x v="2"/>
    <x v="3"/>
    <x v="4"/>
    <x v="4"/>
    <x v="1"/>
    <n v="0.2"/>
    <n v="0.19"/>
    <n v="0.01"/>
    <n v="0.18"/>
  </r>
  <r>
    <x v="1"/>
    <x v="2"/>
    <x v="3"/>
    <x v="1"/>
    <x v="0"/>
    <x v="1"/>
    <n v="6.75"/>
    <n v="6.45"/>
    <n v="0.39"/>
    <n v="6.64"/>
  </r>
  <r>
    <x v="1"/>
    <x v="2"/>
    <x v="3"/>
    <x v="2"/>
    <x v="3"/>
    <x v="3"/>
    <n v="39.299999999999997"/>
    <n v="37.53"/>
    <n v="0.02"/>
    <n v="38.96"/>
  </r>
  <r>
    <x v="1"/>
    <x v="2"/>
    <x v="3"/>
    <x v="2"/>
    <x v="2"/>
    <x v="3"/>
    <n v="5.49"/>
    <n v="5.25"/>
    <n v="0.01"/>
    <n v="5.49"/>
  </r>
  <r>
    <x v="1"/>
    <x v="2"/>
    <x v="3"/>
    <x v="2"/>
    <x v="3"/>
    <x v="2"/>
    <n v="8.98"/>
    <n v="8.57"/>
    <n v="0.01"/>
    <n v="8.34"/>
  </r>
  <r>
    <x v="1"/>
    <x v="2"/>
    <x v="3"/>
    <x v="1"/>
    <x v="3"/>
    <x v="2"/>
    <n v="1.07"/>
    <n v="1.02"/>
    <n v="0"/>
    <n v="0.94"/>
  </r>
  <r>
    <x v="1"/>
    <x v="2"/>
    <x v="3"/>
    <x v="1"/>
    <x v="1"/>
    <x v="2"/>
    <n v="4.88"/>
    <n v="4.66"/>
    <n v="0.02"/>
    <n v="4.58"/>
  </r>
  <r>
    <x v="1"/>
    <x v="2"/>
    <x v="3"/>
    <x v="1"/>
    <x v="4"/>
    <x v="2"/>
    <n v="3.58"/>
    <n v="3.42"/>
    <n v="0.08"/>
    <n v="3.12"/>
  </r>
  <r>
    <x v="1"/>
    <x v="2"/>
    <x v="3"/>
    <x v="4"/>
    <x v="2"/>
    <x v="2"/>
    <n v="1.1200000000000001"/>
    <n v="1.07"/>
    <n v="0.01"/>
    <n v="0.98"/>
  </r>
  <r>
    <x v="1"/>
    <x v="2"/>
    <x v="3"/>
    <x v="4"/>
    <x v="4"/>
    <x v="2"/>
    <n v="1.21"/>
    <n v="1.1499999999999999"/>
    <n v="0.06"/>
    <n v="1.06"/>
  </r>
  <r>
    <x v="1"/>
    <x v="2"/>
    <x v="3"/>
    <x v="1"/>
    <x v="2"/>
    <x v="1"/>
    <n v="33.380000000000003"/>
    <n v="31.88"/>
    <n v="0.18"/>
    <n v="32.130000000000003"/>
  </r>
  <r>
    <x v="1"/>
    <x v="2"/>
    <x v="3"/>
    <x v="1"/>
    <x v="3"/>
    <x v="1"/>
    <n v="0.28999999999999998"/>
    <n v="0.28000000000000003"/>
    <n v="0"/>
    <n v="0.26"/>
  </r>
  <r>
    <x v="1"/>
    <x v="2"/>
    <x v="3"/>
    <x v="4"/>
    <x v="1"/>
    <x v="2"/>
    <n v="0.81"/>
    <n v="0.77"/>
    <n v="0.02"/>
    <n v="0.71"/>
  </r>
  <r>
    <x v="1"/>
    <x v="2"/>
    <x v="3"/>
    <x v="1"/>
    <x v="4"/>
    <x v="0"/>
    <n v="76.75"/>
    <n v="73.28"/>
    <n v="17.86"/>
    <n v="71.08"/>
  </r>
  <r>
    <x v="1"/>
    <x v="2"/>
    <x v="3"/>
    <x v="1"/>
    <x v="1"/>
    <x v="1"/>
    <n v="8.73"/>
    <n v="8.33"/>
    <n v="0.11"/>
    <n v="8.2100000000000009"/>
  </r>
  <r>
    <x v="1"/>
    <x v="2"/>
    <x v="3"/>
    <x v="2"/>
    <x v="2"/>
    <x v="0"/>
    <n v="4.49"/>
    <n v="4.29"/>
    <n v="0"/>
    <n v="4.12"/>
  </r>
  <r>
    <x v="1"/>
    <x v="2"/>
    <x v="3"/>
    <x v="2"/>
    <x v="4"/>
    <x v="0"/>
    <n v="8.1300000000000008"/>
    <n v="7.76"/>
    <n v="0.41"/>
    <n v="7.64"/>
  </r>
  <r>
    <x v="1"/>
    <x v="2"/>
    <x v="3"/>
    <x v="2"/>
    <x v="0"/>
    <x v="0"/>
    <n v="1.78"/>
    <n v="1.7"/>
    <n v="1.42"/>
    <n v="1.68"/>
  </r>
  <r>
    <x v="1"/>
    <x v="2"/>
    <x v="3"/>
    <x v="1"/>
    <x v="1"/>
    <x v="0"/>
    <n v="24.11"/>
    <n v="23.02"/>
    <n v="1.21"/>
    <n v="22.34"/>
  </r>
  <r>
    <x v="1"/>
    <x v="2"/>
    <x v="3"/>
    <x v="1"/>
    <x v="0"/>
    <x v="0"/>
    <n v="7.09"/>
    <n v="6.77"/>
    <n v="3.44"/>
    <n v="6.62"/>
  </r>
  <r>
    <x v="1"/>
    <x v="2"/>
    <x v="3"/>
    <x v="0"/>
    <x v="4"/>
    <x v="0"/>
    <n v="11.65"/>
    <n v="11.12"/>
    <n v="3.47"/>
    <n v="10.7"/>
  </r>
  <r>
    <x v="1"/>
    <x v="2"/>
    <x v="3"/>
    <x v="0"/>
    <x v="0"/>
    <x v="0"/>
    <n v="5.76"/>
    <n v="5.5"/>
    <n v="3.13"/>
    <n v="5.22"/>
  </r>
  <r>
    <x v="1"/>
    <x v="2"/>
    <x v="3"/>
    <x v="2"/>
    <x v="2"/>
    <x v="1"/>
    <n v="2.21"/>
    <n v="2.11"/>
    <n v="0.01"/>
    <n v="2.21"/>
  </r>
  <r>
    <x v="1"/>
    <x v="2"/>
    <x v="3"/>
    <x v="4"/>
    <x v="4"/>
    <x v="0"/>
    <n v="53.4"/>
    <n v="50.99"/>
    <n v="7.57"/>
    <n v="49.84"/>
  </r>
  <r>
    <x v="1"/>
    <x v="2"/>
    <x v="3"/>
    <x v="4"/>
    <x v="0"/>
    <x v="0"/>
    <n v="0.14000000000000001"/>
    <n v="0.13"/>
    <n v="0.02"/>
    <n v="0.13"/>
  </r>
  <r>
    <x v="1"/>
    <x v="2"/>
    <x v="3"/>
    <x v="3"/>
    <x v="4"/>
    <x v="0"/>
    <n v="2.6"/>
    <n v="2.4900000000000002"/>
    <n v="0.35"/>
    <n v="2.39"/>
  </r>
  <r>
    <x v="1"/>
    <x v="2"/>
    <x v="3"/>
    <x v="2"/>
    <x v="4"/>
    <x v="1"/>
    <n v="0.03"/>
    <n v="0.03"/>
    <n v="0"/>
    <n v="0.03"/>
  </r>
  <r>
    <x v="1"/>
    <x v="2"/>
    <x v="3"/>
    <x v="3"/>
    <x v="0"/>
    <x v="0"/>
    <n v="0.09"/>
    <n v="0.09"/>
    <n v="0.08"/>
    <n v="0.09"/>
  </r>
  <r>
    <x v="1"/>
    <x v="2"/>
    <x v="3"/>
    <x v="2"/>
    <x v="3"/>
    <x v="1"/>
    <n v="11.84"/>
    <n v="11.31"/>
    <n v="0.02"/>
    <n v="10.89"/>
  </r>
  <r>
    <x v="1"/>
    <x v="2"/>
    <x v="3"/>
    <x v="4"/>
    <x v="1"/>
    <x v="0"/>
    <n v="7.58"/>
    <n v="7.23"/>
    <n v="0.47"/>
    <n v="7.06"/>
  </r>
  <r>
    <x v="1"/>
    <x v="2"/>
    <x v="3"/>
    <x v="1"/>
    <x v="2"/>
    <x v="0"/>
    <n v="0.26"/>
    <n v="0.25"/>
    <n v="0"/>
    <n v="0.24"/>
  </r>
  <r>
    <x v="1"/>
    <x v="0"/>
    <x v="4"/>
    <x v="4"/>
    <x v="0"/>
    <x v="0"/>
    <n v="0.32"/>
    <n v="0.25"/>
    <n v="0.1"/>
    <n v="0.3"/>
  </r>
  <r>
    <x v="1"/>
    <x v="0"/>
    <x v="4"/>
    <x v="3"/>
    <x v="1"/>
    <x v="0"/>
    <n v="1.42"/>
    <n v="1.1000000000000001"/>
    <n v="0.06"/>
    <n v="1.42"/>
  </r>
  <r>
    <x v="1"/>
    <x v="0"/>
    <x v="4"/>
    <x v="3"/>
    <x v="4"/>
    <x v="0"/>
    <n v="1.79"/>
    <n v="1.39"/>
    <n v="0.54"/>
    <n v="1.76"/>
  </r>
  <r>
    <x v="1"/>
    <x v="0"/>
    <x v="4"/>
    <x v="3"/>
    <x v="0"/>
    <x v="0"/>
    <n v="0.34"/>
    <n v="0.26"/>
    <n v="0.34"/>
    <n v="0.34"/>
  </r>
  <r>
    <x v="1"/>
    <x v="0"/>
    <x v="4"/>
    <x v="2"/>
    <x v="3"/>
    <x v="1"/>
    <n v="93.19"/>
    <n v="72.290000000000006"/>
    <n v="0.24"/>
    <n v="89.07"/>
  </r>
  <r>
    <x v="1"/>
    <x v="0"/>
    <x v="4"/>
    <x v="1"/>
    <x v="3"/>
    <x v="1"/>
    <n v="2.88"/>
    <n v="2.23"/>
    <n v="0"/>
    <n v="2.75"/>
  </r>
  <r>
    <x v="1"/>
    <x v="0"/>
    <x v="4"/>
    <x v="4"/>
    <x v="4"/>
    <x v="0"/>
    <n v="134.16"/>
    <n v="104.07"/>
    <n v="20.79"/>
    <n v="128.44999999999999"/>
  </r>
  <r>
    <x v="1"/>
    <x v="0"/>
    <x v="4"/>
    <x v="1"/>
    <x v="4"/>
    <x v="0"/>
    <n v="272.11"/>
    <n v="211.08"/>
    <n v="65.72"/>
    <n v="264.56"/>
  </r>
  <r>
    <x v="1"/>
    <x v="0"/>
    <x v="4"/>
    <x v="2"/>
    <x v="4"/>
    <x v="1"/>
    <n v="0.23"/>
    <n v="0.18"/>
    <n v="0"/>
    <n v="0.23"/>
  </r>
  <r>
    <x v="1"/>
    <x v="0"/>
    <x v="4"/>
    <x v="4"/>
    <x v="1"/>
    <x v="0"/>
    <n v="21.35"/>
    <n v="16.559999999999999"/>
    <n v="1.6"/>
    <n v="20.329999999999998"/>
  </r>
  <r>
    <x v="1"/>
    <x v="0"/>
    <x v="4"/>
    <x v="0"/>
    <x v="0"/>
    <x v="0"/>
    <n v="23.87"/>
    <n v="18.52"/>
    <n v="11.94"/>
    <n v="23.07"/>
  </r>
  <r>
    <x v="1"/>
    <x v="0"/>
    <x v="4"/>
    <x v="0"/>
    <x v="4"/>
    <x v="0"/>
    <n v="67.349999999999994"/>
    <n v="52.24"/>
    <n v="20.28"/>
    <n v="65.86"/>
  </r>
  <r>
    <x v="1"/>
    <x v="0"/>
    <x v="4"/>
    <x v="0"/>
    <x v="1"/>
    <x v="0"/>
    <n v="0.14000000000000001"/>
    <n v="0.11"/>
    <n v="0.02"/>
    <n v="0.14000000000000001"/>
  </r>
  <r>
    <x v="1"/>
    <x v="0"/>
    <x v="4"/>
    <x v="0"/>
    <x v="2"/>
    <x v="0"/>
    <n v="7.96"/>
    <n v="6.17"/>
    <n v="0.03"/>
    <n v="7.4"/>
  </r>
  <r>
    <x v="1"/>
    <x v="0"/>
    <x v="4"/>
    <x v="2"/>
    <x v="4"/>
    <x v="0"/>
    <n v="38.619999999999997"/>
    <n v="29.96"/>
    <n v="10.53"/>
    <n v="37.99"/>
  </r>
  <r>
    <x v="1"/>
    <x v="0"/>
    <x v="4"/>
    <x v="2"/>
    <x v="0"/>
    <x v="0"/>
    <n v="33.99"/>
    <n v="26.36"/>
    <n v="19.760000000000002"/>
    <n v="32.93"/>
  </r>
  <r>
    <x v="1"/>
    <x v="0"/>
    <x v="4"/>
    <x v="1"/>
    <x v="2"/>
    <x v="1"/>
    <n v="68.31"/>
    <n v="52.99"/>
    <n v="0.27"/>
    <n v="65.16"/>
  </r>
  <r>
    <x v="1"/>
    <x v="0"/>
    <x v="4"/>
    <x v="1"/>
    <x v="1"/>
    <x v="0"/>
    <n v="67.5"/>
    <n v="52.36"/>
    <n v="5.57"/>
    <n v="65.180000000000007"/>
  </r>
  <r>
    <x v="1"/>
    <x v="0"/>
    <x v="4"/>
    <x v="4"/>
    <x v="4"/>
    <x v="1"/>
    <n v="0.24"/>
    <n v="0.19"/>
    <n v="0.02"/>
    <n v="0.23"/>
  </r>
  <r>
    <x v="1"/>
    <x v="0"/>
    <x v="4"/>
    <x v="1"/>
    <x v="2"/>
    <x v="0"/>
    <n v="7.81"/>
    <n v="6.06"/>
    <n v="0.11"/>
    <n v="7.44"/>
  </r>
  <r>
    <x v="1"/>
    <x v="0"/>
    <x v="4"/>
    <x v="4"/>
    <x v="0"/>
    <x v="1"/>
    <n v="8.68"/>
    <n v="6.73"/>
    <n v="0.64"/>
    <n v="8.27"/>
  </r>
  <r>
    <x v="1"/>
    <x v="0"/>
    <x v="4"/>
    <x v="4"/>
    <x v="1"/>
    <x v="2"/>
    <n v="2.4"/>
    <n v="1.86"/>
    <n v="7.0000000000000007E-2"/>
    <n v="2.31"/>
  </r>
  <r>
    <x v="1"/>
    <x v="0"/>
    <x v="4"/>
    <x v="4"/>
    <x v="2"/>
    <x v="2"/>
    <n v="3.9"/>
    <n v="3.02"/>
    <n v="0.02"/>
    <n v="3.75"/>
  </r>
  <r>
    <x v="1"/>
    <x v="0"/>
    <x v="4"/>
    <x v="1"/>
    <x v="4"/>
    <x v="2"/>
    <n v="1.23"/>
    <n v="0.96"/>
    <n v="0.04"/>
    <n v="1.19"/>
  </r>
  <r>
    <x v="1"/>
    <x v="0"/>
    <x v="4"/>
    <x v="4"/>
    <x v="4"/>
    <x v="2"/>
    <n v="2.4500000000000002"/>
    <n v="1.9"/>
    <n v="0.1"/>
    <n v="2.36"/>
  </r>
  <r>
    <x v="1"/>
    <x v="0"/>
    <x v="4"/>
    <x v="1"/>
    <x v="1"/>
    <x v="2"/>
    <n v="0.36"/>
    <n v="0.28000000000000003"/>
    <n v="0"/>
    <n v="0.35"/>
  </r>
  <r>
    <x v="1"/>
    <x v="0"/>
    <x v="4"/>
    <x v="1"/>
    <x v="3"/>
    <x v="2"/>
    <n v="0.66"/>
    <n v="0.51"/>
    <n v="0"/>
    <n v="0.63"/>
  </r>
  <r>
    <x v="1"/>
    <x v="0"/>
    <x v="4"/>
    <x v="2"/>
    <x v="3"/>
    <x v="2"/>
    <n v="23.88"/>
    <n v="18.52"/>
    <n v="0.02"/>
    <n v="22.98"/>
  </r>
  <r>
    <x v="1"/>
    <x v="0"/>
    <x v="4"/>
    <x v="0"/>
    <x v="0"/>
    <x v="1"/>
    <n v="14.16"/>
    <n v="10.99"/>
    <n v="0.65"/>
    <n v="13.52"/>
  </r>
  <r>
    <x v="1"/>
    <x v="0"/>
    <x v="4"/>
    <x v="2"/>
    <x v="3"/>
    <x v="3"/>
    <n v="307.74"/>
    <n v="238.72"/>
    <n v="0.2"/>
    <n v="300.52999999999997"/>
  </r>
  <r>
    <x v="1"/>
    <x v="0"/>
    <x v="4"/>
    <x v="1"/>
    <x v="1"/>
    <x v="1"/>
    <n v="35.049999999999997"/>
    <n v="27.19"/>
    <n v="0.39"/>
    <n v="33.42"/>
  </r>
  <r>
    <x v="1"/>
    <x v="0"/>
    <x v="4"/>
    <x v="1"/>
    <x v="0"/>
    <x v="0"/>
    <n v="33.35"/>
    <n v="25.87"/>
    <n v="19.989999999999998"/>
    <n v="32.590000000000003"/>
  </r>
  <r>
    <x v="1"/>
    <x v="0"/>
    <x v="4"/>
    <x v="4"/>
    <x v="1"/>
    <x v="1"/>
    <n v="0.77"/>
    <n v="0.59"/>
    <n v="0.03"/>
    <n v="0.73"/>
  </r>
  <r>
    <x v="1"/>
    <x v="0"/>
    <x v="4"/>
    <x v="0"/>
    <x v="4"/>
    <x v="1"/>
    <n v="18.75"/>
    <n v="14.55"/>
    <n v="0.6"/>
    <n v="17.89"/>
  </r>
  <r>
    <x v="1"/>
    <x v="0"/>
    <x v="4"/>
    <x v="0"/>
    <x v="1"/>
    <x v="1"/>
    <n v="1.04"/>
    <n v="0.81"/>
    <n v="0.01"/>
    <n v="1"/>
  </r>
  <r>
    <x v="1"/>
    <x v="0"/>
    <x v="4"/>
    <x v="0"/>
    <x v="3"/>
    <x v="1"/>
    <n v="2.44"/>
    <n v="1.89"/>
    <n v="0.01"/>
    <n v="2.33"/>
  </r>
  <r>
    <x v="1"/>
    <x v="0"/>
    <x v="4"/>
    <x v="1"/>
    <x v="0"/>
    <x v="1"/>
    <n v="8.7100000000000009"/>
    <n v="6.76"/>
    <n v="0.36"/>
    <n v="8.26"/>
  </r>
  <r>
    <x v="1"/>
    <x v="0"/>
    <x v="4"/>
    <x v="1"/>
    <x v="4"/>
    <x v="1"/>
    <n v="2.02"/>
    <n v="1.56"/>
    <n v="0.1"/>
    <n v="1.91"/>
  </r>
  <r>
    <x v="1"/>
    <x v="0"/>
    <x v="4"/>
    <x v="2"/>
    <x v="2"/>
    <x v="3"/>
    <n v="78.989999999999995"/>
    <n v="61.28"/>
    <n v="0.05"/>
    <n v="76.98"/>
  </r>
  <r>
    <x v="1"/>
    <x v="3"/>
    <x v="5"/>
    <x v="4"/>
    <x v="4"/>
    <x v="2"/>
    <n v="8.1999999999999993"/>
    <n v="7.87"/>
    <n v="0.31"/>
    <n v="7.61"/>
  </r>
  <r>
    <x v="1"/>
    <x v="3"/>
    <x v="5"/>
    <x v="2"/>
    <x v="3"/>
    <x v="2"/>
    <n v="31.56"/>
    <n v="30.3"/>
    <n v="0.03"/>
    <n v="28.88"/>
  </r>
  <r>
    <x v="1"/>
    <x v="3"/>
    <x v="5"/>
    <x v="0"/>
    <x v="3"/>
    <x v="1"/>
    <n v="0.97"/>
    <n v="0.93"/>
    <n v="0"/>
    <n v="0.89"/>
  </r>
  <r>
    <x v="1"/>
    <x v="3"/>
    <x v="5"/>
    <x v="0"/>
    <x v="1"/>
    <x v="1"/>
    <n v="1.31"/>
    <n v="1.26"/>
    <n v="0.02"/>
    <n v="1.2"/>
  </r>
  <r>
    <x v="1"/>
    <x v="3"/>
    <x v="5"/>
    <x v="0"/>
    <x v="4"/>
    <x v="1"/>
    <n v="19.05"/>
    <n v="18.29"/>
    <n v="0.5"/>
    <n v="17.47"/>
  </r>
  <r>
    <x v="1"/>
    <x v="3"/>
    <x v="5"/>
    <x v="0"/>
    <x v="0"/>
    <x v="1"/>
    <n v="14.5"/>
    <n v="13.92"/>
    <n v="0.61"/>
    <n v="13.3"/>
  </r>
  <r>
    <x v="1"/>
    <x v="3"/>
    <x v="5"/>
    <x v="4"/>
    <x v="1"/>
    <x v="1"/>
    <n v="0.5"/>
    <n v="0.48"/>
    <n v="0.01"/>
    <n v="0.46"/>
  </r>
  <r>
    <x v="1"/>
    <x v="3"/>
    <x v="5"/>
    <x v="4"/>
    <x v="4"/>
    <x v="1"/>
    <n v="1.42"/>
    <n v="1.36"/>
    <n v="0.09"/>
    <n v="1.35"/>
  </r>
  <r>
    <x v="1"/>
    <x v="3"/>
    <x v="5"/>
    <x v="4"/>
    <x v="0"/>
    <x v="1"/>
    <n v="10.44"/>
    <n v="10.02"/>
    <n v="0.57999999999999996"/>
    <n v="9.61"/>
  </r>
  <r>
    <x v="1"/>
    <x v="3"/>
    <x v="5"/>
    <x v="1"/>
    <x v="0"/>
    <x v="1"/>
    <n v="14.63"/>
    <n v="14.05"/>
    <n v="1.2"/>
    <n v="13.51"/>
  </r>
  <r>
    <x v="1"/>
    <x v="3"/>
    <x v="5"/>
    <x v="2"/>
    <x v="2"/>
    <x v="3"/>
    <n v="26.25"/>
    <n v="25.21"/>
    <n v="0.02"/>
    <n v="26.1"/>
  </r>
  <r>
    <x v="1"/>
    <x v="3"/>
    <x v="5"/>
    <x v="4"/>
    <x v="2"/>
    <x v="2"/>
    <n v="3.2"/>
    <n v="3.07"/>
    <n v="0.01"/>
    <n v="2.9"/>
  </r>
  <r>
    <x v="1"/>
    <x v="3"/>
    <x v="5"/>
    <x v="2"/>
    <x v="2"/>
    <x v="2"/>
    <n v="0.75"/>
    <n v="0.72"/>
    <n v="0"/>
    <n v="0.72"/>
  </r>
  <r>
    <x v="1"/>
    <x v="3"/>
    <x v="5"/>
    <x v="1"/>
    <x v="3"/>
    <x v="2"/>
    <n v="4.54"/>
    <n v="4.3600000000000003"/>
    <n v="0.01"/>
    <n v="4.1100000000000003"/>
  </r>
  <r>
    <x v="1"/>
    <x v="3"/>
    <x v="5"/>
    <x v="1"/>
    <x v="2"/>
    <x v="2"/>
    <n v="2.62"/>
    <n v="2.5099999999999998"/>
    <n v="0.01"/>
    <n v="2.37"/>
  </r>
  <r>
    <x v="1"/>
    <x v="3"/>
    <x v="5"/>
    <x v="1"/>
    <x v="1"/>
    <x v="2"/>
    <n v="1.29"/>
    <n v="1.24"/>
    <n v="0.02"/>
    <n v="1.17"/>
  </r>
  <r>
    <x v="1"/>
    <x v="3"/>
    <x v="5"/>
    <x v="1"/>
    <x v="4"/>
    <x v="2"/>
    <n v="4.97"/>
    <n v="4.7699999999999996"/>
    <n v="0.19"/>
    <n v="4.5"/>
  </r>
  <r>
    <x v="1"/>
    <x v="3"/>
    <x v="5"/>
    <x v="4"/>
    <x v="1"/>
    <x v="2"/>
    <n v="3.28"/>
    <n v="3.15"/>
    <n v="0.06"/>
    <n v="2.97"/>
  </r>
  <r>
    <x v="1"/>
    <x v="3"/>
    <x v="5"/>
    <x v="2"/>
    <x v="4"/>
    <x v="0"/>
    <n v="68.180000000000007"/>
    <n v="65.459999999999994"/>
    <n v="20.88"/>
    <n v="66.69"/>
  </r>
  <r>
    <x v="1"/>
    <x v="3"/>
    <x v="5"/>
    <x v="2"/>
    <x v="3"/>
    <x v="3"/>
    <n v="156.49"/>
    <n v="150.25"/>
    <n v="0.11"/>
    <n v="154.83000000000001"/>
  </r>
  <r>
    <x v="1"/>
    <x v="3"/>
    <x v="5"/>
    <x v="0"/>
    <x v="0"/>
    <x v="0"/>
    <n v="6.19"/>
    <n v="5.94"/>
    <n v="1.48"/>
    <n v="5.75"/>
  </r>
  <r>
    <x v="1"/>
    <x v="3"/>
    <x v="5"/>
    <x v="2"/>
    <x v="0"/>
    <x v="0"/>
    <n v="19.350000000000001"/>
    <n v="18.579999999999998"/>
    <n v="13.15"/>
    <n v="18.62"/>
  </r>
  <r>
    <x v="1"/>
    <x v="3"/>
    <x v="5"/>
    <x v="1"/>
    <x v="1"/>
    <x v="0"/>
    <n v="167.77"/>
    <n v="161.08000000000001"/>
    <n v="10.39"/>
    <n v="159.59"/>
  </r>
  <r>
    <x v="1"/>
    <x v="3"/>
    <x v="5"/>
    <x v="1"/>
    <x v="4"/>
    <x v="0"/>
    <n v="378.96"/>
    <n v="363.84"/>
    <n v="84.61"/>
    <n v="356.93"/>
  </r>
  <r>
    <x v="1"/>
    <x v="3"/>
    <x v="5"/>
    <x v="1"/>
    <x v="4"/>
    <x v="1"/>
    <n v="3.73"/>
    <n v="3.58"/>
    <n v="0.18"/>
    <n v="3.44"/>
  </r>
  <r>
    <x v="1"/>
    <x v="3"/>
    <x v="5"/>
    <x v="0"/>
    <x v="4"/>
    <x v="0"/>
    <n v="82.56"/>
    <n v="79.260000000000005"/>
    <n v="30.61"/>
    <n v="78.319999999999993"/>
  </r>
  <r>
    <x v="1"/>
    <x v="3"/>
    <x v="5"/>
    <x v="1"/>
    <x v="2"/>
    <x v="0"/>
    <n v="9.6300000000000008"/>
    <n v="9.25"/>
    <n v="0.12"/>
    <n v="8.94"/>
  </r>
  <r>
    <x v="1"/>
    <x v="3"/>
    <x v="5"/>
    <x v="4"/>
    <x v="1"/>
    <x v="0"/>
    <n v="21.13"/>
    <n v="20.28"/>
    <n v="1.84"/>
    <n v="19.87"/>
  </r>
  <r>
    <x v="1"/>
    <x v="3"/>
    <x v="5"/>
    <x v="4"/>
    <x v="4"/>
    <x v="0"/>
    <n v="183.73"/>
    <n v="176.4"/>
    <n v="33.85"/>
    <n v="172.08"/>
  </r>
  <r>
    <x v="1"/>
    <x v="3"/>
    <x v="5"/>
    <x v="1"/>
    <x v="1"/>
    <x v="1"/>
    <n v="58.56"/>
    <n v="56.22"/>
    <n v="0.59"/>
    <n v="53.75"/>
  </r>
  <r>
    <x v="1"/>
    <x v="3"/>
    <x v="5"/>
    <x v="3"/>
    <x v="1"/>
    <x v="0"/>
    <n v="0.39"/>
    <n v="0.38"/>
    <n v="0.05"/>
    <n v="0.39"/>
  </r>
  <r>
    <x v="1"/>
    <x v="3"/>
    <x v="5"/>
    <x v="3"/>
    <x v="4"/>
    <x v="0"/>
    <n v="57.9"/>
    <n v="55.59"/>
    <n v="22.09"/>
    <n v="53.96"/>
  </r>
  <r>
    <x v="1"/>
    <x v="3"/>
    <x v="5"/>
    <x v="3"/>
    <x v="0"/>
    <x v="0"/>
    <n v="11.67"/>
    <n v="11.2"/>
    <n v="9.1199999999999992"/>
    <n v="11.34"/>
  </r>
  <r>
    <x v="1"/>
    <x v="3"/>
    <x v="5"/>
    <x v="2"/>
    <x v="3"/>
    <x v="1"/>
    <n v="62.05"/>
    <n v="59.58"/>
    <n v="0.06"/>
    <n v="57.26"/>
  </r>
  <r>
    <x v="1"/>
    <x v="3"/>
    <x v="5"/>
    <x v="2"/>
    <x v="4"/>
    <x v="1"/>
    <n v="1.47"/>
    <n v="1.41"/>
    <n v="0"/>
    <n v="1.4"/>
  </r>
  <r>
    <x v="1"/>
    <x v="3"/>
    <x v="5"/>
    <x v="1"/>
    <x v="3"/>
    <x v="1"/>
    <n v="1.17"/>
    <n v="1.1200000000000001"/>
    <n v="0"/>
    <n v="1.07"/>
  </r>
  <r>
    <x v="1"/>
    <x v="3"/>
    <x v="5"/>
    <x v="1"/>
    <x v="2"/>
    <x v="1"/>
    <n v="66.959999999999994"/>
    <n v="64.290000000000006"/>
    <n v="0.52"/>
    <n v="61.42"/>
  </r>
  <r>
    <x v="1"/>
    <x v="3"/>
    <x v="5"/>
    <x v="4"/>
    <x v="0"/>
    <x v="0"/>
    <n v="5.99"/>
    <n v="5.76"/>
    <n v="1.9"/>
    <n v="5.38"/>
  </r>
  <r>
    <x v="1"/>
    <x v="3"/>
    <x v="5"/>
    <x v="1"/>
    <x v="0"/>
    <x v="0"/>
    <n v="40.380000000000003"/>
    <n v="38.770000000000003"/>
    <n v="24.86"/>
    <n v="38.46"/>
  </r>
  <r>
    <x v="1"/>
    <x v="0"/>
    <x v="6"/>
    <x v="4"/>
    <x v="4"/>
    <x v="0"/>
    <n v="18.12"/>
    <n v="17.690000000000001"/>
    <n v="2.98"/>
    <n v="16.98"/>
  </r>
  <r>
    <x v="1"/>
    <x v="0"/>
    <x v="6"/>
    <x v="4"/>
    <x v="0"/>
    <x v="0"/>
    <n v="0.14000000000000001"/>
    <n v="0.14000000000000001"/>
    <n v="0.05"/>
    <n v="0.13"/>
  </r>
  <r>
    <x v="1"/>
    <x v="0"/>
    <x v="6"/>
    <x v="3"/>
    <x v="1"/>
    <x v="0"/>
    <n v="0.06"/>
    <n v="0.06"/>
    <n v="0"/>
    <n v="0.06"/>
  </r>
  <r>
    <x v="1"/>
    <x v="0"/>
    <x v="6"/>
    <x v="3"/>
    <x v="4"/>
    <x v="0"/>
    <n v="0.79"/>
    <n v="0.77"/>
    <n v="0.14000000000000001"/>
    <n v="0.74"/>
  </r>
  <r>
    <x v="1"/>
    <x v="0"/>
    <x v="6"/>
    <x v="3"/>
    <x v="0"/>
    <x v="0"/>
    <n v="0"/>
    <n v="0"/>
    <n v="0"/>
    <n v="0"/>
  </r>
  <r>
    <x v="1"/>
    <x v="0"/>
    <x v="6"/>
    <x v="2"/>
    <x v="3"/>
    <x v="1"/>
    <n v="16.29"/>
    <n v="15.91"/>
    <n v="0.05"/>
    <n v="15.52"/>
  </r>
  <r>
    <x v="1"/>
    <x v="0"/>
    <x v="6"/>
    <x v="1"/>
    <x v="3"/>
    <x v="1"/>
    <n v="0.26"/>
    <n v="0.26"/>
    <n v="0"/>
    <n v="0.25"/>
  </r>
  <r>
    <x v="1"/>
    <x v="0"/>
    <x v="6"/>
    <x v="2"/>
    <x v="4"/>
    <x v="1"/>
    <n v="0.95"/>
    <n v="0.93"/>
    <n v="0.01"/>
    <n v="0.93"/>
  </r>
  <r>
    <x v="1"/>
    <x v="0"/>
    <x v="6"/>
    <x v="4"/>
    <x v="1"/>
    <x v="0"/>
    <n v="5.1100000000000003"/>
    <n v="4.99"/>
    <n v="0.35"/>
    <n v="4.7699999999999996"/>
  </r>
  <r>
    <x v="1"/>
    <x v="0"/>
    <x v="6"/>
    <x v="0"/>
    <x v="0"/>
    <x v="0"/>
    <n v="5.49"/>
    <n v="5.37"/>
    <n v="3.32"/>
    <n v="5.13"/>
  </r>
  <r>
    <x v="1"/>
    <x v="0"/>
    <x v="6"/>
    <x v="0"/>
    <x v="4"/>
    <x v="0"/>
    <n v="7.67"/>
    <n v="7.49"/>
    <n v="2.37"/>
    <n v="7.28"/>
  </r>
  <r>
    <x v="1"/>
    <x v="0"/>
    <x v="6"/>
    <x v="1"/>
    <x v="0"/>
    <x v="0"/>
    <n v="3.76"/>
    <n v="3.67"/>
    <n v="1.55"/>
    <n v="3.56"/>
  </r>
  <r>
    <x v="1"/>
    <x v="0"/>
    <x v="6"/>
    <x v="1"/>
    <x v="4"/>
    <x v="0"/>
    <n v="38.28"/>
    <n v="37.380000000000003"/>
    <n v="8.84"/>
    <n v="36.159999999999997"/>
  </r>
  <r>
    <x v="1"/>
    <x v="0"/>
    <x v="6"/>
    <x v="1"/>
    <x v="1"/>
    <x v="0"/>
    <n v="9.82"/>
    <n v="9.59"/>
    <n v="0.56000000000000005"/>
    <n v="9.3000000000000007"/>
  </r>
  <r>
    <x v="1"/>
    <x v="0"/>
    <x v="6"/>
    <x v="1"/>
    <x v="2"/>
    <x v="1"/>
    <n v="9.14"/>
    <n v="8.93"/>
    <n v="0.06"/>
    <n v="8.6999999999999993"/>
  </r>
  <r>
    <x v="1"/>
    <x v="0"/>
    <x v="6"/>
    <x v="2"/>
    <x v="0"/>
    <x v="0"/>
    <n v="4.04"/>
    <n v="3.94"/>
    <n v="2.38"/>
    <n v="3.83"/>
  </r>
  <r>
    <x v="1"/>
    <x v="0"/>
    <x v="6"/>
    <x v="4"/>
    <x v="0"/>
    <x v="1"/>
    <n v="2.5299999999999998"/>
    <n v="2.4700000000000002"/>
    <n v="0.14000000000000001"/>
    <n v="2.39"/>
  </r>
  <r>
    <x v="1"/>
    <x v="0"/>
    <x v="6"/>
    <x v="1"/>
    <x v="2"/>
    <x v="0"/>
    <n v="5.98"/>
    <n v="5.84"/>
    <n v="7.0000000000000007E-2"/>
    <n v="5.63"/>
  </r>
  <r>
    <x v="1"/>
    <x v="0"/>
    <x v="6"/>
    <x v="4"/>
    <x v="4"/>
    <x v="1"/>
    <n v="0.06"/>
    <n v="0.06"/>
    <n v="0"/>
    <n v="0.06"/>
  </r>
  <r>
    <x v="1"/>
    <x v="0"/>
    <x v="6"/>
    <x v="2"/>
    <x v="4"/>
    <x v="0"/>
    <n v="6.99"/>
    <n v="6.83"/>
    <n v="0.63"/>
    <n v="6.88"/>
  </r>
  <r>
    <x v="1"/>
    <x v="0"/>
    <x v="6"/>
    <x v="4"/>
    <x v="1"/>
    <x v="2"/>
    <n v="1.38"/>
    <n v="1.35"/>
    <n v="0.04"/>
    <n v="1.29"/>
  </r>
  <r>
    <x v="1"/>
    <x v="0"/>
    <x v="6"/>
    <x v="4"/>
    <x v="2"/>
    <x v="2"/>
    <n v="0.65"/>
    <n v="0.64"/>
    <n v="0"/>
    <n v="0.61"/>
  </r>
  <r>
    <x v="1"/>
    <x v="0"/>
    <x v="6"/>
    <x v="1"/>
    <x v="4"/>
    <x v="2"/>
    <n v="1.03"/>
    <n v="1"/>
    <n v="0.03"/>
    <n v="0.96"/>
  </r>
  <r>
    <x v="1"/>
    <x v="0"/>
    <x v="6"/>
    <x v="1"/>
    <x v="1"/>
    <x v="2"/>
    <n v="0.15"/>
    <n v="0.15"/>
    <n v="0"/>
    <n v="0.14000000000000001"/>
  </r>
  <r>
    <x v="1"/>
    <x v="0"/>
    <x v="6"/>
    <x v="4"/>
    <x v="1"/>
    <x v="1"/>
    <n v="0.12"/>
    <n v="0.12"/>
    <n v="0"/>
    <n v="0.12"/>
  </r>
  <r>
    <x v="1"/>
    <x v="0"/>
    <x v="6"/>
    <x v="2"/>
    <x v="3"/>
    <x v="2"/>
    <n v="4.91"/>
    <n v="4.79"/>
    <n v="0"/>
    <n v="4.6100000000000003"/>
  </r>
  <r>
    <x v="1"/>
    <x v="0"/>
    <x v="6"/>
    <x v="1"/>
    <x v="1"/>
    <x v="1"/>
    <n v="6.51"/>
    <n v="6.36"/>
    <n v="0.12"/>
    <n v="6.18"/>
  </r>
  <r>
    <x v="1"/>
    <x v="0"/>
    <x v="6"/>
    <x v="4"/>
    <x v="4"/>
    <x v="2"/>
    <n v="0.89"/>
    <n v="0.87"/>
    <n v="0.05"/>
    <n v="0.84"/>
  </r>
  <r>
    <x v="1"/>
    <x v="0"/>
    <x v="6"/>
    <x v="0"/>
    <x v="0"/>
    <x v="1"/>
    <n v="1.71"/>
    <n v="1.67"/>
    <n v="0.08"/>
    <n v="1.63"/>
  </r>
  <r>
    <x v="1"/>
    <x v="0"/>
    <x v="6"/>
    <x v="0"/>
    <x v="4"/>
    <x v="1"/>
    <n v="1.91"/>
    <n v="1.87"/>
    <n v="0.06"/>
    <n v="1.82"/>
  </r>
  <r>
    <x v="1"/>
    <x v="0"/>
    <x v="6"/>
    <x v="0"/>
    <x v="1"/>
    <x v="1"/>
    <n v="0.08"/>
    <n v="0.08"/>
    <n v="0"/>
    <n v="7.0000000000000007E-2"/>
  </r>
  <r>
    <x v="1"/>
    <x v="0"/>
    <x v="6"/>
    <x v="0"/>
    <x v="3"/>
    <x v="1"/>
    <n v="0.26"/>
    <n v="0.26"/>
    <n v="0"/>
    <n v="0.25"/>
  </r>
  <r>
    <x v="1"/>
    <x v="0"/>
    <x v="6"/>
    <x v="1"/>
    <x v="0"/>
    <x v="1"/>
    <n v="6.51"/>
    <n v="6.36"/>
    <n v="0.21"/>
    <n v="6.15"/>
  </r>
  <r>
    <x v="1"/>
    <x v="0"/>
    <x v="6"/>
    <x v="1"/>
    <x v="4"/>
    <x v="1"/>
    <n v="1.9"/>
    <n v="1.85"/>
    <n v="0.09"/>
    <n v="1.79"/>
  </r>
  <r>
    <x v="1"/>
    <x v="0"/>
    <x v="6"/>
    <x v="1"/>
    <x v="3"/>
    <x v="2"/>
    <n v="0.03"/>
    <n v="0.02"/>
    <n v="0"/>
    <n v="0.02"/>
  </r>
  <r>
    <x v="1"/>
    <x v="4"/>
    <x v="7"/>
    <x v="3"/>
    <x v="0"/>
    <x v="0"/>
    <n v="53.01"/>
    <n v="55.73"/>
    <n v="41.99"/>
    <n v="53.01"/>
  </r>
  <r>
    <x v="1"/>
    <x v="4"/>
    <x v="7"/>
    <x v="1"/>
    <x v="3"/>
    <x v="2"/>
    <n v="94.08"/>
    <n v="98.91"/>
    <n v="0.82"/>
    <n v="94.08"/>
  </r>
  <r>
    <x v="1"/>
    <x v="4"/>
    <x v="7"/>
    <x v="1"/>
    <x v="2"/>
    <x v="2"/>
    <n v="3.85"/>
    <n v="4.05"/>
    <n v="0.06"/>
    <n v="3.85"/>
  </r>
  <r>
    <x v="1"/>
    <x v="4"/>
    <x v="7"/>
    <x v="2"/>
    <x v="3"/>
    <x v="1"/>
    <n v="38.85"/>
    <n v="40.85"/>
    <n v="0.12"/>
    <n v="33.1"/>
  </r>
  <r>
    <x v="1"/>
    <x v="4"/>
    <x v="7"/>
    <x v="2"/>
    <x v="0"/>
    <x v="0"/>
    <n v="97.42"/>
    <n v="102.42"/>
    <n v="105.07"/>
    <n v="87"/>
  </r>
  <r>
    <x v="1"/>
    <x v="4"/>
    <x v="7"/>
    <x v="2"/>
    <x v="4"/>
    <x v="0"/>
    <n v="103.56"/>
    <n v="108.87"/>
    <n v="51.46"/>
    <n v="93.88"/>
  </r>
  <r>
    <x v="1"/>
    <x v="4"/>
    <x v="7"/>
    <x v="1"/>
    <x v="1"/>
    <x v="0"/>
    <n v="899.46"/>
    <n v="945.57"/>
    <n v="79.25"/>
    <n v="789.23"/>
  </r>
  <r>
    <x v="1"/>
    <x v="4"/>
    <x v="7"/>
    <x v="1"/>
    <x v="4"/>
    <x v="0"/>
    <n v="2033.51"/>
    <n v="2137.7600000000002"/>
    <n v="769.41"/>
    <n v="1852.86"/>
  </r>
  <r>
    <x v="1"/>
    <x v="4"/>
    <x v="7"/>
    <x v="1"/>
    <x v="0"/>
    <x v="0"/>
    <n v="63.56"/>
    <n v="66.819999999999993"/>
    <n v="50.22"/>
    <n v="59.76"/>
  </r>
  <r>
    <x v="1"/>
    <x v="4"/>
    <x v="7"/>
    <x v="0"/>
    <x v="2"/>
    <x v="0"/>
    <n v="0.92"/>
    <n v="0.97"/>
    <n v="0.01"/>
    <n v="0.74"/>
  </r>
  <r>
    <x v="1"/>
    <x v="4"/>
    <x v="7"/>
    <x v="0"/>
    <x v="4"/>
    <x v="0"/>
    <n v="91.89"/>
    <n v="96.6"/>
    <n v="48.27"/>
    <n v="82.9"/>
  </r>
  <r>
    <x v="1"/>
    <x v="4"/>
    <x v="7"/>
    <x v="0"/>
    <x v="0"/>
    <x v="0"/>
    <n v="35.54"/>
    <n v="37.36"/>
    <n v="29.98"/>
    <n v="30.86"/>
  </r>
  <r>
    <x v="1"/>
    <x v="4"/>
    <x v="7"/>
    <x v="4"/>
    <x v="1"/>
    <x v="0"/>
    <n v="233.06"/>
    <n v="245.01"/>
    <n v="13.9"/>
    <n v="202.52"/>
  </r>
  <r>
    <x v="1"/>
    <x v="4"/>
    <x v="7"/>
    <x v="4"/>
    <x v="4"/>
    <x v="0"/>
    <n v="414.31"/>
    <n v="435.55"/>
    <n v="94.3"/>
    <n v="372.79"/>
  </r>
  <r>
    <x v="1"/>
    <x v="4"/>
    <x v="7"/>
    <x v="4"/>
    <x v="0"/>
    <x v="0"/>
    <n v="9.7100000000000009"/>
    <n v="10.210000000000001"/>
    <n v="3.57"/>
    <n v="8.68"/>
  </r>
  <r>
    <x v="1"/>
    <x v="4"/>
    <x v="7"/>
    <x v="2"/>
    <x v="4"/>
    <x v="1"/>
    <n v="0.65"/>
    <n v="0.68"/>
    <n v="0"/>
    <n v="0.63"/>
  </r>
  <r>
    <x v="1"/>
    <x v="4"/>
    <x v="7"/>
    <x v="3"/>
    <x v="4"/>
    <x v="0"/>
    <n v="81.540000000000006"/>
    <n v="85.72"/>
    <n v="20.59"/>
    <n v="74.37"/>
  </r>
  <r>
    <x v="1"/>
    <x v="4"/>
    <x v="7"/>
    <x v="2"/>
    <x v="2"/>
    <x v="3"/>
    <n v="111.95"/>
    <n v="117.69"/>
    <n v="0.06"/>
    <n v="111.95"/>
  </r>
  <r>
    <x v="1"/>
    <x v="4"/>
    <x v="7"/>
    <x v="1"/>
    <x v="3"/>
    <x v="1"/>
    <n v="24.41"/>
    <n v="25.67"/>
    <n v="0.02"/>
    <n v="20.23"/>
  </r>
  <r>
    <x v="1"/>
    <x v="4"/>
    <x v="7"/>
    <x v="1"/>
    <x v="2"/>
    <x v="1"/>
    <n v="502.88"/>
    <n v="528.66"/>
    <n v="2.5499999999999998"/>
    <n v="415.78"/>
  </r>
  <r>
    <x v="1"/>
    <x v="4"/>
    <x v="7"/>
    <x v="1"/>
    <x v="1"/>
    <x v="1"/>
    <n v="483.8"/>
    <n v="508.6"/>
    <n v="3.13"/>
    <n v="400.09"/>
  </r>
  <r>
    <x v="1"/>
    <x v="4"/>
    <x v="7"/>
    <x v="1"/>
    <x v="4"/>
    <x v="1"/>
    <n v="21.51"/>
    <n v="22.61"/>
    <n v="0.8"/>
    <n v="17.87"/>
  </r>
  <r>
    <x v="1"/>
    <x v="4"/>
    <x v="7"/>
    <x v="1"/>
    <x v="0"/>
    <x v="1"/>
    <n v="51.63"/>
    <n v="54.28"/>
    <n v="3"/>
    <n v="42.8"/>
  </r>
  <r>
    <x v="1"/>
    <x v="4"/>
    <x v="7"/>
    <x v="0"/>
    <x v="1"/>
    <x v="1"/>
    <n v="106.22"/>
    <n v="111.67"/>
    <n v="2.6"/>
    <n v="87.77"/>
  </r>
  <r>
    <x v="1"/>
    <x v="4"/>
    <x v="7"/>
    <x v="0"/>
    <x v="4"/>
    <x v="1"/>
    <n v="177.88"/>
    <n v="187"/>
    <n v="3.42"/>
    <n v="147.01"/>
  </r>
  <r>
    <x v="1"/>
    <x v="4"/>
    <x v="7"/>
    <x v="0"/>
    <x v="0"/>
    <x v="1"/>
    <n v="108.08"/>
    <n v="113.62"/>
    <n v="3.3"/>
    <n v="89.32"/>
  </r>
  <r>
    <x v="1"/>
    <x v="4"/>
    <x v="7"/>
    <x v="4"/>
    <x v="1"/>
    <x v="1"/>
    <n v="1.19"/>
    <n v="1.25"/>
    <n v="0.03"/>
    <n v="0.98"/>
  </r>
  <r>
    <x v="1"/>
    <x v="4"/>
    <x v="7"/>
    <x v="4"/>
    <x v="4"/>
    <x v="1"/>
    <n v="6.54"/>
    <n v="6.88"/>
    <n v="0.26"/>
    <n v="5.41"/>
  </r>
  <r>
    <x v="1"/>
    <x v="4"/>
    <x v="7"/>
    <x v="4"/>
    <x v="0"/>
    <x v="1"/>
    <n v="30.37"/>
    <n v="31.93"/>
    <n v="1.94"/>
    <n v="25.1"/>
  </r>
  <r>
    <x v="1"/>
    <x v="4"/>
    <x v="7"/>
    <x v="2"/>
    <x v="3"/>
    <x v="3"/>
    <n v="2.98"/>
    <n v="3.13"/>
    <n v="0"/>
    <n v="2.98"/>
  </r>
  <r>
    <x v="1"/>
    <x v="4"/>
    <x v="7"/>
    <x v="3"/>
    <x v="1"/>
    <x v="0"/>
    <n v="6.01"/>
    <n v="6.32"/>
    <n v="0.73"/>
    <n v="6.01"/>
  </r>
  <r>
    <x v="1"/>
    <x v="4"/>
    <x v="7"/>
    <x v="1"/>
    <x v="1"/>
    <x v="2"/>
    <n v="15.44"/>
    <n v="16.239999999999998"/>
    <n v="0.4"/>
    <n v="12.87"/>
  </r>
  <r>
    <x v="1"/>
    <x v="4"/>
    <x v="7"/>
    <x v="1"/>
    <x v="4"/>
    <x v="2"/>
    <n v="73.319999999999993"/>
    <n v="77.08"/>
    <n v="3.45"/>
    <n v="61.1"/>
  </r>
  <r>
    <x v="1"/>
    <x v="4"/>
    <x v="7"/>
    <x v="4"/>
    <x v="1"/>
    <x v="2"/>
    <n v="6.24"/>
    <n v="6.56"/>
    <n v="0.15"/>
    <n v="5.2"/>
  </r>
  <r>
    <x v="1"/>
    <x v="4"/>
    <x v="7"/>
    <x v="4"/>
    <x v="4"/>
    <x v="2"/>
    <n v="44.81"/>
    <n v="47.11"/>
    <n v="2.15"/>
    <n v="37.49"/>
  </r>
  <r>
    <x v="1"/>
    <x v="4"/>
    <x v="7"/>
    <x v="1"/>
    <x v="2"/>
    <x v="0"/>
    <n v="44.37"/>
    <n v="46.65"/>
    <n v="2.0499999999999998"/>
    <n v="38.67"/>
  </r>
  <r>
    <x v="1"/>
    <x v="0"/>
    <x v="8"/>
    <x v="1"/>
    <x v="3"/>
    <x v="1"/>
    <n v="0.89"/>
    <n v="0.88"/>
    <n v="0"/>
    <n v="0.84"/>
  </r>
  <r>
    <x v="1"/>
    <x v="0"/>
    <x v="8"/>
    <x v="4"/>
    <x v="1"/>
    <x v="0"/>
    <n v="2.71"/>
    <n v="2.68"/>
    <n v="0.22"/>
    <n v="2.5099999999999998"/>
  </r>
  <r>
    <x v="1"/>
    <x v="0"/>
    <x v="8"/>
    <x v="1"/>
    <x v="1"/>
    <x v="1"/>
    <n v="6.86"/>
    <n v="6.78"/>
    <n v="0.09"/>
    <n v="6.53"/>
  </r>
  <r>
    <x v="1"/>
    <x v="0"/>
    <x v="8"/>
    <x v="2"/>
    <x v="4"/>
    <x v="1"/>
    <n v="0.09"/>
    <n v="0.09"/>
    <n v="0"/>
    <n v="0.09"/>
  </r>
  <r>
    <x v="1"/>
    <x v="0"/>
    <x v="8"/>
    <x v="2"/>
    <x v="3"/>
    <x v="1"/>
    <n v="17.77"/>
    <n v="17.57"/>
    <n v="0.05"/>
    <n v="16.989999999999998"/>
  </r>
  <r>
    <x v="1"/>
    <x v="0"/>
    <x v="8"/>
    <x v="3"/>
    <x v="0"/>
    <x v="0"/>
    <n v="0"/>
    <n v="0"/>
    <n v="0"/>
    <n v="0"/>
  </r>
  <r>
    <x v="1"/>
    <x v="0"/>
    <x v="8"/>
    <x v="3"/>
    <x v="4"/>
    <x v="0"/>
    <n v="0.1"/>
    <n v="0.1"/>
    <n v="0.02"/>
    <n v="0.1"/>
  </r>
  <r>
    <x v="1"/>
    <x v="0"/>
    <x v="8"/>
    <x v="3"/>
    <x v="1"/>
    <x v="0"/>
    <n v="0.1"/>
    <n v="0.1"/>
    <n v="0"/>
    <n v="0.1"/>
  </r>
  <r>
    <x v="1"/>
    <x v="0"/>
    <x v="8"/>
    <x v="2"/>
    <x v="4"/>
    <x v="0"/>
    <n v="2.38"/>
    <n v="2.35"/>
    <n v="0.72"/>
    <n v="2.2599999999999998"/>
  </r>
  <r>
    <x v="1"/>
    <x v="0"/>
    <x v="8"/>
    <x v="4"/>
    <x v="4"/>
    <x v="0"/>
    <n v="21.15"/>
    <n v="20.9"/>
    <n v="3.95"/>
    <n v="19.489999999999998"/>
  </r>
  <r>
    <x v="1"/>
    <x v="0"/>
    <x v="8"/>
    <x v="1"/>
    <x v="4"/>
    <x v="1"/>
    <n v="0.95"/>
    <n v="0.94"/>
    <n v="0.05"/>
    <n v="0.89"/>
  </r>
  <r>
    <x v="1"/>
    <x v="0"/>
    <x v="8"/>
    <x v="0"/>
    <x v="0"/>
    <x v="0"/>
    <n v="4.9800000000000004"/>
    <n v="4.92"/>
    <n v="3.08"/>
    <n v="4.51"/>
  </r>
  <r>
    <x v="1"/>
    <x v="0"/>
    <x v="8"/>
    <x v="0"/>
    <x v="4"/>
    <x v="0"/>
    <n v="10.67"/>
    <n v="10.54"/>
    <n v="3.31"/>
    <n v="9.86"/>
  </r>
  <r>
    <x v="1"/>
    <x v="0"/>
    <x v="8"/>
    <x v="1"/>
    <x v="0"/>
    <x v="0"/>
    <n v="3.09"/>
    <n v="3.05"/>
    <n v="1.39"/>
    <n v="2.91"/>
  </r>
  <r>
    <x v="1"/>
    <x v="0"/>
    <x v="8"/>
    <x v="1"/>
    <x v="4"/>
    <x v="0"/>
    <n v="34.590000000000003"/>
    <n v="34.19"/>
    <n v="7.82"/>
    <n v="32.299999999999997"/>
  </r>
  <r>
    <x v="1"/>
    <x v="0"/>
    <x v="8"/>
    <x v="1"/>
    <x v="1"/>
    <x v="0"/>
    <n v="7.5"/>
    <n v="7.41"/>
    <n v="0.38"/>
    <n v="7.06"/>
  </r>
  <r>
    <x v="1"/>
    <x v="0"/>
    <x v="8"/>
    <x v="1"/>
    <x v="2"/>
    <x v="0"/>
    <n v="2.78"/>
    <n v="2.74"/>
    <n v="0.03"/>
    <n v="2.61"/>
  </r>
  <r>
    <x v="1"/>
    <x v="0"/>
    <x v="8"/>
    <x v="2"/>
    <x v="0"/>
    <x v="0"/>
    <n v="4.91"/>
    <n v="4.8499999999999996"/>
    <n v="2.77"/>
    <n v="4.6399999999999997"/>
  </r>
  <r>
    <x v="1"/>
    <x v="0"/>
    <x v="8"/>
    <x v="4"/>
    <x v="0"/>
    <x v="0"/>
    <n v="0.16"/>
    <n v="0.16"/>
    <n v="0.05"/>
    <n v="0.15"/>
  </r>
  <r>
    <x v="1"/>
    <x v="0"/>
    <x v="8"/>
    <x v="4"/>
    <x v="0"/>
    <x v="1"/>
    <n v="1.9"/>
    <n v="1.88"/>
    <n v="0.12"/>
    <n v="1.81"/>
  </r>
  <r>
    <x v="1"/>
    <x v="0"/>
    <x v="8"/>
    <x v="4"/>
    <x v="1"/>
    <x v="2"/>
    <n v="2"/>
    <n v="1.98"/>
    <n v="0.05"/>
    <n v="1.83"/>
  </r>
  <r>
    <x v="1"/>
    <x v="0"/>
    <x v="8"/>
    <x v="4"/>
    <x v="2"/>
    <x v="2"/>
    <n v="2.97"/>
    <n v="2.93"/>
    <n v="0.02"/>
    <n v="2.72"/>
  </r>
  <r>
    <x v="1"/>
    <x v="0"/>
    <x v="8"/>
    <x v="1"/>
    <x v="4"/>
    <x v="2"/>
    <n v="1.45"/>
    <n v="1.43"/>
    <n v="0.05"/>
    <n v="1.33"/>
  </r>
  <r>
    <x v="1"/>
    <x v="0"/>
    <x v="8"/>
    <x v="1"/>
    <x v="1"/>
    <x v="2"/>
    <n v="0.34"/>
    <n v="0.34"/>
    <n v="0"/>
    <n v="0.31"/>
  </r>
  <r>
    <x v="1"/>
    <x v="0"/>
    <x v="8"/>
    <x v="1"/>
    <x v="3"/>
    <x v="2"/>
    <n v="0.12"/>
    <n v="0.11"/>
    <n v="0"/>
    <n v="0.11"/>
  </r>
  <r>
    <x v="1"/>
    <x v="0"/>
    <x v="8"/>
    <x v="2"/>
    <x v="3"/>
    <x v="2"/>
    <n v="5.18"/>
    <n v="5.12"/>
    <n v="0"/>
    <n v="4.8899999999999997"/>
  </r>
  <r>
    <x v="1"/>
    <x v="0"/>
    <x v="8"/>
    <x v="1"/>
    <x v="2"/>
    <x v="1"/>
    <n v="11.28"/>
    <n v="11.15"/>
    <n v="0.05"/>
    <n v="10.75"/>
  </r>
  <r>
    <x v="1"/>
    <x v="0"/>
    <x v="8"/>
    <x v="2"/>
    <x v="3"/>
    <x v="3"/>
    <n v="3.15"/>
    <n v="3.12"/>
    <n v="0"/>
    <n v="3.08"/>
  </r>
  <r>
    <x v="1"/>
    <x v="0"/>
    <x v="8"/>
    <x v="4"/>
    <x v="4"/>
    <x v="2"/>
    <n v="1.2"/>
    <n v="1.19"/>
    <n v="0.06"/>
    <n v="1.1000000000000001"/>
  </r>
  <r>
    <x v="1"/>
    <x v="0"/>
    <x v="8"/>
    <x v="4"/>
    <x v="4"/>
    <x v="1"/>
    <n v="0.04"/>
    <n v="0.04"/>
    <n v="0"/>
    <n v="0.03"/>
  </r>
  <r>
    <x v="1"/>
    <x v="0"/>
    <x v="8"/>
    <x v="4"/>
    <x v="1"/>
    <x v="1"/>
    <n v="0.11"/>
    <n v="0.11"/>
    <n v="0"/>
    <n v="0.1"/>
  </r>
  <r>
    <x v="1"/>
    <x v="0"/>
    <x v="8"/>
    <x v="0"/>
    <x v="0"/>
    <x v="1"/>
    <n v="2.41"/>
    <n v="2.38"/>
    <n v="0.11"/>
    <n v="2.2999999999999998"/>
  </r>
  <r>
    <x v="1"/>
    <x v="0"/>
    <x v="8"/>
    <x v="0"/>
    <x v="4"/>
    <x v="1"/>
    <n v="2.86"/>
    <n v="2.83"/>
    <n v="0.09"/>
    <n v="2.73"/>
  </r>
  <r>
    <x v="1"/>
    <x v="0"/>
    <x v="8"/>
    <x v="0"/>
    <x v="1"/>
    <x v="1"/>
    <n v="0.14000000000000001"/>
    <n v="0.14000000000000001"/>
    <n v="0"/>
    <n v="0.13"/>
  </r>
  <r>
    <x v="1"/>
    <x v="0"/>
    <x v="8"/>
    <x v="0"/>
    <x v="3"/>
    <x v="1"/>
    <n v="0.28000000000000003"/>
    <n v="0.27"/>
    <n v="0"/>
    <n v="0.26"/>
  </r>
  <r>
    <x v="1"/>
    <x v="0"/>
    <x v="8"/>
    <x v="1"/>
    <x v="0"/>
    <x v="1"/>
    <n v="3.47"/>
    <n v="3.43"/>
    <n v="0.12"/>
    <n v="3.28"/>
  </r>
  <r>
    <x v="1"/>
    <x v="0"/>
    <x v="8"/>
    <x v="2"/>
    <x v="2"/>
    <x v="3"/>
    <n v="0.15"/>
    <n v="0.15"/>
    <n v="0"/>
    <n v="0.15"/>
  </r>
  <r>
    <x v="1"/>
    <x v="5"/>
    <x v="9"/>
    <x v="2"/>
    <x v="3"/>
    <x v="2"/>
    <n v="8.9700000000000006"/>
    <n v="8.11"/>
    <n v="0.01"/>
    <n v="8.09"/>
  </r>
  <r>
    <x v="1"/>
    <x v="5"/>
    <x v="9"/>
    <x v="1"/>
    <x v="1"/>
    <x v="1"/>
    <n v="3.38"/>
    <n v="3.06"/>
    <n v="0.06"/>
    <n v="3.22"/>
  </r>
  <r>
    <x v="1"/>
    <x v="5"/>
    <x v="9"/>
    <x v="1"/>
    <x v="4"/>
    <x v="1"/>
    <n v="1.44"/>
    <n v="1.3"/>
    <n v="0.06"/>
    <n v="1.43"/>
  </r>
  <r>
    <x v="1"/>
    <x v="5"/>
    <x v="9"/>
    <x v="1"/>
    <x v="0"/>
    <x v="1"/>
    <n v="4.25"/>
    <n v="3.85"/>
    <n v="0.23"/>
    <n v="4.22"/>
  </r>
  <r>
    <x v="1"/>
    <x v="5"/>
    <x v="9"/>
    <x v="0"/>
    <x v="3"/>
    <x v="1"/>
    <n v="0.09"/>
    <n v="0.08"/>
    <n v="0"/>
    <n v="0.08"/>
  </r>
  <r>
    <x v="1"/>
    <x v="5"/>
    <x v="9"/>
    <x v="0"/>
    <x v="4"/>
    <x v="1"/>
    <n v="4.17"/>
    <n v="3.77"/>
    <n v="0.06"/>
    <n v="4.0199999999999996"/>
  </r>
  <r>
    <x v="1"/>
    <x v="5"/>
    <x v="9"/>
    <x v="4"/>
    <x v="1"/>
    <x v="1"/>
    <n v="0.06"/>
    <n v="0.05"/>
    <n v="0"/>
    <n v="0.05"/>
  </r>
  <r>
    <x v="1"/>
    <x v="5"/>
    <x v="9"/>
    <x v="4"/>
    <x v="4"/>
    <x v="1"/>
    <n v="7.0000000000000007E-2"/>
    <n v="7.0000000000000007E-2"/>
    <n v="0.01"/>
    <n v="7.0000000000000007E-2"/>
  </r>
  <r>
    <x v="1"/>
    <x v="5"/>
    <x v="9"/>
    <x v="4"/>
    <x v="0"/>
    <x v="1"/>
    <n v="1.1599999999999999"/>
    <n v="1.05"/>
    <n v="0.06"/>
    <n v="1.1000000000000001"/>
  </r>
  <r>
    <x v="1"/>
    <x v="5"/>
    <x v="9"/>
    <x v="1"/>
    <x v="2"/>
    <x v="1"/>
    <n v="10.6"/>
    <n v="9.58"/>
    <n v="0.08"/>
    <n v="10.14"/>
  </r>
  <r>
    <x v="1"/>
    <x v="5"/>
    <x v="9"/>
    <x v="2"/>
    <x v="2"/>
    <x v="3"/>
    <n v="0.01"/>
    <n v="0.01"/>
    <n v="0"/>
    <n v="0.01"/>
  </r>
  <r>
    <x v="1"/>
    <x v="5"/>
    <x v="9"/>
    <x v="0"/>
    <x v="1"/>
    <x v="1"/>
    <n v="0.06"/>
    <n v="0.05"/>
    <n v="0"/>
    <n v="0.05"/>
  </r>
  <r>
    <x v="1"/>
    <x v="5"/>
    <x v="9"/>
    <x v="1"/>
    <x v="4"/>
    <x v="2"/>
    <n v="5.84"/>
    <n v="5.28"/>
    <n v="0.03"/>
    <n v="5.1100000000000003"/>
  </r>
  <r>
    <x v="1"/>
    <x v="5"/>
    <x v="9"/>
    <x v="4"/>
    <x v="1"/>
    <x v="2"/>
    <n v="0.98"/>
    <n v="0.88"/>
    <n v="0.03"/>
    <n v="0.87"/>
  </r>
  <r>
    <x v="1"/>
    <x v="5"/>
    <x v="9"/>
    <x v="4"/>
    <x v="2"/>
    <x v="2"/>
    <n v="1.36"/>
    <n v="1.23"/>
    <n v="0.01"/>
    <n v="1.18"/>
  </r>
  <r>
    <x v="1"/>
    <x v="5"/>
    <x v="9"/>
    <x v="2"/>
    <x v="3"/>
    <x v="3"/>
    <n v="0.11"/>
    <n v="0.1"/>
    <n v="0"/>
    <n v="0.11"/>
  </r>
  <r>
    <x v="1"/>
    <x v="5"/>
    <x v="9"/>
    <x v="2"/>
    <x v="0"/>
    <x v="0"/>
    <n v="3.48"/>
    <n v="3.15"/>
    <n v="2.15"/>
    <n v="3.29"/>
  </r>
  <r>
    <x v="1"/>
    <x v="5"/>
    <x v="9"/>
    <x v="4"/>
    <x v="4"/>
    <x v="2"/>
    <n v="1.49"/>
    <n v="1.35"/>
    <n v="0.08"/>
    <n v="1.34"/>
  </r>
  <r>
    <x v="1"/>
    <x v="5"/>
    <x v="9"/>
    <x v="0"/>
    <x v="0"/>
    <x v="1"/>
    <n v="1.74"/>
    <n v="1.57"/>
    <n v="0.09"/>
    <n v="1.6"/>
  </r>
  <r>
    <x v="1"/>
    <x v="5"/>
    <x v="9"/>
    <x v="2"/>
    <x v="4"/>
    <x v="0"/>
    <n v="2.21"/>
    <n v="2"/>
    <n v="0.56000000000000005"/>
    <n v="2.1"/>
  </r>
  <r>
    <x v="1"/>
    <x v="5"/>
    <x v="9"/>
    <x v="1"/>
    <x v="3"/>
    <x v="1"/>
    <n v="0.12"/>
    <n v="0.11"/>
    <n v="0"/>
    <n v="0.11"/>
  </r>
  <r>
    <x v="1"/>
    <x v="5"/>
    <x v="9"/>
    <x v="1"/>
    <x v="2"/>
    <x v="0"/>
    <n v="0.03"/>
    <n v="0.03"/>
    <n v="0"/>
    <n v="0.03"/>
  </r>
  <r>
    <x v="1"/>
    <x v="5"/>
    <x v="9"/>
    <x v="1"/>
    <x v="1"/>
    <x v="0"/>
    <n v="14.78"/>
    <n v="13.37"/>
    <n v="1.05"/>
    <n v="13.61"/>
  </r>
  <r>
    <x v="1"/>
    <x v="5"/>
    <x v="9"/>
    <x v="1"/>
    <x v="4"/>
    <x v="0"/>
    <n v="55.14"/>
    <n v="49.87"/>
    <n v="15.45"/>
    <n v="51.18"/>
  </r>
  <r>
    <x v="1"/>
    <x v="5"/>
    <x v="9"/>
    <x v="1"/>
    <x v="0"/>
    <x v="0"/>
    <n v="6.25"/>
    <n v="5.65"/>
    <n v="3.29"/>
    <n v="5.87"/>
  </r>
  <r>
    <x v="1"/>
    <x v="5"/>
    <x v="9"/>
    <x v="0"/>
    <x v="4"/>
    <x v="0"/>
    <n v="8.6999999999999993"/>
    <n v="7.87"/>
    <n v="2.72"/>
    <n v="8.1199999999999992"/>
  </r>
  <r>
    <x v="1"/>
    <x v="5"/>
    <x v="9"/>
    <x v="2"/>
    <x v="4"/>
    <x v="1"/>
    <n v="0.02"/>
    <n v="0.02"/>
    <n v="0"/>
    <n v="0.02"/>
  </r>
  <r>
    <x v="1"/>
    <x v="5"/>
    <x v="9"/>
    <x v="4"/>
    <x v="1"/>
    <x v="0"/>
    <n v="2.52"/>
    <n v="2.2799999999999998"/>
    <n v="0.17"/>
    <n v="2.34"/>
  </r>
  <r>
    <x v="1"/>
    <x v="5"/>
    <x v="9"/>
    <x v="4"/>
    <x v="4"/>
    <x v="0"/>
    <n v="16.7"/>
    <n v="15.1"/>
    <n v="2.56"/>
    <n v="15.54"/>
  </r>
  <r>
    <x v="1"/>
    <x v="5"/>
    <x v="9"/>
    <x v="4"/>
    <x v="0"/>
    <x v="0"/>
    <n v="0.13"/>
    <n v="0.12"/>
    <n v="0.03"/>
    <n v="0.12"/>
  </r>
  <r>
    <x v="1"/>
    <x v="5"/>
    <x v="9"/>
    <x v="3"/>
    <x v="4"/>
    <x v="0"/>
    <n v="2.0499999999999998"/>
    <n v="1.85"/>
    <n v="0.34"/>
    <n v="1.92"/>
  </r>
  <r>
    <x v="1"/>
    <x v="5"/>
    <x v="9"/>
    <x v="3"/>
    <x v="0"/>
    <x v="0"/>
    <n v="0.05"/>
    <n v="0.05"/>
    <n v="0.05"/>
    <n v="0.05"/>
  </r>
  <r>
    <x v="1"/>
    <x v="5"/>
    <x v="9"/>
    <x v="2"/>
    <x v="3"/>
    <x v="1"/>
    <n v="4.9800000000000004"/>
    <n v="4.51"/>
    <n v="0.01"/>
    <n v="4.6500000000000004"/>
  </r>
  <r>
    <x v="1"/>
    <x v="5"/>
    <x v="9"/>
    <x v="0"/>
    <x v="0"/>
    <x v="0"/>
    <n v="4.54"/>
    <n v="4.0999999999999996"/>
    <n v="2.36"/>
    <n v="4.16"/>
  </r>
  <r>
    <x v="1"/>
    <x v="2"/>
    <x v="10"/>
    <x v="0"/>
    <x v="0"/>
    <x v="1"/>
    <n v="1.63"/>
    <n v="1.56"/>
    <n v="0.1"/>
    <n v="1.47"/>
  </r>
  <r>
    <x v="1"/>
    <x v="2"/>
    <x v="10"/>
    <x v="3"/>
    <x v="4"/>
    <x v="0"/>
    <n v="1.8"/>
    <n v="1.71"/>
    <n v="0.26"/>
    <n v="1.67"/>
  </r>
  <r>
    <x v="1"/>
    <x v="2"/>
    <x v="10"/>
    <x v="1"/>
    <x v="1"/>
    <x v="0"/>
    <n v="15.18"/>
    <n v="14.48"/>
    <n v="0.94"/>
    <n v="14.02"/>
  </r>
  <r>
    <x v="1"/>
    <x v="2"/>
    <x v="10"/>
    <x v="1"/>
    <x v="4"/>
    <x v="1"/>
    <n v="1.1299999999999999"/>
    <n v="1.07"/>
    <n v="0.05"/>
    <n v="1.1200000000000001"/>
  </r>
  <r>
    <x v="1"/>
    <x v="2"/>
    <x v="10"/>
    <x v="1"/>
    <x v="1"/>
    <x v="1"/>
    <n v="3.65"/>
    <n v="3.48"/>
    <n v="0.04"/>
    <n v="3.4"/>
  </r>
  <r>
    <x v="1"/>
    <x v="2"/>
    <x v="10"/>
    <x v="1"/>
    <x v="2"/>
    <x v="1"/>
    <n v="5.5"/>
    <n v="5.25"/>
    <n v="0.02"/>
    <n v="4.96"/>
  </r>
  <r>
    <x v="1"/>
    <x v="2"/>
    <x v="10"/>
    <x v="1"/>
    <x v="3"/>
    <x v="1"/>
    <n v="0.09"/>
    <n v="0.09"/>
    <n v="0"/>
    <n v="0.08"/>
  </r>
  <r>
    <x v="1"/>
    <x v="2"/>
    <x v="10"/>
    <x v="2"/>
    <x v="4"/>
    <x v="1"/>
    <n v="0.01"/>
    <n v="0.01"/>
    <n v="0"/>
    <n v="0.01"/>
  </r>
  <r>
    <x v="1"/>
    <x v="2"/>
    <x v="10"/>
    <x v="0"/>
    <x v="3"/>
    <x v="1"/>
    <n v="0.05"/>
    <n v="0.05"/>
    <n v="0"/>
    <n v="0.04"/>
  </r>
  <r>
    <x v="1"/>
    <x v="2"/>
    <x v="10"/>
    <x v="3"/>
    <x v="0"/>
    <x v="0"/>
    <n v="0.06"/>
    <n v="0.05"/>
    <n v="0.05"/>
    <n v="0.06"/>
  </r>
  <r>
    <x v="1"/>
    <x v="2"/>
    <x v="10"/>
    <x v="0"/>
    <x v="4"/>
    <x v="1"/>
    <n v="1.79"/>
    <n v="1.71"/>
    <n v="0.05"/>
    <n v="1.63"/>
  </r>
  <r>
    <x v="1"/>
    <x v="2"/>
    <x v="10"/>
    <x v="4"/>
    <x v="0"/>
    <x v="0"/>
    <n v="0.12"/>
    <n v="0.11"/>
    <n v="0.02"/>
    <n v="0.11"/>
  </r>
  <r>
    <x v="1"/>
    <x v="2"/>
    <x v="10"/>
    <x v="4"/>
    <x v="4"/>
    <x v="0"/>
    <n v="46.64"/>
    <n v="44.5"/>
    <n v="6.95"/>
    <n v="43.29"/>
  </r>
  <r>
    <x v="1"/>
    <x v="2"/>
    <x v="10"/>
    <x v="4"/>
    <x v="1"/>
    <x v="0"/>
    <n v="6.48"/>
    <n v="6.18"/>
    <n v="0.45"/>
    <n v="6.03"/>
  </r>
  <r>
    <x v="1"/>
    <x v="2"/>
    <x v="10"/>
    <x v="0"/>
    <x v="0"/>
    <x v="0"/>
    <n v="5.22"/>
    <n v="4.9800000000000004"/>
    <n v="2.78"/>
    <n v="4.79"/>
  </r>
  <r>
    <x v="1"/>
    <x v="2"/>
    <x v="10"/>
    <x v="0"/>
    <x v="4"/>
    <x v="0"/>
    <n v="10.33"/>
    <n v="9.86"/>
    <n v="3.12"/>
    <n v="9.58"/>
  </r>
  <r>
    <x v="1"/>
    <x v="2"/>
    <x v="10"/>
    <x v="1"/>
    <x v="0"/>
    <x v="0"/>
    <n v="4.82"/>
    <n v="4.5999999999999996"/>
    <n v="2.44"/>
    <n v="4.51"/>
  </r>
  <r>
    <x v="1"/>
    <x v="2"/>
    <x v="10"/>
    <x v="2"/>
    <x v="3"/>
    <x v="1"/>
    <n v="5.22"/>
    <n v="4.9800000000000004"/>
    <n v="0.01"/>
    <n v="4.74"/>
  </r>
  <r>
    <x v="1"/>
    <x v="2"/>
    <x v="10"/>
    <x v="2"/>
    <x v="3"/>
    <x v="2"/>
    <n v="3.28"/>
    <n v="3.13"/>
    <n v="0"/>
    <n v="2.85"/>
  </r>
  <r>
    <x v="1"/>
    <x v="2"/>
    <x v="10"/>
    <x v="2"/>
    <x v="0"/>
    <x v="0"/>
    <n v="2.04"/>
    <n v="1.94"/>
    <n v="1.44"/>
    <n v="1.92"/>
  </r>
  <r>
    <x v="1"/>
    <x v="2"/>
    <x v="10"/>
    <x v="4"/>
    <x v="4"/>
    <x v="2"/>
    <n v="0.52"/>
    <n v="0.5"/>
    <n v="0.03"/>
    <n v="0.45"/>
  </r>
  <r>
    <x v="1"/>
    <x v="2"/>
    <x v="10"/>
    <x v="4"/>
    <x v="1"/>
    <x v="2"/>
    <n v="0.33"/>
    <n v="0.32"/>
    <n v="0.01"/>
    <n v="0.28999999999999998"/>
  </r>
  <r>
    <x v="1"/>
    <x v="2"/>
    <x v="10"/>
    <x v="4"/>
    <x v="2"/>
    <x v="2"/>
    <n v="0.41"/>
    <n v="0.39"/>
    <n v="0"/>
    <n v="0.36"/>
  </r>
  <r>
    <x v="1"/>
    <x v="2"/>
    <x v="10"/>
    <x v="1"/>
    <x v="4"/>
    <x v="2"/>
    <n v="1.4"/>
    <n v="1.33"/>
    <n v="0.03"/>
    <n v="1.22"/>
  </r>
  <r>
    <x v="1"/>
    <x v="2"/>
    <x v="10"/>
    <x v="1"/>
    <x v="1"/>
    <x v="2"/>
    <n v="0.88"/>
    <n v="0.84"/>
    <n v="0"/>
    <n v="0.77"/>
  </r>
  <r>
    <x v="1"/>
    <x v="2"/>
    <x v="10"/>
    <x v="1"/>
    <x v="0"/>
    <x v="1"/>
    <n v="3.87"/>
    <n v="3.69"/>
    <n v="0.15"/>
    <n v="3.83"/>
  </r>
  <r>
    <x v="1"/>
    <x v="2"/>
    <x v="10"/>
    <x v="2"/>
    <x v="4"/>
    <x v="0"/>
    <n v="1.51"/>
    <n v="1.44"/>
    <n v="0.39"/>
    <n v="1.44"/>
  </r>
  <r>
    <x v="1"/>
    <x v="2"/>
    <x v="10"/>
    <x v="1"/>
    <x v="2"/>
    <x v="0"/>
    <n v="0.84"/>
    <n v="0.8"/>
    <n v="0.01"/>
    <n v="0.77"/>
  </r>
  <r>
    <x v="1"/>
    <x v="2"/>
    <x v="10"/>
    <x v="0"/>
    <x v="1"/>
    <x v="1"/>
    <n v="0.05"/>
    <n v="0.05"/>
    <n v="0"/>
    <n v="0.04"/>
  </r>
  <r>
    <x v="1"/>
    <x v="2"/>
    <x v="10"/>
    <x v="2"/>
    <x v="2"/>
    <x v="3"/>
    <n v="4.38"/>
    <n v="4.18"/>
    <n v="0.01"/>
    <n v="4.38"/>
  </r>
  <r>
    <x v="1"/>
    <x v="2"/>
    <x v="10"/>
    <x v="2"/>
    <x v="3"/>
    <x v="3"/>
    <n v="23.19"/>
    <n v="22.13"/>
    <n v="0.02"/>
    <n v="23.19"/>
  </r>
  <r>
    <x v="1"/>
    <x v="2"/>
    <x v="10"/>
    <x v="4"/>
    <x v="0"/>
    <x v="1"/>
    <n v="1.07"/>
    <n v="1.02"/>
    <n v="0.06"/>
    <n v="0.99"/>
  </r>
  <r>
    <x v="1"/>
    <x v="2"/>
    <x v="10"/>
    <x v="4"/>
    <x v="4"/>
    <x v="1"/>
    <n v="0.06"/>
    <n v="0.06"/>
    <n v="0.01"/>
    <n v="0.06"/>
  </r>
  <r>
    <x v="1"/>
    <x v="2"/>
    <x v="10"/>
    <x v="4"/>
    <x v="1"/>
    <x v="1"/>
    <n v="0.06"/>
    <n v="0.06"/>
    <n v="0"/>
    <n v="0.05"/>
  </r>
  <r>
    <x v="1"/>
    <x v="2"/>
    <x v="10"/>
    <x v="1"/>
    <x v="3"/>
    <x v="2"/>
    <n v="0.4"/>
    <n v="0.39"/>
    <n v="0"/>
    <n v="0.35"/>
  </r>
  <r>
    <x v="1"/>
    <x v="2"/>
    <x v="10"/>
    <x v="1"/>
    <x v="4"/>
    <x v="0"/>
    <n v="53.77"/>
    <n v="51.3"/>
    <n v="13.46"/>
    <n v="49.83"/>
  </r>
  <r>
    <x v="1"/>
    <x v="2"/>
    <x v="11"/>
    <x v="2"/>
    <x v="3"/>
    <x v="3"/>
    <n v="4.62"/>
    <n v="4.41"/>
    <n v="0"/>
    <n v="4.62"/>
  </r>
  <r>
    <x v="1"/>
    <x v="2"/>
    <x v="11"/>
    <x v="1"/>
    <x v="4"/>
    <x v="1"/>
    <n v="3.65"/>
    <n v="3.49"/>
    <n v="0.15"/>
    <n v="3.65"/>
  </r>
  <r>
    <x v="1"/>
    <x v="2"/>
    <x v="11"/>
    <x v="0"/>
    <x v="3"/>
    <x v="1"/>
    <n v="7.0000000000000007E-2"/>
    <n v="7.0000000000000007E-2"/>
    <n v="0"/>
    <n v="7.0000000000000007E-2"/>
  </r>
  <r>
    <x v="1"/>
    <x v="2"/>
    <x v="11"/>
    <x v="0"/>
    <x v="1"/>
    <x v="1"/>
    <n v="0.06"/>
    <n v="0.06"/>
    <n v="0"/>
    <n v="0.05"/>
  </r>
  <r>
    <x v="1"/>
    <x v="2"/>
    <x v="11"/>
    <x v="0"/>
    <x v="4"/>
    <x v="1"/>
    <n v="1.8"/>
    <n v="1.72"/>
    <n v="0.04"/>
    <n v="1.62"/>
  </r>
  <r>
    <x v="1"/>
    <x v="2"/>
    <x v="11"/>
    <x v="0"/>
    <x v="0"/>
    <x v="1"/>
    <n v="1.58"/>
    <n v="1.51"/>
    <n v="0.08"/>
    <n v="1.42"/>
  </r>
  <r>
    <x v="1"/>
    <x v="2"/>
    <x v="11"/>
    <x v="4"/>
    <x v="1"/>
    <x v="1"/>
    <n v="0.06"/>
    <n v="0.05"/>
    <n v="0"/>
    <n v="0.05"/>
  </r>
  <r>
    <x v="1"/>
    <x v="2"/>
    <x v="11"/>
    <x v="2"/>
    <x v="0"/>
    <x v="0"/>
    <n v="2.17"/>
    <n v="2.0699999999999998"/>
    <n v="1.56"/>
    <n v="2.0099999999999998"/>
  </r>
  <r>
    <x v="1"/>
    <x v="2"/>
    <x v="11"/>
    <x v="4"/>
    <x v="0"/>
    <x v="1"/>
    <n v="1.18"/>
    <n v="1.1299999999999999"/>
    <n v="0.05"/>
    <n v="1.1100000000000001"/>
  </r>
  <r>
    <x v="1"/>
    <x v="2"/>
    <x v="11"/>
    <x v="1"/>
    <x v="1"/>
    <x v="1"/>
    <n v="5.08"/>
    <n v="4.8499999999999996"/>
    <n v="0.1"/>
    <n v="4.9000000000000004"/>
  </r>
  <r>
    <x v="1"/>
    <x v="2"/>
    <x v="11"/>
    <x v="2"/>
    <x v="2"/>
    <x v="3"/>
    <n v="0.5"/>
    <n v="0.48"/>
    <n v="0"/>
    <n v="0.5"/>
  </r>
  <r>
    <x v="1"/>
    <x v="2"/>
    <x v="11"/>
    <x v="2"/>
    <x v="3"/>
    <x v="2"/>
    <n v="8.1999999999999993"/>
    <n v="7.83"/>
    <n v="0.01"/>
    <n v="7.3"/>
  </r>
  <r>
    <x v="1"/>
    <x v="2"/>
    <x v="11"/>
    <x v="1"/>
    <x v="1"/>
    <x v="2"/>
    <n v="6"/>
    <n v="5.73"/>
    <n v="0.04"/>
    <n v="5.21"/>
  </r>
  <r>
    <x v="1"/>
    <x v="2"/>
    <x v="11"/>
    <x v="1"/>
    <x v="4"/>
    <x v="2"/>
    <n v="3.57"/>
    <n v="3.41"/>
    <n v="0.14000000000000001"/>
    <n v="3.1"/>
  </r>
  <r>
    <x v="1"/>
    <x v="2"/>
    <x v="11"/>
    <x v="4"/>
    <x v="2"/>
    <x v="2"/>
    <n v="1.1399999999999999"/>
    <n v="1.0900000000000001"/>
    <n v="0.01"/>
    <n v="0.99"/>
  </r>
  <r>
    <x v="1"/>
    <x v="2"/>
    <x v="11"/>
    <x v="4"/>
    <x v="1"/>
    <x v="2"/>
    <n v="1.1100000000000001"/>
    <n v="1.06"/>
    <n v="0.02"/>
    <n v="0.97"/>
  </r>
  <r>
    <x v="1"/>
    <x v="2"/>
    <x v="11"/>
    <x v="4"/>
    <x v="4"/>
    <x v="2"/>
    <n v="1.84"/>
    <n v="1.76"/>
    <n v="0.06"/>
    <n v="1.6"/>
  </r>
  <r>
    <x v="1"/>
    <x v="2"/>
    <x v="11"/>
    <x v="4"/>
    <x v="4"/>
    <x v="1"/>
    <n v="0.2"/>
    <n v="0.19"/>
    <n v="0.01"/>
    <n v="0.2"/>
  </r>
  <r>
    <x v="1"/>
    <x v="2"/>
    <x v="11"/>
    <x v="0"/>
    <x v="0"/>
    <x v="0"/>
    <n v="6.18"/>
    <n v="5.9"/>
    <n v="3.27"/>
    <n v="5.61"/>
  </r>
  <r>
    <x v="1"/>
    <x v="2"/>
    <x v="11"/>
    <x v="2"/>
    <x v="4"/>
    <x v="0"/>
    <n v="1.73"/>
    <n v="1.65"/>
    <n v="0.46"/>
    <n v="1.61"/>
  </r>
  <r>
    <x v="1"/>
    <x v="2"/>
    <x v="11"/>
    <x v="1"/>
    <x v="2"/>
    <x v="0"/>
    <n v="0.13"/>
    <n v="0.12"/>
    <n v="0"/>
    <n v="0.11"/>
  </r>
  <r>
    <x v="1"/>
    <x v="2"/>
    <x v="11"/>
    <x v="1"/>
    <x v="1"/>
    <x v="0"/>
    <n v="15.04"/>
    <n v="14.36"/>
    <n v="0.94"/>
    <n v="13.79"/>
  </r>
  <r>
    <x v="1"/>
    <x v="2"/>
    <x v="11"/>
    <x v="1"/>
    <x v="4"/>
    <x v="0"/>
    <n v="53.7"/>
    <n v="51.27"/>
    <n v="14.14"/>
    <n v="49.3"/>
  </r>
  <r>
    <x v="1"/>
    <x v="2"/>
    <x v="11"/>
    <x v="1"/>
    <x v="0"/>
    <x v="1"/>
    <n v="5.39"/>
    <n v="5.15"/>
    <n v="0.3"/>
    <n v="5.29"/>
  </r>
  <r>
    <x v="1"/>
    <x v="2"/>
    <x v="11"/>
    <x v="0"/>
    <x v="4"/>
    <x v="0"/>
    <n v="10.7"/>
    <n v="10.220000000000001"/>
    <n v="3.53"/>
    <n v="9.77"/>
  </r>
  <r>
    <x v="1"/>
    <x v="2"/>
    <x v="11"/>
    <x v="1"/>
    <x v="2"/>
    <x v="1"/>
    <n v="6.2"/>
    <n v="5.92"/>
    <n v="0.02"/>
    <n v="5.65"/>
  </r>
  <r>
    <x v="1"/>
    <x v="2"/>
    <x v="11"/>
    <x v="4"/>
    <x v="1"/>
    <x v="0"/>
    <n v="8.16"/>
    <n v="7.79"/>
    <n v="0.57999999999999996"/>
    <n v="7.47"/>
  </r>
  <r>
    <x v="1"/>
    <x v="2"/>
    <x v="11"/>
    <x v="4"/>
    <x v="4"/>
    <x v="0"/>
    <n v="72.55"/>
    <n v="69.27"/>
    <n v="10.78"/>
    <n v="66.5"/>
  </r>
  <r>
    <x v="1"/>
    <x v="2"/>
    <x v="11"/>
    <x v="4"/>
    <x v="0"/>
    <x v="0"/>
    <n v="0.23"/>
    <n v="0.22"/>
    <n v="0.05"/>
    <n v="0.22"/>
  </r>
  <r>
    <x v="1"/>
    <x v="2"/>
    <x v="11"/>
    <x v="3"/>
    <x v="4"/>
    <x v="0"/>
    <n v="2.14"/>
    <n v="2.0499999999999998"/>
    <n v="0.33"/>
    <n v="1.96"/>
  </r>
  <r>
    <x v="1"/>
    <x v="2"/>
    <x v="11"/>
    <x v="3"/>
    <x v="0"/>
    <x v="0"/>
    <n v="0.04"/>
    <n v="0.04"/>
    <n v="0.04"/>
    <n v="0.04"/>
  </r>
  <r>
    <x v="1"/>
    <x v="2"/>
    <x v="11"/>
    <x v="2"/>
    <x v="3"/>
    <x v="1"/>
    <n v="4.53"/>
    <n v="4.32"/>
    <n v="0.01"/>
    <n v="4.16"/>
  </r>
  <r>
    <x v="1"/>
    <x v="2"/>
    <x v="11"/>
    <x v="2"/>
    <x v="4"/>
    <x v="1"/>
    <n v="0.02"/>
    <n v="0.01"/>
    <n v="0"/>
    <n v="0.01"/>
  </r>
  <r>
    <x v="1"/>
    <x v="2"/>
    <x v="11"/>
    <x v="1"/>
    <x v="3"/>
    <x v="1"/>
    <n v="0.12"/>
    <n v="0.11"/>
    <n v="0"/>
    <n v="0.1"/>
  </r>
  <r>
    <x v="1"/>
    <x v="2"/>
    <x v="11"/>
    <x v="1"/>
    <x v="0"/>
    <x v="0"/>
    <n v="6.64"/>
    <n v="6.34"/>
    <n v="2.78"/>
    <n v="6.22"/>
  </r>
  <r>
    <x v="1"/>
    <x v="2"/>
    <x v="12"/>
    <x v="1"/>
    <x v="2"/>
    <x v="0"/>
    <n v="19.64"/>
    <n v="18.75"/>
    <n v="0.41"/>
    <n v="17.72"/>
  </r>
  <r>
    <x v="1"/>
    <x v="2"/>
    <x v="12"/>
    <x v="2"/>
    <x v="4"/>
    <x v="0"/>
    <n v="40.729999999999997"/>
    <n v="38.89"/>
    <n v="7.29"/>
    <n v="38.72"/>
  </r>
  <r>
    <x v="1"/>
    <x v="2"/>
    <x v="12"/>
    <x v="2"/>
    <x v="2"/>
    <x v="0"/>
    <n v="3.92"/>
    <n v="3.74"/>
    <n v="0.01"/>
    <n v="3.59"/>
  </r>
  <r>
    <x v="1"/>
    <x v="2"/>
    <x v="12"/>
    <x v="2"/>
    <x v="0"/>
    <x v="0"/>
    <n v="38.75"/>
    <n v="37"/>
    <n v="29.44"/>
    <n v="37.08"/>
  </r>
  <r>
    <x v="1"/>
    <x v="2"/>
    <x v="12"/>
    <x v="3"/>
    <x v="0"/>
    <x v="0"/>
    <n v="1.07"/>
    <n v="1.02"/>
    <n v="0.93"/>
    <n v="1.05"/>
  </r>
  <r>
    <x v="1"/>
    <x v="2"/>
    <x v="12"/>
    <x v="0"/>
    <x v="2"/>
    <x v="1"/>
    <n v="0.6"/>
    <n v="0.56999999999999995"/>
    <n v="0"/>
    <n v="0.56000000000000005"/>
  </r>
  <r>
    <x v="1"/>
    <x v="2"/>
    <x v="12"/>
    <x v="1"/>
    <x v="0"/>
    <x v="1"/>
    <n v="28.83"/>
    <n v="27.53"/>
    <n v="1.33"/>
    <n v="28.33"/>
  </r>
  <r>
    <x v="1"/>
    <x v="2"/>
    <x v="12"/>
    <x v="1"/>
    <x v="4"/>
    <x v="1"/>
    <n v="77.7"/>
    <n v="74.19"/>
    <n v="0.4"/>
    <n v="75.36"/>
  </r>
  <r>
    <x v="1"/>
    <x v="2"/>
    <x v="12"/>
    <x v="1"/>
    <x v="1"/>
    <x v="1"/>
    <n v="51.56"/>
    <n v="49.23"/>
    <n v="0.66"/>
    <n v="49.07"/>
  </r>
  <r>
    <x v="1"/>
    <x v="2"/>
    <x v="12"/>
    <x v="1"/>
    <x v="2"/>
    <x v="1"/>
    <n v="96.44"/>
    <n v="92.08"/>
    <n v="0.47"/>
    <n v="89.69"/>
  </r>
  <r>
    <x v="1"/>
    <x v="2"/>
    <x v="12"/>
    <x v="1"/>
    <x v="3"/>
    <x v="1"/>
    <n v="1.48"/>
    <n v="1.42"/>
    <n v="0.01"/>
    <n v="1.34"/>
  </r>
  <r>
    <x v="1"/>
    <x v="2"/>
    <x v="12"/>
    <x v="2"/>
    <x v="4"/>
    <x v="1"/>
    <n v="0.17"/>
    <n v="0.16"/>
    <n v="0"/>
    <n v="0.15"/>
  </r>
  <r>
    <x v="1"/>
    <x v="2"/>
    <x v="12"/>
    <x v="0"/>
    <x v="4"/>
    <x v="1"/>
    <n v="21.7"/>
    <n v="20.72"/>
    <n v="0.49"/>
    <n v="19.57"/>
  </r>
  <r>
    <x v="1"/>
    <x v="2"/>
    <x v="12"/>
    <x v="2"/>
    <x v="3"/>
    <x v="1"/>
    <n v="58.44"/>
    <n v="55.81"/>
    <n v="0.09"/>
    <n v="53.2"/>
  </r>
  <r>
    <x v="1"/>
    <x v="2"/>
    <x v="12"/>
    <x v="0"/>
    <x v="1"/>
    <x v="1"/>
    <n v="2.34"/>
    <n v="2.2400000000000002"/>
    <n v="0.02"/>
    <n v="2.1800000000000002"/>
  </r>
  <r>
    <x v="1"/>
    <x v="2"/>
    <x v="12"/>
    <x v="3"/>
    <x v="4"/>
    <x v="0"/>
    <n v="24.54"/>
    <n v="23.43"/>
    <n v="7.77"/>
    <n v="23.21"/>
  </r>
  <r>
    <x v="1"/>
    <x v="2"/>
    <x v="12"/>
    <x v="4"/>
    <x v="0"/>
    <x v="0"/>
    <n v="1.44"/>
    <n v="1.37"/>
    <n v="0.33"/>
    <n v="1.34"/>
  </r>
  <r>
    <x v="1"/>
    <x v="2"/>
    <x v="12"/>
    <x v="4"/>
    <x v="4"/>
    <x v="0"/>
    <n v="304.77999999999997"/>
    <n v="291.02"/>
    <n v="41.14"/>
    <n v="289.51"/>
  </r>
  <r>
    <x v="1"/>
    <x v="2"/>
    <x v="12"/>
    <x v="4"/>
    <x v="1"/>
    <x v="0"/>
    <n v="32.89"/>
    <n v="31.41"/>
    <n v="2.0299999999999998"/>
    <n v="31.01"/>
  </r>
  <r>
    <x v="1"/>
    <x v="2"/>
    <x v="12"/>
    <x v="4"/>
    <x v="2"/>
    <x v="0"/>
    <n v="0.23"/>
    <n v="0.22"/>
    <n v="0.02"/>
    <n v="0.23"/>
  </r>
  <r>
    <x v="1"/>
    <x v="2"/>
    <x v="12"/>
    <x v="0"/>
    <x v="0"/>
    <x v="0"/>
    <n v="28.55"/>
    <n v="27.26"/>
    <n v="15.75"/>
    <n v="26.15"/>
  </r>
  <r>
    <x v="1"/>
    <x v="2"/>
    <x v="12"/>
    <x v="1"/>
    <x v="1"/>
    <x v="0"/>
    <n v="148.9"/>
    <n v="142.16999999999999"/>
    <n v="7.56"/>
    <n v="139.65"/>
  </r>
  <r>
    <x v="1"/>
    <x v="2"/>
    <x v="12"/>
    <x v="2"/>
    <x v="1"/>
    <x v="1"/>
    <n v="0.66"/>
    <n v="0.63"/>
    <n v="0"/>
    <n v="0.66"/>
  </r>
  <r>
    <x v="1"/>
    <x v="2"/>
    <x v="12"/>
    <x v="1"/>
    <x v="3"/>
    <x v="2"/>
    <n v="1.88"/>
    <n v="1.8"/>
    <n v="0"/>
    <n v="1.65"/>
  </r>
  <r>
    <x v="1"/>
    <x v="2"/>
    <x v="12"/>
    <x v="1"/>
    <x v="4"/>
    <x v="0"/>
    <n v="542.65"/>
    <n v="518.15"/>
    <n v="113.33"/>
    <n v="509.72"/>
  </r>
  <r>
    <x v="1"/>
    <x v="2"/>
    <x v="12"/>
    <x v="4"/>
    <x v="4"/>
    <x v="2"/>
    <n v="8.2899999999999991"/>
    <n v="7.92"/>
    <n v="0.41"/>
    <n v="7.49"/>
  </r>
  <r>
    <x v="1"/>
    <x v="2"/>
    <x v="12"/>
    <x v="1"/>
    <x v="0"/>
    <x v="0"/>
    <n v="86.29"/>
    <n v="82.39"/>
    <n v="36.68"/>
    <n v="82.64"/>
  </r>
  <r>
    <x v="1"/>
    <x v="2"/>
    <x v="12"/>
    <x v="0"/>
    <x v="4"/>
    <x v="0"/>
    <n v="74.59"/>
    <n v="71.22"/>
    <n v="21.73"/>
    <n v="70.180000000000007"/>
  </r>
  <r>
    <x v="1"/>
    <x v="2"/>
    <x v="12"/>
    <x v="4"/>
    <x v="1"/>
    <x v="2"/>
    <n v="4.67"/>
    <n v="4.46"/>
    <n v="0.13"/>
    <n v="4.1100000000000003"/>
  </r>
  <r>
    <x v="1"/>
    <x v="2"/>
    <x v="12"/>
    <x v="4"/>
    <x v="2"/>
    <x v="2"/>
    <n v="6.18"/>
    <n v="5.9"/>
    <n v="0.04"/>
    <n v="5.44"/>
  </r>
  <r>
    <x v="1"/>
    <x v="2"/>
    <x v="12"/>
    <x v="1"/>
    <x v="4"/>
    <x v="2"/>
    <n v="32.78"/>
    <n v="31.3"/>
    <n v="0.57999999999999996"/>
    <n v="28.63"/>
  </r>
  <r>
    <x v="1"/>
    <x v="2"/>
    <x v="12"/>
    <x v="0"/>
    <x v="3"/>
    <x v="1"/>
    <n v="4.5199999999999996"/>
    <n v="4.32"/>
    <n v="0.01"/>
    <n v="4.24"/>
  </r>
  <r>
    <x v="1"/>
    <x v="2"/>
    <x v="12"/>
    <x v="1"/>
    <x v="2"/>
    <x v="2"/>
    <n v="0.77"/>
    <n v="0.74"/>
    <n v="0"/>
    <n v="0.68"/>
  </r>
  <r>
    <x v="1"/>
    <x v="2"/>
    <x v="12"/>
    <x v="0"/>
    <x v="0"/>
    <x v="1"/>
    <n v="20.07"/>
    <n v="19.170000000000002"/>
    <n v="1.06"/>
    <n v="18.14"/>
  </r>
  <r>
    <x v="1"/>
    <x v="2"/>
    <x v="12"/>
    <x v="2"/>
    <x v="3"/>
    <x v="2"/>
    <n v="21.09"/>
    <n v="20.14"/>
    <n v="0.02"/>
    <n v="19.190000000000001"/>
  </r>
  <r>
    <x v="1"/>
    <x v="2"/>
    <x v="12"/>
    <x v="2"/>
    <x v="4"/>
    <x v="3"/>
    <n v="5.96"/>
    <n v="5.69"/>
    <n v="0"/>
    <n v="5.96"/>
  </r>
  <r>
    <x v="1"/>
    <x v="2"/>
    <x v="12"/>
    <x v="2"/>
    <x v="2"/>
    <x v="3"/>
    <n v="20.329999999999998"/>
    <n v="19.41"/>
    <n v="0.02"/>
    <n v="20.329999999999998"/>
  </r>
  <r>
    <x v="1"/>
    <x v="2"/>
    <x v="12"/>
    <x v="2"/>
    <x v="3"/>
    <x v="3"/>
    <n v="123.65"/>
    <n v="118.06"/>
    <n v="0.09"/>
    <n v="123.65"/>
  </r>
  <r>
    <x v="1"/>
    <x v="2"/>
    <x v="12"/>
    <x v="4"/>
    <x v="0"/>
    <x v="1"/>
    <n v="19.149999999999999"/>
    <n v="18.29"/>
    <n v="0.63"/>
    <n v="18.239999999999998"/>
  </r>
  <r>
    <x v="1"/>
    <x v="2"/>
    <x v="12"/>
    <x v="4"/>
    <x v="4"/>
    <x v="1"/>
    <n v="1.5"/>
    <n v="1.43"/>
    <n v="0.09"/>
    <n v="1.42"/>
  </r>
  <r>
    <x v="1"/>
    <x v="2"/>
    <x v="12"/>
    <x v="4"/>
    <x v="1"/>
    <x v="1"/>
    <n v="0.7"/>
    <n v="0.66"/>
    <n v="0.03"/>
    <n v="0.63"/>
  </r>
  <r>
    <x v="1"/>
    <x v="2"/>
    <x v="12"/>
    <x v="1"/>
    <x v="1"/>
    <x v="2"/>
    <n v="26.44"/>
    <n v="25.25"/>
    <n v="0.02"/>
    <n v="26.16"/>
  </r>
  <r>
    <x v="1"/>
    <x v="2"/>
    <x v="13"/>
    <x v="2"/>
    <x v="0"/>
    <x v="0"/>
    <n v="48.46"/>
    <n v="46.27"/>
    <n v="29.79"/>
    <n v="45.25"/>
  </r>
  <r>
    <x v="1"/>
    <x v="2"/>
    <x v="13"/>
    <x v="2"/>
    <x v="2"/>
    <x v="0"/>
    <n v="5.61"/>
    <n v="5.35"/>
    <n v="0.01"/>
    <n v="5.14"/>
  </r>
  <r>
    <x v="1"/>
    <x v="2"/>
    <x v="13"/>
    <x v="1"/>
    <x v="0"/>
    <x v="0"/>
    <n v="74.86"/>
    <n v="71.48"/>
    <n v="38.229999999999997"/>
    <n v="69.400000000000006"/>
  </r>
  <r>
    <x v="1"/>
    <x v="2"/>
    <x v="13"/>
    <x v="2"/>
    <x v="4"/>
    <x v="0"/>
    <n v="41.54"/>
    <n v="39.67"/>
    <n v="6.53"/>
    <n v="38.92"/>
  </r>
  <r>
    <x v="1"/>
    <x v="2"/>
    <x v="13"/>
    <x v="2"/>
    <x v="3"/>
    <x v="2"/>
    <n v="70.739999999999995"/>
    <n v="67.540000000000006"/>
    <n v="0.06"/>
    <n v="62.23"/>
  </r>
  <r>
    <x v="1"/>
    <x v="2"/>
    <x v="13"/>
    <x v="1"/>
    <x v="1"/>
    <x v="0"/>
    <n v="190.8"/>
    <n v="182.19"/>
    <n v="11.47"/>
    <n v="176.35"/>
  </r>
  <r>
    <x v="1"/>
    <x v="2"/>
    <x v="13"/>
    <x v="0"/>
    <x v="0"/>
    <x v="1"/>
    <n v="22.01"/>
    <n v="21.01"/>
    <n v="1.21"/>
    <n v="19.829999999999998"/>
  </r>
  <r>
    <x v="1"/>
    <x v="2"/>
    <x v="13"/>
    <x v="4"/>
    <x v="1"/>
    <x v="1"/>
    <n v="0.81"/>
    <n v="0.77"/>
    <n v="0.03"/>
    <n v="0.73"/>
  </r>
  <r>
    <x v="1"/>
    <x v="2"/>
    <x v="13"/>
    <x v="4"/>
    <x v="4"/>
    <x v="1"/>
    <n v="1.08"/>
    <n v="1.03"/>
    <n v="7.0000000000000007E-2"/>
    <n v="0.98"/>
  </r>
  <r>
    <x v="1"/>
    <x v="2"/>
    <x v="13"/>
    <x v="4"/>
    <x v="0"/>
    <x v="1"/>
    <n v="11.17"/>
    <n v="10.66"/>
    <n v="0.61"/>
    <n v="10.130000000000001"/>
  </r>
  <r>
    <x v="1"/>
    <x v="2"/>
    <x v="13"/>
    <x v="2"/>
    <x v="3"/>
    <x v="3"/>
    <n v="389.74"/>
    <n v="372.14"/>
    <n v="0.22"/>
    <n v="388.12"/>
  </r>
  <r>
    <x v="1"/>
    <x v="2"/>
    <x v="13"/>
    <x v="2"/>
    <x v="2"/>
    <x v="3"/>
    <n v="45.83"/>
    <n v="43.76"/>
    <n v="0.05"/>
    <n v="45.83"/>
  </r>
  <r>
    <x v="1"/>
    <x v="2"/>
    <x v="13"/>
    <x v="0"/>
    <x v="1"/>
    <x v="1"/>
    <n v="0.93"/>
    <n v="0.88"/>
    <n v="0.01"/>
    <n v="0.83"/>
  </r>
  <r>
    <x v="1"/>
    <x v="2"/>
    <x v="13"/>
    <x v="2"/>
    <x v="4"/>
    <x v="3"/>
    <n v="3.84"/>
    <n v="3.66"/>
    <n v="0"/>
    <n v="3.84"/>
  </r>
  <r>
    <x v="1"/>
    <x v="2"/>
    <x v="13"/>
    <x v="0"/>
    <x v="3"/>
    <x v="1"/>
    <n v="0.7"/>
    <n v="0.67"/>
    <n v="0"/>
    <n v="0.63"/>
  </r>
  <r>
    <x v="1"/>
    <x v="2"/>
    <x v="13"/>
    <x v="2"/>
    <x v="2"/>
    <x v="2"/>
    <n v="0.52"/>
    <n v="0.49"/>
    <n v="0"/>
    <n v="0.52"/>
  </r>
  <r>
    <x v="1"/>
    <x v="2"/>
    <x v="13"/>
    <x v="1"/>
    <x v="3"/>
    <x v="2"/>
    <n v="4.05"/>
    <n v="3.87"/>
    <n v="0.01"/>
    <n v="3.52"/>
  </r>
  <r>
    <x v="1"/>
    <x v="2"/>
    <x v="13"/>
    <x v="1"/>
    <x v="2"/>
    <x v="2"/>
    <n v="1.02"/>
    <n v="0.98"/>
    <n v="0.01"/>
    <n v="0.89"/>
  </r>
  <r>
    <x v="1"/>
    <x v="2"/>
    <x v="13"/>
    <x v="1"/>
    <x v="1"/>
    <x v="2"/>
    <n v="8.8699999999999992"/>
    <n v="8.4700000000000006"/>
    <n v="0.1"/>
    <n v="7.95"/>
  </r>
  <r>
    <x v="1"/>
    <x v="2"/>
    <x v="13"/>
    <x v="1"/>
    <x v="4"/>
    <x v="2"/>
    <n v="12.76"/>
    <n v="12.19"/>
    <n v="0.42"/>
    <n v="11.1"/>
  </r>
  <r>
    <x v="1"/>
    <x v="2"/>
    <x v="13"/>
    <x v="4"/>
    <x v="2"/>
    <x v="2"/>
    <n v="5.24"/>
    <n v="5.01"/>
    <n v="0.04"/>
    <n v="4.5599999999999996"/>
  </r>
  <r>
    <x v="1"/>
    <x v="2"/>
    <x v="13"/>
    <x v="4"/>
    <x v="1"/>
    <x v="2"/>
    <n v="3.95"/>
    <n v="3.77"/>
    <n v="0.12"/>
    <n v="3.43"/>
  </r>
  <r>
    <x v="1"/>
    <x v="2"/>
    <x v="13"/>
    <x v="2"/>
    <x v="1"/>
    <x v="3"/>
    <n v="82.81"/>
    <n v="79.069999999999993"/>
    <n v="0.02"/>
    <n v="81.180000000000007"/>
  </r>
  <r>
    <x v="1"/>
    <x v="2"/>
    <x v="13"/>
    <x v="3"/>
    <x v="0"/>
    <x v="0"/>
    <n v="0.67"/>
    <n v="0.64"/>
    <n v="0.56000000000000005"/>
    <n v="0.66"/>
  </r>
  <r>
    <x v="1"/>
    <x v="2"/>
    <x v="13"/>
    <x v="4"/>
    <x v="4"/>
    <x v="2"/>
    <n v="7.03"/>
    <n v="6.71"/>
    <n v="0.38"/>
    <n v="6.29"/>
  </r>
  <r>
    <x v="1"/>
    <x v="2"/>
    <x v="13"/>
    <x v="1"/>
    <x v="4"/>
    <x v="0"/>
    <n v="760.18"/>
    <n v="725.85"/>
    <n v="184.36"/>
    <n v="702.41"/>
  </r>
  <r>
    <x v="1"/>
    <x v="2"/>
    <x v="13"/>
    <x v="0"/>
    <x v="4"/>
    <x v="0"/>
    <n v="148.80000000000001"/>
    <n v="142.08000000000001"/>
    <n v="40.369999999999997"/>
    <n v="137.80000000000001"/>
  </r>
  <r>
    <x v="1"/>
    <x v="2"/>
    <x v="13"/>
    <x v="0"/>
    <x v="0"/>
    <x v="0"/>
    <n v="76.14"/>
    <n v="72.7"/>
    <n v="36.57"/>
    <n v="69.760000000000005"/>
  </r>
  <r>
    <x v="1"/>
    <x v="2"/>
    <x v="13"/>
    <x v="4"/>
    <x v="1"/>
    <x v="0"/>
    <n v="39.61"/>
    <n v="37.82"/>
    <n v="2.75"/>
    <n v="36.96"/>
  </r>
  <r>
    <x v="1"/>
    <x v="2"/>
    <x v="13"/>
    <x v="4"/>
    <x v="4"/>
    <x v="0"/>
    <n v="406.95"/>
    <n v="388.57"/>
    <n v="57.65"/>
    <n v="380.14"/>
  </r>
  <r>
    <x v="1"/>
    <x v="2"/>
    <x v="13"/>
    <x v="0"/>
    <x v="4"/>
    <x v="1"/>
    <n v="25.41"/>
    <n v="24.27"/>
    <n v="0.59"/>
    <n v="22.9"/>
  </r>
  <r>
    <x v="1"/>
    <x v="2"/>
    <x v="13"/>
    <x v="3"/>
    <x v="4"/>
    <x v="0"/>
    <n v="33.909999999999997"/>
    <n v="32.380000000000003"/>
    <n v="12.82"/>
    <n v="32.14"/>
  </r>
  <r>
    <x v="1"/>
    <x v="2"/>
    <x v="13"/>
    <x v="1"/>
    <x v="2"/>
    <x v="0"/>
    <n v="49.58"/>
    <n v="47.34"/>
    <n v="0.99"/>
    <n v="44.21"/>
  </r>
  <r>
    <x v="1"/>
    <x v="2"/>
    <x v="13"/>
    <x v="2"/>
    <x v="3"/>
    <x v="1"/>
    <n v="81.19"/>
    <n v="77.53"/>
    <n v="0.12"/>
    <n v="74.87"/>
  </r>
  <r>
    <x v="1"/>
    <x v="2"/>
    <x v="13"/>
    <x v="2"/>
    <x v="2"/>
    <x v="1"/>
    <n v="2.0499999999999998"/>
    <n v="1.96"/>
    <n v="0.02"/>
    <n v="2.0499999999999998"/>
  </r>
  <r>
    <x v="1"/>
    <x v="2"/>
    <x v="13"/>
    <x v="2"/>
    <x v="4"/>
    <x v="1"/>
    <n v="0.21"/>
    <n v="0.2"/>
    <n v="0"/>
    <n v="0.18"/>
  </r>
  <r>
    <x v="1"/>
    <x v="2"/>
    <x v="13"/>
    <x v="1"/>
    <x v="3"/>
    <x v="1"/>
    <n v="6.09"/>
    <n v="5.82"/>
    <n v="0.04"/>
    <n v="5.54"/>
  </r>
  <r>
    <x v="1"/>
    <x v="2"/>
    <x v="13"/>
    <x v="1"/>
    <x v="2"/>
    <x v="1"/>
    <n v="134.65"/>
    <n v="128.57"/>
    <n v="0.89"/>
    <n v="126.81"/>
  </r>
  <r>
    <x v="1"/>
    <x v="2"/>
    <x v="13"/>
    <x v="1"/>
    <x v="1"/>
    <x v="1"/>
    <n v="50.34"/>
    <n v="48.06"/>
    <n v="0.82"/>
    <n v="47.28"/>
  </r>
  <r>
    <x v="1"/>
    <x v="2"/>
    <x v="13"/>
    <x v="1"/>
    <x v="4"/>
    <x v="1"/>
    <n v="13.2"/>
    <n v="12.6"/>
    <n v="0.44"/>
    <n v="13.05"/>
  </r>
  <r>
    <x v="1"/>
    <x v="2"/>
    <x v="13"/>
    <x v="1"/>
    <x v="0"/>
    <x v="1"/>
    <n v="34.700000000000003"/>
    <n v="33.130000000000003"/>
    <n v="1.97"/>
    <n v="33.35"/>
  </r>
  <r>
    <x v="1"/>
    <x v="2"/>
    <x v="13"/>
    <x v="4"/>
    <x v="0"/>
    <x v="0"/>
    <n v="1.76"/>
    <n v="1.68"/>
    <n v="0.37"/>
    <n v="1.64"/>
  </r>
  <r>
    <x v="1"/>
    <x v="2"/>
    <x v="14"/>
    <x v="2"/>
    <x v="2"/>
    <x v="3"/>
    <n v="0.31"/>
    <n v="0.28999999999999998"/>
    <n v="0"/>
    <n v="0.31"/>
  </r>
  <r>
    <x v="1"/>
    <x v="2"/>
    <x v="14"/>
    <x v="4"/>
    <x v="1"/>
    <x v="1"/>
    <n v="0.02"/>
    <n v="0.02"/>
    <n v="0"/>
    <n v="0.02"/>
  </r>
  <r>
    <x v="1"/>
    <x v="2"/>
    <x v="14"/>
    <x v="4"/>
    <x v="0"/>
    <x v="1"/>
    <n v="0.32"/>
    <n v="0.3"/>
    <n v="0.02"/>
    <n v="0.3"/>
  </r>
  <r>
    <x v="1"/>
    <x v="2"/>
    <x v="14"/>
    <x v="1"/>
    <x v="4"/>
    <x v="1"/>
    <n v="1.86"/>
    <n v="1.78"/>
    <n v="0.06"/>
    <n v="1.86"/>
  </r>
  <r>
    <x v="1"/>
    <x v="2"/>
    <x v="14"/>
    <x v="1"/>
    <x v="0"/>
    <x v="1"/>
    <n v="0.6"/>
    <n v="0.56999999999999995"/>
    <n v="0.04"/>
    <n v="0.56000000000000005"/>
  </r>
  <r>
    <x v="1"/>
    <x v="2"/>
    <x v="14"/>
    <x v="0"/>
    <x v="3"/>
    <x v="1"/>
    <n v="0.02"/>
    <n v="0.02"/>
    <n v="0"/>
    <n v="0.02"/>
  </r>
  <r>
    <x v="1"/>
    <x v="2"/>
    <x v="14"/>
    <x v="0"/>
    <x v="1"/>
    <x v="1"/>
    <n v="0.01"/>
    <n v="0.01"/>
    <n v="0"/>
    <n v="0.01"/>
  </r>
  <r>
    <x v="1"/>
    <x v="2"/>
    <x v="14"/>
    <x v="4"/>
    <x v="1"/>
    <x v="2"/>
    <n v="0.04"/>
    <n v="0.04"/>
    <n v="0"/>
    <n v="0.03"/>
  </r>
  <r>
    <x v="1"/>
    <x v="2"/>
    <x v="14"/>
    <x v="0"/>
    <x v="0"/>
    <x v="1"/>
    <n v="0.48"/>
    <n v="0.46"/>
    <n v="0.03"/>
    <n v="0.43"/>
  </r>
  <r>
    <x v="1"/>
    <x v="2"/>
    <x v="14"/>
    <x v="1"/>
    <x v="3"/>
    <x v="1"/>
    <n v="0.03"/>
    <n v="0.02"/>
    <n v="0"/>
    <n v="0.02"/>
  </r>
  <r>
    <x v="1"/>
    <x v="2"/>
    <x v="14"/>
    <x v="4"/>
    <x v="4"/>
    <x v="1"/>
    <n v="0.02"/>
    <n v="0.02"/>
    <n v="0"/>
    <n v="0.02"/>
  </r>
  <r>
    <x v="1"/>
    <x v="2"/>
    <x v="14"/>
    <x v="2"/>
    <x v="3"/>
    <x v="3"/>
    <n v="1.84"/>
    <n v="1.76"/>
    <n v="0"/>
    <n v="1.84"/>
  </r>
  <r>
    <x v="1"/>
    <x v="2"/>
    <x v="14"/>
    <x v="2"/>
    <x v="3"/>
    <x v="2"/>
    <n v="1.45"/>
    <n v="1.38"/>
    <n v="0"/>
    <n v="1.29"/>
  </r>
  <r>
    <x v="1"/>
    <x v="2"/>
    <x v="14"/>
    <x v="1"/>
    <x v="3"/>
    <x v="2"/>
    <n v="0.52"/>
    <n v="0.5"/>
    <n v="0.01"/>
    <n v="0.46"/>
  </r>
  <r>
    <x v="1"/>
    <x v="2"/>
    <x v="14"/>
    <x v="1"/>
    <x v="1"/>
    <x v="2"/>
    <n v="2.27"/>
    <n v="2.16"/>
    <n v="0.01"/>
    <n v="1.97"/>
  </r>
  <r>
    <x v="1"/>
    <x v="2"/>
    <x v="14"/>
    <x v="1"/>
    <x v="4"/>
    <x v="0"/>
    <n v="22.46"/>
    <n v="21.45"/>
    <n v="6.1"/>
    <n v="20.79"/>
  </r>
  <r>
    <x v="1"/>
    <x v="2"/>
    <x v="14"/>
    <x v="0"/>
    <x v="4"/>
    <x v="1"/>
    <n v="0.49"/>
    <n v="0.47"/>
    <n v="0.01"/>
    <n v="0.44"/>
  </r>
  <r>
    <x v="1"/>
    <x v="2"/>
    <x v="14"/>
    <x v="4"/>
    <x v="4"/>
    <x v="0"/>
    <n v="10.5"/>
    <n v="10.02"/>
    <n v="1.64"/>
    <n v="9.75"/>
  </r>
  <r>
    <x v="1"/>
    <x v="2"/>
    <x v="14"/>
    <x v="1"/>
    <x v="1"/>
    <x v="0"/>
    <n v="5.0999999999999996"/>
    <n v="4.87"/>
    <n v="0.4"/>
    <n v="4.71"/>
  </r>
  <r>
    <x v="1"/>
    <x v="2"/>
    <x v="14"/>
    <x v="1"/>
    <x v="2"/>
    <x v="0"/>
    <n v="0.11"/>
    <n v="0.1"/>
    <n v="0"/>
    <n v="0.09"/>
  </r>
  <r>
    <x v="1"/>
    <x v="2"/>
    <x v="14"/>
    <x v="2"/>
    <x v="0"/>
    <x v="0"/>
    <n v="1.1599999999999999"/>
    <n v="1.1100000000000001"/>
    <n v="0.8"/>
    <n v="1.1000000000000001"/>
  </r>
  <r>
    <x v="1"/>
    <x v="2"/>
    <x v="14"/>
    <x v="2"/>
    <x v="4"/>
    <x v="0"/>
    <n v="1.06"/>
    <n v="1.02"/>
    <n v="0.28000000000000003"/>
    <n v="1"/>
  </r>
  <r>
    <x v="1"/>
    <x v="2"/>
    <x v="14"/>
    <x v="1"/>
    <x v="0"/>
    <x v="0"/>
    <n v="2.58"/>
    <n v="2.46"/>
    <n v="1.38"/>
    <n v="2.42"/>
  </r>
  <r>
    <x v="1"/>
    <x v="2"/>
    <x v="14"/>
    <x v="0"/>
    <x v="4"/>
    <x v="0"/>
    <n v="4.8899999999999997"/>
    <n v="4.67"/>
    <n v="1.57"/>
    <n v="4.59"/>
  </r>
  <r>
    <x v="1"/>
    <x v="2"/>
    <x v="14"/>
    <x v="1"/>
    <x v="1"/>
    <x v="1"/>
    <n v="2.5499999999999998"/>
    <n v="2.44"/>
    <n v="0.05"/>
    <n v="2.48"/>
  </r>
  <r>
    <x v="1"/>
    <x v="2"/>
    <x v="14"/>
    <x v="4"/>
    <x v="1"/>
    <x v="0"/>
    <n v="0.96"/>
    <n v="0.92"/>
    <n v="7.0000000000000007E-2"/>
    <n v="0.9"/>
  </r>
  <r>
    <x v="1"/>
    <x v="2"/>
    <x v="14"/>
    <x v="1"/>
    <x v="2"/>
    <x v="1"/>
    <n v="1.88"/>
    <n v="1.8"/>
    <n v="0.01"/>
    <n v="1.73"/>
  </r>
  <r>
    <x v="1"/>
    <x v="2"/>
    <x v="14"/>
    <x v="4"/>
    <x v="0"/>
    <x v="0"/>
    <n v="7.0000000000000007E-2"/>
    <n v="0.06"/>
    <n v="0.02"/>
    <n v="0.06"/>
  </r>
  <r>
    <x v="1"/>
    <x v="2"/>
    <x v="14"/>
    <x v="3"/>
    <x v="4"/>
    <x v="0"/>
    <n v="0.81"/>
    <n v="0.78"/>
    <n v="0.12"/>
    <n v="0.75"/>
  </r>
  <r>
    <x v="1"/>
    <x v="2"/>
    <x v="14"/>
    <x v="3"/>
    <x v="0"/>
    <x v="0"/>
    <n v="0.03"/>
    <n v="0.03"/>
    <n v="0.02"/>
    <n v="0.03"/>
  </r>
  <r>
    <x v="1"/>
    <x v="2"/>
    <x v="14"/>
    <x v="2"/>
    <x v="3"/>
    <x v="1"/>
    <n v="1.45"/>
    <n v="1.38"/>
    <n v="0"/>
    <n v="1.31"/>
  </r>
  <r>
    <x v="1"/>
    <x v="2"/>
    <x v="14"/>
    <x v="2"/>
    <x v="4"/>
    <x v="1"/>
    <n v="0"/>
    <n v="0"/>
    <n v="0"/>
    <n v="0"/>
  </r>
  <r>
    <x v="1"/>
    <x v="2"/>
    <x v="14"/>
    <x v="4"/>
    <x v="4"/>
    <x v="2"/>
    <n v="7.0000000000000007E-2"/>
    <n v="7.0000000000000007E-2"/>
    <n v="0"/>
    <n v="7.0000000000000007E-2"/>
  </r>
  <r>
    <x v="1"/>
    <x v="2"/>
    <x v="14"/>
    <x v="0"/>
    <x v="0"/>
    <x v="0"/>
    <n v="2.39"/>
    <n v="2.2799999999999998"/>
    <n v="1.26"/>
    <n v="2.1800000000000002"/>
  </r>
  <r>
    <x v="1"/>
    <x v="2"/>
    <x v="14"/>
    <x v="1"/>
    <x v="4"/>
    <x v="2"/>
    <n v="1.5"/>
    <n v="1.43"/>
    <n v="0.01"/>
    <n v="1.31"/>
  </r>
  <r>
    <x v="1"/>
    <x v="4"/>
    <x v="15"/>
    <x v="0"/>
    <x v="4"/>
    <x v="1"/>
    <n v="1.55"/>
    <n v="1.56"/>
    <n v="0.01"/>
    <n v="1.3"/>
  </r>
  <r>
    <x v="1"/>
    <x v="4"/>
    <x v="15"/>
    <x v="0"/>
    <x v="0"/>
    <x v="1"/>
    <n v="1.57"/>
    <n v="1.58"/>
    <n v="7.0000000000000007E-2"/>
    <n v="1.32"/>
  </r>
  <r>
    <x v="1"/>
    <x v="4"/>
    <x v="15"/>
    <x v="4"/>
    <x v="1"/>
    <x v="1"/>
    <n v="0.13"/>
    <n v="0.13"/>
    <n v="0"/>
    <n v="0.11"/>
  </r>
  <r>
    <x v="1"/>
    <x v="4"/>
    <x v="15"/>
    <x v="4"/>
    <x v="4"/>
    <x v="1"/>
    <n v="0.03"/>
    <n v="0.03"/>
    <n v="0"/>
    <n v="0.02"/>
  </r>
  <r>
    <x v="1"/>
    <x v="4"/>
    <x v="15"/>
    <x v="4"/>
    <x v="0"/>
    <x v="1"/>
    <n v="0.67"/>
    <n v="0.67"/>
    <n v="0.03"/>
    <n v="0.56000000000000005"/>
  </r>
  <r>
    <x v="1"/>
    <x v="4"/>
    <x v="15"/>
    <x v="2"/>
    <x v="3"/>
    <x v="3"/>
    <n v="0.93"/>
    <n v="0.94"/>
    <n v="0"/>
    <n v="0.93"/>
  </r>
  <r>
    <x v="1"/>
    <x v="4"/>
    <x v="15"/>
    <x v="2"/>
    <x v="2"/>
    <x v="3"/>
    <n v="3.02"/>
    <n v="3.03"/>
    <n v="0"/>
    <n v="3.02"/>
  </r>
  <r>
    <x v="1"/>
    <x v="4"/>
    <x v="15"/>
    <x v="2"/>
    <x v="2"/>
    <x v="2"/>
    <n v="0.19"/>
    <n v="0.19"/>
    <n v="0"/>
    <n v="0.16"/>
  </r>
  <r>
    <x v="1"/>
    <x v="4"/>
    <x v="15"/>
    <x v="1"/>
    <x v="3"/>
    <x v="2"/>
    <n v="0.65"/>
    <n v="0.65"/>
    <n v="0"/>
    <n v="0.53"/>
  </r>
  <r>
    <x v="1"/>
    <x v="4"/>
    <x v="15"/>
    <x v="4"/>
    <x v="4"/>
    <x v="2"/>
    <n v="1.36"/>
    <n v="1.36"/>
    <n v="0.04"/>
    <n v="1.1399999999999999"/>
  </r>
  <r>
    <x v="1"/>
    <x v="4"/>
    <x v="15"/>
    <x v="1"/>
    <x v="1"/>
    <x v="2"/>
    <n v="1.63"/>
    <n v="1.63"/>
    <n v="0.02"/>
    <n v="1.32"/>
  </r>
  <r>
    <x v="1"/>
    <x v="4"/>
    <x v="15"/>
    <x v="1"/>
    <x v="4"/>
    <x v="2"/>
    <n v="3.46"/>
    <n v="3.47"/>
    <n v="0.09"/>
    <n v="2.81"/>
  </r>
  <r>
    <x v="1"/>
    <x v="4"/>
    <x v="15"/>
    <x v="4"/>
    <x v="1"/>
    <x v="2"/>
    <n v="0.78"/>
    <n v="0.78"/>
    <n v="0.02"/>
    <n v="0.64"/>
  </r>
  <r>
    <x v="1"/>
    <x v="4"/>
    <x v="15"/>
    <x v="2"/>
    <x v="0"/>
    <x v="0"/>
    <n v="7.48"/>
    <n v="7.51"/>
    <n v="6.39"/>
    <n v="6.88"/>
  </r>
  <r>
    <x v="1"/>
    <x v="4"/>
    <x v="15"/>
    <x v="1"/>
    <x v="0"/>
    <x v="1"/>
    <n v="5.79"/>
    <n v="5.81"/>
    <n v="0.37"/>
    <n v="4.97"/>
  </r>
  <r>
    <x v="1"/>
    <x v="4"/>
    <x v="15"/>
    <x v="1"/>
    <x v="2"/>
    <x v="2"/>
    <n v="0.41"/>
    <n v="0.41"/>
    <n v="0"/>
    <n v="0.33"/>
  </r>
  <r>
    <x v="1"/>
    <x v="4"/>
    <x v="15"/>
    <x v="4"/>
    <x v="4"/>
    <x v="0"/>
    <n v="34.36"/>
    <n v="34.49"/>
    <n v="6.49"/>
    <n v="30.3"/>
  </r>
  <r>
    <x v="1"/>
    <x v="4"/>
    <x v="15"/>
    <x v="1"/>
    <x v="2"/>
    <x v="0"/>
    <n v="2.3199999999999998"/>
    <n v="2.33"/>
    <n v="0.09"/>
    <n v="1.99"/>
  </r>
  <r>
    <x v="1"/>
    <x v="4"/>
    <x v="15"/>
    <x v="1"/>
    <x v="4"/>
    <x v="0"/>
    <n v="98.94"/>
    <n v="99.28"/>
    <n v="27.62"/>
    <n v="90.38"/>
  </r>
  <r>
    <x v="1"/>
    <x v="4"/>
    <x v="15"/>
    <x v="1"/>
    <x v="0"/>
    <x v="0"/>
    <n v="7.66"/>
    <n v="7.68"/>
    <n v="5.3"/>
    <n v="6.95"/>
  </r>
  <r>
    <x v="1"/>
    <x v="4"/>
    <x v="15"/>
    <x v="0"/>
    <x v="2"/>
    <x v="0"/>
    <n v="0.03"/>
    <n v="0.03"/>
    <n v="0"/>
    <n v="0.03"/>
  </r>
  <r>
    <x v="1"/>
    <x v="4"/>
    <x v="15"/>
    <x v="0"/>
    <x v="4"/>
    <x v="0"/>
    <n v="6.18"/>
    <n v="6.2"/>
    <n v="1.08"/>
    <n v="6"/>
  </r>
  <r>
    <x v="1"/>
    <x v="4"/>
    <x v="15"/>
    <x v="0"/>
    <x v="0"/>
    <x v="0"/>
    <n v="4.68"/>
    <n v="4.7"/>
    <n v="1.95"/>
    <n v="4.22"/>
  </r>
  <r>
    <x v="1"/>
    <x v="4"/>
    <x v="15"/>
    <x v="1"/>
    <x v="1"/>
    <x v="0"/>
    <n v="30.36"/>
    <n v="30.47"/>
    <n v="1.94"/>
    <n v="26.75"/>
  </r>
  <r>
    <x v="1"/>
    <x v="4"/>
    <x v="15"/>
    <x v="2"/>
    <x v="4"/>
    <x v="0"/>
    <n v="5.77"/>
    <n v="5.79"/>
    <n v="2.82"/>
    <n v="5.09"/>
  </r>
  <r>
    <x v="1"/>
    <x v="4"/>
    <x v="15"/>
    <x v="1"/>
    <x v="4"/>
    <x v="1"/>
    <n v="0.54"/>
    <n v="0.54"/>
    <n v="0.03"/>
    <n v="0.47"/>
  </r>
  <r>
    <x v="1"/>
    <x v="4"/>
    <x v="15"/>
    <x v="4"/>
    <x v="0"/>
    <x v="0"/>
    <n v="0.42"/>
    <n v="0.42"/>
    <n v="0.01"/>
    <n v="0.35"/>
  </r>
  <r>
    <x v="1"/>
    <x v="4"/>
    <x v="15"/>
    <x v="3"/>
    <x v="1"/>
    <x v="0"/>
    <n v="0.14000000000000001"/>
    <n v="0.14000000000000001"/>
    <n v="0.02"/>
    <n v="0.14000000000000001"/>
  </r>
  <r>
    <x v="1"/>
    <x v="4"/>
    <x v="15"/>
    <x v="3"/>
    <x v="4"/>
    <x v="0"/>
    <n v="25.42"/>
    <n v="25.51"/>
    <n v="2.82"/>
    <n v="21.84"/>
  </r>
  <r>
    <x v="1"/>
    <x v="4"/>
    <x v="15"/>
    <x v="2"/>
    <x v="3"/>
    <x v="1"/>
    <n v="13.26"/>
    <n v="13.31"/>
    <n v="0.03"/>
    <n v="11.22"/>
  </r>
  <r>
    <x v="1"/>
    <x v="4"/>
    <x v="15"/>
    <x v="1"/>
    <x v="3"/>
    <x v="1"/>
    <n v="3.28"/>
    <n v="3.29"/>
    <n v="0.01"/>
    <n v="2.73"/>
  </r>
  <r>
    <x v="1"/>
    <x v="4"/>
    <x v="15"/>
    <x v="1"/>
    <x v="2"/>
    <x v="1"/>
    <n v="45.77"/>
    <n v="45.93"/>
    <n v="0.19"/>
    <n v="39.08"/>
  </r>
  <r>
    <x v="1"/>
    <x v="4"/>
    <x v="15"/>
    <x v="1"/>
    <x v="1"/>
    <x v="1"/>
    <n v="9.7100000000000009"/>
    <n v="9.74"/>
    <n v="0.08"/>
    <n v="8.34"/>
  </r>
  <r>
    <x v="1"/>
    <x v="4"/>
    <x v="15"/>
    <x v="4"/>
    <x v="1"/>
    <x v="0"/>
    <n v="4.05"/>
    <n v="4.07"/>
    <n v="0.27"/>
    <n v="3.49"/>
  </r>
  <r>
    <x v="1"/>
    <x v="5"/>
    <x v="16"/>
    <x v="4"/>
    <x v="0"/>
    <x v="1"/>
    <n v="0.8"/>
    <n v="0.72"/>
    <n v="0.04"/>
    <n v="0.75"/>
  </r>
  <r>
    <x v="1"/>
    <x v="5"/>
    <x v="16"/>
    <x v="4"/>
    <x v="4"/>
    <x v="1"/>
    <n v="0.06"/>
    <n v="0.05"/>
    <n v="0"/>
    <n v="0.05"/>
  </r>
  <r>
    <x v="1"/>
    <x v="5"/>
    <x v="16"/>
    <x v="4"/>
    <x v="1"/>
    <x v="1"/>
    <n v="0.04"/>
    <n v="0.04"/>
    <n v="0"/>
    <n v="0.04"/>
  </r>
  <r>
    <x v="1"/>
    <x v="5"/>
    <x v="16"/>
    <x v="1"/>
    <x v="4"/>
    <x v="1"/>
    <n v="3.26"/>
    <n v="2.94"/>
    <n v="0.11"/>
    <n v="3.26"/>
  </r>
  <r>
    <x v="1"/>
    <x v="5"/>
    <x v="16"/>
    <x v="1"/>
    <x v="0"/>
    <x v="1"/>
    <n v="2.99"/>
    <n v="2.69"/>
    <n v="0.15"/>
    <n v="2.96"/>
  </r>
  <r>
    <x v="1"/>
    <x v="5"/>
    <x v="16"/>
    <x v="0"/>
    <x v="3"/>
    <x v="1"/>
    <n v="0.02"/>
    <n v="0.02"/>
    <n v="0"/>
    <n v="0.02"/>
  </r>
  <r>
    <x v="1"/>
    <x v="5"/>
    <x v="16"/>
    <x v="0"/>
    <x v="1"/>
    <x v="1"/>
    <n v="0.06"/>
    <n v="0.06"/>
    <n v="0"/>
    <n v="0.06"/>
  </r>
  <r>
    <x v="1"/>
    <x v="5"/>
    <x v="16"/>
    <x v="1"/>
    <x v="2"/>
    <x v="1"/>
    <n v="5.8"/>
    <n v="5.22"/>
    <n v="0.03"/>
    <n v="5.47"/>
  </r>
  <r>
    <x v="1"/>
    <x v="5"/>
    <x v="16"/>
    <x v="0"/>
    <x v="0"/>
    <x v="1"/>
    <n v="1.1200000000000001"/>
    <n v="1"/>
    <n v="0.06"/>
    <n v="1.03"/>
  </r>
  <r>
    <x v="1"/>
    <x v="5"/>
    <x v="16"/>
    <x v="1"/>
    <x v="3"/>
    <x v="1"/>
    <n v="0.12"/>
    <n v="0.11"/>
    <n v="0"/>
    <n v="0.11"/>
  </r>
  <r>
    <x v="1"/>
    <x v="5"/>
    <x v="16"/>
    <x v="2"/>
    <x v="3"/>
    <x v="2"/>
    <n v="1.56"/>
    <n v="1.41"/>
    <n v="0"/>
    <n v="1.39"/>
  </r>
  <r>
    <x v="1"/>
    <x v="5"/>
    <x v="16"/>
    <x v="2"/>
    <x v="2"/>
    <x v="2"/>
    <n v="0.34"/>
    <n v="0.31"/>
    <n v="0"/>
    <n v="0.34"/>
  </r>
  <r>
    <x v="1"/>
    <x v="5"/>
    <x v="16"/>
    <x v="1"/>
    <x v="4"/>
    <x v="2"/>
    <n v="2.37"/>
    <n v="2.13"/>
    <n v="0.01"/>
    <n v="2.11"/>
  </r>
  <r>
    <x v="1"/>
    <x v="5"/>
    <x v="16"/>
    <x v="4"/>
    <x v="2"/>
    <x v="2"/>
    <n v="0.35"/>
    <n v="0.32"/>
    <n v="0"/>
    <n v="0.31"/>
  </r>
  <r>
    <x v="1"/>
    <x v="5"/>
    <x v="16"/>
    <x v="4"/>
    <x v="1"/>
    <x v="2"/>
    <n v="0.37"/>
    <n v="0.34"/>
    <n v="0.01"/>
    <n v="0.32"/>
  </r>
  <r>
    <x v="1"/>
    <x v="5"/>
    <x v="16"/>
    <x v="4"/>
    <x v="4"/>
    <x v="2"/>
    <n v="0.57999999999999996"/>
    <n v="0.53"/>
    <n v="0.03"/>
    <n v="0.51"/>
  </r>
  <r>
    <x v="1"/>
    <x v="5"/>
    <x v="16"/>
    <x v="0"/>
    <x v="4"/>
    <x v="1"/>
    <n v="1.42"/>
    <n v="1.27"/>
    <n v="0.03"/>
    <n v="1.3"/>
  </r>
  <r>
    <x v="1"/>
    <x v="5"/>
    <x v="16"/>
    <x v="4"/>
    <x v="1"/>
    <x v="0"/>
    <n v="2.73"/>
    <n v="2.46"/>
    <n v="0.21"/>
    <n v="2.64"/>
  </r>
  <r>
    <x v="1"/>
    <x v="5"/>
    <x v="16"/>
    <x v="2"/>
    <x v="0"/>
    <x v="0"/>
    <n v="4.0599999999999996"/>
    <n v="3.65"/>
    <n v="1.8"/>
    <n v="3.79"/>
  </r>
  <r>
    <x v="1"/>
    <x v="5"/>
    <x v="16"/>
    <x v="1"/>
    <x v="2"/>
    <x v="0"/>
    <n v="0.21"/>
    <n v="0.18"/>
    <n v="0.01"/>
    <n v="0.18"/>
  </r>
  <r>
    <x v="1"/>
    <x v="5"/>
    <x v="16"/>
    <x v="1"/>
    <x v="1"/>
    <x v="0"/>
    <n v="9.5500000000000007"/>
    <n v="8.6"/>
    <n v="0.71"/>
    <n v="8.76"/>
  </r>
  <r>
    <x v="1"/>
    <x v="5"/>
    <x v="16"/>
    <x v="1"/>
    <x v="4"/>
    <x v="0"/>
    <n v="36.68"/>
    <n v="33.01"/>
    <n v="11.74"/>
    <n v="33.74"/>
  </r>
  <r>
    <x v="1"/>
    <x v="5"/>
    <x v="16"/>
    <x v="1"/>
    <x v="0"/>
    <x v="0"/>
    <n v="3.93"/>
    <n v="3.53"/>
    <n v="2.0099999999999998"/>
    <n v="3.65"/>
  </r>
  <r>
    <x v="1"/>
    <x v="5"/>
    <x v="16"/>
    <x v="1"/>
    <x v="1"/>
    <x v="1"/>
    <n v="3.47"/>
    <n v="3.13"/>
    <n v="0.06"/>
    <n v="3.36"/>
  </r>
  <r>
    <x v="1"/>
    <x v="5"/>
    <x v="16"/>
    <x v="0"/>
    <x v="0"/>
    <x v="0"/>
    <n v="2.63"/>
    <n v="2.36"/>
    <n v="1.43"/>
    <n v="2.39"/>
  </r>
  <r>
    <x v="1"/>
    <x v="5"/>
    <x v="16"/>
    <x v="2"/>
    <x v="4"/>
    <x v="0"/>
    <n v="1.62"/>
    <n v="1.46"/>
    <n v="0.42"/>
    <n v="1.53"/>
  </r>
  <r>
    <x v="1"/>
    <x v="5"/>
    <x v="16"/>
    <x v="4"/>
    <x v="4"/>
    <x v="0"/>
    <n v="15.28"/>
    <n v="13.75"/>
    <n v="1.96"/>
    <n v="14.44"/>
  </r>
  <r>
    <x v="1"/>
    <x v="5"/>
    <x v="16"/>
    <x v="4"/>
    <x v="0"/>
    <x v="0"/>
    <n v="0.09"/>
    <n v="0.08"/>
    <n v="0.02"/>
    <n v="0.09"/>
  </r>
  <r>
    <x v="1"/>
    <x v="5"/>
    <x v="16"/>
    <x v="3"/>
    <x v="4"/>
    <x v="0"/>
    <n v="1.26"/>
    <n v="1.1399999999999999"/>
    <n v="0.17"/>
    <n v="1.1599999999999999"/>
  </r>
  <r>
    <x v="1"/>
    <x v="5"/>
    <x v="16"/>
    <x v="3"/>
    <x v="0"/>
    <x v="0"/>
    <n v="0.03"/>
    <n v="0.02"/>
    <n v="0.02"/>
    <n v="0.03"/>
  </r>
  <r>
    <x v="1"/>
    <x v="5"/>
    <x v="16"/>
    <x v="2"/>
    <x v="3"/>
    <x v="1"/>
    <n v="4.4800000000000004"/>
    <n v="4.03"/>
    <n v="0.01"/>
    <n v="4.2699999999999996"/>
  </r>
  <r>
    <x v="1"/>
    <x v="5"/>
    <x v="16"/>
    <x v="2"/>
    <x v="4"/>
    <x v="1"/>
    <n v="0.01"/>
    <n v="0.01"/>
    <n v="0"/>
    <n v="0.01"/>
  </r>
  <r>
    <x v="1"/>
    <x v="5"/>
    <x v="16"/>
    <x v="0"/>
    <x v="4"/>
    <x v="0"/>
    <n v="5.69"/>
    <n v="5.12"/>
    <n v="1.86"/>
    <n v="5.28"/>
  </r>
  <r>
    <x v="1"/>
    <x v="6"/>
    <x v="17"/>
    <x v="4"/>
    <x v="0"/>
    <x v="1"/>
    <n v="1.78"/>
    <n v="1.42"/>
    <n v="0.09"/>
    <n v="1.52"/>
  </r>
  <r>
    <x v="1"/>
    <x v="6"/>
    <x v="17"/>
    <x v="1"/>
    <x v="1"/>
    <x v="1"/>
    <n v="23.84"/>
    <n v="18.989999999999998"/>
    <n v="0.26"/>
    <n v="20.55"/>
  </r>
  <r>
    <x v="1"/>
    <x v="6"/>
    <x v="17"/>
    <x v="1"/>
    <x v="4"/>
    <x v="1"/>
    <n v="10.69"/>
    <n v="8.51"/>
    <n v="0.4"/>
    <n v="9.27"/>
  </r>
  <r>
    <x v="1"/>
    <x v="6"/>
    <x v="17"/>
    <x v="1"/>
    <x v="0"/>
    <x v="1"/>
    <n v="12.38"/>
    <n v="9.86"/>
    <n v="0.91"/>
    <n v="10.7"/>
  </r>
  <r>
    <x v="1"/>
    <x v="6"/>
    <x v="17"/>
    <x v="0"/>
    <x v="1"/>
    <x v="1"/>
    <n v="2.19"/>
    <n v="1.74"/>
    <n v="0.05"/>
    <n v="1.87"/>
  </r>
  <r>
    <x v="1"/>
    <x v="6"/>
    <x v="17"/>
    <x v="0"/>
    <x v="4"/>
    <x v="1"/>
    <n v="7.62"/>
    <n v="6.07"/>
    <n v="7.0000000000000007E-2"/>
    <n v="6.51"/>
  </r>
  <r>
    <x v="1"/>
    <x v="6"/>
    <x v="17"/>
    <x v="0"/>
    <x v="0"/>
    <x v="1"/>
    <n v="2.4700000000000002"/>
    <n v="1.97"/>
    <n v="0.11"/>
    <n v="2.11"/>
  </r>
  <r>
    <x v="1"/>
    <x v="6"/>
    <x v="17"/>
    <x v="4"/>
    <x v="4"/>
    <x v="1"/>
    <n v="0.05"/>
    <n v="0.04"/>
    <n v="0"/>
    <n v="0.04"/>
  </r>
  <r>
    <x v="1"/>
    <x v="6"/>
    <x v="17"/>
    <x v="2"/>
    <x v="4"/>
    <x v="1"/>
    <n v="2.87"/>
    <n v="2.2799999999999998"/>
    <n v="0.01"/>
    <n v="2.87"/>
  </r>
  <r>
    <x v="1"/>
    <x v="6"/>
    <x v="17"/>
    <x v="2"/>
    <x v="2"/>
    <x v="3"/>
    <n v="4.2300000000000004"/>
    <n v="3.37"/>
    <n v="0"/>
    <n v="3.48"/>
  </r>
  <r>
    <x v="1"/>
    <x v="6"/>
    <x v="17"/>
    <x v="2"/>
    <x v="3"/>
    <x v="2"/>
    <n v="45.13"/>
    <n v="35.94"/>
    <n v="0.04"/>
    <n v="22.57"/>
  </r>
  <r>
    <x v="1"/>
    <x v="6"/>
    <x v="17"/>
    <x v="1"/>
    <x v="3"/>
    <x v="2"/>
    <n v="7.55"/>
    <n v="6.02"/>
    <n v="0.03"/>
    <n v="7.55"/>
  </r>
  <r>
    <x v="1"/>
    <x v="6"/>
    <x v="17"/>
    <x v="1"/>
    <x v="2"/>
    <x v="2"/>
    <n v="2.95"/>
    <n v="2.35"/>
    <n v="0.02"/>
    <n v="2.95"/>
  </r>
  <r>
    <x v="1"/>
    <x v="6"/>
    <x v="17"/>
    <x v="1"/>
    <x v="1"/>
    <x v="2"/>
    <n v="1.36"/>
    <n v="1.08"/>
    <n v="0.03"/>
    <n v="1.36"/>
  </r>
  <r>
    <x v="1"/>
    <x v="6"/>
    <x v="17"/>
    <x v="1"/>
    <x v="4"/>
    <x v="2"/>
    <n v="19.829999999999998"/>
    <n v="15.79"/>
    <n v="0.75"/>
    <n v="17.25"/>
  </r>
  <r>
    <x v="1"/>
    <x v="6"/>
    <x v="17"/>
    <x v="4"/>
    <x v="1"/>
    <x v="2"/>
    <n v="0.68"/>
    <n v="0.55000000000000004"/>
    <n v="0.01"/>
    <n v="0.6"/>
  </r>
  <r>
    <x v="1"/>
    <x v="6"/>
    <x v="17"/>
    <x v="4"/>
    <x v="1"/>
    <x v="1"/>
    <n v="0.18"/>
    <n v="0.14000000000000001"/>
    <n v="0"/>
    <n v="0.16"/>
  </r>
  <r>
    <x v="1"/>
    <x v="6"/>
    <x v="17"/>
    <x v="4"/>
    <x v="4"/>
    <x v="0"/>
    <n v="81.14"/>
    <n v="64.61"/>
    <n v="16.96"/>
    <n v="73.709999999999994"/>
  </r>
  <r>
    <x v="1"/>
    <x v="6"/>
    <x v="17"/>
    <x v="2"/>
    <x v="0"/>
    <x v="0"/>
    <n v="13.52"/>
    <n v="10.77"/>
    <n v="11.71"/>
    <n v="13.13"/>
  </r>
  <r>
    <x v="1"/>
    <x v="6"/>
    <x v="17"/>
    <x v="1"/>
    <x v="2"/>
    <x v="0"/>
    <n v="13.26"/>
    <n v="10.55"/>
    <n v="0.45"/>
    <n v="11.52"/>
  </r>
  <r>
    <x v="1"/>
    <x v="6"/>
    <x v="17"/>
    <x v="1"/>
    <x v="1"/>
    <x v="0"/>
    <n v="77.86"/>
    <n v="61.99"/>
    <n v="4.57"/>
    <n v="69.45"/>
  </r>
  <r>
    <x v="1"/>
    <x v="6"/>
    <x v="17"/>
    <x v="1"/>
    <x v="4"/>
    <x v="0"/>
    <n v="157.91999999999999"/>
    <n v="125.75"/>
    <n v="49.26"/>
    <n v="145.22999999999999"/>
  </r>
  <r>
    <x v="1"/>
    <x v="6"/>
    <x v="17"/>
    <x v="1"/>
    <x v="0"/>
    <x v="0"/>
    <n v="10.65"/>
    <n v="8.48"/>
    <n v="7.63"/>
    <n v="9.94"/>
  </r>
  <r>
    <x v="1"/>
    <x v="6"/>
    <x v="17"/>
    <x v="0"/>
    <x v="4"/>
    <x v="0"/>
    <n v="75.2"/>
    <n v="59.88"/>
    <n v="19.05"/>
    <n v="74.010000000000005"/>
  </r>
  <r>
    <x v="1"/>
    <x v="6"/>
    <x v="17"/>
    <x v="1"/>
    <x v="2"/>
    <x v="1"/>
    <n v="63.03"/>
    <n v="50.19"/>
    <n v="0.23"/>
    <n v="53.93"/>
  </r>
  <r>
    <x v="1"/>
    <x v="6"/>
    <x v="17"/>
    <x v="4"/>
    <x v="1"/>
    <x v="0"/>
    <n v="14.85"/>
    <n v="11.82"/>
    <n v="0.99"/>
    <n v="13.3"/>
  </r>
  <r>
    <x v="1"/>
    <x v="6"/>
    <x v="17"/>
    <x v="1"/>
    <x v="3"/>
    <x v="1"/>
    <n v="9.7100000000000009"/>
    <n v="7.73"/>
    <n v="0.01"/>
    <n v="8.3000000000000007"/>
  </r>
  <r>
    <x v="1"/>
    <x v="6"/>
    <x v="17"/>
    <x v="4"/>
    <x v="0"/>
    <x v="0"/>
    <n v="2.61"/>
    <n v="2.0699999999999998"/>
    <n v="1.64"/>
    <n v="2.46"/>
  </r>
  <r>
    <x v="1"/>
    <x v="6"/>
    <x v="17"/>
    <x v="3"/>
    <x v="1"/>
    <x v="0"/>
    <n v="0.1"/>
    <n v="0.08"/>
    <n v="0.01"/>
    <n v="0.1"/>
  </r>
  <r>
    <x v="1"/>
    <x v="6"/>
    <x v="17"/>
    <x v="3"/>
    <x v="4"/>
    <x v="0"/>
    <n v="5.26"/>
    <n v="4.1900000000000004"/>
    <n v="0.69"/>
    <n v="4.7300000000000004"/>
  </r>
  <r>
    <x v="1"/>
    <x v="6"/>
    <x v="17"/>
    <x v="2"/>
    <x v="3"/>
    <x v="1"/>
    <n v="18.25"/>
    <n v="14.53"/>
    <n v="0.06"/>
    <n v="16.61"/>
  </r>
  <r>
    <x v="1"/>
    <x v="6"/>
    <x v="17"/>
    <x v="4"/>
    <x v="4"/>
    <x v="2"/>
    <n v="16.03"/>
    <n v="12.77"/>
    <n v="0.66"/>
    <n v="13.94"/>
  </r>
  <r>
    <x v="1"/>
    <x v="6"/>
    <x v="17"/>
    <x v="2"/>
    <x v="4"/>
    <x v="0"/>
    <n v="21.8"/>
    <n v="17.36"/>
    <n v="9.39"/>
    <n v="20.47"/>
  </r>
  <r>
    <x v="1"/>
    <x v="6"/>
    <x v="17"/>
    <x v="0"/>
    <x v="0"/>
    <x v="0"/>
    <n v="24.19"/>
    <n v="19.260000000000002"/>
    <n v="11.87"/>
    <n v="21.37"/>
  </r>
  <r>
    <x v="1"/>
    <x v="6"/>
    <x v="18"/>
    <x v="1"/>
    <x v="2"/>
    <x v="2"/>
    <n v="2.65"/>
    <n v="2.2200000000000002"/>
    <n v="0.01"/>
    <n v="2.21"/>
  </r>
  <r>
    <x v="1"/>
    <x v="6"/>
    <x v="18"/>
    <x v="2"/>
    <x v="3"/>
    <x v="1"/>
    <n v="7.93"/>
    <n v="6.65"/>
    <n v="0.02"/>
    <n v="7.19"/>
  </r>
  <r>
    <x v="1"/>
    <x v="6"/>
    <x v="18"/>
    <x v="2"/>
    <x v="4"/>
    <x v="1"/>
    <n v="0.44"/>
    <n v="0.36"/>
    <n v="0"/>
    <n v="0.44"/>
  </r>
  <r>
    <x v="1"/>
    <x v="6"/>
    <x v="18"/>
    <x v="4"/>
    <x v="4"/>
    <x v="2"/>
    <n v="3.32"/>
    <n v="2.78"/>
    <n v="0.14000000000000001"/>
    <n v="2.76"/>
  </r>
  <r>
    <x v="1"/>
    <x v="6"/>
    <x v="18"/>
    <x v="4"/>
    <x v="1"/>
    <x v="2"/>
    <n v="6.67"/>
    <n v="5.59"/>
    <n v="0.12"/>
    <n v="5.56"/>
  </r>
  <r>
    <x v="1"/>
    <x v="6"/>
    <x v="18"/>
    <x v="1"/>
    <x v="1"/>
    <x v="2"/>
    <n v="0.98"/>
    <n v="0.82"/>
    <n v="0.02"/>
    <n v="0.81"/>
  </r>
  <r>
    <x v="1"/>
    <x v="6"/>
    <x v="18"/>
    <x v="1"/>
    <x v="3"/>
    <x v="2"/>
    <n v="0.99"/>
    <n v="0.83"/>
    <n v="0"/>
    <n v="0.82"/>
  </r>
  <r>
    <x v="1"/>
    <x v="6"/>
    <x v="18"/>
    <x v="2"/>
    <x v="3"/>
    <x v="2"/>
    <n v="18.23"/>
    <n v="15.3"/>
    <n v="0.02"/>
    <n v="7.6"/>
  </r>
  <r>
    <x v="1"/>
    <x v="6"/>
    <x v="18"/>
    <x v="2"/>
    <x v="2"/>
    <x v="3"/>
    <n v="1.92"/>
    <n v="1.61"/>
    <n v="0"/>
    <n v="1.54"/>
  </r>
  <r>
    <x v="1"/>
    <x v="6"/>
    <x v="18"/>
    <x v="4"/>
    <x v="0"/>
    <x v="1"/>
    <n v="0.32"/>
    <n v="0.27"/>
    <n v="0.02"/>
    <n v="0.27"/>
  </r>
  <r>
    <x v="1"/>
    <x v="6"/>
    <x v="18"/>
    <x v="0"/>
    <x v="0"/>
    <x v="1"/>
    <n v="2.4500000000000002"/>
    <n v="2.06"/>
    <n v="0.1"/>
    <n v="2.13"/>
  </r>
  <r>
    <x v="1"/>
    <x v="6"/>
    <x v="18"/>
    <x v="0"/>
    <x v="4"/>
    <x v="1"/>
    <n v="4.38"/>
    <n v="3.67"/>
    <n v="0.06"/>
    <n v="3.81"/>
  </r>
  <r>
    <x v="1"/>
    <x v="6"/>
    <x v="18"/>
    <x v="0"/>
    <x v="1"/>
    <x v="1"/>
    <n v="1.97"/>
    <n v="1.65"/>
    <n v="0.04"/>
    <n v="1.69"/>
  </r>
  <r>
    <x v="1"/>
    <x v="6"/>
    <x v="18"/>
    <x v="1"/>
    <x v="0"/>
    <x v="1"/>
    <n v="1.61"/>
    <n v="1.35"/>
    <n v="0.14000000000000001"/>
    <n v="1.33"/>
  </r>
  <r>
    <x v="1"/>
    <x v="6"/>
    <x v="18"/>
    <x v="1"/>
    <x v="4"/>
    <x v="1"/>
    <n v="1.06"/>
    <n v="0.89"/>
    <n v="0.04"/>
    <n v="0.86"/>
  </r>
  <r>
    <x v="1"/>
    <x v="6"/>
    <x v="18"/>
    <x v="3"/>
    <x v="4"/>
    <x v="0"/>
    <n v="0.03"/>
    <n v="0.02"/>
    <n v="0"/>
    <n v="0.02"/>
  </r>
  <r>
    <x v="1"/>
    <x v="6"/>
    <x v="18"/>
    <x v="1"/>
    <x v="2"/>
    <x v="1"/>
    <n v="18.440000000000001"/>
    <n v="15.47"/>
    <n v="7.0000000000000007E-2"/>
    <n v="15.92"/>
  </r>
  <r>
    <x v="1"/>
    <x v="6"/>
    <x v="18"/>
    <x v="2"/>
    <x v="4"/>
    <x v="0"/>
    <n v="10"/>
    <n v="8.39"/>
    <n v="4.93"/>
    <n v="8.66"/>
  </r>
  <r>
    <x v="1"/>
    <x v="6"/>
    <x v="18"/>
    <x v="3"/>
    <x v="0"/>
    <x v="0"/>
    <n v="0.16"/>
    <n v="0.13"/>
    <n v="7.0000000000000007E-2"/>
    <n v="0.15"/>
  </r>
  <r>
    <x v="1"/>
    <x v="6"/>
    <x v="18"/>
    <x v="3"/>
    <x v="1"/>
    <x v="0"/>
    <n v="0.03"/>
    <n v="0.02"/>
    <n v="0"/>
    <n v="0.02"/>
  </r>
  <r>
    <x v="1"/>
    <x v="6"/>
    <x v="18"/>
    <x v="4"/>
    <x v="0"/>
    <x v="0"/>
    <n v="0.09"/>
    <n v="0.08"/>
    <n v="0.04"/>
    <n v="0.08"/>
  </r>
  <r>
    <x v="1"/>
    <x v="6"/>
    <x v="18"/>
    <x v="4"/>
    <x v="4"/>
    <x v="0"/>
    <n v="19.16"/>
    <n v="16.07"/>
    <n v="3.95"/>
    <n v="16.12"/>
  </r>
  <r>
    <x v="1"/>
    <x v="6"/>
    <x v="18"/>
    <x v="4"/>
    <x v="1"/>
    <x v="0"/>
    <n v="1.22"/>
    <n v="1.02"/>
    <n v="0.08"/>
    <n v="1.01"/>
  </r>
  <r>
    <x v="1"/>
    <x v="6"/>
    <x v="18"/>
    <x v="0"/>
    <x v="0"/>
    <x v="0"/>
    <n v="6.58"/>
    <n v="5.52"/>
    <n v="3.65"/>
    <n v="5.56"/>
  </r>
  <r>
    <x v="1"/>
    <x v="6"/>
    <x v="18"/>
    <x v="0"/>
    <x v="4"/>
    <x v="0"/>
    <n v="9.66"/>
    <n v="8.11"/>
    <n v="5.08"/>
    <n v="8.16"/>
  </r>
  <r>
    <x v="1"/>
    <x v="6"/>
    <x v="18"/>
    <x v="0"/>
    <x v="2"/>
    <x v="0"/>
    <n v="0.44"/>
    <n v="0.37"/>
    <n v="0.01"/>
    <n v="0.44"/>
  </r>
  <r>
    <x v="1"/>
    <x v="6"/>
    <x v="18"/>
    <x v="1"/>
    <x v="0"/>
    <x v="0"/>
    <n v="2.5499999999999998"/>
    <n v="2.14"/>
    <n v="1.75"/>
    <n v="2.21"/>
  </r>
  <r>
    <x v="1"/>
    <x v="6"/>
    <x v="18"/>
    <x v="1"/>
    <x v="4"/>
    <x v="0"/>
    <n v="52.87"/>
    <n v="44.36"/>
    <n v="15.36"/>
    <n v="44.8"/>
  </r>
  <r>
    <x v="1"/>
    <x v="6"/>
    <x v="18"/>
    <x v="1"/>
    <x v="1"/>
    <x v="0"/>
    <n v="21.96"/>
    <n v="18.420000000000002"/>
    <n v="1.27"/>
    <n v="18.47"/>
  </r>
  <r>
    <x v="1"/>
    <x v="6"/>
    <x v="18"/>
    <x v="1"/>
    <x v="2"/>
    <x v="0"/>
    <n v="2.97"/>
    <n v="2.4900000000000002"/>
    <n v="0.11"/>
    <n v="2.42"/>
  </r>
  <r>
    <x v="1"/>
    <x v="6"/>
    <x v="18"/>
    <x v="2"/>
    <x v="0"/>
    <x v="0"/>
    <n v="8.14"/>
    <n v="6.83"/>
    <n v="7.02"/>
    <n v="6.91"/>
  </r>
  <r>
    <x v="1"/>
    <x v="6"/>
    <x v="18"/>
    <x v="1"/>
    <x v="1"/>
    <x v="1"/>
    <n v="10.93"/>
    <n v="9.17"/>
    <n v="7.0000000000000007E-2"/>
    <n v="9.4700000000000006"/>
  </r>
  <r>
    <x v="1"/>
    <x v="6"/>
    <x v="18"/>
    <x v="1"/>
    <x v="4"/>
    <x v="2"/>
    <n v="0.93"/>
    <n v="0.78"/>
    <n v="0.03"/>
    <n v="0.78"/>
  </r>
  <r>
    <x v="1"/>
    <x v="2"/>
    <x v="19"/>
    <x v="0"/>
    <x v="0"/>
    <x v="0"/>
    <n v="9.2200000000000006"/>
    <n v="8.8000000000000007"/>
    <n v="4.8899999999999997"/>
    <n v="8.36"/>
  </r>
  <r>
    <x v="1"/>
    <x v="2"/>
    <x v="19"/>
    <x v="1"/>
    <x v="3"/>
    <x v="1"/>
    <n v="0.56000000000000005"/>
    <n v="0.53"/>
    <n v="0.01"/>
    <n v="0.49"/>
  </r>
  <r>
    <x v="1"/>
    <x v="2"/>
    <x v="19"/>
    <x v="2"/>
    <x v="4"/>
    <x v="1"/>
    <n v="0"/>
    <n v="0"/>
    <n v="0"/>
    <n v="0"/>
  </r>
  <r>
    <x v="1"/>
    <x v="2"/>
    <x v="19"/>
    <x v="3"/>
    <x v="0"/>
    <x v="0"/>
    <n v="0.65"/>
    <n v="0.62"/>
    <n v="0.53"/>
    <n v="0.64"/>
  </r>
  <r>
    <x v="1"/>
    <x v="2"/>
    <x v="19"/>
    <x v="1"/>
    <x v="0"/>
    <x v="0"/>
    <n v="12.46"/>
    <n v="11.89"/>
    <n v="7.55"/>
    <n v="11.92"/>
  </r>
  <r>
    <x v="1"/>
    <x v="2"/>
    <x v="19"/>
    <x v="1"/>
    <x v="2"/>
    <x v="1"/>
    <n v="5.35"/>
    <n v="5.1100000000000003"/>
    <n v="0.06"/>
    <n v="5.23"/>
  </r>
  <r>
    <x v="1"/>
    <x v="2"/>
    <x v="19"/>
    <x v="4"/>
    <x v="0"/>
    <x v="0"/>
    <n v="0.05"/>
    <n v="0.05"/>
    <n v="0.02"/>
    <n v="0.05"/>
  </r>
  <r>
    <x v="1"/>
    <x v="2"/>
    <x v="19"/>
    <x v="4"/>
    <x v="4"/>
    <x v="2"/>
    <n v="1.46"/>
    <n v="1.39"/>
    <n v="0.14000000000000001"/>
    <n v="1.3"/>
  </r>
  <r>
    <x v="1"/>
    <x v="2"/>
    <x v="19"/>
    <x v="4"/>
    <x v="1"/>
    <x v="0"/>
    <n v="5.71"/>
    <n v="5.45"/>
    <n v="0.42"/>
    <n v="5.35"/>
  </r>
  <r>
    <x v="1"/>
    <x v="2"/>
    <x v="19"/>
    <x v="2"/>
    <x v="3"/>
    <x v="1"/>
    <n v="1.33"/>
    <n v="1.27"/>
    <n v="0"/>
    <n v="1.25"/>
  </r>
  <r>
    <x v="1"/>
    <x v="2"/>
    <x v="19"/>
    <x v="0"/>
    <x v="4"/>
    <x v="0"/>
    <n v="28.99"/>
    <n v="27.68"/>
    <n v="8.0500000000000007"/>
    <n v="27.36"/>
  </r>
  <r>
    <x v="1"/>
    <x v="2"/>
    <x v="19"/>
    <x v="2"/>
    <x v="4"/>
    <x v="0"/>
    <n v="7.48"/>
    <n v="7.15"/>
    <n v="1.95"/>
    <n v="7.29"/>
  </r>
  <r>
    <x v="1"/>
    <x v="2"/>
    <x v="19"/>
    <x v="2"/>
    <x v="0"/>
    <x v="0"/>
    <n v="5.64"/>
    <n v="5.39"/>
    <n v="4.12"/>
    <n v="5.49"/>
  </r>
  <r>
    <x v="1"/>
    <x v="2"/>
    <x v="19"/>
    <x v="1"/>
    <x v="2"/>
    <x v="0"/>
    <n v="0.4"/>
    <n v="0.38"/>
    <n v="0.01"/>
    <n v="0.35"/>
  </r>
  <r>
    <x v="1"/>
    <x v="2"/>
    <x v="19"/>
    <x v="1"/>
    <x v="1"/>
    <x v="0"/>
    <n v="28.5"/>
    <n v="27.21"/>
    <n v="1.72"/>
    <n v="26.96"/>
  </r>
  <r>
    <x v="1"/>
    <x v="2"/>
    <x v="19"/>
    <x v="1"/>
    <x v="4"/>
    <x v="0"/>
    <n v="107.64"/>
    <n v="102.78"/>
    <n v="25.21"/>
    <n v="102.33"/>
  </r>
  <r>
    <x v="1"/>
    <x v="2"/>
    <x v="19"/>
    <x v="4"/>
    <x v="4"/>
    <x v="0"/>
    <n v="47.85"/>
    <n v="45.69"/>
    <n v="7.52"/>
    <n v="44.41"/>
  </r>
  <r>
    <x v="1"/>
    <x v="2"/>
    <x v="19"/>
    <x v="0"/>
    <x v="3"/>
    <x v="1"/>
    <n v="0.01"/>
    <n v="0.01"/>
    <n v="0"/>
    <n v="0.01"/>
  </r>
  <r>
    <x v="1"/>
    <x v="2"/>
    <x v="19"/>
    <x v="4"/>
    <x v="4"/>
    <x v="1"/>
    <n v="7.0000000000000007E-2"/>
    <n v="0.06"/>
    <n v="0"/>
    <n v="0.06"/>
  </r>
  <r>
    <x v="1"/>
    <x v="2"/>
    <x v="19"/>
    <x v="4"/>
    <x v="0"/>
    <x v="1"/>
    <n v="0.73"/>
    <n v="0.7"/>
    <n v="0.03"/>
    <n v="0.72"/>
  </r>
  <r>
    <x v="1"/>
    <x v="2"/>
    <x v="19"/>
    <x v="3"/>
    <x v="4"/>
    <x v="0"/>
    <n v="4.1100000000000003"/>
    <n v="3.93"/>
    <n v="0.7"/>
    <n v="3.87"/>
  </r>
  <r>
    <x v="1"/>
    <x v="2"/>
    <x v="19"/>
    <x v="0"/>
    <x v="0"/>
    <x v="1"/>
    <n v="0.34"/>
    <n v="0.32"/>
    <n v="0.02"/>
    <n v="0.3"/>
  </r>
  <r>
    <x v="1"/>
    <x v="2"/>
    <x v="19"/>
    <x v="4"/>
    <x v="1"/>
    <x v="2"/>
    <n v="1.1200000000000001"/>
    <n v="1.07"/>
    <n v="0.05"/>
    <n v="0.97"/>
  </r>
  <r>
    <x v="1"/>
    <x v="2"/>
    <x v="19"/>
    <x v="0"/>
    <x v="4"/>
    <x v="1"/>
    <n v="0.38"/>
    <n v="0.36"/>
    <n v="0.01"/>
    <n v="0.34"/>
  </r>
  <r>
    <x v="1"/>
    <x v="2"/>
    <x v="19"/>
    <x v="4"/>
    <x v="1"/>
    <x v="1"/>
    <n v="0.01"/>
    <n v="0.01"/>
    <n v="0"/>
    <n v="0.01"/>
  </r>
  <r>
    <x v="1"/>
    <x v="2"/>
    <x v="19"/>
    <x v="2"/>
    <x v="3"/>
    <x v="3"/>
    <n v="6.03"/>
    <n v="5.75"/>
    <n v="0.01"/>
    <n v="6.03"/>
  </r>
  <r>
    <x v="1"/>
    <x v="2"/>
    <x v="19"/>
    <x v="1"/>
    <x v="0"/>
    <x v="1"/>
    <n v="1.1299999999999999"/>
    <n v="1.08"/>
    <n v="0.08"/>
    <n v="1.1200000000000001"/>
  </r>
  <r>
    <x v="1"/>
    <x v="2"/>
    <x v="19"/>
    <x v="1"/>
    <x v="4"/>
    <x v="1"/>
    <n v="2.5499999999999998"/>
    <n v="2.44"/>
    <n v="0.09"/>
    <n v="2.54"/>
  </r>
  <r>
    <x v="1"/>
    <x v="2"/>
    <x v="19"/>
    <x v="2"/>
    <x v="2"/>
    <x v="3"/>
    <n v="0.56999999999999995"/>
    <n v="0.54"/>
    <n v="0"/>
    <n v="0.56999999999999995"/>
  </r>
  <r>
    <x v="1"/>
    <x v="2"/>
    <x v="19"/>
    <x v="1"/>
    <x v="1"/>
    <x v="2"/>
    <n v="0.8"/>
    <n v="0.76"/>
    <n v="0"/>
    <n v="0.71"/>
  </r>
  <r>
    <x v="1"/>
    <x v="2"/>
    <x v="19"/>
    <x v="1"/>
    <x v="1"/>
    <x v="1"/>
    <n v="1.57"/>
    <n v="1.5"/>
    <n v="0.03"/>
    <n v="1.53"/>
  </r>
  <r>
    <x v="1"/>
    <x v="2"/>
    <x v="19"/>
    <x v="1"/>
    <x v="4"/>
    <x v="2"/>
    <n v="4.13"/>
    <n v="3.95"/>
    <n v="0.02"/>
    <n v="3.59"/>
  </r>
  <r>
    <x v="1"/>
    <x v="2"/>
    <x v="19"/>
    <x v="4"/>
    <x v="2"/>
    <x v="2"/>
    <n v="1.24"/>
    <n v="1.19"/>
    <n v="0.01"/>
    <n v="1.08"/>
  </r>
  <r>
    <x v="1"/>
    <x v="2"/>
    <x v="19"/>
    <x v="0"/>
    <x v="1"/>
    <x v="1"/>
    <n v="0.01"/>
    <n v="0.01"/>
    <n v="0"/>
    <n v="0.01"/>
  </r>
  <r>
    <x v="1"/>
    <x v="7"/>
    <x v="20"/>
    <x v="1"/>
    <x v="1"/>
    <x v="1"/>
    <n v="2.4900000000000002"/>
    <n v="2.46"/>
    <n v="0.06"/>
    <n v="2.4"/>
  </r>
  <r>
    <x v="1"/>
    <x v="7"/>
    <x v="20"/>
    <x v="1"/>
    <x v="2"/>
    <x v="1"/>
    <n v="4.5999999999999996"/>
    <n v="4.5599999999999996"/>
    <n v="0.08"/>
    <n v="4.3899999999999997"/>
  </r>
  <r>
    <x v="1"/>
    <x v="7"/>
    <x v="20"/>
    <x v="1"/>
    <x v="4"/>
    <x v="1"/>
    <n v="1.82"/>
    <n v="1.81"/>
    <n v="0.09"/>
    <n v="1.77"/>
  </r>
  <r>
    <x v="1"/>
    <x v="7"/>
    <x v="20"/>
    <x v="1"/>
    <x v="0"/>
    <x v="1"/>
    <n v="5.89"/>
    <n v="5.84"/>
    <n v="0.57999999999999996"/>
    <n v="5.59"/>
  </r>
  <r>
    <x v="1"/>
    <x v="7"/>
    <x v="20"/>
    <x v="0"/>
    <x v="1"/>
    <x v="1"/>
    <n v="0.02"/>
    <n v="0.02"/>
    <n v="0"/>
    <n v="0.02"/>
  </r>
  <r>
    <x v="1"/>
    <x v="7"/>
    <x v="20"/>
    <x v="0"/>
    <x v="4"/>
    <x v="1"/>
    <n v="0.86"/>
    <n v="0.85"/>
    <n v="0.02"/>
    <n v="0.79"/>
  </r>
  <r>
    <x v="1"/>
    <x v="7"/>
    <x v="20"/>
    <x v="0"/>
    <x v="0"/>
    <x v="1"/>
    <n v="0.86"/>
    <n v="0.85"/>
    <n v="0.05"/>
    <n v="0.79"/>
  </r>
  <r>
    <x v="1"/>
    <x v="7"/>
    <x v="20"/>
    <x v="1"/>
    <x v="4"/>
    <x v="0"/>
    <n v="95.39"/>
    <n v="94.56"/>
    <n v="24.15"/>
    <n v="88.53"/>
  </r>
  <r>
    <x v="1"/>
    <x v="7"/>
    <x v="20"/>
    <x v="1"/>
    <x v="3"/>
    <x v="1"/>
    <n v="0.04"/>
    <n v="0.03"/>
    <n v="0"/>
    <n v="0.03"/>
  </r>
  <r>
    <x v="1"/>
    <x v="7"/>
    <x v="20"/>
    <x v="2"/>
    <x v="4"/>
    <x v="1"/>
    <n v="0.01"/>
    <n v="0.01"/>
    <n v="0"/>
    <n v="0.01"/>
  </r>
  <r>
    <x v="1"/>
    <x v="7"/>
    <x v="20"/>
    <x v="3"/>
    <x v="0"/>
    <x v="0"/>
    <n v="0.18"/>
    <n v="0.18"/>
    <n v="0.15"/>
    <n v="0.18"/>
  </r>
  <r>
    <x v="1"/>
    <x v="7"/>
    <x v="20"/>
    <x v="3"/>
    <x v="4"/>
    <x v="0"/>
    <n v="3.66"/>
    <n v="3.63"/>
    <n v="0.76"/>
    <n v="3.4"/>
  </r>
  <r>
    <x v="1"/>
    <x v="7"/>
    <x v="20"/>
    <x v="4"/>
    <x v="0"/>
    <x v="0"/>
    <n v="0.65"/>
    <n v="0.64"/>
    <n v="0.14000000000000001"/>
    <n v="0.61"/>
  </r>
  <r>
    <x v="1"/>
    <x v="7"/>
    <x v="20"/>
    <x v="4"/>
    <x v="4"/>
    <x v="0"/>
    <n v="75.52"/>
    <n v="74.87"/>
    <n v="11.69"/>
    <n v="69.680000000000007"/>
  </r>
  <r>
    <x v="1"/>
    <x v="7"/>
    <x v="20"/>
    <x v="4"/>
    <x v="1"/>
    <x v="0"/>
    <n v="10.199999999999999"/>
    <n v="10.11"/>
    <n v="0.7"/>
    <n v="9.4700000000000006"/>
  </r>
  <r>
    <x v="1"/>
    <x v="7"/>
    <x v="20"/>
    <x v="0"/>
    <x v="0"/>
    <x v="0"/>
    <n v="4.45"/>
    <n v="4.41"/>
    <n v="2.41"/>
    <n v="4.03"/>
  </r>
  <r>
    <x v="1"/>
    <x v="7"/>
    <x v="20"/>
    <x v="4"/>
    <x v="1"/>
    <x v="1"/>
    <n v="0.03"/>
    <n v="0.03"/>
    <n v="0"/>
    <n v="0.03"/>
  </r>
  <r>
    <x v="1"/>
    <x v="7"/>
    <x v="20"/>
    <x v="1"/>
    <x v="0"/>
    <x v="0"/>
    <n v="8.6199999999999992"/>
    <n v="8.5399999999999991"/>
    <n v="4.7300000000000004"/>
    <n v="8.07"/>
  </r>
  <r>
    <x v="1"/>
    <x v="7"/>
    <x v="20"/>
    <x v="1"/>
    <x v="4"/>
    <x v="2"/>
    <n v="2.54"/>
    <n v="2.52"/>
    <n v="0.06"/>
    <n v="2.23"/>
  </r>
  <r>
    <x v="1"/>
    <x v="7"/>
    <x v="20"/>
    <x v="1"/>
    <x v="1"/>
    <x v="0"/>
    <n v="25.96"/>
    <n v="25.73"/>
    <n v="1.79"/>
    <n v="24.05"/>
  </r>
  <r>
    <x v="1"/>
    <x v="7"/>
    <x v="20"/>
    <x v="1"/>
    <x v="2"/>
    <x v="0"/>
    <n v="0.96"/>
    <n v="0.95"/>
    <n v="0.04"/>
    <n v="0.84"/>
  </r>
  <r>
    <x v="1"/>
    <x v="7"/>
    <x v="20"/>
    <x v="2"/>
    <x v="0"/>
    <x v="0"/>
    <n v="4.26"/>
    <n v="4.22"/>
    <n v="2.75"/>
    <n v="4.0199999999999996"/>
  </r>
  <r>
    <x v="1"/>
    <x v="7"/>
    <x v="20"/>
    <x v="2"/>
    <x v="4"/>
    <x v="0"/>
    <n v="6.78"/>
    <n v="6.72"/>
    <n v="1.78"/>
    <n v="6.37"/>
  </r>
  <r>
    <x v="1"/>
    <x v="7"/>
    <x v="20"/>
    <x v="0"/>
    <x v="4"/>
    <x v="0"/>
    <n v="10.78"/>
    <n v="10.69"/>
    <n v="3.32"/>
    <n v="10.06"/>
  </r>
  <r>
    <x v="1"/>
    <x v="7"/>
    <x v="20"/>
    <x v="4"/>
    <x v="1"/>
    <x v="2"/>
    <n v="0.97"/>
    <n v="0.96"/>
    <n v="0.03"/>
    <n v="0.84"/>
  </r>
  <r>
    <x v="1"/>
    <x v="7"/>
    <x v="20"/>
    <x v="4"/>
    <x v="4"/>
    <x v="1"/>
    <n v="0.05"/>
    <n v="0.05"/>
    <n v="0.01"/>
    <n v="0.05"/>
  </r>
  <r>
    <x v="1"/>
    <x v="7"/>
    <x v="20"/>
    <x v="2"/>
    <x v="2"/>
    <x v="2"/>
    <n v="0.15"/>
    <n v="0.15"/>
    <n v="0"/>
    <n v="0.15"/>
  </r>
  <r>
    <x v="1"/>
    <x v="7"/>
    <x v="20"/>
    <x v="4"/>
    <x v="4"/>
    <x v="2"/>
    <n v="1.34"/>
    <n v="1.33"/>
    <n v="0.08"/>
    <n v="1.19"/>
  </r>
  <r>
    <x v="1"/>
    <x v="7"/>
    <x v="20"/>
    <x v="4"/>
    <x v="2"/>
    <x v="2"/>
    <n v="1.29"/>
    <n v="1.28"/>
    <n v="0.01"/>
    <n v="1.1200000000000001"/>
  </r>
  <r>
    <x v="1"/>
    <x v="7"/>
    <x v="20"/>
    <x v="1"/>
    <x v="1"/>
    <x v="2"/>
    <n v="2.12"/>
    <n v="2.1"/>
    <n v="0.01"/>
    <n v="1.88"/>
  </r>
  <r>
    <x v="1"/>
    <x v="7"/>
    <x v="20"/>
    <x v="2"/>
    <x v="3"/>
    <x v="2"/>
    <n v="0.76"/>
    <n v="0.75"/>
    <n v="0"/>
    <n v="0.76"/>
  </r>
  <r>
    <x v="1"/>
    <x v="7"/>
    <x v="20"/>
    <x v="2"/>
    <x v="2"/>
    <x v="3"/>
    <n v="1.4"/>
    <n v="1.38"/>
    <n v="0"/>
    <n v="1.4"/>
  </r>
  <r>
    <x v="1"/>
    <x v="7"/>
    <x v="20"/>
    <x v="2"/>
    <x v="3"/>
    <x v="3"/>
    <n v="0.09"/>
    <n v="0.09"/>
    <n v="0"/>
    <n v="0.09"/>
  </r>
  <r>
    <x v="1"/>
    <x v="7"/>
    <x v="20"/>
    <x v="4"/>
    <x v="0"/>
    <x v="1"/>
    <n v="0.59"/>
    <n v="0.59"/>
    <n v="0.03"/>
    <n v="0.56000000000000005"/>
  </r>
  <r>
    <x v="1"/>
    <x v="2"/>
    <x v="21"/>
    <x v="2"/>
    <x v="4"/>
    <x v="1"/>
    <n v="7.0000000000000007E-2"/>
    <n v="7.0000000000000007E-2"/>
    <n v="0"/>
    <n v="0.06"/>
  </r>
  <r>
    <x v="1"/>
    <x v="2"/>
    <x v="21"/>
    <x v="1"/>
    <x v="4"/>
    <x v="0"/>
    <n v="254.8"/>
    <n v="243.3"/>
    <n v="64.48"/>
    <n v="234.46"/>
  </r>
  <r>
    <x v="1"/>
    <x v="2"/>
    <x v="21"/>
    <x v="4"/>
    <x v="1"/>
    <x v="0"/>
    <n v="12.02"/>
    <n v="11.48"/>
    <n v="0.83"/>
    <n v="11.34"/>
  </r>
  <r>
    <x v="1"/>
    <x v="2"/>
    <x v="21"/>
    <x v="3"/>
    <x v="0"/>
    <x v="0"/>
    <n v="0.23"/>
    <n v="0.22"/>
    <n v="0.18"/>
    <n v="0.22"/>
  </r>
  <r>
    <x v="1"/>
    <x v="2"/>
    <x v="21"/>
    <x v="3"/>
    <x v="4"/>
    <x v="0"/>
    <n v="10.46"/>
    <n v="9.99"/>
    <n v="1.56"/>
    <n v="9.6"/>
  </r>
  <r>
    <x v="1"/>
    <x v="2"/>
    <x v="21"/>
    <x v="4"/>
    <x v="0"/>
    <x v="0"/>
    <n v="0.81"/>
    <n v="0.77"/>
    <n v="0.18"/>
    <n v="0.75"/>
  </r>
  <r>
    <x v="1"/>
    <x v="2"/>
    <x v="21"/>
    <x v="4"/>
    <x v="4"/>
    <x v="0"/>
    <n v="100.36"/>
    <n v="95.82"/>
    <n v="15.23"/>
    <n v="93.55"/>
  </r>
  <r>
    <x v="1"/>
    <x v="2"/>
    <x v="21"/>
    <x v="2"/>
    <x v="3"/>
    <x v="1"/>
    <n v="35.270000000000003"/>
    <n v="33.68"/>
    <n v="0.08"/>
    <n v="32.72"/>
  </r>
  <r>
    <x v="1"/>
    <x v="2"/>
    <x v="21"/>
    <x v="4"/>
    <x v="2"/>
    <x v="0"/>
    <n v="0.35"/>
    <n v="0.33"/>
    <n v="0.03"/>
    <n v="0.35"/>
  </r>
  <r>
    <x v="1"/>
    <x v="2"/>
    <x v="21"/>
    <x v="0"/>
    <x v="0"/>
    <x v="0"/>
    <n v="27.86"/>
    <n v="26.6"/>
    <n v="14.26"/>
    <n v="25.39"/>
  </r>
  <r>
    <x v="1"/>
    <x v="2"/>
    <x v="21"/>
    <x v="1"/>
    <x v="3"/>
    <x v="1"/>
    <n v="0.65"/>
    <n v="0.62"/>
    <n v="0"/>
    <n v="0.59"/>
  </r>
  <r>
    <x v="1"/>
    <x v="2"/>
    <x v="21"/>
    <x v="1"/>
    <x v="0"/>
    <x v="0"/>
    <n v="21.88"/>
    <n v="20.89"/>
    <n v="9.91"/>
    <n v="20.190000000000001"/>
  </r>
  <r>
    <x v="1"/>
    <x v="2"/>
    <x v="21"/>
    <x v="0"/>
    <x v="4"/>
    <x v="1"/>
    <n v="8.93"/>
    <n v="8.5299999999999994"/>
    <n v="0.21"/>
    <n v="8.0500000000000007"/>
  </r>
  <r>
    <x v="1"/>
    <x v="2"/>
    <x v="21"/>
    <x v="1"/>
    <x v="1"/>
    <x v="0"/>
    <n v="67.739999999999995"/>
    <n v="64.680000000000007"/>
    <n v="3.66"/>
    <n v="62.46"/>
  </r>
  <r>
    <x v="1"/>
    <x v="2"/>
    <x v="21"/>
    <x v="1"/>
    <x v="2"/>
    <x v="0"/>
    <n v="1.27"/>
    <n v="1.21"/>
    <n v="0.04"/>
    <n v="1.1200000000000001"/>
  </r>
  <r>
    <x v="1"/>
    <x v="2"/>
    <x v="21"/>
    <x v="2"/>
    <x v="0"/>
    <x v="0"/>
    <n v="15.93"/>
    <n v="15.21"/>
    <n v="10.91"/>
    <n v="14.92"/>
  </r>
  <r>
    <x v="1"/>
    <x v="2"/>
    <x v="21"/>
    <x v="2"/>
    <x v="4"/>
    <x v="0"/>
    <n v="12.52"/>
    <n v="11.95"/>
    <n v="3.32"/>
    <n v="11.75"/>
  </r>
  <r>
    <x v="1"/>
    <x v="2"/>
    <x v="21"/>
    <x v="0"/>
    <x v="4"/>
    <x v="0"/>
    <n v="48.84"/>
    <n v="46.63"/>
    <n v="13.95"/>
    <n v="45.09"/>
  </r>
  <r>
    <x v="1"/>
    <x v="2"/>
    <x v="21"/>
    <x v="4"/>
    <x v="0"/>
    <x v="1"/>
    <n v="4"/>
    <n v="3.82"/>
    <n v="0.23"/>
    <n v="3.63"/>
  </r>
  <r>
    <x v="1"/>
    <x v="2"/>
    <x v="21"/>
    <x v="2"/>
    <x v="2"/>
    <x v="2"/>
    <n v="0.81"/>
    <n v="0.77"/>
    <n v="0"/>
    <n v="0.81"/>
  </r>
  <r>
    <x v="1"/>
    <x v="2"/>
    <x v="21"/>
    <x v="4"/>
    <x v="4"/>
    <x v="2"/>
    <n v="3.4"/>
    <n v="3.24"/>
    <n v="0.22"/>
    <n v="3.12"/>
  </r>
  <r>
    <x v="1"/>
    <x v="2"/>
    <x v="21"/>
    <x v="4"/>
    <x v="1"/>
    <x v="2"/>
    <n v="2.35"/>
    <n v="2.25"/>
    <n v="7.0000000000000007E-2"/>
    <n v="2.16"/>
  </r>
  <r>
    <x v="1"/>
    <x v="2"/>
    <x v="21"/>
    <x v="4"/>
    <x v="2"/>
    <x v="2"/>
    <n v="3.16"/>
    <n v="3.01"/>
    <n v="0.02"/>
    <n v="2.9"/>
  </r>
  <r>
    <x v="1"/>
    <x v="2"/>
    <x v="21"/>
    <x v="1"/>
    <x v="4"/>
    <x v="2"/>
    <n v="1.68"/>
    <n v="1.61"/>
    <n v="0.16"/>
    <n v="1.48"/>
  </r>
  <r>
    <x v="1"/>
    <x v="2"/>
    <x v="21"/>
    <x v="1"/>
    <x v="1"/>
    <x v="2"/>
    <n v="1.48"/>
    <n v="1.41"/>
    <n v="0.04"/>
    <n v="1.36"/>
  </r>
  <r>
    <x v="1"/>
    <x v="2"/>
    <x v="21"/>
    <x v="1"/>
    <x v="2"/>
    <x v="2"/>
    <n v="0.27"/>
    <n v="0.26"/>
    <n v="0"/>
    <n v="0.25"/>
  </r>
  <r>
    <x v="1"/>
    <x v="2"/>
    <x v="21"/>
    <x v="0"/>
    <x v="3"/>
    <x v="1"/>
    <n v="0.17"/>
    <n v="0.17"/>
    <n v="0"/>
    <n v="0.16"/>
  </r>
  <r>
    <x v="1"/>
    <x v="2"/>
    <x v="21"/>
    <x v="2"/>
    <x v="3"/>
    <x v="3"/>
    <n v="58.71"/>
    <n v="56.06"/>
    <n v="0.04"/>
    <n v="58.71"/>
  </r>
  <r>
    <x v="1"/>
    <x v="2"/>
    <x v="21"/>
    <x v="1"/>
    <x v="2"/>
    <x v="1"/>
    <n v="31.41"/>
    <n v="29.99"/>
    <n v="0.14000000000000001"/>
    <n v="28.62"/>
  </r>
  <r>
    <x v="1"/>
    <x v="2"/>
    <x v="21"/>
    <x v="4"/>
    <x v="4"/>
    <x v="1"/>
    <n v="0.37"/>
    <n v="0.36"/>
    <n v="0.03"/>
    <n v="0.34"/>
  </r>
  <r>
    <x v="1"/>
    <x v="2"/>
    <x v="21"/>
    <x v="4"/>
    <x v="1"/>
    <x v="1"/>
    <n v="0.28999999999999998"/>
    <n v="0.28000000000000003"/>
    <n v="0.01"/>
    <n v="0.26"/>
  </r>
  <r>
    <x v="1"/>
    <x v="2"/>
    <x v="21"/>
    <x v="0"/>
    <x v="0"/>
    <x v="1"/>
    <n v="7.71"/>
    <n v="7.36"/>
    <n v="0.44"/>
    <n v="6.94"/>
  </r>
  <r>
    <x v="1"/>
    <x v="2"/>
    <x v="21"/>
    <x v="0"/>
    <x v="1"/>
    <x v="1"/>
    <n v="0.33"/>
    <n v="0.32"/>
    <n v="0"/>
    <n v="0.3"/>
  </r>
  <r>
    <x v="1"/>
    <x v="2"/>
    <x v="21"/>
    <x v="1"/>
    <x v="0"/>
    <x v="1"/>
    <n v="4.37"/>
    <n v="4.17"/>
    <n v="0.35"/>
    <n v="4.2"/>
  </r>
  <r>
    <x v="1"/>
    <x v="2"/>
    <x v="21"/>
    <x v="1"/>
    <x v="4"/>
    <x v="1"/>
    <n v="2.3199999999999998"/>
    <n v="2.2200000000000002"/>
    <n v="0.12"/>
    <n v="2.29"/>
  </r>
  <r>
    <x v="1"/>
    <x v="2"/>
    <x v="21"/>
    <x v="1"/>
    <x v="1"/>
    <x v="1"/>
    <n v="16.14"/>
    <n v="15.41"/>
    <n v="0.24"/>
    <n v="14.99"/>
  </r>
  <r>
    <x v="1"/>
    <x v="2"/>
    <x v="21"/>
    <x v="2"/>
    <x v="3"/>
    <x v="2"/>
    <n v="12.76"/>
    <n v="12.19"/>
    <n v="0.02"/>
    <n v="11.37"/>
  </r>
  <r>
    <x v="1"/>
    <x v="2"/>
    <x v="21"/>
    <x v="2"/>
    <x v="2"/>
    <x v="3"/>
    <n v="10.99"/>
    <n v="10.5"/>
    <n v="0.01"/>
    <n v="10.99"/>
  </r>
  <r>
    <x v="1"/>
    <x v="8"/>
    <x v="22"/>
    <x v="4"/>
    <x v="0"/>
    <x v="0"/>
    <n v="9.7100000000000009"/>
    <n v="7.93"/>
    <n v="2.64"/>
    <n v="8.6999999999999993"/>
  </r>
  <r>
    <x v="1"/>
    <x v="8"/>
    <x v="22"/>
    <x v="0"/>
    <x v="1"/>
    <x v="1"/>
    <n v="3.55"/>
    <n v="2.9"/>
    <n v="7.0000000000000007E-2"/>
    <n v="3.23"/>
  </r>
  <r>
    <x v="1"/>
    <x v="8"/>
    <x v="22"/>
    <x v="1"/>
    <x v="0"/>
    <x v="1"/>
    <n v="146.29"/>
    <n v="119.52"/>
    <n v="6.49"/>
    <n v="131.22"/>
  </r>
  <r>
    <x v="1"/>
    <x v="8"/>
    <x v="22"/>
    <x v="1"/>
    <x v="4"/>
    <x v="1"/>
    <n v="8.99"/>
    <n v="7.35"/>
    <n v="0.3"/>
    <n v="7.38"/>
  </r>
  <r>
    <x v="1"/>
    <x v="8"/>
    <x v="22"/>
    <x v="1"/>
    <x v="1"/>
    <x v="1"/>
    <n v="89.14"/>
    <n v="72.83"/>
    <n v="0.91"/>
    <n v="79.349999999999994"/>
  </r>
  <r>
    <x v="1"/>
    <x v="8"/>
    <x v="22"/>
    <x v="1"/>
    <x v="3"/>
    <x v="1"/>
    <n v="477.06"/>
    <n v="389.76"/>
    <n v="0.78"/>
    <n v="476.63"/>
  </r>
  <r>
    <x v="1"/>
    <x v="8"/>
    <x v="22"/>
    <x v="2"/>
    <x v="1"/>
    <x v="1"/>
    <n v="1.05"/>
    <n v="0.86"/>
    <n v="0.01"/>
    <n v="1.05"/>
  </r>
  <r>
    <x v="1"/>
    <x v="8"/>
    <x v="22"/>
    <x v="2"/>
    <x v="3"/>
    <x v="1"/>
    <n v="252.28"/>
    <n v="206.11"/>
    <n v="0.61"/>
    <n v="230.01"/>
  </r>
  <r>
    <x v="1"/>
    <x v="8"/>
    <x v="22"/>
    <x v="3"/>
    <x v="0"/>
    <x v="0"/>
    <n v="4.41"/>
    <n v="3.6"/>
    <n v="0.6"/>
    <n v="4.21"/>
  </r>
  <r>
    <x v="1"/>
    <x v="8"/>
    <x v="22"/>
    <x v="1"/>
    <x v="4"/>
    <x v="0"/>
    <n v="1302.05"/>
    <n v="1063.79"/>
    <n v="201.83"/>
    <n v="1161.08"/>
  </r>
  <r>
    <x v="1"/>
    <x v="8"/>
    <x v="22"/>
    <x v="3"/>
    <x v="1"/>
    <x v="0"/>
    <n v="1.05"/>
    <n v="0.86"/>
    <n v="0.06"/>
    <n v="0.99"/>
  </r>
  <r>
    <x v="1"/>
    <x v="8"/>
    <x v="22"/>
    <x v="4"/>
    <x v="1"/>
    <x v="1"/>
    <n v="0.34"/>
    <n v="0.28000000000000003"/>
    <n v="0.02"/>
    <n v="0.27"/>
  </r>
  <r>
    <x v="1"/>
    <x v="8"/>
    <x v="22"/>
    <x v="4"/>
    <x v="4"/>
    <x v="0"/>
    <n v="518.20000000000005"/>
    <n v="423.37"/>
    <n v="69.42"/>
    <n v="475.48"/>
  </r>
  <r>
    <x v="1"/>
    <x v="8"/>
    <x v="22"/>
    <x v="4"/>
    <x v="1"/>
    <x v="0"/>
    <n v="28.75"/>
    <n v="23.49"/>
    <n v="1.1299999999999999"/>
    <n v="27.17"/>
  </r>
  <r>
    <x v="1"/>
    <x v="8"/>
    <x v="22"/>
    <x v="4"/>
    <x v="2"/>
    <x v="0"/>
    <n v="24.14"/>
    <n v="19.72"/>
    <n v="0.53"/>
    <n v="23.26"/>
  </r>
  <r>
    <x v="1"/>
    <x v="8"/>
    <x v="22"/>
    <x v="0"/>
    <x v="0"/>
    <x v="0"/>
    <n v="211.57"/>
    <n v="172.86"/>
    <n v="46.25"/>
    <n v="188.13"/>
  </r>
  <r>
    <x v="1"/>
    <x v="8"/>
    <x v="22"/>
    <x v="0"/>
    <x v="4"/>
    <x v="0"/>
    <n v="193.13"/>
    <n v="157.79"/>
    <n v="24.12"/>
    <n v="175.57"/>
  </r>
  <r>
    <x v="1"/>
    <x v="8"/>
    <x v="22"/>
    <x v="0"/>
    <x v="1"/>
    <x v="0"/>
    <n v="18.399999999999999"/>
    <n v="15.04"/>
    <n v="0.41"/>
    <n v="18.399999999999999"/>
  </r>
  <r>
    <x v="1"/>
    <x v="8"/>
    <x v="22"/>
    <x v="0"/>
    <x v="2"/>
    <x v="0"/>
    <n v="14.14"/>
    <n v="11.56"/>
    <n v="0.03"/>
    <n v="14.14"/>
  </r>
  <r>
    <x v="1"/>
    <x v="8"/>
    <x v="22"/>
    <x v="1"/>
    <x v="0"/>
    <x v="0"/>
    <n v="269.42"/>
    <n v="220.12"/>
    <n v="61.06"/>
    <n v="241.2"/>
  </r>
  <r>
    <x v="1"/>
    <x v="8"/>
    <x v="22"/>
    <x v="3"/>
    <x v="4"/>
    <x v="0"/>
    <n v="36.26"/>
    <n v="29.63"/>
    <n v="3.43"/>
    <n v="33.18"/>
  </r>
  <r>
    <x v="1"/>
    <x v="8"/>
    <x v="22"/>
    <x v="2"/>
    <x v="3"/>
    <x v="2"/>
    <n v="241.74"/>
    <n v="197.51"/>
    <n v="0.16"/>
    <n v="229.03"/>
  </r>
  <r>
    <x v="1"/>
    <x v="8"/>
    <x v="22"/>
    <x v="4"/>
    <x v="4"/>
    <x v="2"/>
    <n v="20.88"/>
    <n v="17.059999999999999"/>
    <n v="0.7"/>
    <n v="18.829999999999998"/>
  </r>
  <r>
    <x v="1"/>
    <x v="8"/>
    <x v="22"/>
    <x v="4"/>
    <x v="1"/>
    <x v="2"/>
    <n v="11.69"/>
    <n v="9.5500000000000007"/>
    <n v="0.21"/>
    <n v="10.44"/>
  </r>
  <r>
    <x v="1"/>
    <x v="8"/>
    <x v="22"/>
    <x v="4"/>
    <x v="2"/>
    <x v="2"/>
    <n v="4.43"/>
    <n v="3.62"/>
    <n v="0.02"/>
    <n v="3.95"/>
  </r>
  <r>
    <x v="1"/>
    <x v="8"/>
    <x v="22"/>
    <x v="0"/>
    <x v="1"/>
    <x v="2"/>
    <n v="0.76"/>
    <n v="0.62"/>
    <n v="0.01"/>
    <n v="0.76"/>
  </r>
  <r>
    <x v="1"/>
    <x v="8"/>
    <x v="22"/>
    <x v="0"/>
    <x v="2"/>
    <x v="2"/>
    <n v="12.23"/>
    <n v="9.99"/>
    <n v="0.03"/>
    <n v="12.23"/>
  </r>
  <r>
    <x v="1"/>
    <x v="8"/>
    <x v="22"/>
    <x v="1"/>
    <x v="4"/>
    <x v="2"/>
    <n v="97.18"/>
    <n v="79.39"/>
    <n v="2.77"/>
    <n v="83.41"/>
  </r>
  <r>
    <x v="1"/>
    <x v="8"/>
    <x v="22"/>
    <x v="1"/>
    <x v="1"/>
    <x v="2"/>
    <n v="48.87"/>
    <n v="39.93"/>
    <n v="0.56999999999999995"/>
    <n v="43.39"/>
  </r>
  <r>
    <x v="1"/>
    <x v="8"/>
    <x v="22"/>
    <x v="1"/>
    <x v="2"/>
    <x v="2"/>
    <n v="9.1300000000000008"/>
    <n v="7.46"/>
    <n v="0.04"/>
    <n v="8.09"/>
  </r>
  <r>
    <x v="1"/>
    <x v="8"/>
    <x v="22"/>
    <x v="0"/>
    <x v="4"/>
    <x v="1"/>
    <n v="36.99"/>
    <n v="30.22"/>
    <n v="1.3"/>
    <n v="33.5"/>
  </r>
  <r>
    <x v="1"/>
    <x v="8"/>
    <x v="22"/>
    <x v="2"/>
    <x v="1"/>
    <x v="2"/>
    <n v="7.16"/>
    <n v="5.85"/>
    <n v="0.02"/>
    <n v="6.88"/>
  </r>
  <r>
    <x v="1"/>
    <x v="8"/>
    <x v="22"/>
    <x v="0"/>
    <x v="0"/>
    <x v="1"/>
    <n v="70.17"/>
    <n v="57.33"/>
    <n v="2.29"/>
    <n v="64.209999999999994"/>
  </r>
  <r>
    <x v="1"/>
    <x v="8"/>
    <x v="22"/>
    <x v="2"/>
    <x v="0"/>
    <x v="3"/>
    <n v="22.38"/>
    <n v="18.28"/>
    <n v="7.0000000000000007E-2"/>
    <n v="22.38"/>
  </r>
  <r>
    <x v="1"/>
    <x v="8"/>
    <x v="22"/>
    <x v="2"/>
    <x v="4"/>
    <x v="3"/>
    <n v="49.23"/>
    <n v="40.22"/>
    <n v="0.03"/>
    <n v="48.87"/>
  </r>
  <r>
    <x v="1"/>
    <x v="8"/>
    <x v="22"/>
    <x v="2"/>
    <x v="1"/>
    <x v="3"/>
    <n v="123.93"/>
    <n v="101.26"/>
    <n v="0.08"/>
    <n v="123.93"/>
  </r>
  <r>
    <x v="1"/>
    <x v="8"/>
    <x v="22"/>
    <x v="2"/>
    <x v="2"/>
    <x v="3"/>
    <n v="274.2"/>
    <n v="224.03"/>
    <n v="0.15"/>
    <n v="264.79000000000002"/>
  </r>
  <r>
    <x v="1"/>
    <x v="8"/>
    <x v="22"/>
    <x v="2"/>
    <x v="3"/>
    <x v="3"/>
    <n v="349.93"/>
    <n v="285.89"/>
    <n v="0.21"/>
    <n v="335.79"/>
  </r>
  <r>
    <x v="1"/>
    <x v="8"/>
    <x v="22"/>
    <x v="4"/>
    <x v="0"/>
    <x v="1"/>
    <n v="4.9400000000000004"/>
    <n v="4.04"/>
    <n v="0.37"/>
    <n v="4.05"/>
  </r>
  <r>
    <x v="1"/>
    <x v="8"/>
    <x v="22"/>
    <x v="4"/>
    <x v="4"/>
    <x v="1"/>
    <n v="0.02"/>
    <n v="0.02"/>
    <n v="0"/>
    <n v="0.02"/>
  </r>
  <r>
    <x v="1"/>
    <x v="8"/>
    <x v="22"/>
    <x v="2"/>
    <x v="4"/>
    <x v="1"/>
    <n v="0.23"/>
    <n v="0.19"/>
    <n v="0"/>
    <n v="0.21"/>
  </r>
  <r>
    <x v="1"/>
    <x v="8"/>
    <x v="22"/>
    <x v="1"/>
    <x v="3"/>
    <x v="2"/>
    <n v="30.95"/>
    <n v="25.28"/>
    <n v="0.04"/>
    <n v="26.56"/>
  </r>
  <r>
    <x v="1"/>
    <x v="8"/>
    <x v="22"/>
    <x v="1"/>
    <x v="2"/>
    <x v="0"/>
    <n v="16.84"/>
    <n v="13.76"/>
    <n v="0.21"/>
    <n v="13.66"/>
  </r>
  <r>
    <x v="1"/>
    <x v="8"/>
    <x v="22"/>
    <x v="1"/>
    <x v="3"/>
    <x v="0"/>
    <n v="0.52"/>
    <n v="0.42"/>
    <n v="0"/>
    <n v="0.52"/>
  </r>
  <r>
    <x v="1"/>
    <x v="8"/>
    <x v="22"/>
    <x v="2"/>
    <x v="0"/>
    <x v="0"/>
    <n v="393.21"/>
    <n v="321.26"/>
    <n v="104.82"/>
    <n v="356.31"/>
  </r>
  <r>
    <x v="1"/>
    <x v="8"/>
    <x v="22"/>
    <x v="2"/>
    <x v="4"/>
    <x v="0"/>
    <n v="96.45"/>
    <n v="78.8"/>
    <n v="13.45"/>
    <n v="91.24"/>
  </r>
  <r>
    <x v="1"/>
    <x v="8"/>
    <x v="22"/>
    <x v="1"/>
    <x v="2"/>
    <x v="1"/>
    <n v="143.74"/>
    <n v="117.44"/>
    <n v="0.57999999999999996"/>
    <n v="130.25"/>
  </r>
  <r>
    <x v="1"/>
    <x v="8"/>
    <x v="22"/>
    <x v="1"/>
    <x v="1"/>
    <x v="0"/>
    <n v="132.47999999999999"/>
    <n v="108.24"/>
    <n v="3.66"/>
    <n v="124.18"/>
  </r>
  <r>
    <x v="1"/>
    <x v="6"/>
    <x v="23"/>
    <x v="0"/>
    <x v="0"/>
    <x v="0"/>
    <n v="5.03"/>
    <n v="4.88"/>
    <n v="2.93"/>
    <n v="4.29"/>
  </r>
  <r>
    <x v="1"/>
    <x v="6"/>
    <x v="23"/>
    <x v="1"/>
    <x v="0"/>
    <x v="1"/>
    <n v="1.85"/>
    <n v="1.79"/>
    <n v="0.15"/>
    <n v="1.6"/>
  </r>
  <r>
    <x v="1"/>
    <x v="6"/>
    <x v="23"/>
    <x v="1"/>
    <x v="4"/>
    <x v="1"/>
    <n v="0.95"/>
    <n v="0.92"/>
    <n v="0.04"/>
    <n v="0.8"/>
  </r>
  <r>
    <x v="1"/>
    <x v="6"/>
    <x v="23"/>
    <x v="1"/>
    <x v="1"/>
    <x v="1"/>
    <n v="6.4"/>
    <n v="6.21"/>
    <n v="0.03"/>
    <n v="5.26"/>
  </r>
  <r>
    <x v="1"/>
    <x v="6"/>
    <x v="23"/>
    <x v="1"/>
    <x v="2"/>
    <x v="1"/>
    <n v="17.57"/>
    <n v="17.059999999999999"/>
    <n v="0.06"/>
    <n v="14.45"/>
  </r>
  <r>
    <x v="1"/>
    <x v="6"/>
    <x v="23"/>
    <x v="1"/>
    <x v="3"/>
    <x v="1"/>
    <n v="4.17"/>
    <n v="4.05"/>
    <n v="0"/>
    <n v="3.41"/>
  </r>
  <r>
    <x v="1"/>
    <x v="6"/>
    <x v="23"/>
    <x v="2"/>
    <x v="3"/>
    <x v="1"/>
    <n v="3.83"/>
    <n v="3.72"/>
    <n v="0.01"/>
    <n v="3.38"/>
  </r>
  <r>
    <x v="1"/>
    <x v="6"/>
    <x v="23"/>
    <x v="3"/>
    <x v="4"/>
    <x v="0"/>
    <n v="10.11"/>
    <n v="9.81"/>
    <n v="1.05"/>
    <n v="8.66"/>
  </r>
  <r>
    <x v="1"/>
    <x v="6"/>
    <x v="23"/>
    <x v="3"/>
    <x v="1"/>
    <x v="0"/>
    <n v="0.04"/>
    <n v="0.04"/>
    <n v="0"/>
    <n v="0.04"/>
  </r>
  <r>
    <x v="1"/>
    <x v="6"/>
    <x v="23"/>
    <x v="4"/>
    <x v="0"/>
    <x v="0"/>
    <n v="0.46"/>
    <n v="0.45"/>
    <n v="0.03"/>
    <n v="0.46"/>
  </r>
  <r>
    <x v="1"/>
    <x v="6"/>
    <x v="23"/>
    <x v="0"/>
    <x v="1"/>
    <x v="1"/>
    <n v="0.24"/>
    <n v="0.24"/>
    <n v="0"/>
    <n v="0.2"/>
  </r>
  <r>
    <x v="1"/>
    <x v="6"/>
    <x v="23"/>
    <x v="4"/>
    <x v="1"/>
    <x v="0"/>
    <n v="2.2000000000000002"/>
    <n v="2.13"/>
    <n v="0.19"/>
    <n v="1.95"/>
  </r>
  <r>
    <x v="1"/>
    <x v="6"/>
    <x v="23"/>
    <x v="4"/>
    <x v="1"/>
    <x v="1"/>
    <n v="0.28999999999999998"/>
    <n v="0.28000000000000003"/>
    <n v="0.01"/>
    <n v="0.23"/>
  </r>
  <r>
    <x v="1"/>
    <x v="6"/>
    <x v="23"/>
    <x v="0"/>
    <x v="4"/>
    <x v="0"/>
    <n v="4.13"/>
    <n v="4.01"/>
    <n v="1.04"/>
    <n v="3.66"/>
  </r>
  <r>
    <x v="1"/>
    <x v="6"/>
    <x v="23"/>
    <x v="1"/>
    <x v="0"/>
    <x v="0"/>
    <n v="2.89"/>
    <n v="2.81"/>
    <n v="1.84"/>
    <n v="2.66"/>
  </r>
  <r>
    <x v="1"/>
    <x v="6"/>
    <x v="23"/>
    <x v="1"/>
    <x v="4"/>
    <x v="0"/>
    <n v="53.86"/>
    <n v="52.28"/>
    <n v="16.41"/>
    <n v="48.7"/>
  </r>
  <r>
    <x v="1"/>
    <x v="6"/>
    <x v="23"/>
    <x v="1"/>
    <x v="1"/>
    <x v="0"/>
    <n v="37.15"/>
    <n v="36.07"/>
    <n v="2.09"/>
    <n v="32.36"/>
  </r>
  <r>
    <x v="1"/>
    <x v="6"/>
    <x v="23"/>
    <x v="4"/>
    <x v="4"/>
    <x v="0"/>
    <n v="15.31"/>
    <n v="14.86"/>
    <n v="3.2"/>
    <n v="13.31"/>
  </r>
  <r>
    <x v="1"/>
    <x v="6"/>
    <x v="23"/>
    <x v="2"/>
    <x v="2"/>
    <x v="3"/>
    <n v="3.17"/>
    <n v="3.08"/>
    <n v="0"/>
    <n v="3.17"/>
  </r>
  <r>
    <x v="1"/>
    <x v="6"/>
    <x v="23"/>
    <x v="4"/>
    <x v="4"/>
    <x v="2"/>
    <n v="1.28"/>
    <n v="1.24"/>
    <n v="0.03"/>
    <n v="1.1399999999999999"/>
  </r>
  <r>
    <x v="1"/>
    <x v="6"/>
    <x v="23"/>
    <x v="4"/>
    <x v="1"/>
    <x v="2"/>
    <n v="3.31"/>
    <n v="3.21"/>
    <n v="0.06"/>
    <n v="3.31"/>
  </r>
  <r>
    <x v="1"/>
    <x v="6"/>
    <x v="23"/>
    <x v="1"/>
    <x v="4"/>
    <x v="2"/>
    <n v="2.74"/>
    <n v="2.66"/>
    <n v="0.08"/>
    <n v="2.19"/>
  </r>
  <r>
    <x v="1"/>
    <x v="6"/>
    <x v="23"/>
    <x v="1"/>
    <x v="1"/>
    <x v="2"/>
    <n v="2.5"/>
    <n v="2.42"/>
    <n v="0.04"/>
    <n v="2"/>
  </r>
  <r>
    <x v="1"/>
    <x v="6"/>
    <x v="23"/>
    <x v="1"/>
    <x v="2"/>
    <x v="2"/>
    <n v="0.47"/>
    <n v="0.45"/>
    <n v="0"/>
    <n v="0.47"/>
  </r>
  <r>
    <x v="1"/>
    <x v="6"/>
    <x v="23"/>
    <x v="1"/>
    <x v="3"/>
    <x v="2"/>
    <n v="1.1200000000000001"/>
    <n v="1.0900000000000001"/>
    <n v="0"/>
    <n v="1.1200000000000001"/>
  </r>
  <r>
    <x v="1"/>
    <x v="6"/>
    <x v="23"/>
    <x v="0"/>
    <x v="4"/>
    <x v="1"/>
    <n v="1.8"/>
    <n v="1.75"/>
    <n v="0.02"/>
    <n v="1.47"/>
  </r>
  <r>
    <x v="1"/>
    <x v="6"/>
    <x v="23"/>
    <x v="2"/>
    <x v="0"/>
    <x v="0"/>
    <n v="4.18"/>
    <n v="4.0599999999999996"/>
    <n v="3.9"/>
    <n v="3.89"/>
  </r>
  <r>
    <x v="1"/>
    <x v="6"/>
    <x v="23"/>
    <x v="1"/>
    <x v="2"/>
    <x v="0"/>
    <n v="4.6900000000000004"/>
    <n v="4.5599999999999996"/>
    <n v="0.16"/>
    <n v="3.93"/>
  </r>
  <r>
    <x v="1"/>
    <x v="6"/>
    <x v="23"/>
    <x v="2"/>
    <x v="4"/>
    <x v="0"/>
    <n v="6.47"/>
    <n v="6.28"/>
    <n v="2.25"/>
    <n v="5.9"/>
  </r>
  <r>
    <x v="1"/>
    <x v="6"/>
    <x v="23"/>
    <x v="2"/>
    <x v="3"/>
    <x v="3"/>
    <n v="23.05"/>
    <n v="22.38"/>
    <n v="0.01"/>
    <n v="11.84"/>
  </r>
  <r>
    <x v="1"/>
    <x v="6"/>
    <x v="23"/>
    <x v="4"/>
    <x v="0"/>
    <x v="1"/>
    <n v="0.79"/>
    <n v="0.76"/>
    <n v="0.04"/>
    <n v="0.64"/>
  </r>
  <r>
    <x v="1"/>
    <x v="6"/>
    <x v="23"/>
    <x v="4"/>
    <x v="4"/>
    <x v="1"/>
    <n v="0.03"/>
    <n v="0.02"/>
    <n v="0"/>
    <n v="0.02"/>
  </r>
  <r>
    <x v="1"/>
    <x v="6"/>
    <x v="23"/>
    <x v="0"/>
    <x v="0"/>
    <x v="1"/>
    <n v="0.49"/>
    <n v="0.47"/>
    <n v="0.02"/>
    <n v="0.4"/>
  </r>
  <r>
    <x v="1"/>
    <x v="6"/>
    <x v="23"/>
    <x v="2"/>
    <x v="3"/>
    <x v="2"/>
    <n v="12.54"/>
    <n v="12.18"/>
    <n v="0.01"/>
    <n v="6.27"/>
  </r>
  <r>
    <x v="1"/>
    <x v="0"/>
    <x v="24"/>
    <x v="1"/>
    <x v="2"/>
    <x v="0"/>
    <n v="7.24"/>
    <n v="7.06"/>
    <n v="0.08"/>
    <n v="6.88"/>
  </r>
  <r>
    <x v="1"/>
    <x v="0"/>
    <x v="24"/>
    <x v="2"/>
    <x v="4"/>
    <x v="0"/>
    <n v="33.270000000000003"/>
    <n v="32.409999999999997"/>
    <n v="1.85"/>
    <n v="33.08"/>
  </r>
  <r>
    <x v="1"/>
    <x v="0"/>
    <x v="24"/>
    <x v="0"/>
    <x v="0"/>
    <x v="0"/>
    <n v="19.91"/>
    <n v="19.399999999999999"/>
    <n v="10.039999999999999"/>
    <n v="19.23"/>
  </r>
  <r>
    <x v="1"/>
    <x v="0"/>
    <x v="24"/>
    <x v="2"/>
    <x v="0"/>
    <x v="0"/>
    <n v="8.31"/>
    <n v="8.1"/>
    <n v="5"/>
    <n v="8.0299999999999994"/>
  </r>
  <r>
    <x v="1"/>
    <x v="0"/>
    <x v="24"/>
    <x v="2"/>
    <x v="2"/>
    <x v="2"/>
    <n v="1.68"/>
    <n v="1.63"/>
    <n v="0.01"/>
    <n v="1.61"/>
  </r>
  <r>
    <x v="1"/>
    <x v="0"/>
    <x v="24"/>
    <x v="0"/>
    <x v="1"/>
    <x v="0"/>
    <n v="0.05"/>
    <n v="0.05"/>
    <n v="0.01"/>
    <n v="0.05"/>
  </r>
  <r>
    <x v="1"/>
    <x v="0"/>
    <x v="24"/>
    <x v="0"/>
    <x v="0"/>
    <x v="1"/>
    <n v="5.28"/>
    <n v="5.14"/>
    <n v="0.24"/>
    <n v="5.04"/>
  </r>
  <r>
    <x v="1"/>
    <x v="0"/>
    <x v="24"/>
    <x v="4"/>
    <x v="1"/>
    <x v="1"/>
    <n v="0.31"/>
    <n v="0.3"/>
    <n v="0.01"/>
    <n v="0.28999999999999998"/>
  </r>
  <r>
    <x v="1"/>
    <x v="0"/>
    <x v="24"/>
    <x v="4"/>
    <x v="4"/>
    <x v="1"/>
    <n v="0.12"/>
    <n v="0.11"/>
    <n v="0.01"/>
    <n v="0.11"/>
  </r>
  <r>
    <x v="1"/>
    <x v="0"/>
    <x v="24"/>
    <x v="4"/>
    <x v="0"/>
    <x v="1"/>
    <n v="4.5"/>
    <n v="4.38"/>
    <n v="0.28999999999999998"/>
    <n v="4.2699999999999996"/>
  </r>
  <r>
    <x v="1"/>
    <x v="0"/>
    <x v="24"/>
    <x v="2"/>
    <x v="3"/>
    <x v="3"/>
    <n v="71.489999999999995"/>
    <n v="69.64"/>
    <n v="0.04"/>
    <n v="69.81"/>
  </r>
  <r>
    <x v="1"/>
    <x v="0"/>
    <x v="24"/>
    <x v="0"/>
    <x v="1"/>
    <x v="1"/>
    <n v="0.37"/>
    <n v="0.36"/>
    <n v="0.01"/>
    <n v="0.35"/>
  </r>
  <r>
    <x v="1"/>
    <x v="0"/>
    <x v="24"/>
    <x v="2"/>
    <x v="3"/>
    <x v="2"/>
    <n v="40.520000000000003"/>
    <n v="39.47"/>
    <n v="0.04"/>
    <n v="37.78"/>
  </r>
  <r>
    <x v="1"/>
    <x v="0"/>
    <x v="24"/>
    <x v="0"/>
    <x v="3"/>
    <x v="1"/>
    <n v="0.87"/>
    <n v="0.85"/>
    <n v="0"/>
    <n v="0.83"/>
  </r>
  <r>
    <x v="1"/>
    <x v="0"/>
    <x v="24"/>
    <x v="1"/>
    <x v="3"/>
    <x v="2"/>
    <n v="0.15"/>
    <n v="0.15"/>
    <n v="0"/>
    <n v="0.14000000000000001"/>
  </r>
  <r>
    <x v="1"/>
    <x v="0"/>
    <x v="24"/>
    <x v="1"/>
    <x v="1"/>
    <x v="2"/>
    <n v="0.55000000000000004"/>
    <n v="0.54"/>
    <n v="0.01"/>
    <n v="0.51"/>
  </r>
  <r>
    <x v="1"/>
    <x v="0"/>
    <x v="24"/>
    <x v="1"/>
    <x v="4"/>
    <x v="2"/>
    <n v="1.32"/>
    <n v="1.29"/>
    <n v="0.04"/>
    <n v="1.22"/>
  </r>
  <r>
    <x v="1"/>
    <x v="0"/>
    <x v="24"/>
    <x v="4"/>
    <x v="2"/>
    <x v="2"/>
    <n v="5.88"/>
    <n v="5.73"/>
    <n v="0.03"/>
    <n v="5.43"/>
  </r>
  <r>
    <x v="1"/>
    <x v="0"/>
    <x v="24"/>
    <x v="4"/>
    <x v="1"/>
    <x v="2"/>
    <n v="2.63"/>
    <n v="2.56"/>
    <n v="7.0000000000000007E-2"/>
    <n v="2.4300000000000002"/>
  </r>
  <r>
    <x v="1"/>
    <x v="0"/>
    <x v="24"/>
    <x v="4"/>
    <x v="4"/>
    <x v="2"/>
    <n v="2.14"/>
    <n v="2.09"/>
    <n v="0.09"/>
    <n v="2.04"/>
  </r>
  <r>
    <x v="1"/>
    <x v="0"/>
    <x v="24"/>
    <x v="2"/>
    <x v="2"/>
    <x v="3"/>
    <n v="11.12"/>
    <n v="10.84"/>
    <n v="0.01"/>
    <n v="10.86"/>
  </r>
  <r>
    <x v="1"/>
    <x v="0"/>
    <x v="24"/>
    <x v="2"/>
    <x v="3"/>
    <x v="1"/>
    <n v="44.38"/>
    <n v="43.24"/>
    <n v="0.11"/>
    <n v="42.41"/>
  </r>
  <r>
    <x v="1"/>
    <x v="0"/>
    <x v="24"/>
    <x v="1"/>
    <x v="4"/>
    <x v="0"/>
    <n v="79.650000000000006"/>
    <n v="77.599999999999994"/>
    <n v="18.38"/>
    <n v="77.08"/>
  </r>
  <r>
    <x v="1"/>
    <x v="0"/>
    <x v="24"/>
    <x v="1"/>
    <x v="0"/>
    <x v="0"/>
    <n v="10.36"/>
    <n v="10.1"/>
    <n v="5.0999999999999996"/>
    <n v="10.09"/>
  </r>
  <r>
    <x v="1"/>
    <x v="0"/>
    <x v="24"/>
    <x v="0"/>
    <x v="4"/>
    <x v="0"/>
    <n v="22.66"/>
    <n v="22.08"/>
    <n v="6.3"/>
    <n v="22.05"/>
  </r>
  <r>
    <x v="1"/>
    <x v="0"/>
    <x v="24"/>
    <x v="4"/>
    <x v="1"/>
    <x v="0"/>
    <n v="8.23"/>
    <n v="8.02"/>
    <n v="0.61"/>
    <n v="7.9"/>
  </r>
  <r>
    <x v="1"/>
    <x v="0"/>
    <x v="24"/>
    <x v="4"/>
    <x v="4"/>
    <x v="0"/>
    <n v="50.43"/>
    <n v="49.12"/>
    <n v="7.68"/>
    <n v="48.26"/>
  </r>
  <r>
    <x v="1"/>
    <x v="0"/>
    <x v="24"/>
    <x v="4"/>
    <x v="0"/>
    <x v="0"/>
    <n v="0.1"/>
    <n v="0.09"/>
    <n v="0.03"/>
    <n v="0.09"/>
  </r>
  <r>
    <x v="1"/>
    <x v="0"/>
    <x v="24"/>
    <x v="3"/>
    <x v="1"/>
    <x v="0"/>
    <n v="0.35"/>
    <n v="0.34"/>
    <n v="0.01"/>
    <n v="0.35"/>
  </r>
  <r>
    <x v="1"/>
    <x v="0"/>
    <x v="24"/>
    <x v="0"/>
    <x v="4"/>
    <x v="1"/>
    <n v="6.81"/>
    <n v="6.64"/>
    <n v="0.21"/>
    <n v="6.5"/>
  </r>
  <r>
    <x v="1"/>
    <x v="0"/>
    <x v="24"/>
    <x v="3"/>
    <x v="0"/>
    <x v="0"/>
    <n v="0.01"/>
    <n v="0.01"/>
    <n v="0"/>
    <n v="0.01"/>
  </r>
  <r>
    <x v="1"/>
    <x v="0"/>
    <x v="24"/>
    <x v="1"/>
    <x v="1"/>
    <x v="0"/>
    <n v="21.42"/>
    <n v="20.86"/>
    <n v="1.33"/>
    <n v="20.61"/>
  </r>
  <r>
    <x v="1"/>
    <x v="0"/>
    <x v="24"/>
    <x v="2"/>
    <x v="4"/>
    <x v="1"/>
    <n v="0.71"/>
    <n v="0.69"/>
    <n v="0"/>
    <n v="0.68"/>
  </r>
  <r>
    <x v="1"/>
    <x v="0"/>
    <x v="24"/>
    <x v="1"/>
    <x v="3"/>
    <x v="1"/>
    <n v="1.53"/>
    <n v="1.49"/>
    <n v="0"/>
    <n v="1.47"/>
  </r>
  <r>
    <x v="1"/>
    <x v="0"/>
    <x v="24"/>
    <x v="1"/>
    <x v="2"/>
    <x v="1"/>
    <n v="26.66"/>
    <n v="25.97"/>
    <n v="0.12"/>
    <n v="25.41"/>
  </r>
  <r>
    <x v="1"/>
    <x v="0"/>
    <x v="24"/>
    <x v="1"/>
    <x v="1"/>
    <x v="1"/>
    <n v="14.96"/>
    <n v="14.57"/>
    <n v="0.21"/>
    <n v="14.24"/>
  </r>
  <r>
    <x v="1"/>
    <x v="0"/>
    <x v="24"/>
    <x v="1"/>
    <x v="4"/>
    <x v="1"/>
    <n v="2.12"/>
    <n v="2.06"/>
    <n v="0.1"/>
    <n v="2"/>
  </r>
  <r>
    <x v="1"/>
    <x v="0"/>
    <x v="24"/>
    <x v="1"/>
    <x v="0"/>
    <x v="1"/>
    <n v="7.85"/>
    <n v="7.64"/>
    <n v="0.27"/>
    <n v="7.41"/>
  </r>
  <r>
    <x v="1"/>
    <x v="0"/>
    <x v="24"/>
    <x v="3"/>
    <x v="4"/>
    <x v="0"/>
    <n v="0.31"/>
    <n v="0.3"/>
    <n v="7.0000000000000007E-2"/>
    <n v="0.3"/>
  </r>
  <r>
    <x v="1"/>
    <x v="2"/>
    <x v="25"/>
    <x v="2"/>
    <x v="4"/>
    <x v="1"/>
    <n v="0.02"/>
    <n v="0.02"/>
    <n v="0"/>
    <n v="0.01"/>
  </r>
  <r>
    <x v="1"/>
    <x v="2"/>
    <x v="25"/>
    <x v="2"/>
    <x v="2"/>
    <x v="0"/>
    <n v="0.38"/>
    <n v="0.36"/>
    <n v="0"/>
    <n v="0.35"/>
  </r>
  <r>
    <x v="1"/>
    <x v="2"/>
    <x v="25"/>
    <x v="4"/>
    <x v="4"/>
    <x v="0"/>
    <n v="102.17"/>
    <n v="97.55"/>
    <n v="14.91"/>
    <n v="95.01"/>
  </r>
  <r>
    <x v="1"/>
    <x v="2"/>
    <x v="25"/>
    <x v="1"/>
    <x v="4"/>
    <x v="1"/>
    <n v="2.71"/>
    <n v="2.59"/>
    <n v="0.08"/>
    <n v="2.61"/>
  </r>
  <r>
    <x v="1"/>
    <x v="2"/>
    <x v="25"/>
    <x v="3"/>
    <x v="0"/>
    <x v="0"/>
    <n v="0.43"/>
    <n v="0.41"/>
    <n v="0.36"/>
    <n v="0.42"/>
  </r>
  <r>
    <x v="1"/>
    <x v="2"/>
    <x v="25"/>
    <x v="1"/>
    <x v="2"/>
    <x v="1"/>
    <n v="14.03"/>
    <n v="13.4"/>
    <n v="0.08"/>
    <n v="13.32"/>
  </r>
  <r>
    <x v="1"/>
    <x v="2"/>
    <x v="25"/>
    <x v="2"/>
    <x v="4"/>
    <x v="0"/>
    <n v="7.89"/>
    <n v="7.54"/>
    <n v="2.0099999999999998"/>
    <n v="7.59"/>
  </r>
  <r>
    <x v="1"/>
    <x v="2"/>
    <x v="25"/>
    <x v="2"/>
    <x v="3"/>
    <x v="1"/>
    <n v="6.41"/>
    <n v="6.12"/>
    <n v="0.01"/>
    <n v="5.82"/>
  </r>
  <r>
    <x v="1"/>
    <x v="2"/>
    <x v="25"/>
    <x v="1"/>
    <x v="1"/>
    <x v="0"/>
    <n v="56.13"/>
    <n v="53.59"/>
    <n v="3.12"/>
    <n v="51.87"/>
  </r>
  <r>
    <x v="1"/>
    <x v="2"/>
    <x v="25"/>
    <x v="4"/>
    <x v="0"/>
    <x v="0"/>
    <n v="0.26"/>
    <n v="0.25"/>
    <n v="0.06"/>
    <n v="0.24"/>
  </r>
  <r>
    <x v="1"/>
    <x v="2"/>
    <x v="25"/>
    <x v="0"/>
    <x v="1"/>
    <x v="1"/>
    <n v="0.05"/>
    <n v="0.04"/>
    <n v="0"/>
    <n v="0.04"/>
  </r>
  <r>
    <x v="1"/>
    <x v="2"/>
    <x v="25"/>
    <x v="4"/>
    <x v="1"/>
    <x v="0"/>
    <n v="11.41"/>
    <n v="10.9"/>
    <n v="0.81"/>
    <n v="10.61"/>
  </r>
  <r>
    <x v="1"/>
    <x v="2"/>
    <x v="25"/>
    <x v="4"/>
    <x v="2"/>
    <x v="0"/>
    <n v="0.61"/>
    <n v="0.57999999999999996"/>
    <n v="0.05"/>
    <n v="0.61"/>
  </r>
  <r>
    <x v="1"/>
    <x v="2"/>
    <x v="25"/>
    <x v="0"/>
    <x v="0"/>
    <x v="0"/>
    <n v="16.78"/>
    <n v="16.02"/>
    <n v="8.8699999999999992"/>
    <n v="15.17"/>
  </r>
  <r>
    <x v="1"/>
    <x v="2"/>
    <x v="25"/>
    <x v="0"/>
    <x v="4"/>
    <x v="0"/>
    <n v="41.33"/>
    <n v="39.47"/>
    <n v="12.15"/>
    <n v="38.36"/>
  </r>
  <r>
    <x v="1"/>
    <x v="2"/>
    <x v="25"/>
    <x v="1"/>
    <x v="0"/>
    <x v="0"/>
    <n v="22.67"/>
    <n v="21.65"/>
    <n v="11.75"/>
    <n v="21.24"/>
  </r>
  <r>
    <x v="1"/>
    <x v="2"/>
    <x v="25"/>
    <x v="1"/>
    <x v="4"/>
    <x v="0"/>
    <n v="211.08"/>
    <n v="201.54"/>
    <n v="49.96"/>
    <n v="196.03"/>
  </r>
  <r>
    <x v="1"/>
    <x v="2"/>
    <x v="25"/>
    <x v="3"/>
    <x v="4"/>
    <x v="0"/>
    <n v="14.26"/>
    <n v="13.61"/>
    <n v="5.74"/>
    <n v="13.53"/>
  </r>
  <r>
    <x v="1"/>
    <x v="2"/>
    <x v="25"/>
    <x v="2"/>
    <x v="3"/>
    <x v="3"/>
    <n v="17.59"/>
    <n v="16.8"/>
    <n v="0.01"/>
    <n v="17.59"/>
  </r>
  <r>
    <x v="1"/>
    <x v="2"/>
    <x v="25"/>
    <x v="4"/>
    <x v="4"/>
    <x v="2"/>
    <n v="3.68"/>
    <n v="3.51"/>
    <n v="0.16"/>
    <n v="3.28"/>
  </r>
  <r>
    <x v="1"/>
    <x v="2"/>
    <x v="25"/>
    <x v="4"/>
    <x v="1"/>
    <x v="2"/>
    <n v="2.2599999999999998"/>
    <n v="2.16"/>
    <n v="0.05"/>
    <n v="1.96"/>
  </r>
  <r>
    <x v="1"/>
    <x v="2"/>
    <x v="25"/>
    <x v="4"/>
    <x v="2"/>
    <x v="2"/>
    <n v="3.01"/>
    <n v="2.88"/>
    <n v="0.02"/>
    <n v="2.62"/>
  </r>
  <r>
    <x v="1"/>
    <x v="2"/>
    <x v="25"/>
    <x v="1"/>
    <x v="4"/>
    <x v="2"/>
    <n v="8.8000000000000007"/>
    <n v="8.4"/>
    <n v="0.06"/>
    <n v="7.67"/>
  </r>
  <r>
    <x v="1"/>
    <x v="2"/>
    <x v="25"/>
    <x v="1"/>
    <x v="1"/>
    <x v="2"/>
    <n v="7.72"/>
    <n v="7.37"/>
    <n v="0.02"/>
    <n v="6.79"/>
  </r>
  <r>
    <x v="1"/>
    <x v="2"/>
    <x v="25"/>
    <x v="2"/>
    <x v="2"/>
    <x v="2"/>
    <n v="1.18"/>
    <n v="1.1299999999999999"/>
    <n v="0.01"/>
    <n v="1.18"/>
  </r>
  <r>
    <x v="1"/>
    <x v="2"/>
    <x v="25"/>
    <x v="1"/>
    <x v="0"/>
    <x v="1"/>
    <n v="6.64"/>
    <n v="6.34"/>
    <n v="0.33"/>
    <n v="6.57"/>
  </r>
  <r>
    <x v="1"/>
    <x v="2"/>
    <x v="25"/>
    <x v="2"/>
    <x v="2"/>
    <x v="3"/>
    <n v="3.31"/>
    <n v="3.16"/>
    <n v="0"/>
    <n v="3.31"/>
  </r>
  <r>
    <x v="1"/>
    <x v="2"/>
    <x v="25"/>
    <x v="0"/>
    <x v="3"/>
    <x v="1"/>
    <n v="0.1"/>
    <n v="0.1"/>
    <n v="0"/>
    <n v="0.09"/>
  </r>
  <r>
    <x v="1"/>
    <x v="2"/>
    <x v="25"/>
    <x v="4"/>
    <x v="0"/>
    <x v="1"/>
    <n v="1.1200000000000001"/>
    <n v="1.07"/>
    <n v="0.06"/>
    <n v="1.03"/>
  </r>
  <r>
    <x v="1"/>
    <x v="2"/>
    <x v="25"/>
    <x v="4"/>
    <x v="4"/>
    <x v="1"/>
    <n v="0.11"/>
    <n v="0.11"/>
    <n v="0.01"/>
    <n v="0.1"/>
  </r>
  <r>
    <x v="1"/>
    <x v="2"/>
    <x v="25"/>
    <x v="4"/>
    <x v="1"/>
    <x v="1"/>
    <n v="0.09"/>
    <n v="0.09"/>
    <n v="0"/>
    <n v="0.08"/>
  </r>
  <r>
    <x v="1"/>
    <x v="2"/>
    <x v="25"/>
    <x v="0"/>
    <x v="0"/>
    <x v="1"/>
    <n v="2.17"/>
    <n v="2.0699999999999998"/>
    <n v="0.12"/>
    <n v="1.96"/>
  </r>
  <r>
    <x v="1"/>
    <x v="2"/>
    <x v="25"/>
    <x v="0"/>
    <x v="4"/>
    <x v="1"/>
    <n v="2.3199999999999998"/>
    <n v="2.21"/>
    <n v="0.06"/>
    <n v="2.09"/>
  </r>
  <r>
    <x v="1"/>
    <x v="2"/>
    <x v="25"/>
    <x v="1"/>
    <x v="3"/>
    <x v="1"/>
    <n v="0.12"/>
    <n v="0.11"/>
    <n v="0"/>
    <n v="0.11"/>
  </r>
  <r>
    <x v="1"/>
    <x v="2"/>
    <x v="25"/>
    <x v="2"/>
    <x v="3"/>
    <x v="2"/>
    <n v="6.03"/>
    <n v="5.75"/>
    <n v="0.01"/>
    <n v="6.03"/>
  </r>
  <r>
    <x v="1"/>
    <x v="2"/>
    <x v="25"/>
    <x v="2"/>
    <x v="0"/>
    <x v="0"/>
    <n v="7.54"/>
    <n v="7.2"/>
    <n v="5.45"/>
    <n v="7.24"/>
  </r>
  <r>
    <x v="1"/>
    <x v="2"/>
    <x v="25"/>
    <x v="1"/>
    <x v="1"/>
    <x v="1"/>
    <n v="5.5"/>
    <n v="5.25"/>
    <n v="0.09"/>
    <n v="5.2"/>
  </r>
  <r>
    <x v="1"/>
    <x v="2"/>
    <x v="25"/>
    <x v="1"/>
    <x v="2"/>
    <x v="0"/>
    <n v="7.39"/>
    <n v="7.06"/>
    <n v="0.14000000000000001"/>
    <n v="6.67"/>
  </r>
  <r>
    <x v="1"/>
    <x v="1"/>
    <x v="26"/>
    <x v="1"/>
    <x v="1"/>
    <x v="1"/>
    <n v="2.85"/>
    <n v="2.95"/>
    <n v="0.03"/>
    <n v="2.41"/>
  </r>
  <r>
    <x v="1"/>
    <x v="1"/>
    <x v="26"/>
    <x v="2"/>
    <x v="0"/>
    <x v="0"/>
    <n v="2.27"/>
    <n v="2.36"/>
    <n v="1.94"/>
    <n v="2.06"/>
  </r>
  <r>
    <x v="1"/>
    <x v="1"/>
    <x v="26"/>
    <x v="1"/>
    <x v="1"/>
    <x v="0"/>
    <n v="14.12"/>
    <n v="14.64"/>
    <n v="0.84"/>
    <n v="12.29"/>
  </r>
  <r>
    <x v="1"/>
    <x v="1"/>
    <x v="26"/>
    <x v="1"/>
    <x v="0"/>
    <x v="0"/>
    <n v="2.76"/>
    <n v="2.86"/>
    <n v="1.87"/>
    <n v="2.4700000000000002"/>
  </r>
  <r>
    <x v="1"/>
    <x v="1"/>
    <x v="26"/>
    <x v="0"/>
    <x v="4"/>
    <x v="0"/>
    <n v="7.62"/>
    <n v="7.9"/>
    <n v="1.8"/>
    <n v="6.53"/>
  </r>
  <r>
    <x v="1"/>
    <x v="1"/>
    <x v="26"/>
    <x v="0"/>
    <x v="0"/>
    <x v="0"/>
    <n v="5.03"/>
    <n v="5.21"/>
    <n v="1.67"/>
    <n v="4.3099999999999996"/>
  </r>
  <r>
    <x v="1"/>
    <x v="1"/>
    <x v="26"/>
    <x v="4"/>
    <x v="1"/>
    <x v="0"/>
    <n v="0.55000000000000004"/>
    <n v="0.56999999999999995"/>
    <n v="0.06"/>
    <n v="0.55000000000000004"/>
  </r>
  <r>
    <x v="1"/>
    <x v="1"/>
    <x v="26"/>
    <x v="4"/>
    <x v="4"/>
    <x v="0"/>
    <n v="18.11"/>
    <n v="18.78"/>
    <n v="3.18"/>
    <n v="15.62"/>
  </r>
  <r>
    <x v="1"/>
    <x v="1"/>
    <x v="26"/>
    <x v="3"/>
    <x v="1"/>
    <x v="0"/>
    <n v="0.05"/>
    <n v="0.05"/>
    <n v="0.01"/>
    <n v="0.05"/>
  </r>
  <r>
    <x v="1"/>
    <x v="1"/>
    <x v="26"/>
    <x v="3"/>
    <x v="4"/>
    <x v="0"/>
    <n v="0.17"/>
    <n v="0.18"/>
    <n v="0.04"/>
    <n v="0.15"/>
  </r>
  <r>
    <x v="1"/>
    <x v="1"/>
    <x v="26"/>
    <x v="2"/>
    <x v="3"/>
    <x v="1"/>
    <n v="1.58"/>
    <n v="1.64"/>
    <n v="0.01"/>
    <n v="1.36"/>
  </r>
  <r>
    <x v="1"/>
    <x v="1"/>
    <x v="26"/>
    <x v="2"/>
    <x v="4"/>
    <x v="0"/>
    <n v="2.08"/>
    <n v="2.16"/>
    <n v="0.76"/>
    <n v="1.92"/>
  </r>
  <r>
    <x v="1"/>
    <x v="1"/>
    <x v="26"/>
    <x v="1"/>
    <x v="2"/>
    <x v="1"/>
    <n v="6.86"/>
    <n v="7.12"/>
    <n v="0.04"/>
    <n v="5.83"/>
  </r>
  <r>
    <x v="1"/>
    <x v="1"/>
    <x v="26"/>
    <x v="1"/>
    <x v="2"/>
    <x v="0"/>
    <n v="0.61"/>
    <n v="0.63"/>
    <n v="0.02"/>
    <n v="0.52"/>
  </r>
  <r>
    <x v="1"/>
    <x v="1"/>
    <x v="26"/>
    <x v="1"/>
    <x v="4"/>
    <x v="1"/>
    <n v="0.54"/>
    <n v="0.56000000000000005"/>
    <n v="0.01"/>
    <n v="0.46"/>
  </r>
  <r>
    <x v="1"/>
    <x v="1"/>
    <x v="26"/>
    <x v="1"/>
    <x v="0"/>
    <x v="1"/>
    <n v="0.45"/>
    <n v="0.46"/>
    <n v="0.03"/>
    <n v="0.38"/>
  </r>
  <r>
    <x v="1"/>
    <x v="1"/>
    <x v="26"/>
    <x v="0"/>
    <x v="4"/>
    <x v="1"/>
    <n v="0.59"/>
    <n v="0.61"/>
    <n v="0.01"/>
    <n v="0.5"/>
  </r>
  <r>
    <x v="1"/>
    <x v="1"/>
    <x v="26"/>
    <x v="4"/>
    <x v="0"/>
    <x v="1"/>
    <n v="0.19"/>
    <n v="0.2"/>
    <n v="0.01"/>
    <n v="0.16"/>
  </r>
  <r>
    <x v="1"/>
    <x v="1"/>
    <x v="26"/>
    <x v="2"/>
    <x v="3"/>
    <x v="3"/>
    <n v="9.89"/>
    <n v="10.26"/>
    <n v="0"/>
    <n v="4.95"/>
  </r>
  <r>
    <x v="1"/>
    <x v="1"/>
    <x v="26"/>
    <x v="2"/>
    <x v="2"/>
    <x v="3"/>
    <n v="1.07"/>
    <n v="1.1100000000000001"/>
    <n v="0"/>
    <n v="1.07"/>
  </r>
  <r>
    <x v="1"/>
    <x v="1"/>
    <x v="26"/>
    <x v="2"/>
    <x v="3"/>
    <x v="2"/>
    <n v="3.38"/>
    <n v="3.5"/>
    <n v="0"/>
    <n v="1.69"/>
  </r>
  <r>
    <x v="1"/>
    <x v="1"/>
    <x v="26"/>
    <x v="1"/>
    <x v="1"/>
    <x v="2"/>
    <n v="1.18"/>
    <n v="1.23"/>
    <n v="0.02"/>
    <n v="0.96"/>
  </r>
  <r>
    <x v="1"/>
    <x v="1"/>
    <x v="26"/>
    <x v="4"/>
    <x v="1"/>
    <x v="2"/>
    <n v="0.13"/>
    <n v="0.13"/>
    <n v="0"/>
    <n v="0.13"/>
  </r>
  <r>
    <x v="1"/>
    <x v="1"/>
    <x v="26"/>
    <x v="4"/>
    <x v="4"/>
    <x v="2"/>
    <n v="0.54"/>
    <n v="0.56000000000000005"/>
    <n v="0.02"/>
    <n v="0.54"/>
  </r>
  <r>
    <x v="1"/>
    <x v="1"/>
    <x v="26"/>
    <x v="1"/>
    <x v="3"/>
    <x v="1"/>
    <n v="3.76"/>
    <n v="3.9"/>
    <n v="0"/>
    <n v="3.16"/>
  </r>
  <r>
    <x v="1"/>
    <x v="1"/>
    <x v="26"/>
    <x v="1"/>
    <x v="4"/>
    <x v="0"/>
    <n v="27.91"/>
    <n v="28.94"/>
    <n v="5.05"/>
    <n v="24.45"/>
  </r>
  <r>
    <x v="1"/>
    <x v="2"/>
    <x v="27"/>
    <x v="1"/>
    <x v="1"/>
    <x v="2"/>
    <n v="5.15"/>
    <n v="4.92"/>
    <n v="0.01"/>
    <n v="4.93"/>
  </r>
  <r>
    <x v="1"/>
    <x v="2"/>
    <x v="27"/>
    <x v="4"/>
    <x v="4"/>
    <x v="0"/>
    <n v="49.49"/>
    <n v="47.21"/>
    <n v="7.36"/>
    <n v="45.6"/>
  </r>
  <r>
    <x v="1"/>
    <x v="2"/>
    <x v="27"/>
    <x v="4"/>
    <x v="1"/>
    <x v="0"/>
    <n v="6.74"/>
    <n v="6.43"/>
    <n v="0.46"/>
    <n v="6.26"/>
  </r>
  <r>
    <x v="1"/>
    <x v="2"/>
    <x v="27"/>
    <x v="0"/>
    <x v="0"/>
    <x v="0"/>
    <n v="4.4800000000000004"/>
    <n v="4.2699999999999996"/>
    <n v="2.4"/>
    <n v="4.0599999999999996"/>
  </r>
  <r>
    <x v="1"/>
    <x v="2"/>
    <x v="27"/>
    <x v="0"/>
    <x v="4"/>
    <x v="0"/>
    <n v="9.52"/>
    <n v="9.09"/>
    <n v="2.86"/>
    <n v="8.81"/>
  </r>
  <r>
    <x v="1"/>
    <x v="2"/>
    <x v="27"/>
    <x v="1"/>
    <x v="0"/>
    <x v="0"/>
    <n v="4.55"/>
    <n v="4.34"/>
    <n v="2.44"/>
    <n v="4.26"/>
  </r>
  <r>
    <x v="1"/>
    <x v="2"/>
    <x v="27"/>
    <x v="1"/>
    <x v="4"/>
    <x v="0"/>
    <n v="48.99"/>
    <n v="46.74"/>
    <n v="12.35"/>
    <n v="45.4"/>
  </r>
  <r>
    <x v="1"/>
    <x v="2"/>
    <x v="27"/>
    <x v="2"/>
    <x v="2"/>
    <x v="2"/>
    <n v="0.35"/>
    <n v="0.34"/>
    <n v="0"/>
    <n v="0.35"/>
  </r>
  <r>
    <x v="1"/>
    <x v="2"/>
    <x v="27"/>
    <x v="2"/>
    <x v="4"/>
    <x v="1"/>
    <n v="0.01"/>
    <n v="0.01"/>
    <n v="0"/>
    <n v="0.01"/>
  </r>
  <r>
    <x v="1"/>
    <x v="2"/>
    <x v="27"/>
    <x v="1"/>
    <x v="4"/>
    <x v="2"/>
    <n v="2.4"/>
    <n v="2.29"/>
    <n v="0.02"/>
    <n v="2.08"/>
  </r>
  <r>
    <x v="1"/>
    <x v="2"/>
    <x v="27"/>
    <x v="4"/>
    <x v="2"/>
    <x v="2"/>
    <n v="0.18"/>
    <n v="0.17"/>
    <n v="0"/>
    <n v="0.16"/>
  </r>
  <r>
    <x v="1"/>
    <x v="2"/>
    <x v="27"/>
    <x v="4"/>
    <x v="1"/>
    <x v="2"/>
    <n v="0.19"/>
    <n v="0.18"/>
    <n v="0.01"/>
    <n v="0.17"/>
  </r>
  <r>
    <x v="1"/>
    <x v="2"/>
    <x v="27"/>
    <x v="4"/>
    <x v="4"/>
    <x v="2"/>
    <n v="0.42"/>
    <n v="0.4"/>
    <n v="0.02"/>
    <n v="0.36"/>
  </r>
  <r>
    <x v="1"/>
    <x v="2"/>
    <x v="27"/>
    <x v="2"/>
    <x v="0"/>
    <x v="0"/>
    <n v="2.4700000000000002"/>
    <n v="2.36"/>
    <n v="1.8"/>
    <n v="2.34"/>
  </r>
  <r>
    <x v="1"/>
    <x v="2"/>
    <x v="27"/>
    <x v="4"/>
    <x v="0"/>
    <x v="0"/>
    <n v="0.16"/>
    <n v="0.15"/>
    <n v="0.03"/>
    <n v="0.15"/>
  </r>
  <r>
    <x v="1"/>
    <x v="2"/>
    <x v="27"/>
    <x v="2"/>
    <x v="4"/>
    <x v="0"/>
    <n v="2.0699999999999998"/>
    <n v="1.98"/>
    <n v="0.53"/>
    <n v="1.98"/>
  </r>
  <r>
    <x v="1"/>
    <x v="2"/>
    <x v="27"/>
    <x v="0"/>
    <x v="1"/>
    <x v="1"/>
    <n v="0.03"/>
    <n v="0.03"/>
    <n v="0"/>
    <n v="0.03"/>
  </r>
  <r>
    <x v="1"/>
    <x v="2"/>
    <x v="27"/>
    <x v="2"/>
    <x v="2"/>
    <x v="3"/>
    <n v="0.78"/>
    <n v="0.74"/>
    <n v="0"/>
    <n v="0.78"/>
  </r>
  <r>
    <x v="1"/>
    <x v="2"/>
    <x v="27"/>
    <x v="1"/>
    <x v="1"/>
    <x v="0"/>
    <n v="13.48"/>
    <n v="12.87"/>
    <n v="0.85"/>
    <n v="12.46"/>
  </r>
  <r>
    <x v="1"/>
    <x v="2"/>
    <x v="27"/>
    <x v="2"/>
    <x v="3"/>
    <x v="3"/>
    <n v="6.07"/>
    <n v="5.8"/>
    <n v="0"/>
    <n v="6.07"/>
  </r>
  <r>
    <x v="1"/>
    <x v="2"/>
    <x v="27"/>
    <x v="4"/>
    <x v="0"/>
    <x v="1"/>
    <n v="0.71"/>
    <n v="0.68"/>
    <n v="0.04"/>
    <n v="0.66"/>
  </r>
  <r>
    <x v="1"/>
    <x v="2"/>
    <x v="27"/>
    <x v="4"/>
    <x v="4"/>
    <x v="1"/>
    <n v="0.06"/>
    <n v="0.06"/>
    <n v="0.01"/>
    <n v="0.05"/>
  </r>
  <r>
    <x v="1"/>
    <x v="2"/>
    <x v="27"/>
    <x v="4"/>
    <x v="1"/>
    <x v="1"/>
    <n v="0.04"/>
    <n v="0.04"/>
    <n v="0"/>
    <n v="0.03"/>
  </r>
  <r>
    <x v="1"/>
    <x v="2"/>
    <x v="27"/>
    <x v="3"/>
    <x v="4"/>
    <x v="0"/>
    <n v="1.66"/>
    <n v="1.58"/>
    <n v="0.25"/>
    <n v="1.53"/>
  </r>
  <r>
    <x v="1"/>
    <x v="2"/>
    <x v="27"/>
    <x v="0"/>
    <x v="4"/>
    <x v="1"/>
    <n v="1.07"/>
    <n v="1.02"/>
    <n v="0.03"/>
    <n v="0.96"/>
  </r>
  <r>
    <x v="1"/>
    <x v="2"/>
    <x v="27"/>
    <x v="2"/>
    <x v="3"/>
    <x v="1"/>
    <n v="4.93"/>
    <n v="4.7"/>
    <n v="0.01"/>
    <n v="4.62"/>
  </r>
  <r>
    <x v="1"/>
    <x v="2"/>
    <x v="27"/>
    <x v="0"/>
    <x v="3"/>
    <x v="1"/>
    <n v="0.02"/>
    <n v="0.02"/>
    <n v="0"/>
    <n v="0.02"/>
  </r>
  <r>
    <x v="1"/>
    <x v="2"/>
    <x v="27"/>
    <x v="1"/>
    <x v="0"/>
    <x v="1"/>
    <n v="1.85"/>
    <n v="1.76"/>
    <n v="0.24"/>
    <n v="1.82"/>
  </r>
  <r>
    <x v="1"/>
    <x v="2"/>
    <x v="27"/>
    <x v="1"/>
    <x v="4"/>
    <x v="1"/>
    <n v="1.1200000000000001"/>
    <n v="1.07"/>
    <n v="0.04"/>
    <n v="1.1200000000000001"/>
  </r>
  <r>
    <x v="1"/>
    <x v="2"/>
    <x v="27"/>
    <x v="1"/>
    <x v="1"/>
    <x v="1"/>
    <n v="2.5"/>
    <n v="2.38"/>
    <n v="0.03"/>
    <n v="2.33"/>
  </r>
  <r>
    <x v="1"/>
    <x v="2"/>
    <x v="27"/>
    <x v="1"/>
    <x v="2"/>
    <x v="1"/>
    <n v="4.04"/>
    <n v="3.85"/>
    <n v="0.02"/>
    <n v="3.69"/>
  </r>
  <r>
    <x v="1"/>
    <x v="2"/>
    <x v="27"/>
    <x v="1"/>
    <x v="3"/>
    <x v="1"/>
    <n v="0.06"/>
    <n v="0.06"/>
    <n v="0"/>
    <n v="0.06"/>
  </r>
  <r>
    <x v="1"/>
    <x v="2"/>
    <x v="27"/>
    <x v="2"/>
    <x v="3"/>
    <x v="2"/>
    <n v="4.04"/>
    <n v="3.85"/>
    <n v="0.01"/>
    <n v="3.7"/>
  </r>
  <r>
    <x v="1"/>
    <x v="2"/>
    <x v="27"/>
    <x v="0"/>
    <x v="0"/>
    <x v="1"/>
    <n v="1.4"/>
    <n v="1.33"/>
    <n v="0.06"/>
    <n v="1.28"/>
  </r>
  <r>
    <x v="1"/>
    <x v="2"/>
    <x v="27"/>
    <x v="3"/>
    <x v="0"/>
    <x v="0"/>
    <n v="7.0000000000000007E-2"/>
    <n v="7.0000000000000007E-2"/>
    <n v="0.06"/>
    <n v="7.0000000000000007E-2"/>
  </r>
  <r>
    <x v="1"/>
    <x v="5"/>
    <x v="28"/>
    <x v="4"/>
    <x v="0"/>
    <x v="1"/>
    <n v="1.67"/>
    <n v="1.57"/>
    <n v="0.1"/>
    <n v="1.56"/>
  </r>
  <r>
    <x v="1"/>
    <x v="5"/>
    <x v="28"/>
    <x v="0"/>
    <x v="0"/>
    <x v="0"/>
    <n v="9.01"/>
    <n v="8.4499999999999993"/>
    <n v="4.8899999999999997"/>
    <n v="8.27"/>
  </r>
  <r>
    <x v="1"/>
    <x v="5"/>
    <x v="28"/>
    <x v="4"/>
    <x v="1"/>
    <x v="1"/>
    <n v="0.11"/>
    <n v="0.11"/>
    <n v="0"/>
    <n v="0.1"/>
  </r>
  <r>
    <x v="1"/>
    <x v="5"/>
    <x v="28"/>
    <x v="2"/>
    <x v="4"/>
    <x v="1"/>
    <n v="0.03"/>
    <n v="0.02"/>
    <n v="0"/>
    <n v="0.02"/>
  </r>
  <r>
    <x v="1"/>
    <x v="5"/>
    <x v="28"/>
    <x v="3"/>
    <x v="0"/>
    <x v="0"/>
    <n v="0.14000000000000001"/>
    <n v="0.13"/>
    <n v="0.13"/>
    <n v="0.14000000000000001"/>
  </r>
  <r>
    <x v="1"/>
    <x v="5"/>
    <x v="28"/>
    <x v="3"/>
    <x v="4"/>
    <x v="0"/>
    <n v="3.23"/>
    <n v="3.03"/>
    <n v="0.49"/>
    <n v="3.01"/>
  </r>
  <r>
    <x v="1"/>
    <x v="5"/>
    <x v="28"/>
    <x v="4"/>
    <x v="0"/>
    <x v="0"/>
    <n v="0.28000000000000003"/>
    <n v="0.26"/>
    <n v="0.06"/>
    <n v="0.26"/>
  </r>
  <r>
    <x v="1"/>
    <x v="5"/>
    <x v="28"/>
    <x v="2"/>
    <x v="4"/>
    <x v="0"/>
    <n v="4.66"/>
    <n v="4.37"/>
    <n v="1.18"/>
    <n v="4.43"/>
  </r>
  <r>
    <x v="1"/>
    <x v="5"/>
    <x v="28"/>
    <x v="4"/>
    <x v="1"/>
    <x v="0"/>
    <n v="5.57"/>
    <n v="5.23"/>
    <n v="0.39"/>
    <n v="5.19"/>
  </r>
  <r>
    <x v="1"/>
    <x v="5"/>
    <x v="28"/>
    <x v="1"/>
    <x v="4"/>
    <x v="1"/>
    <n v="6.47"/>
    <n v="6.07"/>
    <n v="7.0000000000000007E-2"/>
    <n v="6.47"/>
  </r>
  <r>
    <x v="1"/>
    <x v="5"/>
    <x v="28"/>
    <x v="0"/>
    <x v="4"/>
    <x v="0"/>
    <n v="20.25"/>
    <n v="19.010000000000002"/>
    <n v="6.44"/>
    <n v="18.920000000000002"/>
  </r>
  <r>
    <x v="1"/>
    <x v="5"/>
    <x v="28"/>
    <x v="1"/>
    <x v="0"/>
    <x v="0"/>
    <n v="12.49"/>
    <n v="11.72"/>
    <n v="7.24"/>
    <n v="11.78"/>
  </r>
  <r>
    <x v="1"/>
    <x v="5"/>
    <x v="28"/>
    <x v="1"/>
    <x v="4"/>
    <x v="0"/>
    <n v="99.84"/>
    <n v="93.71"/>
    <n v="32.24"/>
    <n v="92.99"/>
  </r>
  <r>
    <x v="1"/>
    <x v="5"/>
    <x v="28"/>
    <x v="1"/>
    <x v="1"/>
    <x v="0"/>
    <n v="24.93"/>
    <n v="23.4"/>
    <n v="2.02"/>
    <n v="23.05"/>
  </r>
  <r>
    <x v="1"/>
    <x v="5"/>
    <x v="28"/>
    <x v="1"/>
    <x v="2"/>
    <x v="0"/>
    <n v="0.99"/>
    <n v="0.93"/>
    <n v="0.04"/>
    <n v="0.88"/>
  </r>
  <r>
    <x v="1"/>
    <x v="5"/>
    <x v="28"/>
    <x v="2"/>
    <x v="0"/>
    <x v="0"/>
    <n v="6.21"/>
    <n v="5.83"/>
    <n v="4.42"/>
    <n v="5.91"/>
  </r>
  <r>
    <x v="1"/>
    <x v="5"/>
    <x v="28"/>
    <x v="4"/>
    <x v="4"/>
    <x v="0"/>
    <n v="45.93"/>
    <n v="43.11"/>
    <n v="7.13"/>
    <n v="42.72"/>
  </r>
  <r>
    <x v="1"/>
    <x v="5"/>
    <x v="28"/>
    <x v="4"/>
    <x v="4"/>
    <x v="1"/>
    <n v="0.17"/>
    <n v="0.16"/>
    <n v="0.02"/>
    <n v="0.16"/>
  </r>
  <r>
    <x v="1"/>
    <x v="5"/>
    <x v="28"/>
    <x v="4"/>
    <x v="4"/>
    <x v="2"/>
    <n v="1.22"/>
    <n v="1.1399999999999999"/>
    <n v="0.05"/>
    <n v="1.06"/>
  </r>
  <r>
    <x v="1"/>
    <x v="5"/>
    <x v="28"/>
    <x v="4"/>
    <x v="1"/>
    <x v="2"/>
    <n v="0.86"/>
    <n v="0.8"/>
    <n v="0.02"/>
    <n v="0.75"/>
  </r>
  <r>
    <x v="1"/>
    <x v="5"/>
    <x v="28"/>
    <x v="4"/>
    <x v="2"/>
    <x v="2"/>
    <n v="1.04"/>
    <n v="0.98"/>
    <n v="0"/>
    <n v="0.91"/>
  </r>
  <r>
    <x v="1"/>
    <x v="5"/>
    <x v="28"/>
    <x v="1"/>
    <x v="4"/>
    <x v="2"/>
    <n v="2.39"/>
    <n v="2.2400000000000002"/>
    <n v="0.02"/>
    <n v="2.1"/>
  </r>
  <r>
    <x v="1"/>
    <x v="5"/>
    <x v="28"/>
    <x v="1"/>
    <x v="1"/>
    <x v="2"/>
    <n v="0.28000000000000003"/>
    <n v="0.27"/>
    <n v="0"/>
    <n v="0.25"/>
  </r>
  <r>
    <x v="1"/>
    <x v="5"/>
    <x v="28"/>
    <x v="2"/>
    <x v="3"/>
    <x v="2"/>
    <n v="9.1999999999999993"/>
    <n v="8.64"/>
    <n v="0.01"/>
    <n v="8.18"/>
  </r>
  <r>
    <x v="1"/>
    <x v="5"/>
    <x v="28"/>
    <x v="1"/>
    <x v="2"/>
    <x v="1"/>
    <n v="13.12"/>
    <n v="12.32"/>
    <n v="7.0000000000000007E-2"/>
    <n v="12.3"/>
  </r>
  <r>
    <x v="1"/>
    <x v="5"/>
    <x v="28"/>
    <x v="2"/>
    <x v="3"/>
    <x v="3"/>
    <n v="6.06"/>
    <n v="5.68"/>
    <n v="0.01"/>
    <n v="6.06"/>
  </r>
  <r>
    <x v="1"/>
    <x v="5"/>
    <x v="28"/>
    <x v="1"/>
    <x v="1"/>
    <x v="1"/>
    <n v="6.52"/>
    <n v="6.12"/>
    <n v="0.1"/>
    <n v="6.19"/>
  </r>
  <r>
    <x v="1"/>
    <x v="5"/>
    <x v="28"/>
    <x v="0"/>
    <x v="0"/>
    <x v="1"/>
    <n v="3.08"/>
    <n v="2.89"/>
    <n v="0.18"/>
    <n v="2.87"/>
  </r>
  <r>
    <x v="1"/>
    <x v="5"/>
    <x v="28"/>
    <x v="0"/>
    <x v="4"/>
    <x v="1"/>
    <n v="3.34"/>
    <n v="3.13"/>
    <n v="0.08"/>
    <n v="3.1"/>
  </r>
  <r>
    <x v="1"/>
    <x v="5"/>
    <x v="28"/>
    <x v="0"/>
    <x v="1"/>
    <x v="1"/>
    <n v="0.11"/>
    <n v="0.1"/>
    <n v="0"/>
    <n v="0.1"/>
  </r>
  <r>
    <x v="1"/>
    <x v="5"/>
    <x v="28"/>
    <x v="0"/>
    <x v="3"/>
    <x v="1"/>
    <n v="0.09"/>
    <n v="0.09"/>
    <n v="0"/>
    <n v="0.09"/>
  </r>
  <r>
    <x v="1"/>
    <x v="5"/>
    <x v="28"/>
    <x v="1"/>
    <x v="0"/>
    <x v="1"/>
    <n v="4.25"/>
    <n v="3.99"/>
    <n v="0.24"/>
    <n v="4.16"/>
  </r>
  <r>
    <x v="1"/>
    <x v="5"/>
    <x v="28"/>
    <x v="2"/>
    <x v="3"/>
    <x v="1"/>
    <n v="9.33"/>
    <n v="8.75"/>
    <n v="0.02"/>
    <n v="8.6199999999999992"/>
  </r>
  <r>
    <x v="1"/>
    <x v="5"/>
    <x v="28"/>
    <x v="2"/>
    <x v="2"/>
    <x v="3"/>
    <n v="0.56000000000000005"/>
    <n v="0.53"/>
    <n v="0"/>
    <n v="0.56000000000000005"/>
  </r>
  <r>
    <x v="1"/>
    <x v="5"/>
    <x v="28"/>
    <x v="1"/>
    <x v="3"/>
    <x v="1"/>
    <n v="0.21"/>
    <n v="0.19"/>
    <n v="0"/>
    <n v="0.19"/>
  </r>
  <r>
    <x v="1"/>
    <x v="2"/>
    <x v="29"/>
    <x v="4"/>
    <x v="0"/>
    <x v="1"/>
    <n v="1.77"/>
    <n v="1.69"/>
    <n v="7.0000000000000007E-2"/>
    <n v="1.75"/>
  </r>
  <r>
    <x v="1"/>
    <x v="2"/>
    <x v="29"/>
    <x v="2"/>
    <x v="4"/>
    <x v="0"/>
    <n v="0.84"/>
    <n v="0.81"/>
    <n v="0.21"/>
    <n v="0.81"/>
  </r>
  <r>
    <x v="1"/>
    <x v="2"/>
    <x v="29"/>
    <x v="1"/>
    <x v="4"/>
    <x v="1"/>
    <n v="2.0099999999999998"/>
    <n v="1.92"/>
    <n v="0.09"/>
    <n v="2.0099999999999998"/>
  </r>
  <r>
    <x v="1"/>
    <x v="2"/>
    <x v="29"/>
    <x v="0"/>
    <x v="3"/>
    <x v="1"/>
    <n v="0.01"/>
    <n v="0.01"/>
    <n v="0"/>
    <n v="0.01"/>
  </r>
  <r>
    <x v="1"/>
    <x v="2"/>
    <x v="29"/>
    <x v="0"/>
    <x v="1"/>
    <x v="1"/>
    <n v="0.03"/>
    <n v="0.02"/>
    <n v="0"/>
    <n v="0.02"/>
  </r>
  <r>
    <x v="1"/>
    <x v="2"/>
    <x v="29"/>
    <x v="0"/>
    <x v="4"/>
    <x v="1"/>
    <n v="0.66"/>
    <n v="0.63"/>
    <n v="0.02"/>
    <n v="0.6"/>
  </r>
  <r>
    <x v="1"/>
    <x v="2"/>
    <x v="29"/>
    <x v="0"/>
    <x v="0"/>
    <x v="1"/>
    <n v="0.56999999999999995"/>
    <n v="0.54"/>
    <n v="0.03"/>
    <n v="0.51"/>
  </r>
  <r>
    <x v="1"/>
    <x v="2"/>
    <x v="29"/>
    <x v="4"/>
    <x v="4"/>
    <x v="2"/>
    <n v="1.07"/>
    <n v="1.02"/>
    <n v="0.06"/>
    <n v="0.95"/>
  </r>
  <r>
    <x v="1"/>
    <x v="2"/>
    <x v="29"/>
    <x v="4"/>
    <x v="4"/>
    <x v="1"/>
    <n v="0.08"/>
    <n v="7.0000000000000007E-2"/>
    <n v="0"/>
    <n v="0.08"/>
  </r>
  <r>
    <x v="1"/>
    <x v="2"/>
    <x v="29"/>
    <x v="2"/>
    <x v="4"/>
    <x v="1"/>
    <n v="0.01"/>
    <n v="0.01"/>
    <n v="0"/>
    <n v="0"/>
  </r>
  <r>
    <x v="1"/>
    <x v="2"/>
    <x v="29"/>
    <x v="2"/>
    <x v="3"/>
    <x v="2"/>
    <n v="3.41"/>
    <n v="3.25"/>
    <n v="0.01"/>
    <n v="3.1"/>
  </r>
  <r>
    <x v="1"/>
    <x v="2"/>
    <x v="29"/>
    <x v="1"/>
    <x v="1"/>
    <x v="2"/>
    <n v="0.03"/>
    <n v="0.03"/>
    <n v="0"/>
    <n v="0.03"/>
  </r>
  <r>
    <x v="1"/>
    <x v="2"/>
    <x v="29"/>
    <x v="1"/>
    <x v="4"/>
    <x v="2"/>
    <n v="0.52"/>
    <n v="0.5"/>
    <n v="0.03"/>
    <n v="0.45"/>
  </r>
  <r>
    <x v="1"/>
    <x v="2"/>
    <x v="29"/>
    <x v="4"/>
    <x v="2"/>
    <x v="2"/>
    <n v="1.1100000000000001"/>
    <n v="1.06"/>
    <n v="0.01"/>
    <n v="0.97"/>
  </r>
  <r>
    <x v="1"/>
    <x v="2"/>
    <x v="29"/>
    <x v="4"/>
    <x v="1"/>
    <x v="2"/>
    <n v="0.79"/>
    <n v="0.76"/>
    <n v="0.02"/>
    <n v="0.69"/>
  </r>
  <r>
    <x v="1"/>
    <x v="2"/>
    <x v="29"/>
    <x v="4"/>
    <x v="1"/>
    <x v="1"/>
    <n v="0.02"/>
    <n v="0.02"/>
    <n v="0"/>
    <n v="0.02"/>
  </r>
  <r>
    <x v="1"/>
    <x v="2"/>
    <x v="29"/>
    <x v="4"/>
    <x v="1"/>
    <x v="0"/>
    <n v="0.68"/>
    <n v="0.65"/>
    <n v="0.04"/>
    <n v="0.66"/>
  </r>
  <r>
    <x v="1"/>
    <x v="2"/>
    <x v="29"/>
    <x v="2"/>
    <x v="0"/>
    <x v="0"/>
    <n v="1.82"/>
    <n v="1.74"/>
    <n v="1.43"/>
    <n v="1.72"/>
  </r>
  <r>
    <x v="1"/>
    <x v="2"/>
    <x v="29"/>
    <x v="1"/>
    <x v="2"/>
    <x v="0"/>
    <n v="0.16"/>
    <n v="0.15"/>
    <n v="0"/>
    <n v="0.14000000000000001"/>
  </r>
  <r>
    <x v="1"/>
    <x v="2"/>
    <x v="29"/>
    <x v="1"/>
    <x v="1"/>
    <x v="0"/>
    <n v="1.92"/>
    <n v="1.83"/>
    <n v="0.22"/>
    <n v="1.81"/>
  </r>
  <r>
    <x v="1"/>
    <x v="2"/>
    <x v="29"/>
    <x v="1"/>
    <x v="4"/>
    <x v="0"/>
    <n v="24.98"/>
    <n v="23.86"/>
    <n v="6.67"/>
    <n v="22.94"/>
  </r>
  <r>
    <x v="1"/>
    <x v="2"/>
    <x v="29"/>
    <x v="1"/>
    <x v="0"/>
    <x v="0"/>
    <n v="4.0999999999999996"/>
    <n v="3.92"/>
    <n v="1.69"/>
    <n v="3.78"/>
  </r>
  <r>
    <x v="1"/>
    <x v="2"/>
    <x v="29"/>
    <x v="1"/>
    <x v="2"/>
    <x v="1"/>
    <n v="4.87"/>
    <n v="4.6500000000000004"/>
    <n v="0.03"/>
    <n v="4.68"/>
  </r>
  <r>
    <x v="1"/>
    <x v="2"/>
    <x v="29"/>
    <x v="0"/>
    <x v="0"/>
    <x v="0"/>
    <n v="4.92"/>
    <n v="4.7"/>
    <n v="2.42"/>
    <n v="4.46"/>
  </r>
  <r>
    <x v="1"/>
    <x v="2"/>
    <x v="29"/>
    <x v="1"/>
    <x v="3"/>
    <x v="1"/>
    <n v="0.05"/>
    <n v="0.05"/>
    <n v="0"/>
    <n v="0.04"/>
  </r>
  <r>
    <x v="1"/>
    <x v="2"/>
    <x v="29"/>
    <x v="4"/>
    <x v="4"/>
    <x v="0"/>
    <n v="14.27"/>
    <n v="13.62"/>
    <n v="2.2400000000000002"/>
    <n v="13.28"/>
  </r>
  <r>
    <x v="1"/>
    <x v="2"/>
    <x v="29"/>
    <x v="4"/>
    <x v="0"/>
    <x v="0"/>
    <n v="0.04"/>
    <n v="0.04"/>
    <n v="0.01"/>
    <n v="0.04"/>
  </r>
  <r>
    <x v="1"/>
    <x v="2"/>
    <x v="29"/>
    <x v="3"/>
    <x v="4"/>
    <x v="0"/>
    <n v="1.02"/>
    <n v="0.98"/>
    <n v="0.12"/>
    <n v="0.93"/>
  </r>
  <r>
    <x v="1"/>
    <x v="2"/>
    <x v="29"/>
    <x v="3"/>
    <x v="0"/>
    <x v="0"/>
    <n v="0.02"/>
    <n v="0.02"/>
    <n v="0.02"/>
    <n v="0.02"/>
  </r>
  <r>
    <x v="1"/>
    <x v="2"/>
    <x v="29"/>
    <x v="2"/>
    <x v="3"/>
    <x v="1"/>
    <n v="1.91"/>
    <n v="1.83"/>
    <n v="0.01"/>
    <n v="1.77"/>
  </r>
  <r>
    <x v="1"/>
    <x v="2"/>
    <x v="29"/>
    <x v="1"/>
    <x v="0"/>
    <x v="1"/>
    <n v="2.8"/>
    <n v="2.67"/>
    <n v="0.12"/>
    <n v="2.78"/>
  </r>
  <r>
    <x v="1"/>
    <x v="2"/>
    <x v="29"/>
    <x v="0"/>
    <x v="4"/>
    <x v="0"/>
    <n v="5.3"/>
    <n v="5.0599999999999996"/>
    <n v="1.53"/>
    <n v="4.8899999999999997"/>
  </r>
  <r>
    <x v="1"/>
    <x v="2"/>
    <x v="29"/>
    <x v="1"/>
    <x v="1"/>
    <x v="1"/>
    <n v="1.71"/>
    <n v="1.63"/>
    <n v="0.03"/>
    <n v="1.64"/>
  </r>
  <r>
    <x v="1"/>
    <x v="5"/>
    <x v="30"/>
    <x v="4"/>
    <x v="1"/>
    <x v="0"/>
    <n v="7.78"/>
    <n v="7.43"/>
    <n v="0.52"/>
    <n v="7.23"/>
  </r>
  <r>
    <x v="1"/>
    <x v="5"/>
    <x v="30"/>
    <x v="1"/>
    <x v="1"/>
    <x v="1"/>
    <n v="6.98"/>
    <n v="6.67"/>
    <n v="0.13"/>
    <n v="6.64"/>
  </r>
  <r>
    <x v="1"/>
    <x v="5"/>
    <x v="30"/>
    <x v="1"/>
    <x v="2"/>
    <x v="1"/>
    <n v="15.97"/>
    <n v="15.25"/>
    <n v="0.08"/>
    <n v="15.07"/>
  </r>
  <r>
    <x v="1"/>
    <x v="5"/>
    <x v="30"/>
    <x v="1"/>
    <x v="3"/>
    <x v="1"/>
    <n v="0.23"/>
    <n v="0.22"/>
    <n v="0"/>
    <n v="0.21"/>
  </r>
  <r>
    <x v="1"/>
    <x v="5"/>
    <x v="30"/>
    <x v="2"/>
    <x v="4"/>
    <x v="1"/>
    <n v="0.03"/>
    <n v="0.03"/>
    <n v="0"/>
    <n v="0.03"/>
  </r>
  <r>
    <x v="1"/>
    <x v="5"/>
    <x v="30"/>
    <x v="2"/>
    <x v="3"/>
    <x v="1"/>
    <n v="9.19"/>
    <n v="8.7799999999999994"/>
    <n v="0.01"/>
    <n v="8.51"/>
  </r>
  <r>
    <x v="1"/>
    <x v="5"/>
    <x v="30"/>
    <x v="3"/>
    <x v="0"/>
    <x v="0"/>
    <n v="0.08"/>
    <n v="7.0000000000000007E-2"/>
    <n v="7.0000000000000007E-2"/>
    <n v="0.08"/>
  </r>
  <r>
    <x v="1"/>
    <x v="5"/>
    <x v="30"/>
    <x v="3"/>
    <x v="4"/>
    <x v="0"/>
    <n v="3.91"/>
    <n v="3.74"/>
    <n v="0.54"/>
    <n v="3.59"/>
  </r>
  <r>
    <x v="1"/>
    <x v="5"/>
    <x v="30"/>
    <x v="1"/>
    <x v="4"/>
    <x v="1"/>
    <n v="3.16"/>
    <n v="3.02"/>
    <n v="0.14000000000000001"/>
    <n v="3.15"/>
  </r>
  <r>
    <x v="1"/>
    <x v="5"/>
    <x v="30"/>
    <x v="4"/>
    <x v="4"/>
    <x v="0"/>
    <n v="60.9"/>
    <n v="58.15"/>
    <n v="8.92"/>
    <n v="56.27"/>
  </r>
  <r>
    <x v="1"/>
    <x v="5"/>
    <x v="30"/>
    <x v="1"/>
    <x v="1"/>
    <x v="0"/>
    <n v="37.86"/>
    <n v="36.15"/>
    <n v="3.88"/>
    <n v="34.83"/>
  </r>
  <r>
    <x v="1"/>
    <x v="5"/>
    <x v="30"/>
    <x v="0"/>
    <x v="0"/>
    <x v="0"/>
    <n v="11.6"/>
    <n v="11.08"/>
    <n v="5.53"/>
    <n v="10.65"/>
  </r>
  <r>
    <x v="1"/>
    <x v="5"/>
    <x v="30"/>
    <x v="0"/>
    <x v="4"/>
    <x v="0"/>
    <n v="24.73"/>
    <n v="23.61"/>
    <n v="8.33"/>
    <n v="22.79"/>
  </r>
  <r>
    <x v="1"/>
    <x v="5"/>
    <x v="30"/>
    <x v="1"/>
    <x v="0"/>
    <x v="0"/>
    <n v="14.88"/>
    <n v="14.21"/>
    <n v="9.17"/>
    <n v="13.83"/>
  </r>
  <r>
    <x v="1"/>
    <x v="5"/>
    <x v="30"/>
    <x v="1"/>
    <x v="4"/>
    <x v="0"/>
    <n v="143.51"/>
    <n v="137.03"/>
    <n v="55.23"/>
    <n v="132.04"/>
  </r>
  <r>
    <x v="1"/>
    <x v="5"/>
    <x v="30"/>
    <x v="1"/>
    <x v="4"/>
    <x v="2"/>
    <n v="1.25"/>
    <n v="1.19"/>
    <n v="0.06"/>
    <n v="1.0900000000000001"/>
  </r>
  <r>
    <x v="1"/>
    <x v="5"/>
    <x v="30"/>
    <x v="1"/>
    <x v="2"/>
    <x v="0"/>
    <n v="2.06"/>
    <n v="1.97"/>
    <n v="0.05"/>
    <n v="1.81"/>
  </r>
  <r>
    <x v="1"/>
    <x v="5"/>
    <x v="30"/>
    <x v="4"/>
    <x v="0"/>
    <x v="0"/>
    <n v="0.49"/>
    <n v="0.47"/>
    <n v="0.1"/>
    <n v="0.46"/>
  </r>
  <r>
    <x v="1"/>
    <x v="5"/>
    <x v="30"/>
    <x v="4"/>
    <x v="1"/>
    <x v="2"/>
    <n v="2.1800000000000002"/>
    <n v="2.08"/>
    <n v="0.06"/>
    <n v="1.89"/>
  </r>
  <r>
    <x v="1"/>
    <x v="5"/>
    <x v="30"/>
    <x v="2"/>
    <x v="0"/>
    <x v="0"/>
    <n v="6.39"/>
    <n v="6.11"/>
    <n v="4.5"/>
    <n v="6.03"/>
  </r>
  <r>
    <x v="1"/>
    <x v="5"/>
    <x v="30"/>
    <x v="1"/>
    <x v="0"/>
    <x v="1"/>
    <n v="4"/>
    <n v="3.82"/>
    <n v="0.26"/>
    <n v="3.93"/>
  </r>
  <r>
    <x v="1"/>
    <x v="5"/>
    <x v="30"/>
    <x v="4"/>
    <x v="2"/>
    <x v="2"/>
    <n v="2.92"/>
    <n v="2.79"/>
    <n v="0.02"/>
    <n v="2.54"/>
  </r>
  <r>
    <x v="1"/>
    <x v="5"/>
    <x v="30"/>
    <x v="4"/>
    <x v="4"/>
    <x v="2"/>
    <n v="3.16"/>
    <n v="3.02"/>
    <n v="0.18"/>
    <n v="2.75"/>
  </r>
  <r>
    <x v="1"/>
    <x v="5"/>
    <x v="30"/>
    <x v="1"/>
    <x v="1"/>
    <x v="2"/>
    <n v="0.85"/>
    <n v="0.81"/>
    <n v="0.01"/>
    <n v="0.74"/>
  </r>
  <r>
    <x v="1"/>
    <x v="5"/>
    <x v="30"/>
    <x v="1"/>
    <x v="2"/>
    <x v="2"/>
    <n v="0.51"/>
    <n v="0.49"/>
    <n v="0"/>
    <n v="0.45"/>
  </r>
  <r>
    <x v="1"/>
    <x v="5"/>
    <x v="30"/>
    <x v="1"/>
    <x v="3"/>
    <x v="2"/>
    <n v="1.5"/>
    <n v="1.43"/>
    <n v="0"/>
    <n v="1.3"/>
  </r>
  <r>
    <x v="1"/>
    <x v="5"/>
    <x v="30"/>
    <x v="2"/>
    <x v="3"/>
    <x v="2"/>
    <n v="26.52"/>
    <n v="25.32"/>
    <n v="0.03"/>
    <n v="23.68"/>
  </r>
  <r>
    <x v="1"/>
    <x v="5"/>
    <x v="30"/>
    <x v="2"/>
    <x v="2"/>
    <x v="3"/>
    <n v="0.23"/>
    <n v="0.22"/>
    <n v="0"/>
    <n v="0.23"/>
  </r>
  <r>
    <x v="1"/>
    <x v="5"/>
    <x v="30"/>
    <x v="0"/>
    <x v="1"/>
    <x v="1"/>
    <n v="0.13"/>
    <n v="0.12"/>
    <n v="0"/>
    <n v="0.12"/>
  </r>
  <r>
    <x v="1"/>
    <x v="5"/>
    <x v="30"/>
    <x v="4"/>
    <x v="0"/>
    <x v="1"/>
    <n v="1.89"/>
    <n v="1.81"/>
    <n v="0.1"/>
    <n v="1.77"/>
  </r>
  <r>
    <x v="1"/>
    <x v="5"/>
    <x v="30"/>
    <x v="4"/>
    <x v="4"/>
    <x v="1"/>
    <n v="0.14000000000000001"/>
    <n v="0.13"/>
    <n v="0.01"/>
    <n v="0.13"/>
  </r>
  <r>
    <x v="1"/>
    <x v="5"/>
    <x v="30"/>
    <x v="4"/>
    <x v="1"/>
    <x v="1"/>
    <n v="0.1"/>
    <n v="0.1"/>
    <n v="0"/>
    <n v="0.1"/>
  </r>
  <r>
    <x v="1"/>
    <x v="5"/>
    <x v="30"/>
    <x v="0"/>
    <x v="0"/>
    <x v="1"/>
    <n v="3.37"/>
    <n v="3.22"/>
    <n v="0.18"/>
    <n v="3.12"/>
  </r>
  <r>
    <x v="1"/>
    <x v="5"/>
    <x v="30"/>
    <x v="0"/>
    <x v="4"/>
    <x v="1"/>
    <n v="3.78"/>
    <n v="3.61"/>
    <n v="0.08"/>
    <n v="3.5"/>
  </r>
  <r>
    <x v="1"/>
    <x v="5"/>
    <x v="30"/>
    <x v="0"/>
    <x v="3"/>
    <x v="1"/>
    <n v="0.15"/>
    <n v="0.14000000000000001"/>
    <n v="0"/>
    <n v="0.14000000000000001"/>
  </r>
  <r>
    <x v="1"/>
    <x v="5"/>
    <x v="30"/>
    <x v="2"/>
    <x v="4"/>
    <x v="0"/>
    <n v="5.41"/>
    <n v="5.16"/>
    <n v="1.34"/>
    <n v="5.09"/>
  </r>
  <r>
    <x v="1"/>
    <x v="5"/>
    <x v="30"/>
    <x v="2"/>
    <x v="3"/>
    <x v="3"/>
    <n v="1.27"/>
    <n v="1.21"/>
    <n v="0"/>
    <n v="1.27"/>
  </r>
  <r>
    <x v="1"/>
    <x v="6"/>
    <x v="31"/>
    <x v="0"/>
    <x v="1"/>
    <x v="1"/>
    <n v="0.18"/>
    <n v="0.18"/>
    <n v="0"/>
    <n v="0.14000000000000001"/>
  </r>
  <r>
    <x v="1"/>
    <x v="6"/>
    <x v="31"/>
    <x v="1"/>
    <x v="0"/>
    <x v="0"/>
    <n v="5.05"/>
    <n v="5.05"/>
    <n v="3.38"/>
    <n v="4.55"/>
  </r>
  <r>
    <x v="1"/>
    <x v="6"/>
    <x v="31"/>
    <x v="0"/>
    <x v="4"/>
    <x v="0"/>
    <n v="8.4600000000000009"/>
    <n v="8.4600000000000009"/>
    <n v="2.87"/>
    <n v="7.46"/>
  </r>
  <r>
    <x v="1"/>
    <x v="6"/>
    <x v="31"/>
    <x v="0"/>
    <x v="0"/>
    <x v="0"/>
    <n v="6.93"/>
    <n v="6.93"/>
    <n v="3.16"/>
    <n v="5.91"/>
  </r>
  <r>
    <x v="1"/>
    <x v="6"/>
    <x v="31"/>
    <x v="4"/>
    <x v="4"/>
    <x v="0"/>
    <n v="16.920000000000002"/>
    <n v="16.920000000000002"/>
    <n v="3.31"/>
    <n v="14.76"/>
  </r>
  <r>
    <x v="1"/>
    <x v="6"/>
    <x v="31"/>
    <x v="3"/>
    <x v="1"/>
    <x v="0"/>
    <n v="0.06"/>
    <n v="0.06"/>
    <n v="0.01"/>
    <n v="0.06"/>
  </r>
  <r>
    <x v="1"/>
    <x v="6"/>
    <x v="31"/>
    <x v="3"/>
    <x v="4"/>
    <x v="0"/>
    <n v="0.64"/>
    <n v="0.64"/>
    <n v="7.0000000000000007E-2"/>
    <n v="0.54"/>
  </r>
  <r>
    <x v="1"/>
    <x v="6"/>
    <x v="31"/>
    <x v="2"/>
    <x v="3"/>
    <x v="1"/>
    <n v="12.03"/>
    <n v="12.03"/>
    <n v="0"/>
    <n v="5.0999999999999996"/>
  </r>
  <r>
    <x v="1"/>
    <x v="6"/>
    <x v="31"/>
    <x v="1"/>
    <x v="3"/>
    <x v="1"/>
    <n v="0.06"/>
    <n v="0.06"/>
    <n v="0"/>
    <n v="0.05"/>
  </r>
  <r>
    <x v="1"/>
    <x v="6"/>
    <x v="31"/>
    <x v="1"/>
    <x v="2"/>
    <x v="1"/>
    <n v="15.63"/>
    <n v="15.63"/>
    <n v="0.1"/>
    <n v="13.21"/>
  </r>
  <r>
    <x v="1"/>
    <x v="6"/>
    <x v="31"/>
    <x v="1"/>
    <x v="1"/>
    <x v="1"/>
    <n v="13.73"/>
    <n v="13.73"/>
    <n v="0.11"/>
    <n v="11.34"/>
  </r>
  <r>
    <x v="1"/>
    <x v="6"/>
    <x v="31"/>
    <x v="1"/>
    <x v="4"/>
    <x v="0"/>
    <n v="78.319999999999993"/>
    <n v="78.319999999999993"/>
    <n v="25.6"/>
    <n v="71.92"/>
  </r>
  <r>
    <x v="1"/>
    <x v="6"/>
    <x v="31"/>
    <x v="1"/>
    <x v="0"/>
    <x v="1"/>
    <n v="0.5"/>
    <n v="0.5"/>
    <n v="0.05"/>
    <n v="0.42"/>
  </r>
  <r>
    <x v="1"/>
    <x v="6"/>
    <x v="31"/>
    <x v="4"/>
    <x v="1"/>
    <x v="0"/>
    <n v="2.1"/>
    <n v="2.1"/>
    <n v="0.18"/>
    <n v="1.98"/>
  </r>
  <r>
    <x v="1"/>
    <x v="6"/>
    <x v="31"/>
    <x v="0"/>
    <x v="4"/>
    <x v="1"/>
    <n v="4.22"/>
    <n v="4.22"/>
    <n v="0.04"/>
    <n v="3.45"/>
  </r>
  <r>
    <x v="1"/>
    <x v="6"/>
    <x v="31"/>
    <x v="0"/>
    <x v="0"/>
    <x v="1"/>
    <n v="7.0000000000000007E-2"/>
    <n v="7.0000000000000007E-2"/>
    <n v="0"/>
    <n v="0.06"/>
  </r>
  <r>
    <x v="1"/>
    <x v="6"/>
    <x v="31"/>
    <x v="4"/>
    <x v="0"/>
    <x v="1"/>
    <n v="0.51"/>
    <n v="0.51"/>
    <n v="0.02"/>
    <n v="0.41"/>
  </r>
  <r>
    <x v="1"/>
    <x v="6"/>
    <x v="31"/>
    <x v="2"/>
    <x v="3"/>
    <x v="3"/>
    <n v="6.9"/>
    <n v="6.9"/>
    <n v="0"/>
    <n v="3.45"/>
  </r>
  <r>
    <x v="1"/>
    <x v="6"/>
    <x v="31"/>
    <x v="2"/>
    <x v="2"/>
    <x v="3"/>
    <n v="1.3"/>
    <n v="1.3"/>
    <n v="0"/>
    <n v="1.3"/>
  </r>
  <r>
    <x v="1"/>
    <x v="6"/>
    <x v="31"/>
    <x v="2"/>
    <x v="3"/>
    <x v="2"/>
    <n v="7.02"/>
    <n v="7.02"/>
    <n v="0.01"/>
    <n v="3.35"/>
  </r>
  <r>
    <x v="1"/>
    <x v="6"/>
    <x v="31"/>
    <x v="1"/>
    <x v="3"/>
    <x v="2"/>
    <n v="2.68"/>
    <n v="2.68"/>
    <n v="0.01"/>
    <n v="2.25"/>
  </r>
  <r>
    <x v="1"/>
    <x v="6"/>
    <x v="31"/>
    <x v="1"/>
    <x v="2"/>
    <x v="2"/>
    <n v="2.64"/>
    <n v="2.64"/>
    <n v="0.01"/>
    <n v="2.2799999999999998"/>
  </r>
  <r>
    <x v="1"/>
    <x v="6"/>
    <x v="31"/>
    <x v="1"/>
    <x v="1"/>
    <x v="2"/>
    <n v="3.45"/>
    <n v="3.45"/>
    <n v="0.04"/>
    <n v="2.88"/>
  </r>
  <r>
    <x v="1"/>
    <x v="6"/>
    <x v="31"/>
    <x v="1"/>
    <x v="4"/>
    <x v="2"/>
    <n v="1.1599999999999999"/>
    <n v="1.1599999999999999"/>
    <n v="0.03"/>
    <n v="0.94"/>
  </r>
  <r>
    <x v="1"/>
    <x v="6"/>
    <x v="31"/>
    <x v="4"/>
    <x v="1"/>
    <x v="2"/>
    <n v="2.57"/>
    <n v="2.57"/>
    <n v="0.05"/>
    <n v="2.37"/>
  </r>
  <r>
    <x v="1"/>
    <x v="6"/>
    <x v="31"/>
    <x v="4"/>
    <x v="4"/>
    <x v="2"/>
    <n v="3.39"/>
    <n v="3.39"/>
    <n v="0.12"/>
    <n v="2.93"/>
  </r>
  <r>
    <x v="1"/>
    <x v="6"/>
    <x v="31"/>
    <x v="1"/>
    <x v="4"/>
    <x v="1"/>
    <n v="1.94"/>
    <n v="1.94"/>
    <n v="0.08"/>
    <n v="1.62"/>
  </r>
  <r>
    <x v="1"/>
    <x v="6"/>
    <x v="31"/>
    <x v="1"/>
    <x v="2"/>
    <x v="0"/>
    <n v="2.6"/>
    <n v="2.6"/>
    <n v="0.09"/>
    <n v="2.19"/>
  </r>
  <r>
    <x v="1"/>
    <x v="6"/>
    <x v="31"/>
    <x v="2"/>
    <x v="0"/>
    <x v="0"/>
    <n v="11.02"/>
    <n v="11.02"/>
    <n v="11.13"/>
    <n v="9.98"/>
  </r>
  <r>
    <x v="1"/>
    <x v="6"/>
    <x v="31"/>
    <x v="2"/>
    <x v="4"/>
    <x v="0"/>
    <n v="8.0399999999999991"/>
    <n v="8.0399999999999991"/>
    <n v="3.21"/>
    <n v="7.15"/>
  </r>
  <r>
    <x v="1"/>
    <x v="6"/>
    <x v="31"/>
    <x v="4"/>
    <x v="0"/>
    <x v="0"/>
    <n v="0.12"/>
    <n v="0.12"/>
    <n v="0.01"/>
    <n v="0.1"/>
  </r>
  <r>
    <x v="1"/>
    <x v="6"/>
    <x v="31"/>
    <x v="1"/>
    <x v="1"/>
    <x v="0"/>
    <n v="29.37"/>
    <n v="29.37"/>
    <n v="1.53"/>
    <n v="25.42"/>
  </r>
  <r>
    <x v="1"/>
    <x v="9"/>
    <x v="32"/>
    <x v="0"/>
    <x v="4"/>
    <x v="0"/>
    <n v="6.57"/>
    <n v="6.07"/>
    <n v="2.21"/>
    <n v="6.06"/>
  </r>
  <r>
    <x v="1"/>
    <x v="9"/>
    <x v="32"/>
    <x v="1"/>
    <x v="2"/>
    <x v="2"/>
    <n v="0.14000000000000001"/>
    <n v="0.13"/>
    <n v="0"/>
    <n v="0.12"/>
  </r>
  <r>
    <x v="1"/>
    <x v="9"/>
    <x v="32"/>
    <x v="1"/>
    <x v="1"/>
    <x v="2"/>
    <n v="0.23"/>
    <n v="0.21"/>
    <n v="0"/>
    <n v="0.2"/>
  </r>
  <r>
    <x v="1"/>
    <x v="9"/>
    <x v="32"/>
    <x v="4"/>
    <x v="4"/>
    <x v="2"/>
    <n v="0.84"/>
    <n v="0.78"/>
    <n v="0.05"/>
    <n v="0.73"/>
  </r>
  <r>
    <x v="1"/>
    <x v="9"/>
    <x v="32"/>
    <x v="4"/>
    <x v="1"/>
    <x v="2"/>
    <n v="0.57999999999999996"/>
    <n v="0.53"/>
    <n v="0.02"/>
    <n v="0.5"/>
  </r>
  <r>
    <x v="1"/>
    <x v="9"/>
    <x v="32"/>
    <x v="4"/>
    <x v="2"/>
    <x v="2"/>
    <n v="0.78"/>
    <n v="0.72"/>
    <n v="0"/>
    <n v="0.68"/>
  </r>
  <r>
    <x v="1"/>
    <x v="9"/>
    <x v="32"/>
    <x v="4"/>
    <x v="0"/>
    <x v="0"/>
    <n v="0.13"/>
    <n v="0.12"/>
    <n v="0.03"/>
    <n v="0.12"/>
  </r>
  <r>
    <x v="1"/>
    <x v="9"/>
    <x v="32"/>
    <x v="4"/>
    <x v="4"/>
    <x v="0"/>
    <n v="16.190000000000001"/>
    <n v="14.95"/>
    <n v="2.37"/>
    <n v="14.96"/>
  </r>
  <r>
    <x v="1"/>
    <x v="9"/>
    <x v="32"/>
    <x v="1"/>
    <x v="3"/>
    <x v="2"/>
    <n v="0.4"/>
    <n v="0.37"/>
    <n v="0"/>
    <n v="0.35"/>
  </r>
  <r>
    <x v="1"/>
    <x v="9"/>
    <x v="32"/>
    <x v="0"/>
    <x v="0"/>
    <x v="0"/>
    <n v="3.08"/>
    <n v="2.85"/>
    <n v="1.47"/>
    <n v="2.83"/>
  </r>
  <r>
    <x v="1"/>
    <x v="9"/>
    <x v="32"/>
    <x v="4"/>
    <x v="4"/>
    <x v="1"/>
    <n v="0.04"/>
    <n v="0.03"/>
    <n v="0"/>
    <n v="0.03"/>
  </r>
  <r>
    <x v="1"/>
    <x v="9"/>
    <x v="32"/>
    <x v="1"/>
    <x v="0"/>
    <x v="0"/>
    <n v="3.96"/>
    <n v="3.65"/>
    <n v="2.44"/>
    <n v="3.68"/>
  </r>
  <r>
    <x v="1"/>
    <x v="9"/>
    <x v="32"/>
    <x v="1"/>
    <x v="4"/>
    <x v="0"/>
    <n v="38.15"/>
    <n v="35.22"/>
    <n v="14.68"/>
    <n v="35.1"/>
  </r>
  <r>
    <x v="1"/>
    <x v="9"/>
    <x v="32"/>
    <x v="1"/>
    <x v="1"/>
    <x v="0"/>
    <n v="10.06"/>
    <n v="9.2899999999999991"/>
    <n v="1.03"/>
    <n v="9.26"/>
  </r>
  <r>
    <x v="1"/>
    <x v="9"/>
    <x v="32"/>
    <x v="1"/>
    <x v="2"/>
    <x v="0"/>
    <n v="0.55000000000000004"/>
    <n v="0.51"/>
    <n v="0.01"/>
    <n v="0.48"/>
  </r>
  <r>
    <x v="1"/>
    <x v="9"/>
    <x v="32"/>
    <x v="2"/>
    <x v="0"/>
    <x v="0"/>
    <n v="1.7"/>
    <n v="1.57"/>
    <n v="1.2"/>
    <n v="1.6"/>
  </r>
  <r>
    <x v="1"/>
    <x v="9"/>
    <x v="32"/>
    <x v="2"/>
    <x v="4"/>
    <x v="0"/>
    <n v="1.44"/>
    <n v="1.33"/>
    <n v="0.36"/>
    <n v="1.35"/>
  </r>
  <r>
    <x v="1"/>
    <x v="9"/>
    <x v="32"/>
    <x v="4"/>
    <x v="1"/>
    <x v="0"/>
    <n v="2.0699999999999998"/>
    <n v="1.91"/>
    <n v="0.14000000000000001"/>
    <n v="1.92"/>
  </r>
  <r>
    <x v="1"/>
    <x v="9"/>
    <x v="32"/>
    <x v="4"/>
    <x v="0"/>
    <x v="1"/>
    <n v="0.5"/>
    <n v="0.46"/>
    <n v="0.03"/>
    <n v="0.47"/>
  </r>
  <r>
    <x v="1"/>
    <x v="9"/>
    <x v="32"/>
    <x v="3"/>
    <x v="4"/>
    <x v="0"/>
    <n v="1.04"/>
    <n v="0.96"/>
    <n v="0.14000000000000001"/>
    <n v="0.95"/>
  </r>
  <r>
    <x v="1"/>
    <x v="9"/>
    <x v="32"/>
    <x v="1"/>
    <x v="4"/>
    <x v="2"/>
    <n v="0.33"/>
    <n v="0.31"/>
    <n v="0.02"/>
    <n v="0.28999999999999998"/>
  </r>
  <r>
    <x v="1"/>
    <x v="9"/>
    <x v="32"/>
    <x v="3"/>
    <x v="0"/>
    <x v="0"/>
    <n v="0.02"/>
    <n v="0.02"/>
    <n v="0.02"/>
    <n v="0.02"/>
  </r>
  <r>
    <x v="1"/>
    <x v="9"/>
    <x v="32"/>
    <x v="2"/>
    <x v="3"/>
    <x v="1"/>
    <n v="2.44"/>
    <n v="2.2599999999999998"/>
    <n v="0"/>
    <n v="2.2599999999999998"/>
  </r>
  <r>
    <x v="1"/>
    <x v="9"/>
    <x v="32"/>
    <x v="2"/>
    <x v="4"/>
    <x v="1"/>
    <n v="0.01"/>
    <n v="0.01"/>
    <n v="0"/>
    <n v="0.01"/>
  </r>
  <r>
    <x v="1"/>
    <x v="9"/>
    <x v="32"/>
    <x v="1"/>
    <x v="3"/>
    <x v="1"/>
    <n v="0.06"/>
    <n v="0.06"/>
    <n v="0"/>
    <n v="0.06"/>
  </r>
  <r>
    <x v="1"/>
    <x v="9"/>
    <x v="32"/>
    <x v="2"/>
    <x v="2"/>
    <x v="3"/>
    <n v="0.06"/>
    <n v="0.06"/>
    <n v="0"/>
    <n v="0.06"/>
  </r>
  <r>
    <x v="1"/>
    <x v="9"/>
    <x v="32"/>
    <x v="1"/>
    <x v="1"/>
    <x v="1"/>
    <n v="1.86"/>
    <n v="1.71"/>
    <n v="0.03"/>
    <n v="1.76"/>
  </r>
  <r>
    <x v="1"/>
    <x v="9"/>
    <x v="32"/>
    <x v="2"/>
    <x v="3"/>
    <x v="2"/>
    <n v="7.05"/>
    <n v="6.51"/>
    <n v="0.01"/>
    <n v="6.29"/>
  </r>
  <r>
    <x v="1"/>
    <x v="9"/>
    <x v="32"/>
    <x v="1"/>
    <x v="4"/>
    <x v="1"/>
    <n v="0.84"/>
    <n v="0.78"/>
    <n v="0.04"/>
    <n v="0.84"/>
  </r>
  <r>
    <x v="1"/>
    <x v="9"/>
    <x v="32"/>
    <x v="1"/>
    <x v="0"/>
    <x v="1"/>
    <n v="1.06"/>
    <n v="0.98"/>
    <n v="7.0000000000000007E-2"/>
    <n v="1.04"/>
  </r>
  <r>
    <x v="1"/>
    <x v="9"/>
    <x v="32"/>
    <x v="0"/>
    <x v="3"/>
    <x v="1"/>
    <n v="0.04"/>
    <n v="0.04"/>
    <n v="0"/>
    <n v="0.04"/>
  </r>
  <r>
    <x v="1"/>
    <x v="9"/>
    <x v="32"/>
    <x v="0"/>
    <x v="1"/>
    <x v="1"/>
    <n v="0.03"/>
    <n v="0.03"/>
    <n v="0"/>
    <n v="0.03"/>
  </r>
  <r>
    <x v="1"/>
    <x v="9"/>
    <x v="32"/>
    <x v="0"/>
    <x v="4"/>
    <x v="1"/>
    <n v="1.01"/>
    <n v="0.93"/>
    <n v="0.02"/>
    <n v="0.93"/>
  </r>
  <r>
    <x v="1"/>
    <x v="9"/>
    <x v="32"/>
    <x v="0"/>
    <x v="0"/>
    <x v="1"/>
    <n v="0.9"/>
    <n v="0.83"/>
    <n v="0.05"/>
    <n v="0.83"/>
  </r>
  <r>
    <x v="1"/>
    <x v="9"/>
    <x v="32"/>
    <x v="2"/>
    <x v="3"/>
    <x v="3"/>
    <n v="0.34"/>
    <n v="0.31"/>
    <n v="0"/>
    <n v="0.34"/>
  </r>
  <r>
    <x v="1"/>
    <x v="9"/>
    <x v="32"/>
    <x v="1"/>
    <x v="2"/>
    <x v="1"/>
    <n v="4.25"/>
    <n v="3.92"/>
    <n v="0.02"/>
    <n v="4.01"/>
  </r>
  <r>
    <x v="1"/>
    <x v="9"/>
    <x v="32"/>
    <x v="4"/>
    <x v="1"/>
    <x v="1"/>
    <n v="0.03"/>
    <n v="0.03"/>
    <n v="0"/>
    <n v="0.03"/>
  </r>
  <r>
    <x v="1"/>
    <x v="0"/>
    <x v="33"/>
    <x v="0"/>
    <x v="0"/>
    <x v="0"/>
    <n v="16.760000000000002"/>
    <n v="16.760000000000002"/>
    <n v="13.1"/>
    <n v="15.43"/>
  </r>
  <r>
    <x v="1"/>
    <x v="0"/>
    <x v="33"/>
    <x v="1"/>
    <x v="1"/>
    <x v="1"/>
    <n v="14.6"/>
    <n v="14.6"/>
    <n v="0.15"/>
    <n v="13.94"/>
  </r>
  <r>
    <x v="1"/>
    <x v="0"/>
    <x v="33"/>
    <x v="1"/>
    <x v="2"/>
    <x v="1"/>
    <n v="26.55"/>
    <n v="26.55"/>
    <n v="0.1"/>
    <n v="25.33"/>
  </r>
  <r>
    <x v="1"/>
    <x v="0"/>
    <x v="33"/>
    <x v="1"/>
    <x v="3"/>
    <x v="1"/>
    <n v="1.26"/>
    <n v="1.26"/>
    <n v="0"/>
    <n v="1.21"/>
  </r>
  <r>
    <x v="1"/>
    <x v="0"/>
    <x v="33"/>
    <x v="2"/>
    <x v="3"/>
    <x v="1"/>
    <n v="36.770000000000003"/>
    <n v="36.770000000000003"/>
    <n v="0.09"/>
    <n v="35.17"/>
  </r>
  <r>
    <x v="1"/>
    <x v="0"/>
    <x v="33"/>
    <x v="3"/>
    <x v="4"/>
    <x v="0"/>
    <n v="0.14000000000000001"/>
    <n v="0.14000000000000001"/>
    <n v="0.04"/>
    <n v="0.14000000000000001"/>
  </r>
  <r>
    <x v="1"/>
    <x v="0"/>
    <x v="33"/>
    <x v="3"/>
    <x v="1"/>
    <x v="0"/>
    <n v="0.31"/>
    <n v="0.31"/>
    <n v="0.01"/>
    <n v="0.31"/>
  </r>
  <r>
    <x v="1"/>
    <x v="0"/>
    <x v="33"/>
    <x v="4"/>
    <x v="0"/>
    <x v="0"/>
    <n v="0.41"/>
    <n v="0.41"/>
    <n v="0.13"/>
    <n v="0.38"/>
  </r>
  <r>
    <x v="1"/>
    <x v="0"/>
    <x v="33"/>
    <x v="1"/>
    <x v="4"/>
    <x v="1"/>
    <n v="0.43"/>
    <n v="0.43"/>
    <n v="0.02"/>
    <n v="0.4"/>
  </r>
  <r>
    <x v="1"/>
    <x v="0"/>
    <x v="33"/>
    <x v="4"/>
    <x v="1"/>
    <x v="0"/>
    <n v="13.49"/>
    <n v="13.49"/>
    <n v="1.08"/>
    <n v="12.58"/>
  </r>
  <r>
    <x v="1"/>
    <x v="0"/>
    <x v="33"/>
    <x v="2"/>
    <x v="4"/>
    <x v="1"/>
    <n v="0.39"/>
    <n v="0.39"/>
    <n v="0"/>
    <n v="0.37"/>
  </r>
  <r>
    <x v="1"/>
    <x v="0"/>
    <x v="33"/>
    <x v="0"/>
    <x v="4"/>
    <x v="0"/>
    <n v="25.39"/>
    <n v="25.39"/>
    <n v="9.35"/>
    <n v="23.94"/>
  </r>
  <r>
    <x v="1"/>
    <x v="0"/>
    <x v="33"/>
    <x v="1"/>
    <x v="0"/>
    <x v="0"/>
    <n v="11.12"/>
    <n v="11.12"/>
    <n v="5.44"/>
    <n v="10.49"/>
  </r>
  <r>
    <x v="1"/>
    <x v="0"/>
    <x v="33"/>
    <x v="1"/>
    <x v="4"/>
    <x v="0"/>
    <n v="96.59"/>
    <n v="96.59"/>
    <n v="27.42"/>
    <n v="91.4"/>
  </r>
  <r>
    <x v="1"/>
    <x v="0"/>
    <x v="33"/>
    <x v="1"/>
    <x v="1"/>
    <x v="0"/>
    <n v="31.1"/>
    <n v="31.1"/>
    <n v="2.14"/>
    <n v="29.27"/>
  </r>
  <r>
    <x v="1"/>
    <x v="0"/>
    <x v="33"/>
    <x v="1"/>
    <x v="2"/>
    <x v="0"/>
    <n v="2.34"/>
    <n v="2.34"/>
    <n v="0.05"/>
    <n v="2.1800000000000002"/>
  </r>
  <r>
    <x v="1"/>
    <x v="0"/>
    <x v="33"/>
    <x v="2"/>
    <x v="0"/>
    <x v="0"/>
    <n v="14.23"/>
    <n v="14.23"/>
    <n v="8.5399999999999991"/>
    <n v="13.47"/>
  </r>
  <r>
    <x v="1"/>
    <x v="0"/>
    <x v="33"/>
    <x v="2"/>
    <x v="4"/>
    <x v="0"/>
    <n v="7.62"/>
    <n v="7.62"/>
    <n v="2.5"/>
    <n v="7.25"/>
  </r>
  <r>
    <x v="1"/>
    <x v="0"/>
    <x v="33"/>
    <x v="4"/>
    <x v="4"/>
    <x v="0"/>
    <n v="43.31"/>
    <n v="43.31"/>
    <n v="8.8699999999999992"/>
    <n v="40.590000000000003"/>
  </r>
  <r>
    <x v="1"/>
    <x v="0"/>
    <x v="33"/>
    <x v="1"/>
    <x v="1"/>
    <x v="2"/>
    <n v="0.98"/>
    <n v="0.98"/>
    <n v="0.01"/>
    <n v="0.94"/>
  </r>
  <r>
    <x v="1"/>
    <x v="0"/>
    <x v="33"/>
    <x v="4"/>
    <x v="4"/>
    <x v="2"/>
    <n v="1.45"/>
    <n v="1.45"/>
    <n v="0.08"/>
    <n v="1.4"/>
  </r>
  <r>
    <x v="1"/>
    <x v="0"/>
    <x v="33"/>
    <x v="4"/>
    <x v="1"/>
    <x v="2"/>
    <n v="2.46"/>
    <n v="2.46"/>
    <n v="7.0000000000000007E-2"/>
    <n v="2.38"/>
  </r>
  <r>
    <x v="1"/>
    <x v="0"/>
    <x v="33"/>
    <x v="3"/>
    <x v="0"/>
    <x v="0"/>
    <n v="0.01"/>
    <n v="0.01"/>
    <n v="0"/>
    <n v="0.01"/>
  </r>
  <r>
    <x v="1"/>
    <x v="0"/>
    <x v="33"/>
    <x v="1"/>
    <x v="4"/>
    <x v="2"/>
    <n v="1.35"/>
    <n v="1.35"/>
    <n v="0.05"/>
    <n v="1.31"/>
  </r>
  <r>
    <x v="1"/>
    <x v="0"/>
    <x v="33"/>
    <x v="1"/>
    <x v="0"/>
    <x v="1"/>
    <n v="2.2999999999999998"/>
    <n v="2.2999999999999998"/>
    <n v="0.1"/>
    <n v="2.19"/>
  </r>
  <r>
    <x v="1"/>
    <x v="0"/>
    <x v="33"/>
    <x v="1"/>
    <x v="3"/>
    <x v="2"/>
    <n v="0.33"/>
    <n v="0.33"/>
    <n v="0"/>
    <n v="0.32"/>
  </r>
  <r>
    <x v="1"/>
    <x v="0"/>
    <x v="33"/>
    <x v="2"/>
    <x v="3"/>
    <x v="2"/>
    <n v="15.07"/>
    <n v="15.07"/>
    <n v="0.01"/>
    <n v="14.5"/>
  </r>
  <r>
    <x v="1"/>
    <x v="0"/>
    <x v="33"/>
    <x v="2"/>
    <x v="2"/>
    <x v="3"/>
    <n v="2.98"/>
    <n v="2.98"/>
    <n v="0"/>
    <n v="2.86"/>
  </r>
  <r>
    <x v="1"/>
    <x v="0"/>
    <x v="33"/>
    <x v="2"/>
    <x v="3"/>
    <x v="3"/>
    <n v="6.41"/>
    <n v="6.41"/>
    <n v="0.01"/>
    <n v="6.17"/>
  </r>
  <r>
    <x v="1"/>
    <x v="0"/>
    <x v="33"/>
    <x v="4"/>
    <x v="0"/>
    <x v="1"/>
    <n v="3.05"/>
    <n v="3.05"/>
    <n v="0.22"/>
    <n v="2.91"/>
  </r>
  <r>
    <x v="1"/>
    <x v="0"/>
    <x v="33"/>
    <x v="4"/>
    <x v="4"/>
    <x v="1"/>
    <n v="0.08"/>
    <n v="0.08"/>
    <n v="0.01"/>
    <n v="0.08"/>
  </r>
  <r>
    <x v="1"/>
    <x v="0"/>
    <x v="33"/>
    <x v="4"/>
    <x v="2"/>
    <x v="2"/>
    <n v="3.59"/>
    <n v="3.59"/>
    <n v="0.02"/>
    <n v="3.44"/>
  </r>
  <r>
    <x v="1"/>
    <x v="0"/>
    <x v="33"/>
    <x v="0"/>
    <x v="0"/>
    <x v="1"/>
    <n v="6.07"/>
    <n v="6.07"/>
    <n v="0.26"/>
    <n v="5.8"/>
  </r>
  <r>
    <x v="1"/>
    <x v="0"/>
    <x v="33"/>
    <x v="0"/>
    <x v="4"/>
    <x v="1"/>
    <n v="7.39"/>
    <n v="7.39"/>
    <n v="0.22"/>
    <n v="7.05"/>
  </r>
  <r>
    <x v="1"/>
    <x v="0"/>
    <x v="33"/>
    <x v="0"/>
    <x v="1"/>
    <x v="1"/>
    <n v="0.4"/>
    <n v="0.4"/>
    <n v="0.01"/>
    <n v="0.38"/>
  </r>
  <r>
    <x v="1"/>
    <x v="0"/>
    <x v="33"/>
    <x v="4"/>
    <x v="1"/>
    <x v="1"/>
    <n v="0.22"/>
    <n v="0.22"/>
    <n v="0.01"/>
    <n v="0.21"/>
  </r>
  <r>
    <x v="1"/>
    <x v="0"/>
    <x v="33"/>
    <x v="0"/>
    <x v="3"/>
    <x v="1"/>
    <n v="0.7"/>
    <n v="0.7"/>
    <n v="0"/>
    <n v="0.67"/>
  </r>
  <r>
    <x v="1"/>
    <x v="7"/>
    <x v="34"/>
    <x v="0"/>
    <x v="1"/>
    <x v="1"/>
    <n v="0.18"/>
    <n v="0.17"/>
    <n v="0"/>
    <n v="0.17"/>
  </r>
  <r>
    <x v="1"/>
    <x v="7"/>
    <x v="34"/>
    <x v="4"/>
    <x v="0"/>
    <x v="1"/>
    <n v="2.2200000000000002"/>
    <n v="2.1800000000000002"/>
    <n v="0.13"/>
    <n v="2.08"/>
  </r>
  <r>
    <x v="1"/>
    <x v="7"/>
    <x v="34"/>
    <x v="4"/>
    <x v="4"/>
    <x v="1"/>
    <n v="0.27"/>
    <n v="0.27"/>
    <n v="0.03"/>
    <n v="0.26"/>
  </r>
  <r>
    <x v="1"/>
    <x v="7"/>
    <x v="34"/>
    <x v="4"/>
    <x v="1"/>
    <x v="1"/>
    <n v="0.14000000000000001"/>
    <n v="0.14000000000000001"/>
    <n v="0.01"/>
    <n v="0.13"/>
  </r>
  <r>
    <x v="1"/>
    <x v="7"/>
    <x v="34"/>
    <x v="2"/>
    <x v="3"/>
    <x v="3"/>
    <n v="0.42"/>
    <n v="0.42"/>
    <n v="0"/>
    <n v="0.42"/>
  </r>
  <r>
    <x v="1"/>
    <x v="7"/>
    <x v="34"/>
    <x v="0"/>
    <x v="4"/>
    <x v="1"/>
    <n v="4.24"/>
    <n v="4.1500000000000004"/>
    <n v="0.1"/>
    <n v="3.91"/>
  </r>
  <r>
    <x v="1"/>
    <x v="7"/>
    <x v="34"/>
    <x v="2"/>
    <x v="2"/>
    <x v="2"/>
    <n v="0.51"/>
    <n v="0.5"/>
    <n v="0"/>
    <n v="0.51"/>
  </r>
  <r>
    <x v="1"/>
    <x v="7"/>
    <x v="34"/>
    <x v="1"/>
    <x v="0"/>
    <x v="1"/>
    <n v="3.97"/>
    <n v="3.9"/>
    <n v="0.28000000000000003"/>
    <n v="3.9"/>
  </r>
  <r>
    <x v="1"/>
    <x v="7"/>
    <x v="34"/>
    <x v="1"/>
    <x v="4"/>
    <x v="1"/>
    <n v="7.43"/>
    <n v="7.28"/>
    <n v="0.16"/>
    <n v="7.42"/>
  </r>
  <r>
    <x v="1"/>
    <x v="7"/>
    <x v="34"/>
    <x v="1"/>
    <x v="1"/>
    <x v="1"/>
    <n v="12.57"/>
    <n v="12.33"/>
    <n v="0.27"/>
    <n v="12.06"/>
  </r>
  <r>
    <x v="1"/>
    <x v="7"/>
    <x v="34"/>
    <x v="0"/>
    <x v="0"/>
    <x v="1"/>
    <n v="5.16"/>
    <n v="5.0599999999999996"/>
    <n v="0.26"/>
    <n v="4.8499999999999996"/>
  </r>
  <r>
    <x v="1"/>
    <x v="7"/>
    <x v="34"/>
    <x v="2"/>
    <x v="2"/>
    <x v="3"/>
    <n v="1.78"/>
    <n v="1.75"/>
    <n v="0"/>
    <n v="1.78"/>
  </r>
  <r>
    <x v="1"/>
    <x v="7"/>
    <x v="34"/>
    <x v="2"/>
    <x v="3"/>
    <x v="2"/>
    <n v="3.74"/>
    <n v="3.67"/>
    <n v="0.01"/>
    <n v="3.62"/>
  </r>
  <r>
    <x v="1"/>
    <x v="7"/>
    <x v="34"/>
    <x v="3"/>
    <x v="0"/>
    <x v="0"/>
    <n v="0.31"/>
    <n v="0.3"/>
    <n v="0.26"/>
    <n v="0.3"/>
  </r>
  <r>
    <x v="1"/>
    <x v="7"/>
    <x v="34"/>
    <x v="4"/>
    <x v="1"/>
    <x v="2"/>
    <n v="3.26"/>
    <n v="3.2"/>
    <n v="7.0000000000000007E-2"/>
    <n v="2.84"/>
  </r>
  <r>
    <x v="1"/>
    <x v="7"/>
    <x v="34"/>
    <x v="1"/>
    <x v="4"/>
    <x v="2"/>
    <n v="2.91"/>
    <n v="2.85"/>
    <n v="0.08"/>
    <n v="2.54"/>
  </r>
  <r>
    <x v="1"/>
    <x v="7"/>
    <x v="34"/>
    <x v="1"/>
    <x v="1"/>
    <x v="2"/>
    <n v="1.24"/>
    <n v="1.21"/>
    <n v="0.01"/>
    <n v="1.1000000000000001"/>
  </r>
  <r>
    <x v="1"/>
    <x v="7"/>
    <x v="34"/>
    <x v="1"/>
    <x v="2"/>
    <x v="2"/>
    <n v="0.54"/>
    <n v="0.53"/>
    <n v="0"/>
    <n v="0.48"/>
  </r>
  <r>
    <x v="1"/>
    <x v="7"/>
    <x v="34"/>
    <x v="1"/>
    <x v="3"/>
    <x v="2"/>
    <n v="1.47"/>
    <n v="1.44"/>
    <n v="0"/>
    <n v="1.31"/>
  </r>
  <r>
    <x v="1"/>
    <x v="7"/>
    <x v="34"/>
    <x v="4"/>
    <x v="2"/>
    <x v="2"/>
    <n v="4.3899999999999997"/>
    <n v="4.3"/>
    <n v="0.02"/>
    <n v="3.81"/>
  </r>
  <r>
    <x v="1"/>
    <x v="7"/>
    <x v="34"/>
    <x v="1"/>
    <x v="2"/>
    <x v="1"/>
    <n v="22.77"/>
    <n v="22.33"/>
    <n v="0.18"/>
    <n v="21.7"/>
  </r>
  <r>
    <x v="1"/>
    <x v="7"/>
    <x v="34"/>
    <x v="2"/>
    <x v="4"/>
    <x v="3"/>
    <n v="3.8"/>
    <n v="3.73"/>
    <n v="0"/>
    <n v="3.8"/>
  </r>
  <r>
    <x v="1"/>
    <x v="7"/>
    <x v="34"/>
    <x v="4"/>
    <x v="1"/>
    <x v="0"/>
    <n v="10.37"/>
    <n v="10.17"/>
    <n v="0.71"/>
    <n v="9.68"/>
  </r>
  <r>
    <x v="1"/>
    <x v="7"/>
    <x v="34"/>
    <x v="4"/>
    <x v="4"/>
    <x v="2"/>
    <n v="4.57"/>
    <n v="4.4800000000000004"/>
    <n v="0.22"/>
    <n v="4.0599999999999996"/>
  </r>
  <r>
    <x v="1"/>
    <x v="7"/>
    <x v="34"/>
    <x v="2"/>
    <x v="4"/>
    <x v="1"/>
    <n v="0.03"/>
    <n v="0.03"/>
    <n v="0"/>
    <n v="0.03"/>
  </r>
  <r>
    <x v="1"/>
    <x v="7"/>
    <x v="34"/>
    <x v="3"/>
    <x v="4"/>
    <x v="0"/>
    <n v="5.38"/>
    <n v="5.27"/>
    <n v="0.83"/>
    <n v="4.96"/>
  </r>
  <r>
    <x v="1"/>
    <x v="7"/>
    <x v="34"/>
    <x v="1"/>
    <x v="3"/>
    <x v="1"/>
    <n v="0.68"/>
    <n v="0.67"/>
    <n v="0.01"/>
    <n v="0.66"/>
  </r>
  <r>
    <x v="1"/>
    <x v="7"/>
    <x v="34"/>
    <x v="4"/>
    <x v="4"/>
    <x v="0"/>
    <n v="72.88"/>
    <n v="71.459999999999994"/>
    <n v="10.8"/>
    <n v="67.489999999999995"/>
  </r>
  <r>
    <x v="1"/>
    <x v="7"/>
    <x v="34"/>
    <x v="0"/>
    <x v="0"/>
    <x v="0"/>
    <n v="18.16"/>
    <n v="17.809999999999999"/>
    <n v="9.6300000000000008"/>
    <n v="16.420000000000002"/>
  </r>
  <r>
    <x v="1"/>
    <x v="7"/>
    <x v="34"/>
    <x v="0"/>
    <x v="4"/>
    <x v="0"/>
    <n v="47.11"/>
    <n v="46.2"/>
    <n v="13.77"/>
    <n v="43.76"/>
  </r>
  <r>
    <x v="1"/>
    <x v="7"/>
    <x v="34"/>
    <x v="0"/>
    <x v="2"/>
    <x v="0"/>
    <n v="0.04"/>
    <n v="0.04"/>
    <n v="0"/>
    <n v="0.04"/>
  </r>
  <r>
    <x v="1"/>
    <x v="7"/>
    <x v="34"/>
    <x v="1"/>
    <x v="4"/>
    <x v="0"/>
    <n v="146.61000000000001"/>
    <n v="143.76"/>
    <n v="38.58"/>
    <n v="135.94999999999999"/>
  </r>
  <r>
    <x v="1"/>
    <x v="7"/>
    <x v="34"/>
    <x v="1"/>
    <x v="1"/>
    <x v="0"/>
    <n v="40.29"/>
    <n v="39.5"/>
    <n v="2.5"/>
    <n v="37.07"/>
  </r>
  <r>
    <x v="1"/>
    <x v="7"/>
    <x v="34"/>
    <x v="1"/>
    <x v="2"/>
    <x v="0"/>
    <n v="0.59"/>
    <n v="0.56999999999999995"/>
    <n v="0.01"/>
    <n v="0.53"/>
  </r>
  <r>
    <x v="1"/>
    <x v="7"/>
    <x v="34"/>
    <x v="2"/>
    <x v="0"/>
    <x v="0"/>
    <n v="10.29"/>
    <n v="10.09"/>
    <n v="7.66"/>
    <n v="9.9499999999999993"/>
  </r>
  <r>
    <x v="1"/>
    <x v="7"/>
    <x v="34"/>
    <x v="2"/>
    <x v="4"/>
    <x v="0"/>
    <n v="9.7799999999999994"/>
    <n v="9.59"/>
    <n v="2.5"/>
    <n v="9.43"/>
  </r>
  <r>
    <x v="1"/>
    <x v="7"/>
    <x v="34"/>
    <x v="2"/>
    <x v="3"/>
    <x v="1"/>
    <n v="1.7"/>
    <n v="1.67"/>
    <n v="0.01"/>
    <n v="1.7"/>
  </r>
  <r>
    <x v="1"/>
    <x v="7"/>
    <x v="34"/>
    <x v="1"/>
    <x v="0"/>
    <x v="0"/>
    <n v="14.31"/>
    <n v="14.03"/>
    <n v="7.74"/>
    <n v="13.41"/>
  </r>
  <r>
    <x v="1"/>
    <x v="7"/>
    <x v="34"/>
    <x v="4"/>
    <x v="0"/>
    <x v="0"/>
    <n v="0.22"/>
    <n v="0.22"/>
    <n v="0.05"/>
    <n v="0.21"/>
  </r>
  <r>
    <x v="1"/>
    <x v="10"/>
    <x v="35"/>
    <x v="4"/>
    <x v="1"/>
    <x v="0"/>
    <n v="3.41"/>
    <n v="3.34"/>
    <n v="0.23"/>
    <n v="3.18"/>
  </r>
  <r>
    <x v="1"/>
    <x v="10"/>
    <x v="35"/>
    <x v="1"/>
    <x v="3"/>
    <x v="1"/>
    <n v="0.22"/>
    <n v="0.22"/>
    <n v="0"/>
    <n v="0.22"/>
  </r>
  <r>
    <x v="1"/>
    <x v="10"/>
    <x v="35"/>
    <x v="2"/>
    <x v="4"/>
    <x v="1"/>
    <n v="0.01"/>
    <n v="0.01"/>
    <n v="0"/>
    <n v="0.01"/>
  </r>
  <r>
    <x v="1"/>
    <x v="10"/>
    <x v="35"/>
    <x v="2"/>
    <x v="3"/>
    <x v="1"/>
    <n v="0.56000000000000005"/>
    <n v="0.55000000000000004"/>
    <n v="0"/>
    <n v="0.56000000000000005"/>
  </r>
  <r>
    <x v="1"/>
    <x v="10"/>
    <x v="35"/>
    <x v="3"/>
    <x v="0"/>
    <x v="0"/>
    <n v="0.1"/>
    <n v="0.1"/>
    <n v="0.08"/>
    <n v="0.1"/>
  </r>
  <r>
    <x v="1"/>
    <x v="10"/>
    <x v="35"/>
    <x v="3"/>
    <x v="4"/>
    <x v="0"/>
    <n v="1.77"/>
    <n v="1.73"/>
    <n v="0.27"/>
    <n v="1.63"/>
  </r>
  <r>
    <x v="1"/>
    <x v="10"/>
    <x v="35"/>
    <x v="4"/>
    <x v="4"/>
    <x v="0"/>
    <n v="23.93"/>
    <n v="23.47"/>
    <n v="3.55"/>
    <n v="22.16"/>
  </r>
  <r>
    <x v="1"/>
    <x v="10"/>
    <x v="35"/>
    <x v="0"/>
    <x v="0"/>
    <x v="0"/>
    <n v="5.96"/>
    <n v="5.85"/>
    <n v="3.16"/>
    <n v="5.39"/>
  </r>
  <r>
    <x v="1"/>
    <x v="10"/>
    <x v="35"/>
    <x v="0"/>
    <x v="0"/>
    <x v="1"/>
    <n v="1.69"/>
    <n v="1.66"/>
    <n v="0.08"/>
    <n v="1.59"/>
  </r>
  <r>
    <x v="1"/>
    <x v="10"/>
    <x v="35"/>
    <x v="4"/>
    <x v="0"/>
    <x v="0"/>
    <n v="7.0000000000000007E-2"/>
    <n v="7.0000000000000007E-2"/>
    <n v="0.02"/>
    <n v="7.0000000000000007E-2"/>
  </r>
  <r>
    <x v="1"/>
    <x v="10"/>
    <x v="35"/>
    <x v="1"/>
    <x v="2"/>
    <x v="1"/>
    <n v="7.48"/>
    <n v="7.33"/>
    <n v="0.06"/>
    <n v="7.13"/>
  </r>
  <r>
    <x v="1"/>
    <x v="10"/>
    <x v="35"/>
    <x v="1"/>
    <x v="1"/>
    <x v="1"/>
    <n v="4.13"/>
    <n v="4.05"/>
    <n v="0.09"/>
    <n v="3.96"/>
  </r>
  <r>
    <x v="1"/>
    <x v="10"/>
    <x v="35"/>
    <x v="1"/>
    <x v="4"/>
    <x v="1"/>
    <n v="2.44"/>
    <n v="2.39"/>
    <n v="0.05"/>
    <n v="2.44"/>
  </r>
  <r>
    <x v="1"/>
    <x v="10"/>
    <x v="35"/>
    <x v="1"/>
    <x v="0"/>
    <x v="1"/>
    <n v="1.3"/>
    <n v="1.28"/>
    <n v="0.09"/>
    <n v="1.28"/>
  </r>
  <r>
    <x v="1"/>
    <x v="10"/>
    <x v="35"/>
    <x v="0"/>
    <x v="4"/>
    <x v="0"/>
    <n v="15.47"/>
    <n v="15.17"/>
    <n v="4.5199999999999996"/>
    <n v="14.37"/>
  </r>
  <r>
    <x v="1"/>
    <x v="10"/>
    <x v="35"/>
    <x v="0"/>
    <x v="4"/>
    <x v="1"/>
    <n v="1.39"/>
    <n v="1.36"/>
    <n v="0.03"/>
    <n v="1.29"/>
  </r>
  <r>
    <x v="1"/>
    <x v="10"/>
    <x v="35"/>
    <x v="1"/>
    <x v="4"/>
    <x v="2"/>
    <n v="0.95"/>
    <n v="0.94"/>
    <n v="0.03"/>
    <n v="0.83"/>
  </r>
  <r>
    <x v="1"/>
    <x v="10"/>
    <x v="35"/>
    <x v="4"/>
    <x v="1"/>
    <x v="1"/>
    <n v="0.05"/>
    <n v="0.05"/>
    <n v="0"/>
    <n v="0.04"/>
  </r>
  <r>
    <x v="1"/>
    <x v="10"/>
    <x v="35"/>
    <x v="4"/>
    <x v="4"/>
    <x v="1"/>
    <n v="0.09"/>
    <n v="0.09"/>
    <n v="0.01"/>
    <n v="0.09"/>
  </r>
  <r>
    <x v="1"/>
    <x v="10"/>
    <x v="35"/>
    <x v="2"/>
    <x v="2"/>
    <x v="3"/>
    <n v="0.59"/>
    <n v="0.56999999999999995"/>
    <n v="0"/>
    <n v="0.59"/>
  </r>
  <r>
    <x v="1"/>
    <x v="10"/>
    <x v="35"/>
    <x v="2"/>
    <x v="3"/>
    <x v="3"/>
    <n v="0.14000000000000001"/>
    <n v="0.14000000000000001"/>
    <n v="0"/>
    <n v="0.14000000000000001"/>
  </r>
  <r>
    <x v="1"/>
    <x v="10"/>
    <x v="35"/>
    <x v="0"/>
    <x v="1"/>
    <x v="1"/>
    <n v="0.06"/>
    <n v="0.06"/>
    <n v="0"/>
    <n v="0.05"/>
  </r>
  <r>
    <x v="1"/>
    <x v="10"/>
    <x v="35"/>
    <x v="4"/>
    <x v="1"/>
    <x v="2"/>
    <n v="1.07"/>
    <n v="1.05"/>
    <n v="0.02"/>
    <n v="0.93"/>
  </r>
  <r>
    <x v="1"/>
    <x v="10"/>
    <x v="35"/>
    <x v="1"/>
    <x v="4"/>
    <x v="0"/>
    <n v="48.14"/>
    <n v="47.21"/>
    <n v="12.67"/>
    <n v="44.64"/>
  </r>
  <r>
    <x v="1"/>
    <x v="10"/>
    <x v="35"/>
    <x v="1"/>
    <x v="2"/>
    <x v="0"/>
    <n v="0.19"/>
    <n v="0.19"/>
    <n v="0"/>
    <n v="0.18"/>
  </r>
  <r>
    <x v="1"/>
    <x v="10"/>
    <x v="35"/>
    <x v="2"/>
    <x v="0"/>
    <x v="0"/>
    <n v="3.38"/>
    <n v="3.31"/>
    <n v="2.52"/>
    <n v="3.27"/>
  </r>
  <r>
    <x v="1"/>
    <x v="10"/>
    <x v="35"/>
    <x v="1"/>
    <x v="2"/>
    <x v="2"/>
    <n v="0.18"/>
    <n v="0.17"/>
    <n v="0"/>
    <n v="0.16"/>
  </r>
  <r>
    <x v="1"/>
    <x v="10"/>
    <x v="35"/>
    <x v="2"/>
    <x v="4"/>
    <x v="0"/>
    <n v="3.21"/>
    <n v="3.15"/>
    <n v="0.82"/>
    <n v="3.1"/>
  </r>
  <r>
    <x v="1"/>
    <x v="10"/>
    <x v="35"/>
    <x v="0"/>
    <x v="2"/>
    <x v="0"/>
    <n v="0.01"/>
    <n v="0.01"/>
    <n v="0"/>
    <n v="0.01"/>
  </r>
  <r>
    <x v="1"/>
    <x v="10"/>
    <x v="35"/>
    <x v="1"/>
    <x v="1"/>
    <x v="0"/>
    <n v="13.23"/>
    <n v="12.97"/>
    <n v="0.82"/>
    <n v="12.17"/>
  </r>
  <r>
    <x v="1"/>
    <x v="10"/>
    <x v="35"/>
    <x v="4"/>
    <x v="4"/>
    <x v="2"/>
    <n v="1.5"/>
    <n v="1.47"/>
    <n v="7.0000000000000007E-2"/>
    <n v="1.33"/>
  </r>
  <r>
    <x v="1"/>
    <x v="10"/>
    <x v="35"/>
    <x v="4"/>
    <x v="2"/>
    <x v="2"/>
    <n v="1.44"/>
    <n v="1.41"/>
    <n v="0.01"/>
    <n v="1.25"/>
  </r>
  <r>
    <x v="1"/>
    <x v="10"/>
    <x v="35"/>
    <x v="2"/>
    <x v="3"/>
    <x v="2"/>
    <n v="1.23"/>
    <n v="1.2"/>
    <n v="0"/>
    <n v="1.19"/>
  </r>
  <r>
    <x v="1"/>
    <x v="10"/>
    <x v="35"/>
    <x v="1"/>
    <x v="1"/>
    <x v="2"/>
    <n v="0.41"/>
    <n v="0.4"/>
    <n v="0"/>
    <n v="0.36"/>
  </r>
  <r>
    <x v="1"/>
    <x v="10"/>
    <x v="35"/>
    <x v="4"/>
    <x v="0"/>
    <x v="1"/>
    <n v="0.73"/>
    <n v="0.72"/>
    <n v="0.04"/>
    <n v="0.68"/>
  </r>
  <r>
    <x v="1"/>
    <x v="10"/>
    <x v="35"/>
    <x v="1"/>
    <x v="3"/>
    <x v="2"/>
    <n v="0.48"/>
    <n v="0.47"/>
    <n v="0"/>
    <n v="0.43"/>
  </r>
  <r>
    <x v="1"/>
    <x v="10"/>
    <x v="35"/>
    <x v="2"/>
    <x v="2"/>
    <x v="2"/>
    <n v="0.17"/>
    <n v="0.17"/>
    <n v="0"/>
    <n v="0.17"/>
  </r>
  <r>
    <x v="1"/>
    <x v="10"/>
    <x v="35"/>
    <x v="1"/>
    <x v="0"/>
    <x v="0"/>
    <n v="4.7"/>
    <n v="4.6100000000000003"/>
    <n v="2.54"/>
    <n v="4.4000000000000004"/>
  </r>
  <r>
    <x v="1"/>
    <x v="10"/>
    <x v="35"/>
    <x v="2"/>
    <x v="4"/>
    <x v="3"/>
    <n v="1.25"/>
    <n v="1.22"/>
    <n v="0"/>
    <n v="1.25"/>
  </r>
  <r>
    <x v="1"/>
    <x v="2"/>
    <x v="36"/>
    <x v="4"/>
    <x v="1"/>
    <x v="2"/>
    <n v="0.16"/>
    <n v="0.15"/>
    <n v="0"/>
    <n v="0.14000000000000001"/>
  </r>
  <r>
    <x v="1"/>
    <x v="2"/>
    <x v="36"/>
    <x v="1"/>
    <x v="3"/>
    <x v="2"/>
    <n v="0.19"/>
    <n v="0.18"/>
    <n v="0"/>
    <n v="0.17"/>
  </r>
  <r>
    <x v="1"/>
    <x v="2"/>
    <x v="36"/>
    <x v="1"/>
    <x v="2"/>
    <x v="2"/>
    <n v="0.01"/>
    <n v="0.01"/>
    <n v="0"/>
    <n v="0.01"/>
  </r>
  <r>
    <x v="1"/>
    <x v="2"/>
    <x v="36"/>
    <x v="1"/>
    <x v="1"/>
    <x v="2"/>
    <n v="0.79"/>
    <n v="0.75"/>
    <n v="0"/>
    <n v="0.72"/>
  </r>
  <r>
    <x v="1"/>
    <x v="2"/>
    <x v="36"/>
    <x v="4"/>
    <x v="2"/>
    <x v="2"/>
    <n v="0.21"/>
    <n v="0.2"/>
    <n v="0"/>
    <n v="0.18"/>
  </r>
  <r>
    <x v="1"/>
    <x v="2"/>
    <x v="36"/>
    <x v="4"/>
    <x v="4"/>
    <x v="2"/>
    <n v="0.25"/>
    <n v="0.24"/>
    <n v="0.01"/>
    <n v="0.22"/>
  </r>
  <r>
    <x v="1"/>
    <x v="2"/>
    <x v="36"/>
    <x v="0"/>
    <x v="2"/>
    <x v="1"/>
    <n v="0"/>
    <n v="0"/>
    <n v="0"/>
    <n v="0"/>
  </r>
  <r>
    <x v="1"/>
    <x v="2"/>
    <x v="36"/>
    <x v="1"/>
    <x v="4"/>
    <x v="2"/>
    <n v="0.78"/>
    <n v="0.74"/>
    <n v="0.02"/>
    <n v="0.68"/>
  </r>
  <r>
    <x v="1"/>
    <x v="2"/>
    <x v="36"/>
    <x v="0"/>
    <x v="2"/>
    <x v="0"/>
    <n v="0"/>
    <n v="0"/>
    <n v="0"/>
    <n v="0"/>
  </r>
  <r>
    <x v="1"/>
    <x v="2"/>
    <x v="36"/>
    <x v="0"/>
    <x v="4"/>
    <x v="1"/>
    <n v="0.86"/>
    <n v="0.82"/>
    <n v="0.02"/>
    <n v="0.78"/>
  </r>
  <r>
    <x v="1"/>
    <x v="2"/>
    <x v="36"/>
    <x v="3"/>
    <x v="4"/>
    <x v="0"/>
    <n v="0.75"/>
    <n v="0.72"/>
    <n v="0.15"/>
    <n v="0.7"/>
  </r>
  <r>
    <x v="1"/>
    <x v="2"/>
    <x v="36"/>
    <x v="4"/>
    <x v="0"/>
    <x v="0"/>
    <n v="0.04"/>
    <n v="0.04"/>
    <n v="0.01"/>
    <n v="0.04"/>
  </r>
  <r>
    <x v="1"/>
    <x v="2"/>
    <x v="36"/>
    <x v="4"/>
    <x v="4"/>
    <x v="0"/>
    <n v="13.08"/>
    <n v="12.49"/>
    <n v="1.91"/>
    <n v="12.19"/>
  </r>
  <r>
    <x v="1"/>
    <x v="2"/>
    <x v="36"/>
    <x v="4"/>
    <x v="1"/>
    <x v="0"/>
    <n v="1.83"/>
    <n v="1.75"/>
    <n v="0.12"/>
    <n v="1.71"/>
  </r>
  <r>
    <x v="1"/>
    <x v="2"/>
    <x v="36"/>
    <x v="4"/>
    <x v="2"/>
    <x v="0"/>
    <n v="0"/>
    <n v="0"/>
    <n v="0"/>
    <n v="0"/>
  </r>
  <r>
    <x v="1"/>
    <x v="2"/>
    <x v="36"/>
    <x v="2"/>
    <x v="3"/>
    <x v="1"/>
    <n v="2.57"/>
    <n v="2.46"/>
    <n v="0"/>
    <n v="2.36"/>
  </r>
  <r>
    <x v="1"/>
    <x v="2"/>
    <x v="36"/>
    <x v="0"/>
    <x v="4"/>
    <x v="0"/>
    <n v="3.25"/>
    <n v="3.11"/>
    <n v="0.98"/>
    <n v="3.01"/>
  </r>
  <r>
    <x v="1"/>
    <x v="2"/>
    <x v="36"/>
    <x v="2"/>
    <x v="2"/>
    <x v="0"/>
    <n v="0.46"/>
    <n v="0.44"/>
    <n v="0"/>
    <n v="0.43"/>
  </r>
  <r>
    <x v="1"/>
    <x v="2"/>
    <x v="36"/>
    <x v="1"/>
    <x v="0"/>
    <x v="0"/>
    <n v="1.87"/>
    <n v="1.78"/>
    <n v="0.91"/>
    <n v="1.75"/>
  </r>
  <r>
    <x v="1"/>
    <x v="2"/>
    <x v="36"/>
    <x v="1"/>
    <x v="4"/>
    <x v="0"/>
    <n v="19.86"/>
    <n v="18.96"/>
    <n v="4.82"/>
    <n v="18.420000000000002"/>
  </r>
  <r>
    <x v="1"/>
    <x v="2"/>
    <x v="36"/>
    <x v="1"/>
    <x v="1"/>
    <x v="0"/>
    <n v="5.97"/>
    <n v="5.7"/>
    <n v="0.34"/>
    <n v="5.54"/>
  </r>
  <r>
    <x v="1"/>
    <x v="2"/>
    <x v="36"/>
    <x v="1"/>
    <x v="2"/>
    <x v="0"/>
    <n v="0.34"/>
    <n v="0.33"/>
    <n v="0.01"/>
    <n v="0.31"/>
  </r>
  <r>
    <x v="1"/>
    <x v="2"/>
    <x v="36"/>
    <x v="2"/>
    <x v="0"/>
    <x v="0"/>
    <n v="0.62"/>
    <n v="0.6"/>
    <n v="0.46"/>
    <n v="0.59"/>
  </r>
  <r>
    <x v="1"/>
    <x v="2"/>
    <x v="36"/>
    <x v="2"/>
    <x v="4"/>
    <x v="0"/>
    <n v="1.25"/>
    <n v="1.19"/>
    <n v="0.14000000000000001"/>
    <n v="1.18"/>
  </r>
  <r>
    <x v="1"/>
    <x v="2"/>
    <x v="36"/>
    <x v="2"/>
    <x v="2"/>
    <x v="2"/>
    <n v="0.01"/>
    <n v="0.01"/>
    <n v="0"/>
    <n v="0.01"/>
  </r>
  <r>
    <x v="1"/>
    <x v="2"/>
    <x v="36"/>
    <x v="0"/>
    <x v="0"/>
    <x v="0"/>
    <n v="1.62"/>
    <n v="1.55"/>
    <n v="0.87"/>
    <n v="1.48"/>
  </r>
  <r>
    <x v="1"/>
    <x v="2"/>
    <x v="36"/>
    <x v="0"/>
    <x v="3"/>
    <x v="1"/>
    <n v="0.02"/>
    <n v="0.02"/>
    <n v="0"/>
    <n v="0.02"/>
  </r>
  <r>
    <x v="1"/>
    <x v="2"/>
    <x v="36"/>
    <x v="2"/>
    <x v="4"/>
    <x v="3"/>
    <n v="0"/>
    <n v="0"/>
    <n v="0"/>
    <n v="0"/>
  </r>
  <r>
    <x v="1"/>
    <x v="2"/>
    <x v="36"/>
    <x v="2"/>
    <x v="2"/>
    <x v="3"/>
    <n v="1.38"/>
    <n v="1.31"/>
    <n v="0"/>
    <n v="1.38"/>
  </r>
  <r>
    <x v="1"/>
    <x v="2"/>
    <x v="36"/>
    <x v="2"/>
    <x v="3"/>
    <x v="3"/>
    <n v="8.09"/>
    <n v="7.73"/>
    <n v="0.01"/>
    <n v="8.06"/>
  </r>
  <r>
    <x v="1"/>
    <x v="2"/>
    <x v="36"/>
    <x v="4"/>
    <x v="0"/>
    <x v="1"/>
    <n v="0.51"/>
    <n v="0.49"/>
    <n v="0.03"/>
    <n v="0.47"/>
  </r>
  <r>
    <x v="1"/>
    <x v="2"/>
    <x v="36"/>
    <x v="4"/>
    <x v="4"/>
    <x v="1"/>
    <n v="0.04"/>
    <n v="0.04"/>
    <n v="0"/>
    <n v="0.04"/>
  </r>
  <r>
    <x v="1"/>
    <x v="2"/>
    <x v="36"/>
    <x v="4"/>
    <x v="1"/>
    <x v="1"/>
    <n v="0.03"/>
    <n v="0.03"/>
    <n v="0"/>
    <n v="0.03"/>
  </r>
  <r>
    <x v="1"/>
    <x v="2"/>
    <x v="36"/>
    <x v="3"/>
    <x v="0"/>
    <x v="0"/>
    <n v="0.03"/>
    <n v="0.02"/>
    <n v="0.02"/>
    <n v="0.02"/>
  </r>
  <r>
    <x v="1"/>
    <x v="2"/>
    <x v="36"/>
    <x v="0"/>
    <x v="1"/>
    <x v="1"/>
    <n v="0.03"/>
    <n v="0.03"/>
    <n v="0"/>
    <n v="0.03"/>
  </r>
  <r>
    <x v="1"/>
    <x v="2"/>
    <x v="36"/>
    <x v="2"/>
    <x v="3"/>
    <x v="2"/>
    <n v="1.74"/>
    <n v="1.66"/>
    <n v="0"/>
    <n v="1.58"/>
  </r>
  <r>
    <x v="1"/>
    <x v="2"/>
    <x v="36"/>
    <x v="1"/>
    <x v="0"/>
    <x v="1"/>
    <n v="1.31"/>
    <n v="1.25"/>
    <n v="7.0000000000000007E-2"/>
    <n v="1.29"/>
  </r>
  <r>
    <x v="1"/>
    <x v="2"/>
    <x v="36"/>
    <x v="1"/>
    <x v="4"/>
    <x v="1"/>
    <n v="1.91"/>
    <n v="1.82"/>
    <n v="0.02"/>
    <n v="1.86"/>
  </r>
  <r>
    <x v="1"/>
    <x v="2"/>
    <x v="36"/>
    <x v="1"/>
    <x v="1"/>
    <x v="1"/>
    <n v="1.93"/>
    <n v="1.84"/>
    <n v="0.03"/>
    <n v="1.82"/>
  </r>
  <r>
    <x v="1"/>
    <x v="2"/>
    <x v="36"/>
    <x v="1"/>
    <x v="2"/>
    <x v="1"/>
    <n v="5.47"/>
    <n v="5.22"/>
    <n v="0.03"/>
    <n v="5.2"/>
  </r>
  <r>
    <x v="1"/>
    <x v="2"/>
    <x v="36"/>
    <x v="1"/>
    <x v="3"/>
    <x v="1"/>
    <n v="0.1"/>
    <n v="0.1"/>
    <n v="0"/>
    <n v="0.09"/>
  </r>
  <r>
    <x v="1"/>
    <x v="2"/>
    <x v="36"/>
    <x v="2"/>
    <x v="4"/>
    <x v="1"/>
    <n v="0.01"/>
    <n v="0.01"/>
    <n v="0"/>
    <n v="0.01"/>
  </r>
  <r>
    <x v="1"/>
    <x v="2"/>
    <x v="36"/>
    <x v="2"/>
    <x v="1"/>
    <x v="1"/>
    <n v="0"/>
    <n v="0"/>
    <n v="0"/>
    <n v="0"/>
  </r>
  <r>
    <x v="1"/>
    <x v="2"/>
    <x v="36"/>
    <x v="2"/>
    <x v="2"/>
    <x v="1"/>
    <n v="0.23"/>
    <n v="0.22"/>
    <n v="0"/>
    <n v="0.23"/>
  </r>
  <r>
    <x v="1"/>
    <x v="2"/>
    <x v="36"/>
    <x v="0"/>
    <x v="0"/>
    <x v="1"/>
    <n v="0.76"/>
    <n v="0.73"/>
    <n v="0.04"/>
    <n v="0.69"/>
  </r>
  <r>
    <x v="1"/>
    <x v="9"/>
    <x v="37"/>
    <x v="2"/>
    <x v="4"/>
    <x v="1"/>
    <n v="0.09"/>
    <n v="0.08"/>
    <n v="0"/>
    <n v="0.08"/>
  </r>
  <r>
    <x v="1"/>
    <x v="9"/>
    <x v="37"/>
    <x v="0"/>
    <x v="1"/>
    <x v="0"/>
    <n v="0.38"/>
    <n v="0.35"/>
    <n v="0.04"/>
    <n v="0.38"/>
  </r>
  <r>
    <x v="1"/>
    <x v="9"/>
    <x v="37"/>
    <x v="1"/>
    <x v="3"/>
    <x v="1"/>
    <n v="0.47"/>
    <n v="0.44"/>
    <n v="0"/>
    <n v="0.44"/>
  </r>
  <r>
    <x v="1"/>
    <x v="9"/>
    <x v="37"/>
    <x v="3"/>
    <x v="0"/>
    <x v="0"/>
    <n v="0.09"/>
    <n v="0.08"/>
    <n v="0.08"/>
    <n v="0.08"/>
  </r>
  <r>
    <x v="1"/>
    <x v="9"/>
    <x v="37"/>
    <x v="2"/>
    <x v="3"/>
    <x v="1"/>
    <n v="38.65"/>
    <n v="35.68"/>
    <n v="7.0000000000000007E-2"/>
    <n v="35.729999999999997"/>
  </r>
  <r>
    <x v="1"/>
    <x v="9"/>
    <x v="37"/>
    <x v="3"/>
    <x v="4"/>
    <x v="0"/>
    <n v="12.7"/>
    <n v="11.73"/>
    <n v="3.6"/>
    <n v="11.86"/>
  </r>
  <r>
    <x v="1"/>
    <x v="9"/>
    <x v="37"/>
    <x v="4"/>
    <x v="4"/>
    <x v="0"/>
    <n v="164.97"/>
    <n v="152.30000000000001"/>
    <n v="25.79"/>
    <n v="152.5"/>
  </r>
  <r>
    <x v="1"/>
    <x v="9"/>
    <x v="37"/>
    <x v="4"/>
    <x v="1"/>
    <x v="0"/>
    <n v="17.86"/>
    <n v="16.489999999999998"/>
    <n v="1.22"/>
    <n v="16.77"/>
  </r>
  <r>
    <x v="1"/>
    <x v="9"/>
    <x v="37"/>
    <x v="1"/>
    <x v="2"/>
    <x v="1"/>
    <n v="46.19"/>
    <n v="42.65"/>
    <n v="0.2"/>
    <n v="43.16"/>
  </r>
  <r>
    <x v="1"/>
    <x v="9"/>
    <x v="37"/>
    <x v="0"/>
    <x v="4"/>
    <x v="0"/>
    <n v="87.69"/>
    <n v="80.959999999999994"/>
    <n v="31.11"/>
    <n v="80.2"/>
  </r>
  <r>
    <x v="1"/>
    <x v="9"/>
    <x v="37"/>
    <x v="1"/>
    <x v="0"/>
    <x v="1"/>
    <n v="4.51"/>
    <n v="4.16"/>
    <n v="0.37"/>
    <n v="4.26"/>
  </r>
  <r>
    <x v="1"/>
    <x v="9"/>
    <x v="37"/>
    <x v="0"/>
    <x v="2"/>
    <x v="0"/>
    <n v="0.04"/>
    <n v="0.04"/>
    <n v="0"/>
    <n v="0.04"/>
  </r>
  <r>
    <x v="1"/>
    <x v="9"/>
    <x v="37"/>
    <x v="1"/>
    <x v="0"/>
    <x v="0"/>
    <n v="33.729999999999997"/>
    <n v="31.14"/>
    <n v="15.94"/>
    <n v="32.799999999999997"/>
  </r>
  <r>
    <x v="1"/>
    <x v="9"/>
    <x v="37"/>
    <x v="1"/>
    <x v="4"/>
    <x v="0"/>
    <n v="325.81"/>
    <n v="300.8"/>
    <n v="79.989999999999995"/>
    <n v="304.62"/>
  </r>
  <r>
    <x v="1"/>
    <x v="9"/>
    <x v="37"/>
    <x v="1"/>
    <x v="1"/>
    <x v="0"/>
    <n v="55.97"/>
    <n v="51.68"/>
    <n v="3.96"/>
    <n v="51.7"/>
  </r>
  <r>
    <x v="1"/>
    <x v="9"/>
    <x v="37"/>
    <x v="1"/>
    <x v="2"/>
    <x v="0"/>
    <n v="1.8"/>
    <n v="1.66"/>
    <n v="0.06"/>
    <n v="1.59"/>
  </r>
  <r>
    <x v="1"/>
    <x v="9"/>
    <x v="37"/>
    <x v="2"/>
    <x v="0"/>
    <x v="0"/>
    <n v="9.2899999999999991"/>
    <n v="8.58"/>
    <n v="6.29"/>
    <n v="8.6999999999999993"/>
  </r>
  <r>
    <x v="1"/>
    <x v="9"/>
    <x v="37"/>
    <x v="2"/>
    <x v="4"/>
    <x v="0"/>
    <n v="9.9499999999999993"/>
    <n v="9.19"/>
    <n v="2.59"/>
    <n v="9.26"/>
  </r>
  <r>
    <x v="1"/>
    <x v="9"/>
    <x v="37"/>
    <x v="0"/>
    <x v="0"/>
    <x v="0"/>
    <n v="15.86"/>
    <n v="14.64"/>
    <n v="8.08"/>
    <n v="14.43"/>
  </r>
  <r>
    <x v="1"/>
    <x v="9"/>
    <x v="37"/>
    <x v="4"/>
    <x v="0"/>
    <x v="1"/>
    <n v="5.59"/>
    <n v="5.17"/>
    <n v="0.32"/>
    <n v="5.19"/>
  </r>
  <r>
    <x v="1"/>
    <x v="9"/>
    <x v="37"/>
    <x v="4"/>
    <x v="1"/>
    <x v="2"/>
    <n v="4.05"/>
    <n v="3.74"/>
    <n v="0.1"/>
    <n v="3.52"/>
  </r>
  <r>
    <x v="1"/>
    <x v="9"/>
    <x v="37"/>
    <x v="4"/>
    <x v="2"/>
    <x v="2"/>
    <n v="5.44"/>
    <n v="5.0199999999999996"/>
    <n v="0.03"/>
    <n v="4.7300000000000004"/>
  </r>
  <r>
    <x v="1"/>
    <x v="9"/>
    <x v="37"/>
    <x v="1"/>
    <x v="4"/>
    <x v="2"/>
    <n v="2.94"/>
    <n v="2.72"/>
    <n v="0.09"/>
    <n v="2.58"/>
  </r>
  <r>
    <x v="1"/>
    <x v="9"/>
    <x v="37"/>
    <x v="1"/>
    <x v="1"/>
    <x v="2"/>
    <n v="1.76"/>
    <n v="1.63"/>
    <n v="0.02"/>
    <n v="1.53"/>
  </r>
  <r>
    <x v="1"/>
    <x v="9"/>
    <x v="37"/>
    <x v="1"/>
    <x v="3"/>
    <x v="2"/>
    <n v="0.57999999999999996"/>
    <n v="0.54"/>
    <n v="0"/>
    <n v="0.51"/>
  </r>
  <r>
    <x v="1"/>
    <x v="9"/>
    <x v="37"/>
    <x v="2"/>
    <x v="2"/>
    <x v="2"/>
    <n v="0.49"/>
    <n v="0.45"/>
    <n v="0"/>
    <n v="0.49"/>
  </r>
  <r>
    <x v="1"/>
    <x v="9"/>
    <x v="37"/>
    <x v="2"/>
    <x v="3"/>
    <x v="2"/>
    <n v="69.510000000000005"/>
    <n v="64.180000000000007"/>
    <n v="0.05"/>
    <n v="61.81"/>
  </r>
  <r>
    <x v="1"/>
    <x v="9"/>
    <x v="37"/>
    <x v="1"/>
    <x v="1"/>
    <x v="1"/>
    <n v="22.76"/>
    <n v="21.01"/>
    <n v="0.28000000000000003"/>
    <n v="21.33"/>
  </r>
  <r>
    <x v="1"/>
    <x v="9"/>
    <x v="37"/>
    <x v="2"/>
    <x v="3"/>
    <x v="3"/>
    <n v="33.57"/>
    <n v="30.99"/>
    <n v="0.02"/>
    <n v="33.57"/>
  </r>
  <r>
    <x v="1"/>
    <x v="9"/>
    <x v="37"/>
    <x v="1"/>
    <x v="4"/>
    <x v="1"/>
    <n v="2.9"/>
    <n v="2.68"/>
    <n v="0.14000000000000001"/>
    <n v="2.9"/>
  </r>
  <r>
    <x v="1"/>
    <x v="9"/>
    <x v="37"/>
    <x v="4"/>
    <x v="4"/>
    <x v="1"/>
    <n v="0.41"/>
    <n v="0.38"/>
    <n v="0.05"/>
    <n v="0.38"/>
  </r>
  <r>
    <x v="1"/>
    <x v="9"/>
    <x v="37"/>
    <x v="4"/>
    <x v="1"/>
    <x v="1"/>
    <n v="0.41"/>
    <n v="0.37"/>
    <n v="0.02"/>
    <n v="0.37"/>
  </r>
  <r>
    <x v="1"/>
    <x v="9"/>
    <x v="37"/>
    <x v="0"/>
    <x v="0"/>
    <x v="1"/>
    <n v="12.56"/>
    <n v="11.6"/>
    <n v="0.72"/>
    <n v="11.6"/>
  </r>
  <r>
    <x v="1"/>
    <x v="9"/>
    <x v="37"/>
    <x v="0"/>
    <x v="4"/>
    <x v="1"/>
    <n v="12.23"/>
    <n v="11.29"/>
    <n v="0.27"/>
    <n v="11.3"/>
  </r>
  <r>
    <x v="1"/>
    <x v="9"/>
    <x v="37"/>
    <x v="0"/>
    <x v="1"/>
    <x v="1"/>
    <n v="0.25"/>
    <n v="0.23"/>
    <n v="0"/>
    <n v="0.23"/>
  </r>
  <r>
    <x v="1"/>
    <x v="9"/>
    <x v="37"/>
    <x v="0"/>
    <x v="3"/>
    <x v="1"/>
    <n v="0.7"/>
    <n v="0.65"/>
    <n v="0"/>
    <n v="0.65"/>
  </r>
  <r>
    <x v="1"/>
    <x v="9"/>
    <x v="37"/>
    <x v="4"/>
    <x v="4"/>
    <x v="2"/>
    <n v="6.8"/>
    <n v="6.28"/>
    <n v="0.33"/>
    <n v="6.04"/>
  </r>
  <r>
    <x v="1"/>
    <x v="9"/>
    <x v="37"/>
    <x v="2"/>
    <x v="2"/>
    <x v="3"/>
    <n v="8.48"/>
    <n v="7.83"/>
    <n v="0.01"/>
    <n v="8.48"/>
  </r>
  <r>
    <x v="1"/>
    <x v="9"/>
    <x v="37"/>
    <x v="4"/>
    <x v="0"/>
    <x v="0"/>
    <n v="1.1599999999999999"/>
    <n v="1.07"/>
    <n v="0.25"/>
    <n v="1.08"/>
  </r>
  <r>
    <x v="1"/>
    <x v="7"/>
    <x v="38"/>
    <x v="2"/>
    <x v="2"/>
    <x v="3"/>
    <n v="0.28999999999999998"/>
    <n v="0.28999999999999998"/>
    <n v="0"/>
    <n v="0.28999999999999998"/>
  </r>
  <r>
    <x v="1"/>
    <x v="7"/>
    <x v="38"/>
    <x v="1"/>
    <x v="3"/>
    <x v="1"/>
    <n v="0.11"/>
    <n v="0.11"/>
    <n v="0"/>
    <n v="0.11"/>
  </r>
  <r>
    <x v="1"/>
    <x v="7"/>
    <x v="38"/>
    <x v="1"/>
    <x v="2"/>
    <x v="1"/>
    <n v="3.74"/>
    <n v="3.74"/>
    <n v="0.03"/>
    <n v="3.56"/>
  </r>
  <r>
    <x v="1"/>
    <x v="7"/>
    <x v="38"/>
    <x v="1"/>
    <x v="1"/>
    <x v="1"/>
    <n v="2.06"/>
    <n v="2.06"/>
    <n v="0.04"/>
    <n v="1.98"/>
  </r>
  <r>
    <x v="1"/>
    <x v="7"/>
    <x v="38"/>
    <x v="1"/>
    <x v="4"/>
    <x v="1"/>
    <n v="1.22"/>
    <n v="1.22"/>
    <n v="0.03"/>
    <n v="1.22"/>
  </r>
  <r>
    <x v="1"/>
    <x v="7"/>
    <x v="38"/>
    <x v="0"/>
    <x v="1"/>
    <x v="1"/>
    <n v="0.03"/>
    <n v="0.03"/>
    <n v="0"/>
    <n v="0.03"/>
  </r>
  <r>
    <x v="1"/>
    <x v="7"/>
    <x v="38"/>
    <x v="0"/>
    <x v="4"/>
    <x v="1"/>
    <n v="0.7"/>
    <n v="0.7"/>
    <n v="0.02"/>
    <n v="0.64"/>
  </r>
  <r>
    <x v="1"/>
    <x v="7"/>
    <x v="38"/>
    <x v="0"/>
    <x v="0"/>
    <x v="1"/>
    <n v="0.85"/>
    <n v="0.85"/>
    <n v="0.04"/>
    <n v="0.8"/>
  </r>
  <r>
    <x v="1"/>
    <x v="7"/>
    <x v="38"/>
    <x v="4"/>
    <x v="1"/>
    <x v="1"/>
    <n v="0.02"/>
    <n v="0.02"/>
    <n v="0"/>
    <n v="0.02"/>
  </r>
  <r>
    <x v="1"/>
    <x v="7"/>
    <x v="38"/>
    <x v="4"/>
    <x v="4"/>
    <x v="1"/>
    <n v="0.04"/>
    <n v="0.04"/>
    <n v="0"/>
    <n v="0.04"/>
  </r>
  <r>
    <x v="1"/>
    <x v="7"/>
    <x v="38"/>
    <x v="2"/>
    <x v="3"/>
    <x v="3"/>
    <n v="7.0000000000000007E-2"/>
    <n v="7.0000000000000007E-2"/>
    <n v="0"/>
    <n v="7.0000000000000007E-2"/>
  </r>
  <r>
    <x v="1"/>
    <x v="7"/>
    <x v="38"/>
    <x v="1"/>
    <x v="0"/>
    <x v="1"/>
    <n v="0.65"/>
    <n v="0.65"/>
    <n v="0.05"/>
    <n v="0.64"/>
  </r>
  <r>
    <x v="1"/>
    <x v="7"/>
    <x v="38"/>
    <x v="2"/>
    <x v="4"/>
    <x v="3"/>
    <n v="0.62"/>
    <n v="0.62"/>
    <n v="0"/>
    <n v="0.62"/>
  </r>
  <r>
    <x v="1"/>
    <x v="7"/>
    <x v="38"/>
    <x v="2"/>
    <x v="3"/>
    <x v="2"/>
    <n v="0.61"/>
    <n v="0.61"/>
    <n v="0"/>
    <n v="0.59"/>
  </r>
  <r>
    <x v="1"/>
    <x v="7"/>
    <x v="38"/>
    <x v="2"/>
    <x v="2"/>
    <x v="2"/>
    <n v="0.08"/>
    <n v="0.08"/>
    <n v="0"/>
    <n v="0.08"/>
  </r>
  <r>
    <x v="1"/>
    <x v="7"/>
    <x v="38"/>
    <x v="1"/>
    <x v="3"/>
    <x v="2"/>
    <n v="0.24"/>
    <n v="0.24"/>
    <n v="0"/>
    <n v="0.21"/>
  </r>
  <r>
    <x v="1"/>
    <x v="7"/>
    <x v="38"/>
    <x v="1"/>
    <x v="2"/>
    <x v="2"/>
    <n v="0.09"/>
    <n v="0.09"/>
    <n v="0"/>
    <n v="0.08"/>
  </r>
  <r>
    <x v="1"/>
    <x v="7"/>
    <x v="38"/>
    <x v="1"/>
    <x v="1"/>
    <x v="2"/>
    <n v="0.2"/>
    <n v="0.2"/>
    <n v="0"/>
    <n v="0.18"/>
  </r>
  <r>
    <x v="1"/>
    <x v="7"/>
    <x v="38"/>
    <x v="1"/>
    <x v="4"/>
    <x v="2"/>
    <n v="0.48"/>
    <n v="0.48"/>
    <n v="0.01"/>
    <n v="0.42"/>
  </r>
  <r>
    <x v="1"/>
    <x v="7"/>
    <x v="38"/>
    <x v="4"/>
    <x v="2"/>
    <x v="2"/>
    <n v="0.72"/>
    <n v="0.72"/>
    <n v="0"/>
    <n v="0.63"/>
  </r>
  <r>
    <x v="1"/>
    <x v="7"/>
    <x v="38"/>
    <x v="4"/>
    <x v="1"/>
    <x v="2"/>
    <n v="0.54"/>
    <n v="0.54"/>
    <n v="0.01"/>
    <n v="0.47"/>
  </r>
  <r>
    <x v="1"/>
    <x v="7"/>
    <x v="38"/>
    <x v="4"/>
    <x v="4"/>
    <x v="2"/>
    <n v="0.75"/>
    <n v="0.75"/>
    <n v="0.04"/>
    <n v="0.67"/>
  </r>
  <r>
    <x v="1"/>
    <x v="7"/>
    <x v="38"/>
    <x v="4"/>
    <x v="0"/>
    <x v="1"/>
    <n v="0.37"/>
    <n v="0.37"/>
    <n v="0.02"/>
    <n v="0.34"/>
  </r>
  <r>
    <x v="1"/>
    <x v="7"/>
    <x v="38"/>
    <x v="1"/>
    <x v="0"/>
    <x v="0"/>
    <n v="2.35"/>
    <n v="2.35"/>
    <n v="1.27"/>
    <n v="2.2000000000000002"/>
  </r>
  <r>
    <x v="1"/>
    <x v="7"/>
    <x v="38"/>
    <x v="2"/>
    <x v="4"/>
    <x v="0"/>
    <n v="1.61"/>
    <n v="1.61"/>
    <n v="0.41"/>
    <n v="1.55"/>
  </r>
  <r>
    <x v="1"/>
    <x v="7"/>
    <x v="38"/>
    <x v="2"/>
    <x v="0"/>
    <x v="0"/>
    <n v="1.69"/>
    <n v="1.69"/>
    <n v="1.26"/>
    <n v="1.63"/>
  </r>
  <r>
    <x v="1"/>
    <x v="7"/>
    <x v="38"/>
    <x v="1"/>
    <x v="2"/>
    <x v="0"/>
    <n v="0.1"/>
    <n v="0.1"/>
    <n v="0"/>
    <n v="0.09"/>
  </r>
  <r>
    <x v="1"/>
    <x v="7"/>
    <x v="38"/>
    <x v="1"/>
    <x v="4"/>
    <x v="0"/>
    <n v="24.07"/>
    <n v="24.07"/>
    <n v="6.33"/>
    <n v="22.32"/>
  </r>
  <r>
    <x v="1"/>
    <x v="7"/>
    <x v="38"/>
    <x v="0"/>
    <x v="2"/>
    <x v="0"/>
    <n v="0.01"/>
    <n v="0.01"/>
    <n v="0"/>
    <n v="0.01"/>
  </r>
  <r>
    <x v="1"/>
    <x v="7"/>
    <x v="38"/>
    <x v="0"/>
    <x v="4"/>
    <x v="0"/>
    <n v="7.74"/>
    <n v="7.74"/>
    <n v="2.2599999999999998"/>
    <n v="7.18"/>
  </r>
  <r>
    <x v="1"/>
    <x v="7"/>
    <x v="38"/>
    <x v="0"/>
    <x v="0"/>
    <x v="0"/>
    <n v="2.98"/>
    <n v="2.98"/>
    <n v="1.58"/>
    <n v="2.7"/>
  </r>
  <r>
    <x v="1"/>
    <x v="7"/>
    <x v="38"/>
    <x v="4"/>
    <x v="1"/>
    <x v="0"/>
    <n v="1.7"/>
    <n v="1.7"/>
    <n v="0.12"/>
    <n v="1.59"/>
  </r>
  <r>
    <x v="1"/>
    <x v="7"/>
    <x v="38"/>
    <x v="4"/>
    <x v="4"/>
    <x v="0"/>
    <n v="11.96"/>
    <n v="11.96"/>
    <n v="1.77"/>
    <n v="11.08"/>
  </r>
  <r>
    <x v="1"/>
    <x v="7"/>
    <x v="38"/>
    <x v="4"/>
    <x v="0"/>
    <x v="0"/>
    <n v="0.04"/>
    <n v="0.04"/>
    <n v="0.01"/>
    <n v="0.03"/>
  </r>
  <r>
    <x v="1"/>
    <x v="7"/>
    <x v="38"/>
    <x v="3"/>
    <x v="4"/>
    <x v="0"/>
    <n v="0.88"/>
    <n v="0.88"/>
    <n v="0.14000000000000001"/>
    <n v="0.81"/>
  </r>
  <r>
    <x v="1"/>
    <x v="7"/>
    <x v="38"/>
    <x v="3"/>
    <x v="0"/>
    <x v="0"/>
    <n v="0.05"/>
    <n v="0.05"/>
    <n v="0.04"/>
    <n v="0.05"/>
  </r>
  <r>
    <x v="1"/>
    <x v="7"/>
    <x v="38"/>
    <x v="2"/>
    <x v="3"/>
    <x v="1"/>
    <n v="0.28000000000000003"/>
    <n v="0.28000000000000003"/>
    <n v="0"/>
    <n v="0.28000000000000003"/>
  </r>
  <r>
    <x v="1"/>
    <x v="7"/>
    <x v="38"/>
    <x v="2"/>
    <x v="4"/>
    <x v="1"/>
    <n v="0"/>
    <n v="0"/>
    <n v="0"/>
    <n v="0"/>
  </r>
  <r>
    <x v="1"/>
    <x v="7"/>
    <x v="38"/>
    <x v="1"/>
    <x v="1"/>
    <x v="0"/>
    <n v="6.61"/>
    <n v="6.61"/>
    <n v="0.41"/>
    <n v="6.09"/>
  </r>
  <r>
    <x v="1"/>
    <x v="1"/>
    <x v="39"/>
    <x v="0"/>
    <x v="4"/>
    <x v="0"/>
    <n v="2.69"/>
    <n v="2.7"/>
    <n v="0.74"/>
    <n v="2.48"/>
  </r>
  <r>
    <x v="1"/>
    <x v="1"/>
    <x v="39"/>
    <x v="2"/>
    <x v="2"/>
    <x v="3"/>
    <n v="25.19"/>
    <n v="25.32"/>
    <n v="0.01"/>
    <n v="25.19"/>
  </r>
  <r>
    <x v="1"/>
    <x v="1"/>
    <x v="39"/>
    <x v="2"/>
    <x v="3"/>
    <x v="2"/>
    <n v="8.4"/>
    <n v="8.44"/>
    <n v="0.01"/>
    <n v="4.2"/>
  </r>
  <r>
    <x v="1"/>
    <x v="1"/>
    <x v="39"/>
    <x v="1"/>
    <x v="1"/>
    <x v="2"/>
    <n v="0.94"/>
    <n v="0.95"/>
    <n v="0.01"/>
    <n v="0.94"/>
  </r>
  <r>
    <x v="1"/>
    <x v="1"/>
    <x v="39"/>
    <x v="1"/>
    <x v="4"/>
    <x v="2"/>
    <n v="4.12"/>
    <n v="4.1399999999999997"/>
    <n v="0.11"/>
    <n v="3.29"/>
  </r>
  <r>
    <x v="1"/>
    <x v="1"/>
    <x v="39"/>
    <x v="4"/>
    <x v="4"/>
    <x v="2"/>
    <n v="8.08"/>
    <n v="8.1199999999999992"/>
    <n v="0.18"/>
    <n v="6.69"/>
  </r>
  <r>
    <x v="1"/>
    <x v="1"/>
    <x v="39"/>
    <x v="2"/>
    <x v="3"/>
    <x v="3"/>
    <n v="71.22"/>
    <n v="71.569999999999993"/>
    <n v="0.02"/>
    <n v="35.61"/>
  </r>
  <r>
    <x v="1"/>
    <x v="1"/>
    <x v="39"/>
    <x v="0"/>
    <x v="0"/>
    <x v="0"/>
    <n v="2.4900000000000002"/>
    <n v="2.5"/>
    <n v="1"/>
    <n v="2.13"/>
  </r>
  <r>
    <x v="1"/>
    <x v="1"/>
    <x v="39"/>
    <x v="4"/>
    <x v="1"/>
    <x v="2"/>
    <n v="7.46"/>
    <n v="7.49"/>
    <n v="0.13"/>
    <n v="5.97"/>
  </r>
  <r>
    <x v="1"/>
    <x v="1"/>
    <x v="39"/>
    <x v="0"/>
    <x v="2"/>
    <x v="0"/>
    <n v="0.1"/>
    <n v="0.1"/>
    <n v="0"/>
    <n v="0.1"/>
  </r>
  <r>
    <x v="1"/>
    <x v="1"/>
    <x v="39"/>
    <x v="1"/>
    <x v="0"/>
    <x v="0"/>
    <n v="5.16"/>
    <n v="5.19"/>
    <n v="2.94"/>
    <n v="4.72"/>
  </r>
  <r>
    <x v="1"/>
    <x v="1"/>
    <x v="39"/>
    <x v="1"/>
    <x v="4"/>
    <x v="0"/>
    <n v="129.86000000000001"/>
    <n v="130.5"/>
    <n v="28.63"/>
    <n v="112.53"/>
  </r>
  <r>
    <x v="1"/>
    <x v="1"/>
    <x v="39"/>
    <x v="1"/>
    <x v="1"/>
    <x v="0"/>
    <n v="44.63"/>
    <n v="44.85"/>
    <n v="2.44"/>
    <n v="38.130000000000003"/>
  </r>
  <r>
    <x v="1"/>
    <x v="1"/>
    <x v="39"/>
    <x v="1"/>
    <x v="2"/>
    <x v="0"/>
    <n v="4.57"/>
    <n v="4.5999999999999996"/>
    <n v="0.17"/>
    <n v="3.79"/>
  </r>
  <r>
    <x v="1"/>
    <x v="1"/>
    <x v="39"/>
    <x v="2"/>
    <x v="0"/>
    <x v="0"/>
    <n v="1.83"/>
    <n v="1.84"/>
    <n v="1.52"/>
    <n v="1.66"/>
  </r>
  <r>
    <x v="1"/>
    <x v="1"/>
    <x v="39"/>
    <x v="2"/>
    <x v="4"/>
    <x v="0"/>
    <n v="5.39"/>
    <n v="5.41"/>
    <n v="1.77"/>
    <n v="4.58"/>
  </r>
  <r>
    <x v="1"/>
    <x v="1"/>
    <x v="39"/>
    <x v="1"/>
    <x v="2"/>
    <x v="2"/>
    <n v="0.51"/>
    <n v="0.51"/>
    <n v="0"/>
    <n v="0.51"/>
  </r>
  <r>
    <x v="1"/>
    <x v="1"/>
    <x v="39"/>
    <x v="3"/>
    <x v="0"/>
    <x v="0"/>
    <n v="0.14000000000000001"/>
    <n v="0.14000000000000001"/>
    <n v="0.05"/>
    <n v="0.14000000000000001"/>
  </r>
  <r>
    <x v="1"/>
    <x v="1"/>
    <x v="39"/>
    <x v="4"/>
    <x v="0"/>
    <x v="1"/>
    <n v="0.27"/>
    <n v="0.27"/>
    <n v="0.01"/>
    <n v="0.22"/>
  </r>
  <r>
    <x v="1"/>
    <x v="1"/>
    <x v="39"/>
    <x v="0"/>
    <x v="4"/>
    <x v="1"/>
    <n v="9.15"/>
    <n v="9.19"/>
    <n v="7.0000000000000007E-2"/>
    <n v="7.62"/>
  </r>
  <r>
    <x v="1"/>
    <x v="1"/>
    <x v="39"/>
    <x v="1"/>
    <x v="0"/>
    <x v="1"/>
    <n v="6"/>
    <n v="6.03"/>
    <n v="0.36"/>
    <n v="4.99"/>
  </r>
  <r>
    <x v="1"/>
    <x v="1"/>
    <x v="39"/>
    <x v="1"/>
    <x v="1"/>
    <x v="1"/>
    <n v="10.85"/>
    <n v="10.9"/>
    <n v="0.12"/>
    <n v="9.01"/>
  </r>
  <r>
    <x v="1"/>
    <x v="1"/>
    <x v="39"/>
    <x v="1"/>
    <x v="3"/>
    <x v="1"/>
    <n v="0.67"/>
    <n v="0.67"/>
    <n v="0"/>
    <n v="0.67"/>
  </r>
  <r>
    <x v="1"/>
    <x v="1"/>
    <x v="39"/>
    <x v="2"/>
    <x v="3"/>
    <x v="1"/>
    <n v="28.97"/>
    <n v="29.11"/>
    <n v="0.02"/>
    <n v="15.65"/>
  </r>
  <r>
    <x v="1"/>
    <x v="1"/>
    <x v="39"/>
    <x v="1"/>
    <x v="2"/>
    <x v="1"/>
    <n v="54.82"/>
    <n v="55.08"/>
    <n v="0.18"/>
    <n v="45.65"/>
  </r>
  <r>
    <x v="1"/>
    <x v="1"/>
    <x v="39"/>
    <x v="3"/>
    <x v="4"/>
    <x v="0"/>
    <n v="38.200000000000003"/>
    <n v="38.39"/>
    <n v="3.84"/>
    <n v="32.24"/>
  </r>
  <r>
    <x v="1"/>
    <x v="1"/>
    <x v="39"/>
    <x v="3"/>
    <x v="1"/>
    <x v="0"/>
    <n v="0.06"/>
    <n v="0.06"/>
    <n v="0.01"/>
    <n v="0.06"/>
  </r>
  <r>
    <x v="1"/>
    <x v="1"/>
    <x v="39"/>
    <x v="4"/>
    <x v="0"/>
    <x v="0"/>
    <n v="0.97"/>
    <n v="0.98"/>
    <n v="0.01"/>
    <n v="0.8"/>
  </r>
  <r>
    <x v="1"/>
    <x v="1"/>
    <x v="39"/>
    <x v="4"/>
    <x v="4"/>
    <x v="0"/>
    <n v="44.9"/>
    <n v="45.12"/>
    <n v="7.85"/>
    <n v="38.409999999999997"/>
  </r>
  <r>
    <x v="1"/>
    <x v="1"/>
    <x v="39"/>
    <x v="4"/>
    <x v="1"/>
    <x v="0"/>
    <n v="6.14"/>
    <n v="6.17"/>
    <n v="0.46"/>
    <n v="5.26"/>
  </r>
  <r>
    <x v="1"/>
    <x v="1"/>
    <x v="39"/>
    <x v="1"/>
    <x v="4"/>
    <x v="1"/>
    <n v="2.31"/>
    <n v="2.3199999999999998"/>
    <n v="0.08"/>
    <n v="1.93"/>
  </r>
  <r>
    <x v="1"/>
    <x v="1"/>
    <x v="39"/>
    <x v="0"/>
    <x v="0"/>
    <x v="1"/>
    <n v="0.73"/>
    <n v="0.73"/>
    <n v="0.03"/>
    <n v="0.61"/>
  </r>
  <r>
    <x v="1"/>
    <x v="1"/>
    <x v="39"/>
    <x v="4"/>
    <x v="1"/>
    <x v="1"/>
    <n v="0.38"/>
    <n v="0.38"/>
    <n v="0.01"/>
    <n v="0.31"/>
  </r>
  <r>
    <x v="1"/>
    <x v="1"/>
    <x v="39"/>
    <x v="2"/>
    <x v="4"/>
    <x v="1"/>
    <n v="0.59"/>
    <n v="0.6"/>
    <n v="0"/>
    <n v="0.59"/>
  </r>
  <r>
    <x v="1"/>
    <x v="10"/>
    <x v="40"/>
    <x v="4"/>
    <x v="2"/>
    <x v="0"/>
    <n v="0.17"/>
    <n v="0.13"/>
    <n v="0.02"/>
    <n v="0.17"/>
  </r>
  <r>
    <x v="1"/>
    <x v="10"/>
    <x v="40"/>
    <x v="1"/>
    <x v="0"/>
    <x v="1"/>
    <n v="4.32"/>
    <n v="3.25"/>
    <n v="0.22"/>
    <n v="4.2300000000000004"/>
  </r>
  <r>
    <x v="1"/>
    <x v="10"/>
    <x v="40"/>
    <x v="0"/>
    <x v="4"/>
    <x v="0"/>
    <n v="19.93"/>
    <n v="15"/>
    <n v="5.32"/>
    <n v="18.22"/>
  </r>
  <r>
    <x v="1"/>
    <x v="10"/>
    <x v="40"/>
    <x v="0"/>
    <x v="0"/>
    <x v="0"/>
    <n v="9.57"/>
    <n v="7.2"/>
    <n v="4.76"/>
    <n v="8.6199999999999992"/>
  </r>
  <r>
    <x v="1"/>
    <x v="10"/>
    <x v="40"/>
    <x v="4"/>
    <x v="1"/>
    <x v="0"/>
    <n v="5.91"/>
    <n v="4.45"/>
    <n v="0.39"/>
    <n v="5.56"/>
  </r>
  <r>
    <x v="1"/>
    <x v="10"/>
    <x v="40"/>
    <x v="4"/>
    <x v="4"/>
    <x v="0"/>
    <n v="32.18"/>
    <n v="24.22"/>
    <n v="4.76"/>
    <n v="30.23"/>
  </r>
  <r>
    <x v="1"/>
    <x v="10"/>
    <x v="40"/>
    <x v="3"/>
    <x v="4"/>
    <x v="0"/>
    <n v="2.95"/>
    <n v="2.2200000000000002"/>
    <n v="0.44"/>
    <n v="2.72"/>
  </r>
  <r>
    <x v="1"/>
    <x v="10"/>
    <x v="40"/>
    <x v="1"/>
    <x v="2"/>
    <x v="1"/>
    <n v="24.45"/>
    <n v="18.399999999999999"/>
    <n v="0.1"/>
    <n v="22.83"/>
  </r>
  <r>
    <x v="1"/>
    <x v="10"/>
    <x v="40"/>
    <x v="2"/>
    <x v="4"/>
    <x v="1"/>
    <n v="0.06"/>
    <n v="0.05"/>
    <n v="0"/>
    <n v="0.05"/>
  </r>
  <r>
    <x v="1"/>
    <x v="10"/>
    <x v="40"/>
    <x v="4"/>
    <x v="0"/>
    <x v="0"/>
    <n v="0.18"/>
    <n v="0.14000000000000001"/>
    <n v="0.03"/>
    <n v="0.17"/>
  </r>
  <r>
    <x v="1"/>
    <x v="10"/>
    <x v="40"/>
    <x v="1"/>
    <x v="3"/>
    <x v="1"/>
    <n v="0.53"/>
    <n v="0.4"/>
    <n v="0"/>
    <n v="0.49"/>
  </r>
  <r>
    <x v="1"/>
    <x v="10"/>
    <x v="40"/>
    <x v="2"/>
    <x v="3"/>
    <x v="1"/>
    <n v="0.41"/>
    <n v="0.31"/>
    <n v="0"/>
    <n v="0.41"/>
  </r>
  <r>
    <x v="1"/>
    <x v="10"/>
    <x v="40"/>
    <x v="2"/>
    <x v="4"/>
    <x v="0"/>
    <n v="3.84"/>
    <n v="2.89"/>
    <n v="0.98"/>
    <n v="3.66"/>
  </r>
  <r>
    <x v="1"/>
    <x v="10"/>
    <x v="40"/>
    <x v="4"/>
    <x v="4"/>
    <x v="2"/>
    <n v="0.75"/>
    <n v="0.56999999999999995"/>
    <n v="0.03"/>
    <n v="0.67"/>
  </r>
  <r>
    <x v="1"/>
    <x v="10"/>
    <x v="40"/>
    <x v="0"/>
    <x v="4"/>
    <x v="1"/>
    <n v="6.94"/>
    <n v="5.23"/>
    <n v="0.16"/>
    <n v="6.41"/>
  </r>
  <r>
    <x v="1"/>
    <x v="10"/>
    <x v="40"/>
    <x v="1"/>
    <x v="4"/>
    <x v="1"/>
    <n v="1.47"/>
    <n v="1.1100000000000001"/>
    <n v="0.06"/>
    <n v="1.47"/>
  </r>
  <r>
    <x v="1"/>
    <x v="10"/>
    <x v="40"/>
    <x v="3"/>
    <x v="0"/>
    <x v="0"/>
    <n v="0.13"/>
    <n v="0.1"/>
    <n v="0.11"/>
    <n v="0.13"/>
  </r>
  <r>
    <x v="1"/>
    <x v="10"/>
    <x v="40"/>
    <x v="0"/>
    <x v="0"/>
    <x v="1"/>
    <n v="5.7"/>
    <n v="4.29"/>
    <n v="0.31"/>
    <n v="5.26"/>
  </r>
  <r>
    <x v="1"/>
    <x v="10"/>
    <x v="40"/>
    <x v="4"/>
    <x v="1"/>
    <x v="1"/>
    <n v="0.21"/>
    <n v="0.16"/>
    <n v="0.01"/>
    <n v="0.2"/>
  </r>
  <r>
    <x v="1"/>
    <x v="10"/>
    <x v="40"/>
    <x v="4"/>
    <x v="4"/>
    <x v="1"/>
    <n v="0.32"/>
    <n v="0.24"/>
    <n v="0.02"/>
    <n v="0.3"/>
  </r>
  <r>
    <x v="1"/>
    <x v="10"/>
    <x v="40"/>
    <x v="4"/>
    <x v="1"/>
    <x v="2"/>
    <n v="0.49"/>
    <n v="0.37"/>
    <n v="0.01"/>
    <n v="0.44"/>
  </r>
  <r>
    <x v="1"/>
    <x v="10"/>
    <x v="40"/>
    <x v="4"/>
    <x v="0"/>
    <x v="1"/>
    <n v="3.22"/>
    <n v="2.42"/>
    <n v="0.17"/>
    <n v="3.01"/>
  </r>
  <r>
    <x v="1"/>
    <x v="10"/>
    <x v="40"/>
    <x v="1"/>
    <x v="1"/>
    <x v="1"/>
    <n v="9.49"/>
    <n v="7.14"/>
    <n v="0.12"/>
    <n v="8.94"/>
  </r>
  <r>
    <x v="1"/>
    <x v="10"/>
    <x v="40"/>
    <x v="1"/>
    <x v="4"/>
    <x v="2"/>
    <n v="0.65"/>
    <n v="0.49"/>
    <n v="0.01"/>
    <n v="0.56000000000000005"/>
  </r>
  <r>
    <x v="1"/>
    <x v="10"/>
    <x v="40"/>
    <x v="2"/>
    <x v="0"/>
    <x v="0"/>
    <n v="2.76"/>
    <n v="2.08"/>
    <n v="2.16"/>
    <n v="2.63"/>
  </r>
  <r>
    <x v="1"/>
    <x v="10"/>
    <x v="40"/>
    <x v="1"/>
    <x v="2"/>
    <x v="0"/>
    <n v="0.23"/>
    <n v="0.18"/>
    <n v="0"/>
    <n v="0.21"/>
  </r>
  <r>
    <x v="1"/>
    <x v="10"/>
    <x v="40"/>
    <x v="1"/>
    <x v="1"/>
    <x v="0"/>
    <n v="26.53"/>
    <n v="19.97"/>
    <n v="1.82"/>
    <n v="24.45"/>
  </r>
  <r>
    <x v="1"/>
    <x v="10"/>
    <x v="40"/>
    <x v="1"/>
    <x v="4"/>
    <x v="0"/>
    <n v="86.85"/>
    <n v="65.37"/>
    <n v="24.25"/>
    <n v="80.33"/>
  </r>
  <r>
    <x v="1"/>
    <x v="10"/>
    <x v="40"/>
    <x v="1"/>
    <x v="3"/>
    <x v="2"/>
    <n v="0.43"/>
    <n v="0.33"/>
    <n v="0"/>
    <n v="0.39"/>
  </r>
  <r>
    <x v="1"/>
    <x v="10"/>
    <x v="40"/>
    <x v="2"/>
    <x v="2"/>
    <x v="2"/>
    <n v="0.34"/>
    <n v="0.25"/>
    <n v="0"/>
    <n v="0.34"/>
  </r>
  <r>
    <x v="1"/>
    <x v="10"/>
    <x v="40"/>
    <x v="0"/>
    <x v="1"/>
    <x v="1"/>
    <n v="0.27"/>
    <n v="0.2"/>
    <n v="0"/>
    <n v="0.25"/>
  </r>
  <r>
    <x v="1"/>
    <x v="10"/>
    <x v="40"/>
    <x v="2"/>
    <x v="3"/>
    <x v="2"/>
    <n v="6.61"/>
    <n v="4.9800000000000004"/>
    <n v="0.01"/>
    <n v="6.43"/>
  </r>
  <r>
    <x v="1"/>
    <x v="10"/>
    <x v="40"/>
    <x v="2"/>
    <x v="2"/>
    <x v="3"/>
    <n v="5.96"/>
    <n v="4.49"/>
    <n v="0.01"/>
    <n v="5.96"/>
  </r>
  <r>
    <x v="1"/>
    <x v="10"/>
    <x v="40"/>
    <x v="2"/>
    <x v="3"/>
    <x v="3"/>
    <n v="0.99"/>
    <n v="0.74"/>
    <n v="0.01"/>
    <n v="0.99"/>
  </r>
  <r>
    <x v="1"/>
    <x v="10"/>
    <x v="40"/>
    <x v="1"/>
    <x v="0"/>
    <x v="0"/>
    <n v="8.2100000000000009"/>
    <n v="6.18"/>
    <n v="4.38"/>
    <n v="7.64"/>
  </r>
  <r>
    <x v="1"/>
    <x v="10"/>
    <x v="40"/>
    <x v="4"/>
    <x v="2"/>
    <x v="2"/>
    <n v="0.37"/>
    <n v="0.28000000000000003"/>
    <n v="0"/>
    <n v="0.32"/>
  </r>
  <r>
    <x v="1"/>
    <x v="1"/>
    <x v="41"/>
    <x v="4"/>
    <x v="4"/>
    <x v="1"/>
    <n v="0.05"/>
    <n v="0.05"/>
    <n v="0"/>
    <n v="0.04"/>
  </r>
  <r>
    <x v="1"/>
    <x v="1"/>
    <x v="41"/>
    <x v="1"/>
    <x v="3"/>
    <x v="1"/>
    <n v="21.42"/>
    <n v="21.67"/>
    <n v="0.02"/>
    <n v="17.87"/>
  </r>
  <r>
    <x v="1"/>
    <x v="1"/>
    <x v="41"/>
    <x v="1"/>
    <x v="4"/>
    <x v="1"/>
    <n v="4.58"/>
    <n v="4.63"/>
    <n v="0.18"/>
    <n v="3.85"/>
  </r>
  <r>
    <x v="1"/>
    <x v="1"/>
    <x v="41"/>
    <x v="1"/>
    <x v="0"/>
    <x v="1"/>
    <n v="18.350000000000001"/>
    <n v="18.57"/>
    <n v="1.22"/>
    <n v="15.89"/>
  </r>
  <r>
    <x v="1"/>
    <x v="1"/>
    <x v="41"/>
    <x v="0"/>
    <x v="3"/>
    <x v="1"/>
    <n v="11.03"/>
    <n v="11.16"/>
    <n v="0"/>
    <n v="4.5999999999999996"/>
  </r>
  <r>
    <x v="1"/>
    <x v="1"/>
    <x v="41"/>
    <x v="0"/>
    <x v="4"/>
    <x v="1"/>
    <n v="29.09"/>
    <n v="29.43"/>
    <n v="0.38"/>
    <n v="24.24"/>
  </r>
  <r>
    <x v="1"/>
    <x v="1"/>
    <x v="41"/>
    <x v="4"/>
    <x v="1"/>
    <x v="1"/>
    <n v="0.19"/>
    <n v="0.19"/>
    <n v="0"/>
    <n v="0.16"/>
  </r>
  <r>
    <x v="1"/>
    <x v="1"/>
    <x v="41"/>
    <x v="4"/>
    <x v="4"/>
    <x v="0"/>
    <n v="40.89"/>
    <n v="41.37"/>
    <n v="9.14"/>
    <n v="37.31"/>
  </r>
  <r>
    <x v="1"/>
    <x v="1"/>
    <x v="41"/>
    <x v="0"/>
    <x v="0"/>
    <x v="1"/>
    <n v="10.54"/>
    <n v="10.66"/>
    <n v="0.37"/>
    <n v="8.7799999999999994"/>
  </r>
  <r>
    <x v="1"/>
    <x v="1"/>
    <x v="41"/>
    <x v="4"/>
    <x v="1"/>
    <x v="0"/>
    <n v="5.47"/>
    <n v="5.53"/>
    <n v="0.41"/>
    <n v="4.88"/>
  </r>
  <r>
    <x v="1"/>
    <x v="1"/>
    <x v="41"/>
    <x v="2"/>
    <x v="4"/>
    <x v="0"/>
    <n v="8.94"/>
    <n v="9.0500000000000007"/>
    <n v="3.29"/>
    <n v="8.19"/>
  </r>
  <r>
    <x v="1"/>
    <x v="1"/>
    <x v="41"/>
    <x v="2"/>
    <x v="0"/>
    <x v="0"/>
    <n v="13.26"/>
    <n v="13.42"/>
    <n v="10.44"/>
    <n v="12.22"/>
  </r>
  <r>
    <x v="1"/>
    <x v="1"/>
    <x v="41"/>
    <x v="1"/>
    <x v="2"/>
    <x v="0"/>
    <n v="9.1"/>
    <n v="9.2100000000000009"/>
    <n v="0.32"/>
    <n v="7.93"/>
  </r>
  <r>
    <x v="1"/>
    <x v="1"/>
    <x v="41"/>
    <x v="1"/>
    <x v="1"/>
    <x v="0"/>
    <n v="74.14"/>
    <n v="75.02"/>
    <n v="4.92"/>
    <n v="66.37"/>
  </r>
  <r>
    <x v="1"/>
    <x v="1"/>
    <x v="41"/>
    <x v="1"/>
    <x v="4"/>
    <x v="0"/>
    <n v="212.73"/>
    <n v="215.25"/>
    <n v="64.13"/>
    <n v="195.32"/>
  </r>
  <r>
    <x v="1"/>
    <x v="1"/>
    <x v="41"/>
    <x v="1"/>
    <x v="0"/>
    <x v="0"/>
    <n v="25.48"/>
    <n v="25.78"/>
    <n v="11.07"/>
    <n v="22.54"/>
  </r>
  <r>
    <x v="1"/>
    <x v="1"/>
    <x v="41"/>
    <x v="3"/>
    <x v="1"/>
    <x v="0"/>
    <n v="0.24"/>
    <n v="0.24"/>
    <n v="0.03"/>
    <n v="0.24"/>
  </r>
  <r>
    <x v="1"/>
    <x v="1"/>
    <x v="41"/>
    <x v="0"/>
    <x v="0"/>
    <x v="0"/>
    <n v="1.22"/>
    <n v="1.23"/>
    <n v="0.61"/>
    <n v="1.21"/>
  </r>
  <r>
    <x v="1"/>
    <x v="1"/>
    <x v="41"/>
    <x v="4"/>
    <x v="0"/>
    <x v="1"/>
    <n v="5.36"/>
    <n v="5.42"/>
    <n v="0.28000000000000003"/>
    <n v="4.49"/>
  </r>
  <r>
    <x v="1"/>
    <x v="1"/>
    <x v="41"/>
    <x v="4"/>
    <x v="0"/>
    <x v="0"/>
    <n v="1.54"/>
    <n v="1.56"/>
    <n v="0.03"/>
    <n v="1.29"/>
  </r>
  <r>
    <x v="1"/>
    <x v="1"/>
    <x v="41"/>
    <x v="3"/>
    <x v="4"/>
    <x v="0"/>
    <n v="7.14"/>
    <n v="7.22"/>
    <n v="0.82"/>
    <n v="6.28"/>
  </r>
  <r>
    <x v="1"/>
    <x v="1"/>
    <x v="41"/>
    <x v="2"/>
    <x v="3"/>
    <x v="1"/>
    <n v="118.42"/>
    <n v="119.82"/>
    <n v="0.08"/>
    <n v="55.33"/>
  </r>
  <r>
    <x v="1"/>
    <x v="1"/>
    <x v="41"/>
    <x v="2"/>
    <x v="4"/>
    <x v="1"/>
    <n v="0.46"/>
    <n v="0.47"/>
    <n v="0"/>
    <n v="0.46"/>
  </r>
  <r>
    <x v="1"/>
    <x v="1"/>
    <x v="41"/>
    <x v="1"/>
    <x v="2"/>
    <x v="1"/>
    <n v="76.55"/>
    <n v="77.45"/>
    <n v="0.26"/>
    <n v="64.09"/>
  </r>
  <r>
    <x v="1"/>
    <x v="1"/>
    <x v="41"/>
    <x v="1"/>
    <x v="1"/>
    <x v="1"/>
    <n v="44.18"/>
    <n v="44.7"/>
    <n v="0.4"/>
    <n v="37.229999999999997"/>
  </r>
  <r>
    <x v="1"/>
    <x v="1"/>
    <x v="41"/>
    <x v="0"/>
    <x v="4"/>
    <x v="0"/>
    <n v="18.23"/>
    <n v="18.45"/>
    <n v="7.54"/>
    <n v="16.16"/>
  </r>
  <r>
    <x v="1"/>
    <x v="1"/>
    <x v="41"/>
    <x v="4"/>
    <x v="4"/>
    <x v="2"/>
    <n v="18.07"/>
    <n v="18.28"/>
    <n v="0.71"/>
    <n v="15.83"/>
  </r>
  <r>
    <x v="1"/>
    <x v="1"/>
    <x v="41"/>
    <x v="2"/>
    <x v="1"/>
    <x v="1"/>
    <n v="0.15"/>
    <n v="0.16"/>
    <n v="0"/>
    <n v="0.15"/>
  </r>
  <r>
    <x v="1"/>
    <x v="1"/>
    <x v="41"/>
    <x v="4"/>
    <x v="1"/>
    <x v="2"/>
    <n v="1.75"/>
    <n v="1.77"/>
    <n v="0.04"/>
    <n v="1.52"/>
  </r>
  <r>
    <x v="1"/>
    <x v="1"/>
    <x v="41"/>
    <x v="1"/>
    <x v="4"/>
    <x v="2"/>
    <n v="33.19"/>
    <n v="33.58"/>
    <n v="1.33"/>
    <n v="28.86"/>
  </r>
  <r>
    <x v="1"/>
    <x v="1"/>
    <x v="41"/>
    <x v="1"/>
    <x v="1"/>
    <x v="2"/>
    <n v="9.23"/>
    <n v="9.34"/>
    <n v="0.23"/>
    <n v="8.02"/>
  </r>
  <r>
    <x v="1"/>
    <x v="1"/>
    <x v="41"/>
    <x v="1"/>
    <x v="2"/>
    <x v="2"/>
    <n v="13.42"/>
    <n v="13.58"/>
    <n v="0.14000000000000001"/>
    <n v="11.67"/>
  </r>
  <r>
    <x v="1"/>
    <x v="1"/>
    <x v="41"/>
    <x v="1"/>
    <x v="3"/>
    <x v="2"/>
    <n v="23.4"/>
    <n v="23.67"/>
    <n v="0.11"/>
    <n v="20.350000000000001"/>
  </r>
  <r>
    <x v="1"/>
    <x v="1"/>
    <x v="41"/>
    <x v="2"/>
    <x v="3"/>
    <x v="2"/>
    <n v="194.85"/>
    <n v="197.16"/>
    <n v="0.26"/>
    <n v="97.43"/>
  </r>
  <r>
    <x v="1"/>
    <x v="1"/>
    <x v="41"/>
    <x v="2"/>
    <x v="2"/>
    <x v="3"/>
    <n v="14.27"/>
    <n v="14.44"/>
    <n v="0.02"/>
    <n v="14.27"/>
  </r>
  <r>
    <x v="1"/>
    <x v="1"/>
    <x v="41"/>
    <x v="2"/>
    <x v="3"/>
    <x v="3"/>
    <n v="60.27"/>
    <n v="60.98"/>
    <n v="0.02"/>
    <n v="30.75"/>
  </r>
  <r>
    <x v="1"/>
    <x v="2"/>
    <x v="42"/>
    <x v="4"/>
    <x v="2"/>
    <x v="2"/>
    <n v="3.3"/>
    <n v="3.15"/>
    <n v="0.02"/>
    <n v="2.87"/>
  </r>
  <r>
    <x v="1"/>
    <x v="2"/>
    <x v="42"/>
    <x v="4"/>
    <x v="4"/>
    <x v="1"/>
    <n v="0.4"/>
    <n v="0.39"/>
    <n v="0.03"/>
    <n v="0.37"/>
  </r>
  <r>
    <x v="1"/>
    <x v="2"/>
    <x v="42"/>
    <x v="1"/>
    <x v="4"/>
    <x v="1"/>
    <n v="6.39"/>
    <n v="6.1"/>
    <n v="0.23"/>
    <n v="6.33"/>
  </r>
  <r>
    <x v="1"/>
    <x v="2"/>
    <x v="42"/>
    <x v="1"/>
    <x v="0"/>
    <x v="1"/>
    <n v="8.25"/>
    <n v="7.88"/>
    <n v="0.5"/>
    <n v="8.07"/>
  </r>
  <r>
    <x v="1"/>
    <x v="2"/>
    <x v="42"/>
    <x v="0"/>
    <x v="3"/>
    <x v="1"/>
    <n v="0.12"/>
    <n v="0.11"/>
    <n v="0"/>
    <n v="0.11"/>
  </r>
  <r>
    <x v="1"/>
    <x v="2"/>
    <x v="42"/>
    <x v="0"/>
    <x v="1"/>
    <x v="1"/>
    <n v="0.35"/>
    <n v="0.34"/>
    <n v="0"/>
    <n v="0.32"/>
  </r>
  <r>
    <x v="1"/>
    <x v="2"/>
    <x v="42"/>
    <x v="0"/>
    <x v="4"/>
    <x v="1"/>
    <n v="8.4600000000000009"/>
    <n v="8.08"/>
    <n v="0.2"/>
    <n v="7.62"/>
  </r>
  <r>
    <x v="1"/>
    <x v="2"/>
    <x v="42"/>
    <x v="0"/>
    <x v="0"/>
    <x v="1"/>
    <n v="7.09"/>
    <n v="6.77"/>
    <n v="0.38"/>
    <n v="6.4"/>
  </r>
  <r>
    <x v="1"/>
    <x v="2"/>
    <x v="42"/>
    <x v="4"/>
    <x v="1"/>
    <x v="1"/>
    <n v="0.27"/>
    <n v="0.26"/>
    <n v="0.01"/>
    <n v="0.24"/>
  </r>
  <r>
    <x v="1"/>
    <x v="2"/>
    <x v="42"/>
    <x v="4"/>
    <x v="0"/>
    <x v="1"/>
    <n v="3.79"/>
    <n v="3.62"/>
    <n v="0.21"/>
    <n v="3.45"/>
  </r>
  <r>
    <x v="1"/>
    <x v="2"/>
    <x v="42"/>
    <x v="2"/>
    <x v="3"/>
    <x v="3"/>
    <n v="126.57"/>
    <n v="120.85"/>
    <n v="0.1"/>
    <n v="126.57"/>
  </r>
  <r>
    <x v="1"/>
    <x v="2"/>
    <x v="42"/>
    <x v="2"/>
    <x v="2"/>
    <x v="3"/>
    <n v="19.12"/>
    <n v="18.260000000000002"/>
    <n v="0.02"/>
    <n v="19.12"/>
  </r>
  <r>
    <x v="1"/>
    <x v="2"/>
    <x v="42"/>
    <x v="1"/>
    <x v="1"/>
    <x v="1"/>
    <n v="16.97"/>
    <n v="16.21"/>
    <n v="0.28999999999999998"/>
    <n v="16.100000000000001"/>
  </r>
  <r>
    <x v="1"/>
    <x v="2"/>
    <x v="42"/>
    <x v="1"/>
    <x v="1"/>
    <x v="2"/>
    <n v="0.23"/>
    <n v="0.22"/>
    <n v="0.01"/>
    <n v="0.21"/>
  </r>
  <r>
    <x v="1"/>
    <x v="2"/>
    <x v="42"/>
    <x v="1"/>
    <x v="2"/>
    <x v="2"/>
    <n v="0.32"/>
    <n v="0.3"/>
    <n v="0"/>
    <n v="0.28999999999999998"/>
  </r>
  <r>
    <x v="1"/>
    <x v="2"/>
    <x v="42"/>
    <x v="4"/>
    <x v="1"/>
    <x v="2"/>
    <n v="2.62"/>
    <n v="2.5"/>
    <n v="7.0000000000000007E-2"/>
    <n v="2.27"/>
  </r>
  <r>
    <x v="1"/>
    <x v="2"/>
    <x v="42"/>
    <x v="4"/>
    <x v="4"/>
    <x v="2"/>
    <n v="3.5"/>
    <n v="3.34"/>
    <n v="0.21"/>
    <n v="3.21"/>
  </r>
  <r>
    <x v="1"/>
    <x v="2"/>
    <x v="42"/>
    <x v="2"/>
    <x v="3"/>
    <x v="2"/>
    <n v="27.08"/>
    <n v="25.86"/>
    <n v="0.03"/>
    <n v="24.28"/>
  </r>
  <r>
    <x v="1"/>
    <x v="2"/>
    <x v="42"/>
    <x v="1"/>
    <x v="2"/>
    <x v="0"/>
    <n v="5.19"/>
    <n v="4.96"/>
    <n v="0.1"/>
    <n v="4.58"/>
  </r>
  <r>
    <x v="1"/>
    <x v="2"/>
    <x v="42"/>
    <x v="1"/>
    <x v="4"/>
    <x v="2"/>
    <n v="3.27"/>
    <n v="3.12"/>
    <n v="0.15"/>
    <n v="2.86"/>
  </r>
  <r>
    <x v="1"/>
    <x v="2"/>
    <x v="42"/>
    <x v="1"/>
    <x v="2"/>
    <x v="1"/>
    <n v="37.409999999999997"/>
    <n v="35.72"/>
    <n v="0.2"/>
    <n v="35"/>
  </r>
  <r>
    <x v="1"/>
    <x v="2"/>
    <x v="42"/>
    <x v="2"/>
    <x v="4"/>
    <x v="0"/>
    <n v="4.46"/>
    <n v="4.26"/>
    <n v="1.1599999999999999"/>
    <n v="4.2300000000000004"/>
  </r>
  <r>
    <x v="1"/>
    <x v="2"/>
    <x v="42"/>
    <x v="2"/>
    <x v="0"/>
    <x v="0"/>
    <n v="6.8"/>
    <n v="6.49"/>
    <n v="4.87"/>
    <n v="6.46"/>
  </r>
  <r>
    <x v="1"/>
    <x v="2"/>
    <x v="42"/>
    <x v="1"/>
    <x v="1"/>
    <x v="0"/>
    <n v="42.93"/>
    <n v="40.99"/>
    <n v="2.27"/>
    <n v="39.57"/>
  </r>
  <r>
    <x v="1"/>
    <x v="2"/>
    <x v="42"/>
    <x v="1"/>
    <x v="4"/>
    <x v="0"/>
    <n v="146.38"/>
    <n v="139.77000000000001"/>
    <n v="35.96"/>
    <n v="135.32"/>
  </r>
  <r>
    <x v="1"/>
    <x v="2"/>
    <x v="42"/>
    <x v="1"/>
    <x v="0"/>
    <x v="0"/>
    <n v="25.08"/>
    <n v="23.95"/>
    <n v="7.86"/>
    <n v="23.81"/>
  </r>
  <r>
    <x v="1"/>
    <x v="2"/>
    <x v="42"/>
    <x v="0"/>
    <x v="2"/>
    <x v="0"/>
    <n v="0.11"/>
    <n v="0.11"/>
    <n v="0"/>
    <n v="0.11"/>
  </r>
  <r>
    <x v="1"/>
    <x v="2"/>
    <x v="42"/>
    <x v="0"/>
    <x v="4"/>
    <x v="0"/>
    <n v="28.65"/>
    <n v="27.35"/>
    <n v="8.8000000000000007"/>
    <n v="26.35"/>
  </r>
  <r>
    <x v="1"/>
    <x v="2"/>
    <x v="42"/>
    <x v="3"/>
    <x v="0"/>
    <x v="0"/>
    <n v="0.15"/>
    <n v="0.14000000000000001"/>
    <n v="0.13"/>
    <n v="0.14000000000000001"/>
  </r>
  <r>
    <x v="1"/>
    <x v="2"/>
    <x v="42"/>
    <x v="1"/>
    <x v="3"/>
    <x v="1"/>
    <n v="1.24"/>
    <n v="1.19"/>
    <n v="0"/>
    <n v="1.1200000000000001"/>
  </r>
  <r>
    <x v="1"/>
    <x v="2"/>
    <x v="42"/>
    <x v="0"/>
    <x v="0"/>
    <x v="0"/>
    <n v="16.57"/>
    <n v="15.83"/>
    <n v="8.67"/>
    <n v="15.04"/>
  </r>
  <r>
    <x v="1"/>
    <x v="2"/>
    <x v="42"/>
    <x v="2"/>
    <x v="4"/>
    <x v="1"/>
    <n v="7.0000000000000007E-2"/>
    <n v="7.0000000000000007E-2"/>
    <n v="0"/>
    <n v="0.06"/>
  </r>
  <r>
    <x v="1"/>
    <x v="2"/>
    <x v="42"/>
    <x v="2"/>
    <x v="3"/>
    <x v="1"/>
    <n v="20.9"/>
    <n v="19.96"/>
    <n v="0.03"/>
    <n v="19.239999999999998"/>
  </r>
  <r>
    <x v="1"/>
    <x v="2"/>
    <x v="42"/>
    <x v="2"/>
    <x v="2"/>
    <x v="1"/>
    <n v="0.73"/>
    <n v="0.7"/>
    <n v="0"/>
    <n v="0.71"/>
  </r>
  <r>
    <x v="1"/>
    <x v="2"/>
    <x v="42"/>
    <x v="3"/>
    <x v="4"/>
    <x v="0"/>
    <n v="5.74"/>
    <n v="5.48"/>
    <n v="0.8"/>
    <n v="5.28"/>
  </r>
  <r>
    <x v="1"/>
    <x v="2"/>
    <x v="42"/>
    <x v="4"/>
    <x v="0"/>
    <x v="0"/>
    <n v="0.25"/>
    <n v="0.24"/>
    <n v="0.05"/>
    <n v="0.23"/>
  </r>
  <r>
    <x v="1"/>
    <x v="2"/>
    <x v="42"/>
    <x v="4"/>
    <x v="4"/>
    <x v="0"/>
    <n v="72"/>
    <n v="68.75"/>
    <n v="10.53"/>
    <n v="67.36"/>
  </r>
  <r>
    <x v="1"/>
    <x v="2"/>
    <x v="42"/>
    <x v="4"/>
    <x v="1"/>
    <x v="0"/>
    <n v="10.210000000000001"/>
    <n v="9.74"/>
    <n v="0.64"/>
    <n v="9.6300000000000008"/>
  </r>
  <r>
    <x v="1"/>
    <x v="2"/>
    <x v="43"/>
    <x v="2"/>
    <x v="2"/>
    <x v="1"/>
    <n v="0.56999999999999995"/>
    <n v="0.56999999999999995"/>
    <n v="0"/>
    <n v="0.56999999999999995"/>
  </r>
  <r>
    <x v="1"/>
    <x v="2"/>
    <x v="43"/>
    <x v="4"/>
    <x v="1"/>
    <x v="2"/>
    <n v="0.96"/>
    <n v="0.96"/>
    <n v="0.03"/>
    <n v="0.83"/>
  </r>
  <r>
    <x v="1"/>
    <x v="2"/>
    <x v="43"/>
    <x v="3"/>
    <x v="0"/>
    <x v="0"/>
    <n v="0.14000000000000001"/>
    <n v="0.13"/>
    <n v="0.11"/>
    <n v="0.13"/>
  </r>
  <r>
    <x v="1"/>
    <x v="2"/>
    <x v="43"/>
    <x v="3"/>
    <x v="4"/>
    <x v="0"/>
    <n v="3.99"/>
    <n v="3.98"/>
    <n v="0.62"/>
    <n v="3.67"/>
  </r>
  <r>
    <x v="1"/>
    <x v="2"/>
    <x v="43"/>
    <x v="4"/>
    <x v="0"/>
    <x v="0"/>
    <n v="0.16"/>
    <n v="0.16"/>
    <n v="0.03"/>
    <n v="0.15"/>
  </r>
  <r>
    <x v="1"/>
    <x v="2"/>
    <x v="43"/>
    <x v="4"/>
    <x v="4"/>
    <x v="0"/>
    <n v="83.99"/>
    <n v="83.72"/>
    <n v="12.31"/>
    <n v="77.19"/>
  </r>
  <r>
    <x v="1"/>
    <x v="2"/>
    <x v="43"/>
    <x v="2"/>
    <x v="3"/>
    <x v="1"/>
    <n v="5.0999999999999996"/>
    <n v="5.08"/>
    <n v="0.01"/>
    <n v="4.6900000000000004"/>
  </r>
  <r>
    <x v="1"/>
    <x v="2"/>
    <x v="43"/>
    <x v="4"/>
    <x v="1"/>
    <x v="0"/>
    <n v="9.2200000000000006"/>
    <n v="9.19"/>
    <n v="0.65"/>
    <n v="8.49"/>
  </r>
  <r>
    <x v="1"/>
    <x v="2"/>
    <x v="43"/>
    <x v="0"/>
    <x v="0"/>
    <x v="0"/>
    <n v="11.55"/>
    <n v="11.51"/>
    <n v="5.56"/>
    <n v="10.51"/>
  </r>
  <r>
    <x v="1"/>
    <x v="2"/>
    <x v="43"/>
    <x v="2"/>
    <x v="4"/>
    <x v="0"/>
    <n v="4.1100000000000003"/>
    <n v="4.0999999999999996"/>
    <n v="1.07"/>
    <n v="3.9"/>
  </r>
  <r>
    <x v="1"/>
    <x v="2"/>
    <x v="43"/>
    <x v="1"/>
    <x v="0"/>
    <x v="0"/>
    <n v="10.42"/>
    <n v="10.38"/>
    <n v="5.08"/>
    <n v="9.6999999999999993"/>
  </r>
  <r>
    <x v="1"/>
    <x v="2"/>
    <x v="43"/>
    <x v="1"/>
    <x v="4"/>
    <x v="0"/>
    <n v="100.37"/>
    <n v="100.05"/>
    <n v="26.21"/>
    <n v="92.52"/>
  </r>
  <r>
    <x v="1"/>
    <x v="2"/>
    <x v="43"/>
    <x v="4"/>
    <x v="4"/>
    <x v="2"/>
    <n v="1.44"/>
    <n v="1.44"/>
    <n v="0.09"/>
    <n v="1.25"/>
  </r>
  <r>
    <x v="1"/>
    <x v="2"/>
    <x v="43"/>
    <x v="2"/>
    <x v="4"/>
    <x v="1"/>
    <n v="0.01"/>
    <n v="0.01"/>
    <n v="0"/>
    <n v="0.01"/>
  </r>
  <r>
    <x v="1"/>
    <x v="2"/>
    <x v="43"/>
    <x v="4"/>
    <x v="4"/>
    <x v="1"/>
    <n v="0.13"/>
    <n v="0.13"/>
    <n v="0.01"/>
    <n v="0.13"/>
  </r>
  <r>
    <x v="1"/>
    <x v="2"/>
    <x v="43"/>
    <x v="2"/>
    <x v="0"/>
    <x v="0"/>
    <n v="5.0599999999999996"/>
    <n v="5.04"/>
    <n v="3.29"/>
    <n v="4.7699999999999996"/>
  </r>
  <r>
    <x v="1"/>
    <x v="2"/>
    <x v="43"/>
    <x v="1"/>
    <x v="2"/>
    <x v="0"/>
    <n v="0.81"/>
    <n v="0.81"/>
    <n v="0.03"/>
    <n v="0.71"/>
  </r>
  <r>
    <x v="1"/>
    <x v="2"/>
    <x v="43"/>
    <x v="0"/>
    <x v="4"/>
    <x v="0"/>
    <n v="19.399999999999999"/>
    <n v="19.34"/>
    <n v="5.9"/>
    <n v="17.920000000000002"/>
  </r>
  <r>
    <x v="1"/>
    <x v="2"/>
    <x v="43"/>
    <x v="4"/>
    <x v="0"/>
    <x v="1"/>
    <n v="1.01"/>
    <n v="1"/>
    <n v="0.06"/>
    <n v="0.93"/>
  </r>
  <r>
    <x v="1"/>
    <x v="2"/>
    <x v="43"/>
    <x v="1"/>
    <x v="1"/>
    <x v="0"/>
    <n v="26.97"/>
    <n v="26.89"/>
    <n v="1.45"/>
    <n v="24.97"/>
  </r>
  <r>
    <x v="1"/>
    <x v="2"/>
    <x v="43"/>
    <x v="4"/>
    <x v="2"/>
    <x v="2"/>
    <n v="1.45"/>
    <n v="1.45"/>
    <n v="0.01"/>
    <n v="1.26"/>
  </r>
  <r>
    <x v="1"/>
    <x v="2"/>
    <x v="43"/>
    <x v="1"/>
    <x v="4"/>
    <x v="2"/>
    <n v="6.24"/>
    <n v="6.22"/>
    <n v="0.1"/>
    <n v="5.43"/>
  </r>
  <r>
    <x v="1"/>
    <x v="2"/>
    <x v="43"/>
    <x v="1"/>
    <x v="1"/>
    <x v="2"/>
    <n v="2.5299999999999998"/>
    <n v="2.52"/>
    <n v="0.01"/>
    <n v="2.2000000000000002"/>
  </r>
  <r>
    <x v="1"/>
    <x v="2"/>
    <x v="43"/>
    <x v="2"/>
    <x v="2"/>
    <x v="2"/>
    <n v="0.16"/>
    <n v="0.16"/>
    <n v="0"/>
    <n v="0.16"/>
  </r>
  <r>
    <x v="1"/>
    <x v="2"/>
    <x v="43"/>
    <x v="2"/>
    <x v="3"/>
    <x v="2"/>
    <n v="23.62"/>
    <n v="23.55"/>
    <n v="0.02"/>
    <n v="21.8"/>
  </r>
  <r>
    <x v="1"/>
    <x v="2"/>
    <x v="43"/>
    <x v="0"/>
    <x v="0"/>
    <x v="1"/>
    <n v="1.5"/>
    <n v="1.5"/>
    <n v="0.09"/>
    <n v="1.35"/>
  </r>
  <r>
    <x v="1"/>
    <x v="2"/>
    <x v="43"/>
    <x v="2"/>
    <x v="3"/>
    <x v="3"/>
    <n v="16.559999999999999"/>
    <n v="16.510000000000002"/>
    <n v="0.01"/>
    <n v="16.559999999999999"/>
  </r>
  <r>
    <x v="1"/>
    <x v="2"/>
    <x v="43"/>
    <x v="1"/>
    <x v="3"/>
    <x v="1"/>
    <n v="7"/>
    <n v="6.98"/>
    <n v="0.1"/>
    <n v="6.15"/>
  </r>
  <r>
    <x v="1"/>
    <x v="2"/>
    <x v="43"/>
    <x v="4"/>
    <x v="1"/>
    <x v="1"/>
    <n v="0.06"/>
    <n v="0.06"/>
    <n v="0"/>
    <n v="0.05"/>
  </r>
  <r>
    <x v="1"/>
    <x v="2"/>
    <x v="43"/>
    <x v="0"/>
    <x v="4"/>
    <x v="1"/>
    <n v="1.65"/>
    <n v="1.65"/>
    <n v="0.04"/>
    <n v="1.49"/>
  </r>
  <r>
    <x v="1"/>
    <x v="2"/>
    <x v="43"/>
    <x v="0"/>
    <x v="1"/>
    <x v="1"/>
    <n v="0.06"/>
    <n v="0.06"/>
    <n v="0"/>
    <n v="0.05"/>
  </r>
  <r>
    <x v="1"/>
    <x v="2"/>
    <x v="43"/>
    <x v="0"/>
    <x v="3"/>
    <x v="1"/>
    <n v="0.04"/>
    <n v="0.04"/>
    <n v="0"/>
    <n v="0.04"/>
  </r>
  <r>
    <x v="1"/>
    <x v="2"/>
    <x v="43"/>
    <x v="1"/>
    <x v="0"/>
    <x v="1"/>
    <n v="11.52"/>
    <n v="11.49"/>
    <n v="0.9"/>
    <n v="11.29"/>
  </r>
  <r>
    <x v="1"/>
    <x v="2"/>
    <x v="43"/>
    <x v="1"/>
    <x v="4"/>
    <x v="1"/>
    <n v="3.72"/>
    <n v="3.71"/>
    <n v="0.17"/>
    <n v="3.63"/>
  </r>
  <r>
    <x v="1"/>
    <x v="2"/>
    <x v="43"/>
    <x v="1"/>
    <x v="1"/>
    <x v="1"/>
    <n v="11.05"/>
    <n v="11.02"/>
    <n v="0.19"/>
    <n v="10.84"/>
  </r>
  <r>
    <x v="1"/>
    <x v="2"/>
    <x v="43"/>
    <x v="1"/>
    <x v="2"/>
    <x v="1"/>
    <n v="14.01"/>
    <n v="13.96"/>
    <n v="0.11"/>
    <n v="13.52"/>
  </r>
  <r>
    <x v="1"/>
    <x v="2"/>
    <x v="43"/>
    <x v="2"/>
    <x v="2"/>
    <x v="3"/>
    <n v="2.61"/>
    <n v="2.6"/>
    <n v="0"/>
    <n v="2.61"/>
  </r>
  <r>
    <x v="1"/>
    <x v="2"/>
    <x v="44"/>
    <x v="4"/>
    <x v="2"/>
    <x v="2"/>
    <n v="1.1499999999999999"/>
    <n v="1.1000000000000001"/>
    <n v="0.01"/>
    <n v="1"/>
  </r>
  <r>
    <x v="1"/>
    <x v="2"/>
    <x v="44"/>
    <x v="4"/>
    <x v="0"/>
    <x v="0"/>
    <n v="0.21"/>
    <n v="0.2"/>
    <n v="0.04"/>
    <n v="0.19"/>
  </r>
  <r>
    <x v="1"/>
    <x v="2"/>
    <x v="44"/>
    <x v="2"/>
    <x v="0"/>
    <x v="0"/>
    <n v="2.69"/>
    <n v="2.57"/>
    <n v="2.2200000000000002"/>
    <n v="2.5499999999999998"/>
  </r>
  <r>
    <x v="1"/>
    <x v="2"/>
    <x v="44"/>
    <x v="1"/>
    <x v="2"/>
    <x v="0"/>
    <n v="1.31"/>
    <n v="1.26"/>
    <n v="0.04"/>
    <n v="1.1499999999999999"/>
  </r>
  <r>
    <x v="1"/>
    <x v="2"/>
    <x v="44"/>
    <x v="1"/>
    <x v="1"/>
    <x v="0"/>
    <n v="41.81"/>
    <n v="40.04"/>
    <n v="2.25"/>
    <n v="38.72"/>
  </r>
  <r>
    <x v="1"/>
    <x v="2"/>
    <x v="44"/>
    <x v="1"/>
    <x v="4"/>
    <x v="0"/>
    <n v="122.66"/>
    <n v="117.48"/>
    <n v="30.32"/>
    <n v="113.21"/>
  </r>
  <r>
    <x v="1"/>
    <x v="2"/>
    <x v="44"/>
    <x v="1"/>
    <x v="0"/>
    <x v="0"/>
    <n v="10.210000000000001"/>
    <n v="9.7799999999999994"/>
    <n v="4.83"/>
    <n v="9.49"/>
  </r>
  <r>
    <x v="1"/>
    <x v="2"/>
    <x v="44"/>
    <x v="0"/>
    <x v="4"/>
    <x v="0"/>
    <n v="24.64"/>
    <n v="23.6"/>
    <n v="7.61"/>
    <n v="22.74"/>
  </r>
  <r>
    <x v="1"/>
    <x v="2"/>
    <x v="44"/>
    <x v="0"/>
    <x v="0"/>
    <x v="0"/>
    <n v="12.78"/>
    <n v="12.24"/>
    <n v="6.82"/>
    <n v="11.64"/>
  </r>
  <r>
    <x v="1"/>
    <x v="2"/>
    <x v="44"/>
    <x v="2"/>
    <x v="4"/>
    <x v="0"/>
    <n v="4.0599999999999996"/>
    <n v="3.89"/>
    <n v="0.56999999999999995"/>
    <n v="3.97"/>
  </r>
  <r>
    <x v="1"/>
    <x v="2"/>
    <x v="44"/>
    <x v="4"/>
    <x v="4"/>
    <x v="0"/>
    <n v="65.23"/>
    <n v="62.47"/>
    <n v="9.31"/>
    <n v="60.38"/>
  </r>
  <r>
    <x v="1"/>
    <x v="2"/>
    <x v="44"/>
    <x v="1"/>
    <x v="3"/>
    <x v="1"/>
    <n v="2.36"/>
    <n v="2.2599999999999998"/>
    <n v="0.01"/>
    <n v="2.14"/>
  </r>
  <r>
    <x v="1"/>
    <x v="2"/>
    <x v="44"/>
    <x v="3"/>
    <x v="4"/>
    <x v="0"/>
    <n v="4.6399999999999997"/>
    <n v="4.4400000000000004"/>
    <n v="0.57999999999999996"/>
    <n v="4.2699999999999996"/>
  </r>
  <r>
    <x v="1"/>
    <x v="2"/>
    <x v="44"/>
    <x v="3"/>
    <x v="0"/>
    <x v="0"/>
    <n v="0.15"/>
    <n v="0.15"/>
    <n v="0.13"/>
    <n v="0.15"/>
  </r>
  <r>
    <x v="1"/>
    <x v="2"/>
    <x v="44"/>
    <x v="2"/>
    <x v="3"/>
    <x v="1"/>
    <n v="27.05"/>
    <n v="25.91"/>
    <n v="0.04"/>
    <n v="24.62"/>
  </r>
  <r>
    <x v="1"/>
    <x v="2"/>
    <x v="44"/>
    <x v="2"/>
    <x v="4"/>
    <x v="1"/>
    <n v="0.09"/>
    <n v="0.09"/>
    <n v="0"/>
    <n v="0.08"/>
  </r>
  <r>
    <x v="1"/>
    <x v="2"/>
    <x v="44"/>
    <x v="4"/>
    <x v="1"/>
    <x v="2"/>
    <n v="0.85"/>
    <n v="0.81"/>
    <n v="0.02"/>
    <n v="0.74"/>
  </r>
  <r>
    <x v="1"/>
    <x v="2"/>
    <x v="44"/>
    <x v="1"/>
    <x v="2"/>
    <x v="1"/>
    <n v="57.89"/>
    <n v="55.45"/>
    <n v="0.36"/>
    <n v="54.6"/>
  </r>
  <r>
    <x v="1"/>
    <x v="2"/>
    <x v="44"/>
    <x v="4"/>
    <x v="4"/>
    <x v="2"/>
    <n v="1.17"/>
    <n v="1.1200000000000001"/>
    <n v="7.0000000000000007E-2"/>
    <n v="1.02"/>
  </r>
  <r>
    <x v="1"/>
    <x v="2"/>
    <x v="44"/>
    <x v="1"/>
    <x v="4"/>
    <x v="1"/>
    <n v="5.68"/>
    <n v="5.44"/>
    <n v="0.24"/>
    <n v="5.65"/>
  </r>
  <r>
    <x v="1"/>
    <x v="2"/>
    <x v="44"/>
    <x v="4"/>
    <x v="1"/>
    <x v="0"/>
    <n v="10.78"/>
    <n v="10.32"/>
    <n v="0.72"/>
    <n v="10.050000000000001"/>
  </r>
  <r>
    <x v="1"/>
    <x v="2"/>
    <x v="44"/>
    <x v="2"/>
    <x v="3"/>
    <x v="2"/>
    <n v="10.48"/>
    <n v="10.039999999999999"/>
    <n v="0.01"/>
    <n v="9.5299999999999994"/>
  </r>
  <r>
    <x v="1"/>
    <x v="2"/>
    <x v="44"/>
    <x v="1"/>
    <x v="1"/>
    <x v="1"/>
    <n v="19.63"/>
    <n v="18.8"/>
    <n v="0.26"/>
    <n v="18.350000000000001"/>
  </r>
  <r>
    <x v="1"/>
    <x v="2"/>
    <x v="44"/>
    <x v="1"/>
    <x v="4"/>
    <x v="2"/>
    <n v="7.51"/>
    <n v="7.19"/>
    <n v="0.08"/>
    <n v="6.53"/>
  </r>
  <r>
    <x v="1"/>
    <x v="2"/>
    <x v="44"/>
    <x v="1"/>
    <x v="1"/>
    <x v="2"/>
    <n v="1.0900000000000001"/>
    <n v="1.04"/>
    <n v="0"/>
    <n v="1.06"/>
  </r>
  <r>
    <x v="1"/>
    <x v="2"/>
    <x v="44"/>
    <x v="2"/>
    <x v="2"/>
    <x v="2"/>
    <n v="0.82"/>
    <n v="0.78"/>
    <n v="0"/>
    <n v="0.82"/>
  </r>
  <r>
    <x v="1"/>
    <x v="2"/>
    <x v="44"/>
    <x v="2"/>
    <x v="2"/>
    <x v="3"/>
    <n v="20.309999999999999"/>
    <n v="19.46"/>
    <n v="0.03"/>
    <n v="20.309999999999999"/>
  </r>
  <r>
    <x v="1"/>
    <x v="2"/>
    <x v="44"/>
    <x v="2"/>
    <x v="3"/>
    <x v="3"/>
    <n v="79.209999999999994"/>
    <n v="75.86"/>
    <n v="0.05"/>
    <n v="79.209999999999994"/>
  </r>
  <r>
    <x v="1"/>
    <x v="2"/>
    <x v="44"/>
    <x v="4"/>
    <x v="0"/>
    <x v="1"/>
    <n v="5.44"/>
    <n v="5.21"/>
    <n v="0.28999999999999998"/>
    <n v="4.97"/>
  </r>
  <r>
    <x v="1"/>
    <x v="2"/>
    <x v="44"/>
    <x v="4"/>
    <x v="4"/>
    <x v="1"/>
    <n v="0.69"/>
    <n v="0.66"/>
    <n v="0.04"/>
    <n v="0.64"/>
  </r>
  <r>
    <x v="1"/>
    <x v="2"/>
    <x v="44"/>
    <x v="4"/>
    <x v="1"/>
    <x v="1"/>
    <n v="0.37"/>
    <n v="0.36"/>
    <n v="0.01"/>
    <n v="0.33"/>
  </r>
  <r>
    <x v="1"/>
    <x v="2"/>
    <x v="44"/>
    <x v="0"/>
    <x v="4"/>
    <x v="1"/>
    <n v="11.46"/>
    <n v="10.98"/>
    <n v="0.26"/>
    <n v="10.33"/>
  </r>
  <r>
    <x v="1"/>
    <x v="2"/>
    <x v="44"/>
    <x v="0"/>
    <x v="1"/>
    <x v="1"/>
    <n v="0.44"/>
    <n v="0.42"/>
    <n v="0"/>
    <n v="0.4"/>
  </r>
  <r>
    <x v="1"/>
    <x v="2"/>
    <x v="44"/>
    <x v="0"/>
    <x v="3"/>
    <x v="1"/>
    <n v="0.21"/>
    <n v="0.21"/>
    <n v="0"/>
    <n v="0.19"/>
  </r>
  <r>
    <x v="1"/>
    <x v="2"/>
    <x v="44"/>
    <x v="1"/>
    <x v="0"/>
    <x v="1"/>
    <n v="9.5"/>
    <n v="9.1"/>
    <n v="0.54"/>
    <n v="9.3000000000000007"/>
  </r>
  <r>
    <x v="1"/>
    <x v="2"/>
    <x v="44"/>
    <x v="0"/>
    <x v="0"/>
    <x v="1"/>
    <n v="10.01"/>
    <n v="9.58"/>
    <n v="0.55000000000000004"/>
    <n v="9.0399999999999991"/>
  </r>
  <r>
    <x v="1"/>
    <x v="2"/>
    <x v="44"/>
    <x v="1"/>
    <x v="2"/>
    <x v="2"/>
    <n v="0.2"/>
    <n v="0.19"/>
    <n v="0"/>
    <n v="0.18"/>
  </r>
  <r>
    <x v="1"/>
    <x v="4"/>
    <x v="45"/>
    <x v="4"/>
    <x v="4"/>
    <x v="0"/>
    <n v="22.4"/>
    <n v="22.18"/>
    <n v="6.23"/>
    <n v="19.43"/>
  </r>
  <r>
    <x v="1"/>
    <x v="4"/>
    <x v="45"/>
    <x v="4"/>
    <x v="0"/>
    <x v="0"/>
    <n v="0.19"/>
    <n v="0.19"/>
    <n v="0"/>
    <n v="0.16"/>
  </r>
  <r>
    <x v="1"/>
    <x v="4"/>
    <x v="45"/>
    <x v="3"/>
    <x v="1"/>
    <x v="0"/>
    <n v="0.03"/>
    <n v="0.03"/>
    <n v="0"/>
    <n v="0.03"/>
  </r>
  <r>
    <x v="1"/>
    <x v="4"/>
    <x v="45"/>
    <x v="3"/>
    <x v="4"/>
    <x v="0"/>
    <n v="11.89"/>
    <n v="11.78"/>
    <n v="1.84"/>
    <n v="10.43"/>
  </r>
  <r>
    <x v="1"/>
    <x v="4"/>
    <x v="45"/>
    <x v="2"/>
    <x v="4"/>
    <x v="1"/>
    <n v="1.95"/>
    <n v="1.93"/>
    <n v="0.01"/>
    <n v="1.64"/>
  </r>
  <r>
    <x v="1"/>
    <x v="4"/>
    <x v="45"/>
    <x v="1"/>
    <x v="0"/>
    <x v="0"/>
    <n v="18.989999999999998"/>
    <n v="18.8"/>
    <n v="10.57"/>
    <n v="16.850000000000001"/>
  </r>
  <r>
    <x v="1"/>
    <x v="4"/>
    <x v="45"/>
    <x v="1"/>
    <x v="3"/>
    <x v="1"/>
    <n v="0.82"/>
    <n v="0.82"/>
    <n v="0"/>
    <n v="0.82"/>
  </r>
  <r>
    <x v="1"/>
    <x v="4"/>
    <x v="45"/>
    <x v="2"/>
    <x v="3"/>
    <x v="1"/>
    <n v="4.22"/>
    <n v="4.18"/>
    <n v="0.01"/>
    <n v="3.75"/>
  </r>
  <r>
    <x v="1"/>
    <x v="4"/>
    <x v="45"/>
    <x v="4"/>
    <x v="1"/>
    <x v="0"/>
    <n v="5"/>
    <n v="4.95"/>
    <n v="0.3"/>
    <n v="4.28"/>
  </r>
  <r>
    <x v="1"/>
    <x v="4"/>
    <x v="45"/>
    <x v="1"/>
    <x v="2"/>
    <x v="0"/>
    <n v="4.74"/>
    <n v="4.6900000000000004"/>
    <n v="0.17"/>
    <n v="4.05"/>
  </r>
  <r>
    <x v="1"/>
    <x v="4"/>
    <x v="45"/>
    <x v="0"/>
    <x v="4"/>
    <x v="0"/>
    <n v="9.7100000000000009"/>
    <n v="9.6199999999999992"/>
    <n v="3.83"/>
    <n v="8.5500000000000007"/>
  </r>
  <r>
    <x v="1"/>
    <x v="4"/>
    <x v="45"/>
    <x v="1"/>
    <x v="4"/>
    <x v="0"/>
    <n v="128.61000000000001"/>
    <n v="127.35"/>
    <n v="36.229999999999997"/>
    <n v="113.59"/>
  </r>
  <r>
    <x v="1"/>
    <x v="4"/>
    <x v="45"/>
    <x v="1"/>
    <x v="1"/>
    <x v="0"/>
    <n v="41.08"/>
    <n v="40.68"/>
    <n v="2.04"/>
    <n v="35.450000000000003"/>
  </r>
  <r>
    <x v="1"/>
    <x v="4"/>
    <x v="45"/>
    <x v="1"/>
    <x v="2"/>
    <x v="1"/>
    <n v="30.05"/>
    <n v="29.75"/>
    <n v="0.13"/>
    <n v="25.35"/>
  </r>
  <r>
    <x v="1"/>
    <x v="4"/>
    <x v="45"/>
    <x v="1"/>
    <x v="3"/>
    <x v="2"/>
    <n v="4.03"/>
    <n v="3.99"/>
    <n v="0.01"/>
    <n v="3.62"/>
  </r>
  <r>
    <x v="1"/>
    <x v="4"/>
    <x v="45"/>
    <x v="0"/>
    <x v="0"/>
    <x v="0"/>
    <n v="0.01"/>
    <n v="0.01"/>
    <n v="0"/>
    <n v="0.01"/>
  </r>
  <r>
    <x v="1"/>
    <x v="4"/>
    <x v="45"/>
    <x v="2"/>
    <x v="3"/>
    <x v="3"/>
    <n v="3.52"/>
    <n v="3.48"/>
    <n v="0"/>
    <n v="3.52"/>
  </r>
  <r>
    <x v="1"/>
    <x v="4"/>
    <x v="45"/>
    <x v="2"/>
    <x v="0"/>
    <x v="0"/>
    <n v="11.86"/>
    <n v="11.74"/>
    <n v="9.5299999999999994"/>
    <n v="10.91"/>
  </r>
  <r>
    <x v="1"/>
    <x v="4"/>
    <x v="45"/>
    <x v="4"/>
    <x v="4"/>
    <x v="2"/>
    <n v="1.8"/>
    <n v="1.78"/>
    <n v="7.0000000000000007E-2"/>
    <n v="1.51"/>
  </r>
  <r>
    <x v="1"/>
    <x v="4"/>
    <x v="45"/>
    <x v="4"/>
    <x v="1"/>
    <x v="2"/>
    <n v="2.0699999999999998"/>
    <n v="2.0499999999999998"/>
    <n v="0.04"/>
    <n v="1.74"/>
  </r>
  <r>
    <x v="1"/>
    <x v="4"/>
    <x v="45"/>
    <x v="1"/>
    <x v="4"/>
    <x v="2"/>
    <n v="4.29"/>
    <n v="4.25"/>
    <n v="0.2"/>
    <n v="3.6"/>
  </r>
  <r>
    <x v="1"/>
    <x v="4"/>
    <x v="45"/>
    <x v="1"/>
    <x v="1"/>
    <x v="2"/>
    <n v="1.39"/>
    <n v="1.38"/>
    <n v="0.03"/>
    <n v="1.25"/>
  </r>
  <r>
    <x v="1"/>
    <x v="4"/>
    <x v="45"/>
    <x v="2"/>
    <x v="2"/>
    <x v="3"/>
    <n v="4.3600000000000003"/>
    <n v="4.32"/>
    <n v="0"/>
    <n v="4.3600000000000003"/>
  </r>
  <r>
    <x v="1"/>
    <x v="4"/>
    <x v="45"/>
    <x v="2"/>
    <x v="2"/>
    <x v="2"/>
    <n v="0.26"/>
    <n v="0.25"/>
    <n v="0"/>
    <n v="0.21"/>
  </r>
  <r>
    <x v="1"/>
    <x v="4"/>
    <x v="45"/>
    <x v="1"/>
    <x v="1"/>
    <x v="1"/>
    <n v="18.45"/>
    <n v="18.27"/>
    <n v="0.11"/>
    <n v="15.2"/>
  </r>
  <r>
    <x v="1"/>
    <x v="4"/>
    <x v="45"/>
    <x v="4"/>
    <x v="0"/>
    <x v="1"/>
    <n v="1.78"/>
    <n v="1.77"/>
    <n v="0.02"/>
    <n v="1.74"/>
  </r>
  <r>
    <x v="1"/>
    <x v="4"/>
    <x v="45"/>
    <x v="0"/>
    <x v="0"/>
    <x v="1"/>
    <n v="6.39"/>
    <n v="6.33"/>
    <n v="0.11"/>
    <n v="5.24"/>
  </r>
  <r>
    <x v="1"/>
    <x v="4"/>
    <x v="45"/>
    <x v="0"/>
    <x v="4"/>
    <x v="1"/>
    <n v="5.46"/>
    <n v="5.41"/>
    <n v="0.12"/>
    <n v="4.4800000000000004"/>
  </r>
  <r>
    <x v="1"/>
    <x v="4"/>
    <x v="45"/>
    <x v="0"/>
    <x v="1"/>
    <x v="1"/>
    <n v="0.23"/>
    <n v="0.22"/>
    <n v="0.01"/>
    <n v="0.19"/>
  </r>
  <r>
    <x v="1"/>
    <x v="4"/>
    <x v="45"/>
    <x v="1"/>
    <x v="0"/>
    <x v="1"/>
    <n v="7.72"/>
    <n v="7.65"/>
    <n v="0.4"/>
    <n v="6.48"/>
  </r>
  <r>
    <x v="1"/>
    <x v="4"/>
    <x v="45"/>
    <x v="1"/>
    <x v="4"/>
    <x v="1"/>
    <n v="3.51"/>
    <n v="3.48"/>
    <n v="0.12"/>
    <n v="2.92"/>
  </r>
  <r>
    <x v="1"/>
    <x v="4"/>
    <x v="45"/>
    <x v="1"/>
    <x v="2"/>
    <x v="2"/>
    <n v="2.4300000000000002"/>
    <n v="2.41"/>
    <n v="0.02"/>
    <n v="2.1800000000000002"/>
  </r>
  <r>
    <x v="1"/>
    <x v="4"/>
    <x v="45"/>
    <x v="2"/>
    <x v="4"/>
    <x v="0"/>
    <n v="8.2200000000000006"/>
    <n v="8.14"/>
    <n v="3.38"/>
    <n v="7.5"/>
  </r>
  <r>
    <x v="1"/>
    <x v="6"/>
    <x v="46"/>
    <x v="1"/>
    <x v="3"/>
    <x v="1"/>
    <n v="0.33"/>
    <n v="0.33"/>
    <n v="0"/>
    <n v="0.33"/>
  </r>
  <r>
    <x v="1"/>
    <x v="6"/>
    <x v="46"/>
    <x v="2"/>
    <x v="2"/>
    <x v="3"/>
    <n v="6.87"/>
    <n v="6.81"/>
    <n v="0"/>
    <n v="5.87"/>
  </r>
  <r>
    <x v="1"/>
    <x v="6"/>
    <x v="46"/>
    <x v="2"/>
    <x v="3"/>
    <x v="3"/>
    <n v="39.97"/>
    <n v="39.659999999999997"/>
    <n v="0.01"/>
    <n v="17.12"/>
  </r>
  <r>
    <x v="1"/>
    <x v="6"/>
    <x v="46"/>
    <x v="4"/>
    <x v="0"/>
    <x v="1"/>
    <n v="0.22"/>
    <n v="0.22"/>
    <n v="0.02"/>
    <n v="0.18"/>
  </r>
  <r>
    <x v="1"/>
    <x v="6"/>
    <x v="46"/>
    <x v="3"/>
    <x v="4"/>
    <x v="0"/>
    <n v="0.42"/>
    <n v="0.41"/>
    <n v="0.04"/>
    <n v="0.36"/>
  </r>
  <r>
    <x v="1"/>
    <x v="6"/>
    <x v="46"/>
    <x v="0"/>
    <x v="0"/>
    <x v="1"/>
    <n v="1.9"/>
    <n v="1.89"/>
    <n v="0.06"/>
    <n v="1.61"/>
  </r>
  <r>
    <x v="1"/>
    <x v="6"/>
    <x v="46"/>
    <x v="0"/>
    <x v="4"/>
    <x v="1"/>
    <n v="10.91"/>
    <n v="10.82"/>
    <n v="0.11"/>
    <n v="9.24"/>
  </r>
  <r>
    <x v="1"/>
    <x v="6"/>
    <x v="46"/>
    <x v="0"/>
    <x v="1"/>
    <x v="1"/>
    <n v="2.57"/>
    <n v="2.5499999999999998"/>
    <n v="7.0000000000000007E-2"/>
    <n v="2.17"/>
  </r>
  <r>
    <x v="1"/>
    <x v="6"/>
    <x v="46"/>
    <x v="1"/>
    <x v="0"/>
    <x v="1"/>
    <n v="3.54"/>
    <n v="3.51"/>
    <n v="0.25"/>
    <n v="2.97"/>
  </r>
  <r>
    <x v="1"/>
    <x v="6"/>
    <x v="46"/>
    <x v="1"/>
    <x v="4"/>
    <x v="1"/>
    <n v="1.0900000000000001"/>
    <n v="1.08"/>
    <n v="0.04"/>
    <n v="0.91"/>
  </r>
  <r>
    <x v="1"/>
    <x v="6"/>
    <x v="46"/>
    <x v="1"/>
    <x v="2"/>
    <x v="1"/>
    <n v="21.14"/>
    <n v="20.98"/>
    <n v="0.1"/>
    <n v="17.96"/>
  </r>
  <r>
    <x v="1"/>
    <x v="6"/>
    <x v="46"/>
    <x v="2"/>
    <x v="3"/>
    <x v="1"/>
    <n v="8.49"/>
    <n v="8.43"/>
    <n v="0.01"/>
    <n v="8.17"/>
  </r>
  <r>
    <x v="1"/>
    <x v="6"/>
    <x v="46"/>
    <x v="2"/>
    <x v="4"/>
    <x v="1"/>
    <n v="0.77"/>
    <n v="0.76"/>
    <n v="0"/>
    <n v="0.77"/>
  </r>
  <r>
    <x v="1"/>
    <x v="6"/>
    <x v="46"/>
    <x v="2"/>
    <x v="3"/>
    <x v="2"/>
    <n v="0.73"/>
    <n v="0.72"/>
    <n v="0"/>
    <n v="0.3"/>
  </r>
  <r>
    <x v="1"/>
    <x v="6"/>
    <x v="46"/>
    <x v="1"/>
    <x v="0"/>
    <x v="0"/>
    <n v="8.0399999999999991"/>
    <n v="7.98"/>
    <n v="3.52"/>
    <n v="7.06"/>
  </r>
  <r>
    <x v="1"/>
    <x v="6"/>
    <x v="46"/>
    <x v="1"/>
    <x v="1"/>
    <x v="1"/>
    <n v="8.11"/>
    <n v="8.0500000000000007"/>
    <n v="0.06"/>
    <n v="6.85"/>
  </r>
  <r>
    <x v="1"/>
    <x v="6"/>
    <x v="46"/>
    <x v="2"/>
    <x v="0"/>
    <x v="0"/>
    <n v="9.51"/>
    <n v="9.44"/>
    <n v="8.36"/>
    <n v="8.75"/>
  </r>
  <r>
    <x v="1"/>
    <x v="6"/>
    <x v="46"/>
    <x v="4"/>
    <x v="1"/>
    <x v="2"/>
    <n v="2"/>
    <n v="1.98"/>
    <n v="0.05"/>
    <n v="1.67"/>
  </r>
  <r>
    <x v="1"/>
    <x v="6"/>
    <x v="46"/>
    <x v="4"/>
    <x v="4"/>
    <x v="2"/>
    <n v="1.55"/>
    <n v="1.54"/>
    <n v="7.0000000000000007E-2"/>
    <n v="1.29"/>
  </r>
  <r>
    <x v="1"/>
    <x v="6"/>
    <x v="46"/>
    <x v="0"/>
    <x v="0"/>
    <x v="0"/>
    <n v="5.16"/>
    <n v="5.12"/>
    <n v="2.4700000000000002"/>
    <n v="4.41"/>
  </r>
  <r>
    <x v="1"/>
    <x v="6"/>
    <x v="46"/>
    <x v="1"/>
    <x v="1"/>
    <x v="2"/>
    <n v="1.22"/>
    <n v="1.21"/>
    <n v="0.02"/>
    <n v="1.01"/>
  </r>
  <r>
    <x v="1"/>
    <x v="6"/>
    <x v="46"/>
    <x v="1"/>
    <x v="3"/>
    <x v="2"/>
    <n v="1.05"/>
    <n v="1.04"/>
    <n v="0"/>
    <n v="0.87"/>
  </r>
  <r>
    <x v="1"/>
    <x v="6"/>
    <x v="46"/>
    <x v="1"/>
    <x v="2"/>
    <x v="0"/>
    <n v="2.4300000000000002"/>
    <n v="2.41"/>
    <n v="0.09"/>
    <n v="2.0299999999999998"/>
  </r>
  <r>
    <x v="1"/>
    <x v="6"/>
    <x v="46"/>
    <x v="1"/>
    <x v="1"/>
    <x v="0"/>
    <n v="18.059999999999999"/>
    <n v="17.920000000000002"/>
    <n v="0.99"/>
    <n v="15.54"/>
  </r>
  <r>
    <x v="1"/>
    <x v="6"/>
    <x v="46"/>
    <x v="1"/>
    <x v="4"/>
    <x v="0"/>
    <n v="43.99"/>
    <n v="43.65"/>
    <n v="15.04"/>
    <n v="39.42"/>
  </r>
  <r>
    <x v="1"/>
    <x v="6"/>
    <x v="46"/>
    <x v="1"/>
    <x v="4"/>
    <x v="2"/>
    <n v="2.44"/>
    <n v="2.42"/>
    <n v="0.13"/>
    <n v="2.0299999999999998"/>
  </r>
  <r>
    <x v="1"/>
    <x v="6"/>
    <x v="46"/>
    <x v="0"/>
    <x v="4"/>
    <x v="0"/>
    <n v="12.4"/>
    <n v="12.31"/>
    <n v="3.96"/>
    <n v="10.69"/>
  </r>
  <r>
    <x v="1"/>
    <x v="6"/>
    <x v="46"/>
    <x v="4"/>
    <x v="1"/>
    <x v="0"/>
    <n v="3.96"/>
    <n v="3.93"/>
    <n v="0.25"/>
    <n v="3.3"/>
  </r>
  <r>
    <x v="1"/>
    <x v="6"/>
    <x v="46"/>
    <x v="4"/>
    <x v="4"/>
    <x v="0"/>
    <n v="13.98"/>
    <n v="13.87"/>
    <n v="2.92"/>
    <n v="11.88"/>
  </r>
  <r>
    <x v="1"/>
    <x v="6"/>
    <x v="46"/>
    <x v="4"/>
    <x v="0"/>
    <x v="0"/>
    <n v="0.01"/>
    <n v="0.01"/>
    <n v="0"/>
    <n v="0.01"/>
  </r>
  <r>
    <x v="1"/>
    <x v="6"/>
    <x v="46"/>
    <x v="1"/>
    <x v="2"/>
    <x v="2"/>
    <n v="2.2599999999999998"/>
    <n v="2.2400000000000002"/>
    <n v="0.02"/>
    <n v="1.88"/>
  </r>
  <r>
    <x v="1"/>
    <x v="6"/>
    <x v="46"/>
    <x v="2"/>
    <x v="4"/>
    <x v="0"/>
    <n v="12.46"/>
    <n v="12.36"/>
    <n v="5.01"/>
    <n v="10.89"/>
  </r>
  <r>
    <x v="1"/>
    <x v="7"/>
    <x v="47"/>
    <x v="1"/>
    <x v="4"/>
    <x v="2"/>
    <n v="2.35"/>
    <n v="1.95"/>
    <n v="0.01"/>
    <n v="2.04"/>
  </r>
  <r>
    <x v="1"/>
    <x v="7"/>
    <x v="47"/>
    <x v="1"/>
    <x v="2"/>
    <x v="0"/>
    <n v="3.63"/>
    <n v="3"/>
    <n v="0.1"/>
    <n v="3.2"/>
  </r>
  <r>
    <x v="1"/>
    <x v="7"/>
    <x v="47"/>
    <x v="3"/>
    <x v="0"/>
    <x v="0"/>
    <n v="7.0000000000000007E-2"/>
    <n v="0.06"/>
    <n v="7.0000000000000007E-2"/>
    <n v="7.0000000000000007E-2"/>
  </r>
  <r>
    <x v="1"/>
    <x v="7"/>
    <x v="47"/>
    <x v="4"/>
    <x v="4"/>
    <x v="2"/>
    <n v="1.64"/>
    <n v="1.36"/>
    <n v="7.0000000000000007E-2"/>
    <n v="1.43"/>
  </r>
  <r>
    <x v="1"/>
    <x v="7"/>
    <x v="47"/>
    <x v="4"/>
    <x v="1"/>
    <x v="2"/>
    <n v="1.1499999999999999"/>
    <n v="0.96"/>
    <n v="0.02"/>
    <n v="1"/>
  </r>
  <r>
    <x v="1"/>
    <x v="7"/>
    <x v="47"/>
    <x v="4"/>
    <x v="2"/>
    <x v="2"/>
    <n v="1.68"/>
    <n v="1.39"/>
    <n v="0.01"/>
    <n v="1.46"/>
  </r>
  <r>
    <x v="1"/>
    <x v="7"/>
    <x v="47"/>
    <x v="0"/>
    <x v="0"/>
    <x v="0"/>
    <n v="12.01"/>
    <n v="9.94"/>
    <n v="6.23"/>
    <n v="10.86"/>
  </r>
  <r>
    <x v="1"/>
    <x v="7"/>
    <x v="47"/>
    <x v="2"/>
    <x v="4"/>
    <x v="1"/>
    <n v="0.01"/>
    <n v="0.01"/>
    <n v="0"/>
    <n v="0.01"/>
  </r>
  <r>
    <x v="1"/>
    <x v="7"/>
    <x v="47"/>
    <x v="2"/>
    <x v="4"/>
    <x v="0"/>
    <n v="6.34"/>
    <n v="5.25"/>
    <n v="1.75"/>
    <n v="5.97"/>
  </r>
  <r>
    <x v="1"/>
    <x v="7"/>
    <x v="47"/>
    <x v="2"/>
    <x v="0"/>
    <x v="0"/>
    <n v="5.18"/>
    <n v="4.29"/>
    <n v="3.78"/>
    <n v="4.91"/>
  </r>
  <r>
    <x v="1"/>
    <x v="7"/>
    <x v="47"/>
    <x v="1"/>
    <x v="1"/>
    <x v="2"/>
    <n v="3.01"/>
    <n v="2.4900000000000002"/>
    <n v="0.04"/>
    <n v="2.68"/>
  </r>
  <r>
    <x v="1"/>
    <x v="7"/>
    <x v="47"/>
    <x v="1"/>
    <x v="1"/>
    <x v="0"/>
    <n v="15.06"/>
    <n v="12.46"/>
    <n v="0.82"/>
    <n v="13.73"/>
  </r>
  <r>
    <x v="1"/>
    <x v="7"/>
    <x v="47"/>
    <x v="1"/>
    <x v="4"/>
    <x v="0"/>
    <n v="68.33"/>
    <n v="56.54"/>
    <n v="17.079999999999998"/>
    <n v="63.03"/>
  </r>
  <r>
    <x v="1"/>
    <x v="7"/>
    <x v="47"/>
    <x v="0"/>
    <x v="4"/>
    <x v="0"/>
    <n v="21.63"/>
    <n v="17.899999999999999"/>
    <n v="6.34"/>
    <n v="19.89"/>
  </r>
  <r>
    <x v="1"/>
    <x v="7"/>
    <x v="47"/>
    <x v="4"/>
    <x v="1"/>
    <x v="0"/>
    <n v="2.67"/>
    <n v="2.21"/>
    <n v="0.21"/>
    <n v="2.48"/>
  </r>
  <r>
    <x v="1"/>
    <x v="7"/>
    <x v="47"/>
    <x v="4"/>
    <x v="4"/>
    <x v="0"/>
    <n v="35.71"/>
    <n v="29.54"/>
    <n v="5.17"/>
    <n v="33.130000000000003"/>
  </r>
  <r>
    <x v="1"/>
    <x v="7"/>
    <x v="47"/>
    <x v="4"/>
    <x v="0"/>
    <x v="0"/>
    <n v="0.37"/>
    <n v="0.31"/>
    <n v="0.1"/>
    <n v="0.35"/>
  </r>
  <r>
    <x v="1"/>
    <x v="7"/>
    <x v="47"/>
    <x v="3"/>
    <x v="4"/>
    <x v="0"/>
    <n v="2.93"/>
    <n v="2.4300000000000002"/>
    <n v="0.56000000000000005"/>
    <n v="2.72"/>
  </r>
  <r>
    <x v="1"/>
    <x v="7"/>
    <x v="47"/>
    <x v="2"/>
    <x v="3"/>
    <x v="1"/>
    <n v="0.12"/>
    <n v="0.1"/>
    <n v="0"/>
    <n v="0.12"/>
  </r>
  <r>
    <x v="1"/>
    <x v="7"/>
    <x v="47"/>
    <x v="1"/>
    <x v="3"/>
    <x v="1"/>
    <n v="7.0000000000000007E-2"/>
    <n v="0.06"/>
    <n v="0"/>
    <n v="7.0000000000000007E-2"/>
  </r>
  <r>
    <x v="1"/>
    <x v="7"/>
    <x v="47"/>
    <x v="4"/>
    <x v="1"/>
    <x v="1"/>
    <n v="0.04"/>
    <n v="0.04"/>
    <n v="0"/>
    <n v="0.04"/>
  </r>
  <r>
    <x v="1"/>
    <x v="7"/>
    <x v="47"/>
    <x v="2"/>
    <x v="2"/>
    <x v="3"/>
    <n v="1.82"/>
    <n v="1.51"/>
    <n v="0"/>
    <n v="1.82"/>
  </r>
  <r>
    <x v="1"/>
    <x v="7"/>
    <x v="47"/>
    <x v="2"/>
    <x v="3"/>
    <x v="3"/>
    <n v="1.96"/>
    <n v="1.62"/>
    <n v="0.01"/>
    <n v="1.96"/>
  </r>
  <r>
    <x v="1"/>
    <x v="7"/>
    <x v="47"/>
    <x v="4"/>
    <x v="0"/>
    <x v="1"/>
    <n v="1.1100000000000001"/>
    <n v="0.92"/>
    <n v="0.05"/>
    <n v="1.07"/>
  </r>
  <r>
    <x v="1"/>
    <x v="7"/>
    <x v="47"/>
    <x v="1"/>
    <x v="0"/>
    <x v="0"/>
    <n v="8.32"/>
    <n v="6.88"/>
    <n v="4.32"/>
    <n v="7.76"/>
  </r>
  <r>
    <x v="1"/>
    <x v="7"/>
    <x v="47"/>
    <x v="1"/>
    <x v="2"/>
    <x v="1"/>
    <n v="5.01"/>
    <n v="4.1399999999999997"/>
    <n v="0.03"/>
    <n v="4.71"/>
  </r>
  <r>
    <x v="1"/>
    <x v="7"/>
    <x v="47"/>
    <x v="4"/>
    <x v="4"/>
    <x v="1"/>
    <n v="0.05"/>
    <n v="0.04"/>
    <n v="0.01"/>
    <n v="0.05"/>
  </r>
  <r>
    <x v="1"/>
    <x v="7"/>
    <x v="47"/>
    <x v="0"/>
    <x v="0"/>
    <x v="1"/>
    <n v="1.1299999999999999"/>
    <n v="0.93"/>
    <n v="7.0000000000000007E-2"/>
    <n v="1.05"/>
  </r>
  <r>
    <x v="1"/>
    <x v="7"/>
    <x v="47"/>
    <x v="0"/>
    <x v="4"/>
    <x v="1"/>
    <n v="1.18"/>
    <n v="0.98"/>
    <n v="0.03"/>
    <n v="1.0900000000000001"/>
  </r>
  <r>
    <x v="1"/>
    <x v="7"/>
    <x v="47"/>
    <x v="0"/>
    <x v="1"/>
    <x v="1"/>
    <n v="0.04"/>
    <n v="0.03"/>
    <n v="0"/>
    <n v="0.03"/>
  </r>
  <r>
    <x v="1"/>
    <x v="7"/>
    <x v="47"/>
    <x v="1"/>
    <x v="0"/>
    <x v="1"/>
    <n v="1.1299999999999999"/>
    <n v="0.93"/>
    <n v="0.13"/>
    <n v="1.0900000000000001"/>
  </r>
  <r>
    <x v="1"/>
    <x v="7"/>
    <x v="47"/>
    <x v="1"/>
    <x v="4"/>
    <x v="1"/>
    <n v="2.76"/>
    <n v="2.2799999999999998"/>
    <n v="0.14000000000000001"/>
    <n v="2.75"/>
  </r>
  <r>
    <x v="1"/>
    <x v="7"/>
    <x v="47"/>
    <x v="1"/>
    <x v="3"/>
    <x v="2"/>
    <n v="0.41"/>
    <n v="0.34"/>
    <n v="0"/>
    <n v="0.36"/>
  </r>
  <r>
    <x v="1"/>
    <x v="7"/>
    <x v="47"/>
    <x v="1"/>
    <x v="1"/>
    <x v="1"/>
    <n v="5.0999999999999996"/>
    <n v="4.22"/>
    <n v="0.13"/>
    <n v="4.96"/>
  </r>
  <r>
    <x v="1"/>
    <x v="2"/>
    <x v="48"/>
    <x v="4"/>
    <x v="1"/>
    <x v="0"/>
    <n v="58.79"/>
    <n v="57.33"/>
    <n v="4.05"/>
    <n v="55.25"/>
  </r>
  <r>
    <x v="1"/>
    <x v="2"/>
    <x v="48"/>
    <x v="4"/>
    <x v="2"/>
    <x v="2"/>
    <n v="5.65"/>
    <n v="5.51"/>
    <n v="0.03"/>
    <n v="4.91"/>
  </r>
  <r>
    <x v="1"/>
    <x v="2"/>
    <x v="48"/>
    <x v="2"/>
    <x v="3"/>
    <x v="1"/>
    <n v="73.569999999999993"/>
    <n v="71.739999999999995"/>
    <n v="0.11"/>
    <n v="67.680000000000007"/>
  </r>
  <r>
    <x v="1"/>
    <x v="2"/>
    <x v="48"/>
    <x v="4"/>
    <x v="0"/>
    <x v="0"/>
    <n v="0.93"/>
    <n v="0.91"/>
    <n v="0.17"/>
    <n v="0.86"/>
  </r>
  <r>
    <x v="1"/>
    <x v="2"/>
    <x v="48"/>
    <x v="3"/>
    <x v="4"/>
    <x v="0"/>
    <n v="40.28"/>
    <n v="39.28"/>
    <n v="16.05"/>
    <n v="38.549999999999997"/>
  </r>
  <r>
    <x v="1"/>
    <x v="2"/>
    <x v="48"/>
    <x v="3"/>
    <x v="0"/>
    <x v="0"/>
    <n v="1.4"/>
    <n v="1.37"/>
    <n v="1.1399999999999999"/>
    <n v="1.38"/>
  </r>
  <r>
    <x v="1"/>
    <x v="2"/>
    <x v="48"/>
    <x v="0"/>
    <x v="0"/>
    <x v="0"/>
    <n v="25.87"/>
    <n v="25.23"/>
    <n v="14.13"/>
    <n v="23.84"/>
  </r>
  <r>
    <x v="1"/>
    <x v="2"/>
    <x v="48"/>
    <x v="4"/>
    <x v="4"/>
    <x v="0"/>
    <n v="379.54"/>
    <n v="370.13"/>
    <n v="55.73"/>
    <n v="355.32"/>
  </r>
  <r>
    <x v="1"/>
    <x v="2"/>
    <x v="48"/>
    <x v="2"/>
    <x v="4"/>
    <x v="1"/>
    <n v="0.15"/>
    <n v="0.15"/>
    <n v="0"/>
    <n v="0.14000000000000001"/>
  </r>
  <r>
    <x v="1"/>
    <x v="2"/>
    <x v="48"/>
    <x v="1"/>
    <x v="3"/>
    <x v="1"/>
    <n v="7.66"/>
    <n v="7.47"/>
    <n v="7.0000000000000007E-2"/>
    <n v="6.75"/>
  </r>
  <r>
    <x v="1"/>
    <x v="2"/>
    <x v="48"/>
    <x v="4"/>
    <x v="1"/>
    <x v="2"/>
    <n v="4.28"/>
    <n v="4.17"/>
    <n v="0.11"/>
    <n v="3.72"/>
  </r>
  <r>
    <x v="1"/>
    <x v="2"/>
    <x v="48"/>
    <x v="1"/>
    <x v="4"/>
    <x v="2"/>
    <n v="20.309999999999999"/>
    <n v="19.809999999999999"/>
    <n v="0.53"/>
    <n v="17.66"/>
  </r>
  <r>
    <x v="1"/>
    <x v="2"/>
    <x v="48"/>
    <x v="1"/>
    <x v="1"/>
    <x v="2"/>
    <n v="6.4"/>
    <n v="6.24"/>
    <n v="0.04"/>
    <n v="5.56"/>
  </r>
  <r>
    <x v="1"/>
    <x v="2"/>
    <x v="48"/>
    <x v="0"/>
    <x v="4"/>
    <x v="0"/>
    <n v="64.73"/>
    <n v="63.12"/>
    <n v="20.100000000000001"/>
    <n v="60.83"/>
  </r>
  <r>
    <x v="1"/>
    <x v="2"/>
    <x v="48"/>
    <x v="0"/>
    <x v="3"/>
    <x v="1"/>
    <n v="0.54"/>
    <n v="0.53"/>
    <n v="0"/>
    <n v="0.49"/>
  </r>
  <r>
    <x v="1"/>
    <x v="2"/>
    <x v="48"/>
    <x v="1"/>
    <x v="2"/>
    <x v="2"/>
    <n v="0.36"/>
    <n v="0.35"/>
    <n v="0"/>
    <n v="0.31"/>
  </r>
  <r>
    <x v="1"/>
    <x v="2"/>
    <x v="48"/>
    <x v="1"/>
    <x v="3"/>
    <x v="2"/>
    <n v="1.81"/>
    <n v="1.76"/>
    <n v="0"/>
    <n v="1.57"/>
  </r>
  <r>
    <x v="1"/>
    <x v="2"/>
    <x v="48"/>
    <x v="4"/>
    <x v="4"/>
    <x v="2"/>
    <n v="9.92"/>
    <n v="9.67"/>
    <n v="0.38"/>
    <n v="9.1199999999999992"/>
  </r>
  <r>
    <x v="1"/>
    <x v="2"/>
    <x v="48"/>
    <x v="0"/>
    <x v="0"/>
    <x v="1"/>
    <n v="18.64"/>
    <n v="18.18"/>
    <n v="1.08"/>
    <n v="16.8"/>
  </r>
  <r>
    <x v="1"/>
    <x v="2"/>
    <x v="48"/>
    <x v="1"/>
    <x v="1"/>
    <x v="1"/>
    <n v="50.14"/>
    <n v="48.9"/>
    <n v="0.74"/>
    <n v="47.53"/>
  </r>
  <r>
    <x v="1"/>
    <x v="2"/>
    <x v="48"/>
    <x v="1"/>
    <x v="4"/>
    <x v="1"/>
    <n v="12"/>
    <n v="11.7"/>
    <n v="0.49"/>
    <n v="11.9"/>
  </r>
  <r>
    <x v="1"/>
    <x v="2"/>
    <x v="48"/>
    <x v="2"/>
    <x v="4"/>
    <x v="0"/>
    <n v="21.02"/>
    <n v="20.49"/>
    <n v="3.4"/>
    <n v="19.809999999999999"/>
  </r>
  <r>
    <x v="1"/>
    <x v="2"/>
    <x v="48"/>
    <x v="2"/>
    <x v="0"/>
    <x v="0"/>
    <n v="12.9"/>
    <n v="12.58"/>
    <n v="9.86"/>
    <n v="12.38"/>
  </r>
  <r>
    <x v="1"/>
    <x v="2"/>
    <x v="48"/>
    <x v="1"/>
    <x v="2"/>
    <x v="0"/>
    <n v="51.02"/>
    <n v="49.75"/>
    <n v="0.88"/>
    <n v="46.33"/>
  </r>
  <r>
    <x v="1"/>
    <x v="2"/>
    <x v="48"/>
    <x v="1"/>
    <x v="1"/>
    <x v="0"/>
    <n v="240.86"/>
    <n v="234.89"/>
    <n v="14.2"/>
    <n v="225.55"/>
  </r>
  <r>
    <x v="1"/>
    <x v="2"/>
    <x v="48"/>
    <x v="1"/>
    <x v="0"/>
    <x v="1"/>
    <n v="25.13"/>
    <n v="24.5"/>
    <n v="1.71"/>
    <n v="24.55"/>
  </r>
  <r>
    <x v="1"/>
    <x v="2"/>
    <x v="48"/>
    <x v="0"/>
    <x v="4"/>
    <x v="1"/>
    <n v="20.59"/>
    <n v="20.079999999999998"/>
    <n v="0.49"/>
    <n v="18.55"/>
  </r>
  <r>
    <x v="1"/>
    <x v="2"/>
    <x v="48"/>
    <x v="2"/>
    <x v="2"/>
    <x v="2"/>
    <n v="0.52"/>
    <n v="0.51"/>
    <n v="0"/>
    <n v="0.52"/>
  </r>
  <r>
    <x v="1"/>
    <x v="2"/>
    <x v="48"/>
    <x v="1"/>
    <x v="0"/>
    <x v="0"/>
    <n v="60.69"/>
    <n v="59.18"/>
    <n v="30.22"/>
    <n v="57.03"/>
  </r>
  <r>
    <x v="1"/>
    <x v="2"/>
    <x v="48"/>
    <x v="4"/>
    <x v="1"/>
    <x v="1"/>
    <n v="0.99"/>
    <n v="0.96"/>
    <n v="0.04"/>
    <n v="0.92"/>
  </r>
  <r>
    <x v="1"/>
    <x v="2"/>
    <x v="48"/>
    <x v="4"/>
    <x v="4"/>
    <x v="1"/>
    <n v="1.77"/>
    <n v="1.73"/>
    <n v="0.1"/>
    <n v="1.69"/>
  </r>
  <r>
    <x v="1"/>
    <x v="2"/>
    <x v="48"/>
    <x v="4"/>
    <x v="0"/>
    <x v="1"/>
    <n v="9.7100000000000009"/>
    <n v="9.4700000000000006"/>
    <n v="0.54"/>
    <n v="8.83"/>
  </r>
  <r>
    <x v="1"/>
    <x v="2"/>
    <x v="48"/>
    <x v="2"/>
    <x v="3"/>
    <x v="3"/>
    <n v="118.85"/>
    <n v="115.9"/>
    <n v="0.09"/>
    <n v="118.85"/>
  </r>
  <r>
    <x v="1"/>
    <x v="2"/>
    <x v="48"/>
    <x v="2"/>
    <x v="2"/>
    <x v="3"/>
    <n v="24.54"/>
    <n v="23.94"/>
    <n v="0.03"/>
    <n v="24.54"/>
  </r>
  <r>
    <x v="1"/>
    <x v="2"/>
    <x v="48"/>
    <x v="1"/>
    <x v="2"/>
    <x v="1"/>
    <n v="139.87"/>
    <n v="136.4"/>
    <n v="1.1200000000000001"/>
    <n v="133.80000000000001"/>
  </r>
  <r>
    <x v="1"/>
    <x v="2"/>
    <x v="48"/>
    <x v="2"/>
    <x v="3"/>
    <x v="2"/>
    <n v="48.28"/>
    <n v="47.09"/>
    <n v="0.04"/>
    <n v="42.51"/>
  </r>
  <r>
    <x v="1"/>
    <x v="2"/>
    <x v="48"/>
    <x v="1"/>
    <x v="4"/>
    <x v="0"/>
    <n v="718.6"/>
    <n v="700.78"/>
    <n v="170.99"/>
    <n v="674.19"/>
  </r>
  <r>
    <x v="1"/>
    <x v="2"/>
    <x v="48"/>
    <x v="0"/>
    <x v="1"/>
    <x v="1"/>
    <n v="0.67"/>
    <n v="0.65"/>
    <n v="0.01"/>
    <n v="0.6"/>
  </r>
  <r>
    <x v="1"/>
    <x v="3"/>
    <x v="49"/>
    <x v="4"/>
    <x v="1"/>
    <x v="1"/>
    <n v="2.8"/>
    <n v="2.8"/>
    <n v="0.06"/>
    <n v="2.5499999999999998"/>
  </r>
  <r>
    <x v="1"/>
    <x v="3"/>
    <x v="49"/>
    <x v="2"/>
    <x v="3"/>
    <x v="3"/>
    <n v="1601.2"/>
    <n v="1601.2"/>
    <n v="1.18"/>
    <n v="1583.79"/>
  </r>
  <r>
    <x v="1"/>
    <x v="3"/>
    <x v="49"/>
    <x v="2"/>
    <x v="0"/>
    <x v="0"/>
    <n v="213.9"/>
    <n v="213.9"/>
    <n v="166.54"/>
    <n v="205.99"/>
  </r>
  <r>
    <x v="1"/>
    <x v="3"/>
    <x v="49"/>
    <x v="2"/>
    <x v="2"/>
    <x v="3"/>
    <n v="290.62"/>
    <n v="290.62"/>
    <n v="0.27"/>
    <n v="288.89"/>
  </r>
  <r>
    <x v="1"/>
    <x v="3"/>
    <x v="49"/>
    <x v="2"/>
    <x v="3"/>
    <x v="2"/>
    <n v="331.51"/>
    <n v="331.51"/>
    <n v="0.28000000000000003"/>
    <n v="304.29000000000002"/>
  </r>
  <r>
    <x v="1"/>
    <x v="3"/>
    <x v="49"/>
    <x v="2"/>
    <x v="2"/>
    <x v="2"/>
    <n v="5.35"/>
    <n v="5.35"/>
    <n v="0.03"/>
    <n v="5.1100000000000003"/>
  </r>
  <r>
    <x v="1"/>
    <x v="3"/>
    <x v="49"/>
    <x v="2"/>
    <x v="1"/>
    <x v="2"/>
    <n v="1.28"/>
    <n v="1.28"/>
    <n v="0"/>
    <n v="1.22"/>
  </r>
  <r>
    <x v="1"/>
    <x v="3"/>
    <x v="49"/>
    <x v="1"/>
    <x v="3"/>
    <x v="2"/>
    <n v="52.65"/>
    <n v="52.65"/>
    <n v="0.04"/>
    <n v="47.69"/>
  </r>
  <r>
    <x v="1"/>
    <x v="3"/>
    <x v="49"/>
    <x v="1"/>
    <x v="2"/>
    <x v="2"/>
    <n v="11.76"/>
    <n v="11.76"/>
    <n v="0.04"/>
    <n v="10.65"/>
  </r>
  <r>
    <x v="1"/>
    <x v="3"/>
    <x v="49"/>
    <x v="1"/>
    <x v="1"/>
    <x v="2"/>
    <n v="10.89"/>
    <n v="10.89"/>
    <n v="0.15"/>
    <n v="10.24"/>
  </r>
  <r>
    <x v="1"/>
    <x v="3"/>
    <x v="49"/>
    <x v="1"/>
    <x v="4"/>
    <x v="2"/>
    <n v="54.75"/>
    <n v="54.75"/>
    <n v="1.91"/>
    <n v="49.59"/>
  </r>
  <r>
    <x v="1"/>
    <x v="3"/>
    <x v="49"/>
    <x v="4"/>
    <x v="2"/>
    <x v="2"/>
    <n v="36.58"/>
    <n v="36.58"/>
    <n v="0.16"/>
    <n v="33.130000000000003"/>
  </r>
  <r>
    <x v="1"/>
    <x v="3"/>
    <x v="49"/>
    <x v="4"/>
    <x v="1"/>
    <x v="2"/>
    <n v="42.92"/>
    <n v="42.92"/>
    <n v="0.8"/>
    <n v="38.869999999999997"/>
  </r>
  <r>
    <x v="1"/>
    <x v="3"/>
    <x v="49"/>
    <x v="4"/>
    <x v="0"/>
    <x v="1"/>
    <n v="154.47999999999999"/>
    <n v="154.47999999999999"/>
    <n v="7.48"/>
    <n v="137.84"/>
  </r>
  <r>
    <x v="1"/>
    <x v="3"/>
    <x v="49"/>
    <x v="4"/>
    <x v="4"/>
    <x v="0"/>
    <n v="2620.58"/>
    <n v="2620.58"/>
    <n v="405.15"/>
    <n v="2455.19"/>
  </r>
  <r>
    <x v="1"/>
    <x v="3"/>
    <x v="49"/>
    <x v="0"/>
    <x v="1"/>
    <x v="1"/>
    <n v="6.85"/>
    <n v="6.85"/>
    <n v="0.12"/>
    <n v="6.28"/>
  </r>
  <r>
    <x v="1"/>
    <x v="3"/>
    <x v="49"/>
    <x v="0"/>
    <x v="3"/>
    <x v="1"/>
    <n v="2.88"/>
    <n v="2.88"/>
    <n v="0"/>
    <n v="2.64"/>
  </r>
  <r>
    <x v="1"/>
    <x v="3"/>
    <x v="49"/>
    <x v="1"/>
    <x v="0"/>
    <x v="1"/>
    <n v="292.3"/>
    <n v="292.3"/>
    <n v="16.03"/>
    <n v="260.57"/>
  </r>
  <r>
    <x v="1"/>
    <x v="3"/>
    <x v="49"/>
    <x v="1"/>
    <x v="4"/>
    <x v="1"/>
    <n v="102.53"/>
    <n v="102.53"/>
    <n v="5.71"/>
    <n v="90.87"/>
  </r>
  <r>
    <x v="1"/>
    <x v="3"/>
    <x v="49"/>
    <x v="1"/>
    <x v="1"/>
    <x v="1"/>
    <n v="576.48"/>
    <n v="576.48"/>
    <n v="8.6"/>
    <n v="520.26"/>
  </r>
  <r>
    <x v="1"/>
    <x v="3"/>
    <x v="49"/>
    <x v="1"/>
    <x v="2"/>
    <x v="1"/>
    <n v="732.8"/>
    <n v="732.8"/>
    <n v="7.74"/>
    <n v="662.94"/>
  </r>
  <r>
    <x v="1"/>
    <x v="3"/>
    <x v="49"/>
    <x v="1"/>
    <x v="3"/>
    <x v="1"/>
    <n v="7.93"/>
    <n v="7.93"/>
    <n v="0.01"/>
    <n v="7.28"/>
  </r>
  <r>
    <x v="1"/>
    <x v="3"/>
    <x v="49"/>
    <x v="2"/>
    <x v="4"/>
    <x v="1"/>
    <n v="9.14"/>
    <n v="9.14"/>
    <n v="0.03"/>
    <n v="8.7200000000000006"/>
  </r>
  <r>
    <x v="1"/>
    <x v="3"/>
    <x v="49"/>
    <x v="2"/>
    <x v="3"/>
    <x v="1"/>
    <n v="635.08000000000004"/>
    <n v="635.08000000000004"/>
    <n v="0.7"/>
    <n v="580.67999999999995"/>
  </r>
  <r>
    <x v="1"/>
    <x v="3"/>
    <x v="49"/>
    <x v="3"/>
    <x v="0"/>
    <x v="0"/>
    <n v="145.96"/>
    <n v="145.96"/>
    <n v="128.86000000000001"/>
    <n v="141.49"/>
  </r>
  <r>
    <x v="1"/>
    <x v="3"/>
    <x v="49"/>
    <x v="3"/>
    <x v="4"/>
    <x v="0"/>
    <n v="1081.69"/>
    <n v="1081.69"/>
    <n v="409.18"/>
    <n v="1020.71"/>
  </r>
  <r>
    <x v="1"/>
    <x v="3"/>
    <x v="49"/>
    <x v="2"/>
    <x v="2"/>
    <x v="0"/>
    <n v="43.9"/>
    <n v="43.9"/>
    <n v="0.06"/>
    <n v="43.25"/>
  </r>
  <r>
    <x v="1"/>
    <x v="3"/>
    <x v="49"/>
    <x v="4"/>
    <x v="0"/>
    <x v="0"/>
    <n v="106.2"/>
    <n v="106.2"/>
    <n v="23.26"/>
    <n v="94.82"/>
  </r>
  <r>
    <x v="1"/>
    <x v="3"/>
    <x v="49"/>
    <x v="4"/>
    <x v="4"/>
    <x v="2"/>
    <n v="61.88"/>
    <n v="61.88"/>
    <n v="2.54"/>
    <n v="57.58"/>
  </r>
  <r>
    <x v="1"/>
    <x v="3"/>
    <x v="49"/>
    <x v="4"/>
    <x v="1"/>
    <x v="0"/>
    <n v="357.72"/>
    <n v="357.72"/>
    <n v="23.76"/>
    <n v="337.34"/>
  </r>
  <r>
    <x v="1"/>
    <x v="3"/>
    <x v="49"/>
    <x v="4"/>
    <x v="2"/>
    <x v="0"/>
    <n v="2.06"/>
    <n v="2.06"/>
    <n v="0.04"/>
    <n v="1.97"/>
  </r>
  <r>
    <x v="1"/>
    <x v="3"/>
    <x v="49"/>
    <x v="0"/>
    <x v="0"/>
    <x v="0"/>
    <n v="66.819999999999993"/>
    <n v="66.819999999999993"/>
    <n v="34.07"/>
    <n v="61.91"/>
  </r>
  <r>
    <x v="1"/>
    <x v="3"/>
    <x v="49"/>
    <x v="0"/>
    <x v="4"/>
    <x v="0"/>
    <n v="584.19000000000005"/>
    <n v="584.19000000000005"/>
    <n v="292.29000000000002"/>
    <n v="563.22"/>
  </r>
  <r>
    <x v="1"/>
    <x v="3"/>
    <x v="49"/>
    <x v="0"/>
    <x v="1"/>
    <x v="0"/>
    <n v="1.1100000000000001"/>
    <n v="1.1100000000000001"/>
    <n v="0.25"/>
    <n v="1.1100000000000001"/>
  </r>
  <r>
    <x v="1"/>
    <x v="3"/>
    <x v="49"/>
    <x v="0"/>
    <x v="2"/>
    <x v="0"/>
    <n v="7.0000000000000007E-2"/>
    <n v="7.0000000000000007E-2"/>
    <n v="0"/>
    <n v="7.0000000000000007E-2"/>
  </r>
  <r>
    <x v="1"/>
    <x v="3"/>
    <x v="49"/>
    <x v="1"/>
    <x v="0"/>
    <x v="0"/>
    <n v="397.08"/>
    <n v="397.08"/>
    <n v="294.61"/>
    <n v="380.35"/>
  </r>
  <r>
    <x v="1"/>
    <x v="3"/>
    <x v="49"/>
    <x v="1"/>
    <x v="4"/>
    <x v="0"/>
    <n v="6130.16"/>
    <n v="6130.16"/>
    <n v="1492.14"/>
    <n v="5847.9"/>
  </r>
  <r>
    <x v="1"/>
    <x v="3"/>
    <x v="49"/>
    <x v="1"/>
    <x v="1"/>
    <x v="0"/>
    <n v="1590.81"/>
    <n v="1590.81"/>
    <n v="123.91"/>
    <n v="1499.56"/>
  </r>
  <r>
    <x v="1"/>
    <x v="3"/>
    <x v="49"/>
    <x v="1"/>
    <x v="2"/>
    <x v="0"/>
    <n v="167.61"/>
    <n v="167.61"/>
    <n v="4.07"/>
    <n v="153.27000000000001"/>
  </r>
  <r>
    <x v="1"/>
    <x v="3"/>
    <x v="49"/>
    <x v="4"/>
    <x v="4"/>
    <x v="1"/>
    <n v="29.04"/>
    <n v="29.04"/>
    <n v="1.44"/>
    <n v="24.75"/>
  </r>
  <r>
    <x v="1"/>
    <x v="3"/>
    <x v="49"/>
    <x v="2"/>
    <x v="4"/>
    <x v="0"/>
    <n v="536.76"/>
    <n v="536.76"/>
    <n v="180.97"/>
    <n v="526.64"/>
  </r>
  <r>
    <x v="1"/>
    <x v="3"/>
    <x v="49"/>
    <x v="3"/>
    <x v="1"/>
    <x v="0"/>
    <n v="190.39"/>
    <n v="190.39"/>
    <n v="12.07"/>
    <n v="189.53"/>
  </r>
  <r>
    <x v="1"/>
    <x v="3"/>
    <x v="49"/>
    <x v="0"/>
    <x v="0"/>
    <x v="1"/>
    <n v="135.18"/>
    <n v="135.18"/>
    <n v="6.77"/>
    <n v="124.02"/>
  </r>
  <r>
    <x v="1"/>
    <x v="3"/>
    <x v="49"/>
    <x v="0"/>
    <x v="4"/>
    <x v="1"/>
    <n v="199.17"/>
    <n v="199.17"/>
    <n v="5.07"/>
    <n v="182.73"/>
  </r>
  <r>
    <x v="2"/>
    <x v="0"/>
    <x v="0"/>
    <x v="0"/>
    <x v="0"/>
    <x v="1"/>
    <n v="1.1399999999999999"/>
    <n v="0.97"/>
    <n v="0.04"/>
    <n v="1.0900000000000001"/>
  </r>
  <r>
    <x v="2"/>
    <x v="0"/>
    <x v="0"/>
    <x v="1"/>
    <x v="2"/>
    <x v="2"/>
    <n v="0.04"/>
    <n v="0.04"/>
    <n v="0"/>
    <n v="0.04"/>
  </r>
  <r>
    <x v="2"/>
    <x v="0"/>
    <x v="0"/>
    <x v="1"/>
    <x v="1"/>
    <x v="2"/>
    <n v="0.79"/>
    <n v="0.66"/>
    <n v="0"/>
    <n v="0.74"/>
  </r>
  <r>
    <x v="2"/>
    <x v="0"/>
    <x v="0"/>
    <x v="1"/>
    <x v="4"/>
    <x v="2"/>
    <n v="1.1100000000000001"/>
    <n v="0.94"/>
    <n v="0.05"/>
    <n v="1.05"/>
  </r>
  <r>
    <x v="2"/>
    <x v="0"/>
    <x v="0"/>
    <x v="4"/>
    <x v="2"/>
    <x v="2"/>
    <n v="1.63"/>
    <n v="1.38"/>
    <n v="0.01"/>
    <n v="1.54"/>
  </r>
  <r>
    <x v="2"/>
    <x v="0"/>
    <x v="0"/>
    <x v="4"/>
    <x v="1"/>
    <x v="2"/>
    <n v="1.02"/>
    <n v="0.86"/>
    <n v="0.03"/>
    <n v="0.96"/>
  </r>
  <r>
    <x v="2"/>
    <x v="0"/>
    <x v="0"/>
    <x v="4"/>
    <x v="4"/>
    <x v="2"/>
    <n v="0.89"/>
    <n v="0.75"/>
    <n v="0.05"/>
    <n v="0.83"/>
  </r>
  <r>
    <x v="2"/>
    <x v="0"/>
    <x v="0"/>
    <x v="1"/>
    <x v="3"/>
    <x v="2"/>
    <n v="0.32"/>
    <n v="0.28000000000000003"/>
    <n v="0"/>
    <n v="0.31"/>
  </r>
  <r>
    <x v="2"/>
    <x v="0"/>
    <x v="0"/>
    <x v="1"/>
    <x v="4"/>
    <x v="1"/>
    <n v="0.72"/>
    <n v="0.61"/>
    <n v="0.03"/>
    <n v="0.67"/>
  </r>
  <r>
    <x v="2"/>
    <x v="0"/>
    <x v="0"/>
    <x v="1"/>
    <x v="0"/>
    <x v="1"/>
    <n v="1.7"/>
    <n v="1.44"/>
    <n v="7.0000000000000007E-2"/>
    <n v="1.61"/>
  </r>
  <r>
    <x v="2"/>
    <x v="0"/>
    <x v="0"/>
    <x v="1"/>
    <x v="2"/>
    <x v="1"/>
    <n v="5.13"/>
    <n v="4.3499999999999996"/>
    <n v="0.03"/>
    <n v="4.8899999999999997"/>
  </r>
  <r>
    <x v="2"/>
    <x v="0"/>
    <x v="0"/>
    <x v="1"/>
    <x v="3"/>
    <x v="1"/>
    <n v="1.1499999999999999"/>
    <n v="0.98"/>
    <n v="0"/>
    <n v="1.1100000000000001"/>
  </r>
  <r>
    <x v="2"/>
    <x v="0"/>
    <x v="0"/>
    <x v="2"/>
    <x v="3"/>
    <x v="1"/>
    <n v="6.78"/>
    <n v="5.74"/>
    <n v="0.02"/>
    <n v="6.46"/>
  </r>
  <r>
    <x v="2"/>
    <x v="0"/>
    <x v="0"/>
    <x v="3"/>
    <x v="0"/>
    <x v="0"/>
    <n v="0.05"/>
    <n v="0.05"/>
    <n v="0.02"/>
    <n v="0.05"/>
  </r>
  <r>
    <x v="2"/>
    <x v="0"/>
    <x v="0"/>
    <x v="3"/>
    <x v="4"/>
    <x v="0"/>
    <n v="0.75"/>
    <n v="0.63"/>
    <n v="0.14000000000000001"/>
    <n v="0.7"/>
  </r>
  <r>
    <x v="2"/>
    <x v="0"/>
    <x v="0"/>
    <x v="1"/>
    <x v="0"/>
    <x v="0"/>
    <n v="3.79"/>
    <n v="3.21"/>
    <n v="1.7"/>
    <n v="3.62"/>
  </r>
  <r>
    <x v="2"/>
    <x v="0"/>
    <x v="0"/>
    <x v="0"/>
    <x v="4"/>
    <x v="1"/>
    <n v="0.57999999999999996"/>
    <n v="0.49"/>
    <n v="0.01"/>
    <n v="0.55000000000000004"/>
  </r>
  <r>
    <x v="2"/>
    <x v="0"/>
    <x v="0"/>
    <x v="3"/>
    <x v="1"/>
    <x v="0"/>
    <n v="0.03"/>
    <n v="0.02"/>
    <n v="0"/>
    <n v="0.03"/>
  </r>
  <r>
    <x v="2"/>
    <x v="0"/>
    <x v="0"/>
    <x v="0"/>
    <x v="4"/>
    <x v="0"/>
    <n v="4.4400000000000004"/>
    <n v="3.76"/>
    <n v="1.28"/>
    <n v="4.2699999999999996"/>
  </r>
  <r>
    <x v="2"/>
    <x v="0"/>
    <x v="0"/>
    <x v="0"/>
    <x v="0"/>
    <x v="0"/>
    <n v="3.28"/>
    <n v="2.78"/>
    <n v="1.82"/>
    <n v="3.11"/>
  </r>
  <r>
    <x v="2"/>
    <x v="0"/>
    <x v="0"/>
    <x v="1"/>
    <x v="1"/>
    <x v="1"/>
    <n v="4.91"/>
    <n v="4.16"/>
    <n v="0.09"/>
    <n v="4.6500000000000004"/>
  </r>
  <r>
    <x v="2"/>
    <x v="0"/>
    <x v="0"/>
    <x v="2"/>
    <x v="2"/>
    <x v="2"/>
    <n v="0.39"/>
    <n v="0.33"/>
    <n v="0"/>
    <n v="0.39"/>
  </r>
  <r>
    <x v="2"/>
    <x v="0"/>
    <x v="0"/>
    <x v="4"/>
    <x v="1"/>
    <x v="0"/>
    <n v="3.59"/>
    <n v="3.04"/>
    <n v="0.32"/>
    <n v="3.37"/>
  </r>
  <r>
    <x v="2"/>
    <x v="0"/>
    <x v="0"/>
    <x v="4"/>
    <x v="0"/>
    <x v="0"/>
    <n v="0.38"/>
    <n v="0.32"/>
    <n v="0.12"/>
    <n v="0.36"/>
  </r>
  <r>
    <x v="2"/>
    <x v="0"/>
    <x v="0"/>
    <x v="1"/>
    <x v="4"/>
    <x v="0"/>
    <n v="40.270000000000003"/>
    <n v="34.1"/>
    <n v="8.7200000000000006"/>
    <n v="38.159999999999997"/>
  </r>
  <r>
    <x v="2"/>
    <x v="0"/>
    <x v="0"/>
    <x v="1"/>
    <x v="1"/>
    <x v="0"/>
    <n v="10.84"/>
    <n v="9.18"/>
    <n v="0.56000000000000005"/>
    <n v="10.24"/>
  </r>
  <r>
    <x v="2"/>
    <x v="0"/>
    <x v="0"/>
    <x v="1"/>
    <x v="2"/>
    <x v="0"/>
    <n v="5.42"/>
    <n v="4.59"/>
    <n v="7.0000000000000007E-2"/>
    <n v="5.1100000000000003"/>
  </r>
  <r>
    <x v="2"/>
    <x v="0"/>
    <x v="0"/>
    <x v="4"/>
    <x v="0"/>
    <x v="1"/>
    <n v="0.97"/>
    <n v="0.82"/>
    <n v="0.06"/>
    <n v="0.92"/>
  </r>
  <r>
    <x v="2"/>
    <x v="0"/>
    <x v="0"/>
    <x v="2"/>
    <x v="0"/>
    <x v="0"/>
    <n v="6.87"/>
    <n v="5.82"/>
    <n v="4.1100000000000003"/>
    <n v="6.47"/>
  </r>
  <r>
    <x v="2"/>
    <x v="0"/>
    <x v="0"/>
    <x v="2"/>
    <x v="4"/>
    <x v="0"/>
    <n v="4.53"/>
    <n v="3.84"/>
    <n v="1.36"/>
    <n v="4.29"/>
  </r>
  <r>
    <x v="2"/>
    <x v="0"/>
    <x v="0"/>
    <x v="4"/>
    <x v="1"/>
    <x v="1"/>
    <n v="0.17"/>
    <n v="0.15"/>
    <n v="0.01"/>
    <n v="0.17"/>
  </r>
  <r>
    <x v="2"/>
    <x v="0"/>
    <x v="0"/>
    <x v="4"/>
    <x v="4"/>
    <x v="1"/>
    <n v="0.2"/>
    <n v="0.17"/>
    <n v="0.01"/>
    <n v="0.2"/>
  </r>
  <r>
    <x v="2"/>
    <x v="0"/>
    <x v="0"/>
    <x v="2"/>
    <x v="3"/>
    <x v="2"/>
    <n v="6.86"/>
    <n v="5.81"/>
    <n v="0"/>
    <n v="6.56"/>
  </r>
  <r>
    <x v="2"/>
    <x v="0"/>
    <x v="0"/>
    <x v="4"/>
    <x v="4"/>
    <x v="0"/>
    <n v="25.58"/>
    <n v="21.66"/>
    <n v="3.14"/>
    <n v="24.06"/>
  </r>
  <r>
    <x v="2"/>
    <x v="0"/>
    <x v="0"/>
    <x v="2"/>
    <x v="3"/>
    <x v="3"/>
    <n v="15.76"/>
    <n v="13.35"/>
    <n v="0.01"/>
    <n v="15.34"/>
  </r>
  <r>
    <x v="2"/>
    <x v="0"/>
    <x v="0"/>
    <x v="2"/>
    <x v="2"/>
    <x v="3"/>
    <n v="7.0000000000000007E-2"/>
    <n v="0.06"/>
    <n v="0"/>
    <n v="0.06"/>
  </r>
  <r>
    <x v="2"/>
    <x v="1"/>
    <x v="1"/>
    <x v="2"/>
    <x v="2"/>
    <x v="3"/>
    <n v="23.22"/>
    <n v="21.64"/>
    <n v="0.01"/>
    <n v="23.22"/>
  </r>
  <r>
    <x v="2"/>
    <x v="1"/>
    <x v="1"/>
    <x v="1"/>
    <x v="1"/>
    <x v="1"/>
    <n v="29.97"/>
    <n v="27.94"/>
    <n v="0.33"/>
    <n v="25.31"/>
  </r>
  <r>
    <x v="2"/>
    <x v="1"/>
    <x v="1"/>
    <x v="1"/>
    <x v="4"/>
    <x v="1"/>
    <n v="9.33"/>
    <n v="8.69"/>
    <n v="0.32"/>
    <n v="7.94"/>
  </r>
  <r>
    <x v="2"/>
    <x v="1"/>
    <x v="1"/>
    <x v="1"/>
    <x v="0"/>
    <x v="1"/>
    <n v="23.15"/>
    <n v="21.58"/>
    <n v="0.66"/>
    <n v="19.73"/>
  </r>
  <r>
    <x v="2"/>
    <x v="1"/>
    <x v="1"/>
    <x v="0"/>
    <x v="4"/>
    <x v="1"/>
    <n v="6.44"/>
    <n v="6.01"/>
    <n v="7.0000000000000007E-2"/>
    <n v="5.42"/>
  </r>
  <r>
    <x v="2"/>
    <x v="1"/>
    <x v="1"/>
    <x v="0"/>
    <x v="0"/>
    <x v="1"/>
    <n v="1.48"/>
    <n v="1.38"/>
    <n v="0.04"/>
    <n v="1.31"/>
  </r>
  <r>
    <x v="2"/>
    <x v="1"/>
    <x v="1"/>
    <x v="1"/>
    <x v="2"/>
    <x v="1"/>
    <n v="31.47"/>
    <n v="29.33"/>
    <n v="0.23"/>
    <n v="26.94"/>
  </r>
  <r>
    <x v="2"/>
    <x v="1"/>
    <x v="1"/>
    <x v="4"/>
    <x v="0"/>
    <x v="1"/>
    <n v="4.8899999999999997"/>
    <n v="4.5599999999999996"/>
    <n v="0.22"/>
    <n v="4.13"/>
  </r>
  <r>
    <x v="2"/>
    <x v="1"/>
    <x v="1"/>
    <x v="4"/>
    <x v="4"/>
    <x v="1"/>
    <n v="0.36"/>
    <n v="0.33"/>
    <n v="0.01"/>
    <n v="0.3"/>
  </r>
  <r>
    <x v="2"/>
    <x v="1"/>
    <x v="1"/>
    <x v="2"/>
    <x v="3"/>
    <x v="2"/>
    <n v="19.55"/>
    <n v="18.22"/>
    <n v="0.02"/>
    <n v="19.55"/>
  </r>
  <r>
    <x v="2"/>
    <x v="1"/>
    <x v="1"/>
    <x v="1"/>
    <x v="1"/>
    <x v="2"/>
    <n v="3.32"/>
    <n v="3.1"/>
    <n v="0.04"/>
    <n v="2.72"/>
  </r>
  <r>
    <x v="2"/>
    <x v="1"/>
    <x v="1"/>
    <x v="1"/>
    <x v="4"/>
    <x v="2"/>
    <n v="0.57999999999999996"/>
    <n v="0.54"/>
    <n v="0.02"/>
    <n v="0.48"/>
  </r>
  <r>
    <x v="2"/>
    <x v="1"/>
    <x v="1"/>
    <x v="4"/>
    <x v="1"/>
    <x v="2"/>
    <n v="3.68"/>
    <n v="3.43"/>
    <n v="0.06"/>
    <n v="3.02"/>
  </r>
  <r>
    <x v="2"/>
    <x v="1"/>
    <x v="1"/>
    <x v="4"/>
    <x v="4"/>
    <x v="2"/>
    <n v="4.6399999999999997"/>
    <n v="4.32"/>
    <n v="0.17"/>
    <n v="4.6399999999999997"/>
  </r>
  <r>
    <x v="2"/>
    <x v="1"/>
    <x v="1"/>
    <x v="2"/>
    <x v="4"/>
    <x v="0"/>
    <n v="9.48"/>
    <n v="8.83"/>
    <n v="3.78"/>
    <n v="9.25"/>
  </r>
  <r>
    <x v="2"/>
    <x v="1"/>
    <x v="1"/>
    <x v="4"/>
    <x v="1"/>
    <x v="1"/>
    <n v="2.0299999999999998"/>
    <n v="1.89"/>
    <n v="0.02"/>
    <n v="1.73"/>
  </r>
  <r>
    <x v="2"/>
    <x v="1"/>
    <x v="1"/>
    <x v="1"/>
    <x v="2"/>
    <x v="0"/>
    <n v="21.81"/>
    <n v="20.329999999999998"/>
    <n v="0.33"/>
    <n v="18.579999999999998"/>
  </r>
  <r>
    <x v="2"/>
    <x v="1"/>
    <x v="1"/>
    <x v="2"/>
    <x v="3"/>
    <x v="3"/>
    <n v="80.680000000000007"/>
    <n v="75.19"/>
    <n v="0.06"/>
    <n v="76.7"/>
  </r>
  <r>
    <x v="2"/>
    <x v="1"/>
    <x v="1"/>
    <x v="2"/>
    <x v="0"/>
    <x v="0"/>
    <n v="6.05"/>
    <n v="5.64"/>
    <n v="4.83"/>
    <n v="5.98"/>
  </r>
  <r>
    <x v="2"/>
    <x v="1"/>
    <x v="1"/>
    <x v="2"/>
    <x v="4"/>
    <x v="1"/>
    <n v="1.48"/>
    <n v="1.38"/>
    <n v="0.01"/>
    <n v="1.48"/>
  </r>
  <r>
    <x v="2"/>
    <x v="1"/>
    <x v="1"/>
    <x v="1"/>
    <x v="1"/>
    <x v="0"/>
    <n v="67.010000000000005"/>
    <n v="62.45"/>
    <n v="4.1399999999999997"/>
    <n v="59.49"/>
  </r>
  <r>
    <x v="2"/>
    <x v="1"/>
    <x v="1"/>
    <x v="1"/>
    <x v="4"/>
    <x v="0"/>
    <n v="289"/>
    <n v="269.35000000000002"/>
    <n v="52.16"/>
    <n v="261.55"/>
  </r>
  <r>
    <x v="2"/>
    <x v="1"/>
    <x v="1"/>
    <x v="1"/>
    <x v="0"/>
    <x v="0"/>
    <n v="6.12"/>
    <n v="5.7"/>
    <n v="3.84"/>
    <n v="5.73"/>
  </r>
  <r>
    <x v="2"/>
    <x v="1"/>
    <x v="1"/>
    <x v="0"/>
    <x v="4"/>
    <x v="0"/>
    <n v="23.13"/>
    <n v="21.56"/>
    <n v="6.24"/>
    <n v="20.14"/>
  </r>
  <r>
    <x v="2"/>
    <x v="1"/>
    <x v="1"/>
    <x v="0"/>
    <x v="0"/>
    <x v="0"/>
    <n v="17.02"/>
    <n v="15.86"/>
    <n v="14.31"/>
    <n v="14.57"/>
  </r>
  <r>
    <x v="2"/>
    <x v="1"/>
    <x v="1"/>
    <x v="3"/>
    <x v="0"/>
    <x v="0"/>
    <n v="0.93"/>
    <n v="0.87"/>
    <n v="0.69"/>
    <n v="0.93"/>
  </r>
  <r>
    <x v="2"/>
    <x v="1"/>
    <x v="1"/>
    <x v="4"/>
    <x v="1"/>
    <x v="0"/>
    <n v="22.43"/>
    <n v="20.9"/>
    <n v="1.62"/>
    <n v="20.34"/>
  </r>
  <r>
    <x v="2"/>
    <x v="1"/>
    <x v="1"/>
    <x v="2"/>
    <x v="3"/>
    <x v="1"/>
    <n v="35.01"/>
    <n v="32.630000000000003"/>
    <n v="0.05"/>
    <n v="30.31"/>
  </r>
  <r>
    <x v="2"/>
    <x v="1"/>
    <x v="1"/>
    <x v="3"/>
    <x v="4"/>
    <x v="0"/>
    <n v="15.66"/>
    <n v="14.6"/>
    <n v="5.12"/>
    <n v="15.42"/>
  </r>
  <r>
    <x v="2"/>
    <x v="1"/>
    <x v="1"/>
    <x v="3"/>
    <x v="1"/>
    <x v="0"/>
    <n v="1.53"/>
    <n v="1.42"/>
    <n v="0.17"/>
    <n v="1.53"/>
  </r>
  <r>
    <x v="2"/>
    <x v="1"/>
    <x v="1"/>
    <x v="4"/>
    <x v="0"/>
    <x v="0"/>
    <n v="0.32"/>
    <n v="0.3"/>
    <n v="0.05"/>
    <n v="0.27"/>
  </r>
  <r>
    <x v="2"/>
    <x v="1"/>
    <x v="1"/>
    <x v="4"/>
    <x v="4"/>
    <x v="0"/>
    <n v="117.57"/>
    <n v="109.58"/>
    <n v="19.12"/>
    <n v="105.37"/>
  </r>
  <r>
    <x v="2"/>
    <x v="1"/>
    <x v="1"/>
    <x v="2"/>
    <x v="1"/>
    <x v="1"/>
    <n v="0.4"/>
    <n v="0.38"/>
    <n v="0"/>
    <n v="0.4"/>
  </r>
  <r>
    <x v="2"/>
    <x v="2"/>
    <x v="2"/>
    <x v="1"/>
    <x v="0"/>
    <x v="0"/>
    <n v="2.6"/>
    <n v="2.69"/>
    <n v="1.55"/>
    <n v="2.44"/>
  </r>
  <r>
    <x v="2"/>
    <x v="2"/>
    <x v="2"/>
    <x v="1"/>
    <x v="1"/>
    <x v="1"/>
    <n v="2.38"/>
    <n v="2.46"/>
    <n v="0.03"/>
    <n v="2.1800000000000002"/>
  </r>
  <r>
    <x v="2"/>
    <x v="2"/>
    <x v="2"/>
    <x v="4"/>
    <x v="0"/>
    <x v="0"/>
    <n v="0.05"/>
    <n v="0.06"/>
    <n v="0.01"/>
    <n v="0.05"/>
  </r>
  <r>
    <x v="2"/>
    <x v="2"/>
    <x v="2"/>
    <x v="1"/>
    <x v="2"/>
    <x v="1"/>
    <n v="6.18"/>
    <n v="6.38"/>
    <n v="0.04"/>
    <n v="5.73"/>
  </r>
  <r>
    <x v="2"/>
    <x v="2"/>
    <x v="2"/>
    <x v="2"/>
    <x v="3"/>
    <x v="1"/>
    <n v="6.89"/>
    <n v="7.11"/>
    <n v="0.01"/>
    <n v="6.24"/>
  </r>
  <r>
    <x v="2"/>
    <x v="2"/>
    <x v="2"/>
    <x v="1"/>
    <x v="4"/>
    <x v="1"/>
    <n v="2.0299999999999998"/>
    <n v="2.09"/>
    <n v="0.05"/>
    <n v="2"/>
  </r>
  <r>
    <x v="2"/>
    <x v="2"/>
    <x v="2"/>
    <x v="3"/>
    <x v="0"/>
    <x v="0"/>
    <n v="0.27"/>
    <n v="0.28000000000000003"/>
    <n v="0.22"/>
    <n v="0.27"/>
  </r>
  <r>
    <x v="2"/>
    <x v="2"/>
    <x v="2"/>
    <x v="3"/>
    <x v="4"/>
    <x v="0"/>
    <n v="1.33"/>
    <n v="1.37"/>
    <n v="0.43"/>
    <n v="1.25"/>
  </r>
  <r>
    <x v="2"/>
    <x v="2"/>
    <x v="2"/>
    <x v="3"/>
    <x v="1"/>
    <x v="0"/>
    <n v="0.04"/>
    <n v="0.04"/>
    <n v="0.01"/>
    <n v="0.04"/>
  </r>
  <r>
    <x v="2"/>
    <x v="2"/>
    <x v="2"/>
    <x v="4"/>
    <x v="4"/>
    <x v="0"/>
    <n v="40.79"/>
    <n v="42.14"/>
    <n v="5.54"/>
    <n v="37.89"/>
  </r>
  <r>
    <x v="2"/>
    <x v="2"/>
    <x v="2"/>
    <x v="4"/>
    <x v="1"/>
    <x v="0"/>
    <n v="4.99"/>
    <n v="5.15"/>
    <n v="0.32"/>
    <n v="4.7300000000000004"/>
  </r>
  <r>
    <x v="2"/>
    <x v="2"/>
    <x v="2"/>
    <x v="2"/>
    <x v="0"/>
    <x v="0"/>
    <n v="2.66"/>
    <n v="2.75"/>
    <n v="1.6"/>
    <n v="2.48"/>
  </r>
  <r>
    <x v="2"/>
    <x v="2"/>
    <x v="2"/>
    <x v="0"/>
    <x v="4"/>
    <x v="0"/>
    <n v="23.26"/>
    <n v="24.03"/>
    <n v="6.23"/>
    <n v="21.18"/>
  </r>
  <r>
    <x v="2"/>
    <x v="2"/>
    <x v="2"/>
    <x v="1"/>
    <x v="4"/>
    <x v="0"/>
    <n v="83.13"/>
    <n v="85.86"/>
    <n v="16.78"/>
    <n v="76.010000000000005"/>
  </r>
  <r>
    <x v="2"/>
    <x v="2"/>
    <x v="2"/>
    <x v="1"/>
    <x v="1"/>
    <x v="0"/>
    <n v="9.36"/>
    <n v="9.66"/>
    <n v="0.69"/>
    <n v="8.65"/>
  </r>
  <r>
    <x v="2"/>
    <x v="2"/>
    <x v="2"/>
    <x v="1"/>
    <x v="2"/>
    <x v="0"/>
    <n v="3.03"/>
    <n v="3.13"/>
    <n v="0.05"/>
    <n v="2.72"/>
  </r>
  <r>
    <x v="2"/>
    <x v="2"/>
    <x v="2"/>
    <x v="1"/>
    <x v="0"/>
    <x v="1"/>
    <n v="4.91"/>
    <n v="5.07"/>
    <n v="0.22"/>
    <n v="4.87"/>
  </r>
  <r>
    <x v="2"/>
    <x v="2"/>
    <x v="2"/>
    <x v="0"/>
    <x v="0"/>
    <x v="0"/>
    <n v="2.99"/>
    <n v="3.09"/>
    <n v="1.7"/>
    <n v="2.74"/>
  </r>
  <r>
    <x v="2"/>
    <x v="2"/>
    <x v="2"/>
    <x v="4"/>
    <x v="2"/>
    <x v="2"/>
    <n v="1.03"/>
    <n v="1.06"/>
    <n v="0"/>
    <n v="0.89"/>
  </r>
  <r>
    <x v="2"/>
    <x v="2"/>
    <x v="2"/>
    <x v="2"/>
    <x v="4"/>
    <x v="0"/>
    <n v="1.97"/>
    <n v="2.04"/>
    <n v="0.56999999999999995"/>
    <n v="1.85"/>
  </r>
  <r>
    <x v="2"/>
    <x v="2"/>
    <x v="2"/>
    <x v="0"/>
    <x v="4"/>
    <x v="1"/>
    <n v="1.3"/>
    <n v="1.35"/>
    <n v="0.03"/>
    <n v="1.18"/>
  </r>
  <r>
    <x v="2"/>
    <x v="2"/>
    <x v="2"/>
    <x v="4"/>
    <x v="1"/>
    <x v="2"/>
    <n v="0.81"/>
    <n v="0.83"/>
    <n v="0.01"/>
    <n v="0.7"/>
  </r>
  <r>
    <x v="2"/>
    <x v="2"/>
    <x v="2"/>
    <x v="1"/>
    <x v="4"/>
    <x v="2"/>
    <n v="2.52"/>
    <n v="2.6"/>
    <n v="0.15"/>
    <n v="2.19"/>
  </r>
  <r>
    <x v="2"/>
    <x v="2"/>
    <x v="2"/>
    <x v="1"/>
    <x v="1"/>
    <x v="2"/>
    <n v="0.02"/>
    <n v="0.02"/>
    <n v="0"/>
    <n v="0.02"/>
  </r>
  <r>
    <x v="2"/>
    <x v="2"/>
    <x v="2"/>
    <x v="2"/>
    <x v="3"/>
    <x v="2"/>
    <n v="9.5500000000000007"/>
    <n v="9.8699999999999992"/>
    <n v="0.02"/>
    <n v="8.3000000000000007"/>
  </r>
  <r>
    <x v="2"/>
    <x v="2"/>
    <x v="2"/>
    <x v="2"/>
    <x v="3"/>
    <x v="3"/>
    <n v="6.03"/>
    <n v="6.23"/>
    <n v="0.01"/>
    <n v="6.03"/>
  </r>
  <r>
    <x v="2"/>
    <x v="2"/>
    <x v="2"/>
    <x v="4"/>
    <x v="0"/>
    <x v="1"/>
    <n v="0.95"/>
    <n v="0.98"/>
    <n v="0.05"/>
    <n v="0.87"/>
  </r>
  <r>
    <x v="2"/>
    <x v="2"/>
    <x v="2"/>
    <x v="0"/>
    <x v="0"/>
    <x v="1"/>
    <n v="1.63"/>
    <n v="1.68"/>
    <n v="7.0000000000000007E-2"/>
    <n v="1.48"/>
  </r>
  <r>
    <x v="2"/>
    <x v="2"/>
    <x v="2"/>
    <x v="4"/>
    <x v="4"/>
    <x v="1"/>
    <n v="0.24"/>
    <n v="0.24"/>
    <n v="0.03"/>
    <n v="0.22"/>
  </r>
  <r>
    <x v="2"/>
    <x v="2"/>
    <x v="2"/>
    <x v="4"/>
    <x v="1"/>
    <x v="1"/>
    <n v="0.11"/>
    <n v="0.11"/>
    <n v="0.01"/>
    <n v="0.1"/>
  </r>
  <r>
    <x v="2"/>
    <x v="2"/>
    <x v="2"/>
    <x v="2"/>
    <x v="2"/>
    <x v="3"/>
    <n v="0.56000000000000005"/>
    <n v="0.56999999999999995"/>
    <n v="0"/>
    <n v="0.56000000000000005"/>
  </r>
  <r>
    <x v="2"/>
    <x v="2"/>
    <x v="2"/>
    <x v="4"/>
    <x v="4"/>
    <x v="2"/>
    <n v="1.33"/>
    <n v="1.38"/>
    <n v="0.04"/>
    <n v="1.1599999999999999"/>
  </r>
  <r>
    <x v="2"/>
    <x v="2"/>
    <x v="3"/>
    <x v="1"/>
    <x v="2"/>
    <x v="1"/>
    <n v="13.39"/>
    <n v="13.83"/>
    <n v="0.08"/>
    <n v="12.89"/>
  </r>
  <r>
    <x v="2"/>
    <x v="2"/>
    <x v="3"/>
    <x v="4"/>
    <x v="0"/>
    <x v="0"/>
    <n v="7.0000000000000007E-2"/>
    <n v="7.0000000000000007E-2"/>
    <n v="0.01"/>
    <n v="0.06"/>
  </r>
  <r>
    <x v="2"/>
    <x v="2"/>
    <x v="3"/>
    <x v="3"/>
    <x v="1"/>
    <x v="0"/>
    <n v="0.06"/>
    <n v="0.06"/>
    <n v="0.01"/>
    <n v="0.06"/>
  </r>
  <r>
    <x v="2"/>
    <x v="2"/>
    <x v="3"/>
    <x v="3"/>
    <x v="4"/>
    <x v="0"/>
    <n v="2"/>
    <n v="2.0699999999999998"/>
    <n v="0.57999999999999996"/>
    <n v="1.89"/>
  </r>
  <r>
    <x v="2"/>
    <x v="2"/>
    <x v="3"/>
    <x v="3"/>
    <x v="0"/>
    <x v="0"/>
    <n v="0.51"/>
    <n v="0.52"/>
    <n v="0.4"/>
    <n v="0.5"/>
  </r>
  <r>
    <x v="2"/>
    <x v="2"/>
    <x v="3"/>
    <x v="2"/>
    <x v="2"/>
    <x v="1"/>
    <n v="12.72"/>
    <n v="13.14"/>
    <n v="7.0000000000000007E-2"/>
    <n v="12.72"/>
  </r>
  <r>
    <x v="2"/>
    <x v="2"/>
    <x v="3"/>
    <x v="1"/>
    <x v="1"/>
    <x v="1"/>
    <n v="5.14"/>
    <n v="5.31"/>
    <n v="0.05"/>
    <n v="4.87"/>
  </r>
  <r>
    <x v="2"/>
    <x v="2"/>
    <x v="3"/>
    <x v="2"/>
    <x v="0"/>
    <x v="0"/>
    <n v="2.97"/>
    <n v="3.07"/>
    <n v="2.14"/>
    <n v="2.77"/>
  </r>
  <r>
    <x v="2"/>
    <x v="2"/>
    <x v="3"/>
    <x v="2"/>
    <x v="3"/>
    <x v="1"/>
    <n v="6.84"/>
    <n v="7.07"/>
    <n v="0.01"/>
    <n v="6.2"/>
  </r>
  <r>
    <x v="2"/>
    <x v="2"/>
    <x v="3"/>
    <x v="4"/>
    <x v="1"/>
    <x v="0"/>
    <n v="6.02"/>
    <n v="6.22"/>
    <n v="0.38"/>
    <n v="5.57"/>
  </r>
  <r>
    <x v="2"/>
    <x v="2"/>
    <x v="3"/>
    <x v="0"/>
    <x v="4"/>
    <x v="0"/>
    <n v="11.11"/>
    <n v="11.47"/>
    <n v="3.02"/>
    <n v="10.199999999999999"/>
  </r>
  <r>
    <x v="2"/>
    <x v="2"/>
    <x v="3"/>
    <x v="1"/>
    <x v="0"/>
    <x v="0"/>
    <n v="5.34"/>
    <n v="5.52"/>
    <n v="3.15"/>
    <n v="5"/>
  </r>
  <r>
    <x v="2"/>
    <x v="2"/>
    <x v="3"/>
    <x v="1"/>
    <x v="4"/>
    <x v="0"/>
    <n v="87.16"/>
    <n v="90.03"/>
    <n v="18.38"/>
    <n v="80.36"/>
  </r>
  <r>
    <x v="2"/>
    <x v="2"/>
    <x v="3"/>
    <x v="1"/>
    <x v="4"/>
    <x v="1"/>
    <n v="5.23"/>
    <n v="5.4"/>
    <n v="7.0000000000000007E-2"/>
    <n v="5.0599999999999996"/>
  </r>
  <r>
    <x v="2"/>
    <x v="2"/>
    <x v="3"/>
    <x v="1"/>
    <x v="2"/>
    <x v="0"/>
    <n v="2.1800000000000002"/>
    <n v="2.2599999999999998"/>
    <n v="0.03"/>
    <n v="2"/>
  </r>
  <r>
    <x v="2"/>
    <x v="2"/>
    <x v="3"/>
    <x v="4"/>
    <x v="4"/>
    <x v="0"/>
    <n v="48.32"/>
    <n v="49.92"/>
    <n v="6.61"/>
    <n v="44.81"/>
  </r>
  <r>
    <x v="2"/>
    <x v="2"/>
    <x v="3"/>
    <x v="2"/>
    <x v="4"/>
    <x v="0"/>
    <n v="4.9000000000000004"/>
    <n v="5.0599999999999996"/>
    <n v="0.53"/>
    <n v="4.54"/>
  </r>
  <r>
    <x v="2"/>
    <x v="2"/>
    <x v="3"/>
    <x v="2"/>
    <x v="2"/>
    <x v="0"/>
    <n v="3.32"/>
    <n v="3.43"/>
    <n v="0"/>
    <n v="3.05"/>
  </r>
  <r>
    <x v="2"/>
    <x v="2"/>
    <x v="3"/>
    <x v="1"/>
    <x v="1"/>
    <x v="0"/>
    <n v="19.39"/>
    <n v="20.03"/>
    <n v="1.03"/>
    <n v="18.05"/>
  </r>
  <r>
    <x v="2"/>
    <x v="2"/>
    <x v="3"/>
    <x v="1"/>
    <x v="4"/>
    <x v="2"/>
    <n v="10.220000000000001"/>
    <n v="10.56"/>
    <n v="0.13"/>
    <n v="8.89"/>
  </r>
  <r>
    <x v="2"/>
    <x v="2"/>
    <x v="3"/>
    <x v="1"/>
    <x v="0"/>
    <x v="1"/>
    <n v="5.97"/>
    <n v="6.17"/>
    <n v="0.3"/>
    <n v="5.9"/>
  </r>
  <r>
    <x v="2"/>
    <x v="2"/>
    <x v="3"/>
    <x v="0"/>
    <x v="0"/>
    <x v="0"/>
    <n v="3.99"/>
    <n v="4.12"/>
    <n v="3.21"/>
    <n v="3.63"/>
  </r>
  <r>
    <x v="2"/>
    <x v="2"/>
    <x v="3"/>
    <x v="4"/>
    <x v="4"/>
    <x v="2"/>
    <n v="1.39"/>
    <n v="1.43"/>
    <n v="0.11"/>
    <n v="1.22"/>
  </r>
  <r>
    <x v="2"/>
    <x v="2"/>
    <x v="3"/>
    <x v="4"/>
    <x v="2"/>
    <x v="2"/>
    <n v="1.23"/>
    <n v="1.27"/>
    <n v="0.01"/>
    <n v="1.07"/>
  </r>
  <r>
    <x v="2"/>
    <x v="2"/>
    <x v="3"/>
    <x v="1"/>
    <x v="1"/>
    <x v="2"/>
    <n v="9.6199999999999992"/>
    <n v="9.93"/>
    <n v="0.03"/>
    <n v="9.26"/>
  </r>
  <r>
    <x v="2"/>
    <x v="2"/>
    <x v="3"/>
    <x v="2"/>
    <x v="3"/>
    <x v="2"/>
    <n v="10.32"/>
    <n v="10.66"/>
    <n v="0.01"/>
    <n v="9.83"/>
  </r>
  <r>
    <x v="2"/>
    <x v="2"/>
    <x v="3"/>
    <x v="2"/>
    <x v="3"/>
    <x v="3"/>
    <n v="16.59"/>
    <n v="17.14"/>
    <n v="0.01"/>
    <n v="16.59"/>
  </r>
  <r>
    <x v="2"/>
    <x v="2"/>
    <x v="3"/>
    <x v="4"/>
    <x v="0"/>
    <x v="1"/>
    <n v="0.92"/>
    <n v="0.95"/>
    <n v="0.05"/>
    <n v="0.85"/>
  </r>
  <r>
    <x v="2"/>
    <x v="2"/>
    <x v="3"/>
    <x v="0"/>
    <x v="4"/>
    <x v="1"/>
    <n v="1.4"/>
    <n v="1.44"/>
    <n v="0.03"/>
    <n v="1.26"/>
  </r>
  <r>
    <x v="2"/>
    <x v="2"/>
    <x v="3"/>
    <x v="4"/>
    <x v="4"/>
    <x v="1"/>
    <n v="0.22"/>
    <n v="0.23"/>
    <n v="0.03"/>
    <n v="0.2"/>
  </r>
  <r>
    <x v="2"/>
    <x v="2"/>
    <x v="3"/>
    <x v="4"/>
    <x v="1"/>
    <x v="1"/>
    <n v="0.12"/>
    <n v="0.13"/>
    <n v="0.01"/>
    <n v="0.11"/>
  </r>
  <r>
    <x v="2"/>
    <x v="2"/>
    <x v="3"/>
    <x v="2"/>
    <x v="2"/>
    <x v="3"/>
    <n v="1.27"/>
    <n v="1.31"/>
    <n v="0"/>
    <n v="1.27"/>
  </r>
  <r>
    <x v="2"/>
    <x v="2"/>
    <x v="3"/>
    <x v="0"/>
    <x v="0"/>
    <x v="1"/>
    <n v="1.57"/>
    <n v="1.62"/>
    <n v="7.0000000000000007E-2"/>
    <n v="1.42"/>
  </r>
  <r>
    <x v="2"/>
    <x v="2"/>
    <x v="3"/>
    <x v="4"/>
    <x v="1"/>
    <x v="2"/>
    <n v="0.94"/>
    <n v="0.97"/>
    <n v="0.04"/>
    <n v="0.82"/>
  </r>
  <r>
    <x v="2"/>
    <x v="0"/>
    <x v="4"/>
    <x v="0"/>
    <x v="0"/>
    <x v="1"/>
    <n v="20"/>
    <n v="18.11"/>
    <n v="0.72"/>
    <n v="19.079999999999998"/>
  </r>
  <r>
    <x v="2"/>
    <x v="0"/>
    <x v="4"/>
    <x v="0"/>
    <x v="4"/>
    <x v="1"/>
    <n v="10.33"/>
    <n v="9.35"/>
    <n v="0.25"/>
    <n v="9.86"/>
  </r>
  <r>
    <x v="2"/>
    <x v="0"/>
    <x v="4"/>
    <x v="1"/>
    <x v="0"/>
    <x v="1"/>
    <n v="7.2"/>
    <n v="6.52"/>
    <n v="0.28999999999999998"/>
    <n v="6.84"/>
  </r>
  <r>
    <x v="2"/>
    <x v="0"/>
    <x v="4"/>
    <x v="1"/>
    <x v="4"/>
    <x v="1"/>
    <n v="1.57"/>
    <n v="1.42"/>
    <n v="7.0000000000000007E-2"/>
    <n v="1.48"/>
  </r>
  <r>
    <x v="2"/>
    <x v="0"/>
    <x v="4"/>
    <x v="4"/>
    <x v="4"/>
    <x v="0"/>
    <n v="141.87"/>
    <n v="128.44"/>
    <n v="20.010000000000002"/>
    <n v="136.34"/>
  </r>
  <r>
    <x v="2"/>
    <x v="0"/>
    <x v="4"/>
    <x v="0"/>
    <x v="0"/>
    <x v="0"/>
    <n v="22.59"/>
    <n v="20.45"/>
    <n v="18.02"/>
    <n v="21.83"/>
  </r>
  <r>
    <x v="2"/>
    <x v="0"/>
    <x v="4"/>
    <x v="4"/>
    <x v="1"/>
    <x v="0"/>
    <n v="22.07"/>
    <n v="19.98"/>
    <n v="1.87"/>
    <n v="21.25"/>
  </r>
  <r>
    <x v="2"/>
    <x v="0"/>
    <x v="4"/>
    <x v="4"/>
    <x v="1"/>
    <x v="1"/>
    <n v="2.2599999999999998"/>
    <n v="2.0499999999999998"/>
    <n v="7.0000000000000007E-2"/>
    <n v="2.16"/>
  </r>
  <r>
    <x v="2"/>
    <x v="0"/>
    <x v="4"/>
    <x v="1"/>
    <x v="1"/>
    <x v="2"/>
    <n v="0.38"/>
    <n v="0.35"/>
    <n v="0"/>
    <n v="0.37"/>
  </r>
  <r>
    <x v="2"/>
    <x v="0"/>
    <x v="4"/>
    <x v="1"/>
    <x v="1"/>
    <x v="1"/>
    <n v="33.880000000000003"/>
    <n v="30.67"/>
    <n v="0.37"/>
    <n v="32.25"/>
  </r>
  <r>
    <x v="2"/>
    <x v="0"/>
    <x v="4"/>
    <x v="4"/>
    <x v="4"/>
    <x v="1"/>
    <n v="3.49"/>
    <n v="3.16"/>
    <n v="0.24"/>
    <n v="3.33"/>
  </r>
  <r>
    <x v="2"/>
    <x v="0"/>
    <x v="4"/>
    <x v="4"/>
    <x v="0"/>
    <x v="1"/>
    <n v="11.09"/>
    <n v="10.039999999999999"/>
    <n v="0.66"/>
    <n v="10.57"/>
  </r>
  <r>
    <x v="2"/>
    <x v="0"/>
    <x v="4"/>
    <x v="2"/>
    <x v="3"/>
    <x v="3"/>
    <n v="461.76"/>
    <n v="418.05"/>
    <n v="0.3"/>
    <n v="450.94"/>
  </r>
  <r>
    <x v="2"/>
    <x v="0"/>
    <x v="4"/>
    <x v="2"/>
    <x v="2"/>
    <x v="3"/>
    <n v="7.06"/>
    <n v="6.39"/>
    <n v="0"/>
    <n v="6.86"/>
  </r>
  <r>
    <x v="2"/>
    <x v="0"/>
    <x v="4"/>
    <x v="2"/>
    <x v="3"/>
    <x v="2"/>
    <n v="14.97"/>
    <n v="13.56"/>
    <n v="0.01"/>
    <n v="14.4"/>
  </r>
  <r>
    <x v="2"/>
    <x v="0"/>
    <x v="4"/>
    <x v="2"/>
    <x v="2"/>
    <x v="2"/>
    <n v="0.39"/>
    <n v="0.35"/>
    <n v="0"/>
    <n v="0.39"/>
  </r>
  <r>
    <x v="2"/>
    <x v="0"/>
    <x v="4"/>
    <x v="1"/>
    <x v="2"/>
    <x v="2"/>
    <n v="0.17"/>
    <n v="0.15"/>
    <n v="0"/>
    <n v="0.16"/>
  </r>
  <r>
    <x v="2"/>
    <x v="0"/>
    <x v="4"/>
    <x v="1"/>
    <x v="4"/>
    <x v="2"/>
    <n v="1.73"/>
    <n v="1.56"/>
    <n v="7.0000000000000007E-2"/>
    <n v="1.66"/>
  </r>
  <r>
    <x v="2"/>
    <x v="0"/>
    <x v="4"/>
    <x v="4"/>
    <x v="2"/>
    <x v="2"/>
    <n v="3.83"/>
    <n v="3.47"/>
    <n v="0.03"/>
    <n v="3.69"/>
  </r>
  <r>
    <x v="2"/>
    <x v="0"/>
    <x v="4"/>
    <x v="1"/>
    <x v="4"/>
    <x v="0"/>
    <n v="250.51"/>
    <n v="226.8"/>
    <n v="69.099999999999994"/>
    <n v="243.47"/>
  </r>
  <r>
    <x v="2"/>
    <x v="0"/>
    <x v="4"/>
    <x v="1"/>
    <x v="3"/>
    <x v="2"/>
    <n v="0.4"/>
    <n v="0.36"/>
    <n v="0"/>
    <n v="0.39"/>
  </r>
  <r>
    <x v="2"/>
    <x v="0"/>
    <x v="4"/>
    <x v="1"/>
    <x v="3"/>
    <x v="1"/>
    <n v="1.54"/>
    <n v="1.4"/>
    <n v="0"/>
    <n v="1.48"/>
  </r>
  <r>
    <x v="2"/>
    <x v="0"/>
    <x v="4"/>
    <x v="0"/>
    <x v="2"/>
    <x v="0"/>
    <n v="5.91"/>
    <n v="5.35"/>
    <n v="0.02"/>
    <n v="5.5"/>
  </r>
  <r>
    <x v="2"/>
    <x v="0"/>
    <x v="4"/>
    <x v="0"/>
    <x v="4"/>
    <x v="0"/>
    <n v="48.56"/>
    <n v="43.96"/>
    <n v="17.95"/>
    <n v="47.52"/>
  </r>
  <r>
    <x v="2"/>
    <x v="0"/>
    <x v="4"/>
    <x v="1"/>
    <x v="2"/>
    <x v="1"/>
    <n v="74"/>
    <n v="66.989999999999995"/>
    <n v="0.28000000000000003"/>
    <n v="70.59"/>
  </r>
  <r>
    <x v="2"/>
    <x v="0"/>
    <x v="4"/>
    <x v="2"/>
    <x v="4"/>
    <x v="1"/>
    <n v="0.52"/>
    <n v="0.47"/>
    <n v="0"/>
    <n v="0.52"/>
  </r>
  <r>
    <x v="2"/>
    <x v="0"/>
    <x v="4"/>
    <x v="2"/>
    <x v="3"/>
    <x v="1"/>
    <n v="107.94"/>
    <n v="97.72"/>
    <n v="0.19"/>
    <n v="103.04"/>
  </r>
  <r>
    <x v="2"/>
    <x v="0"/>
    <x v="4"/>
    <x v="3"/>
    <x v="0"/>
    <x v="0"/>
    <n v="1.07"/>
    <n v="0.97"/>
    <n v="0.67"/>
    <n v="1.07"/>
  </r>
  <r>
    <x v="2"/>
    <x v="0"/>
    <x v="4"/>
    <x v="3"/>
    <x v="4"/>
    <x v="0"/>
    <n v="1.89"/>
    <n v="1.71"/>
    <n v="0.71"/>
    <n v="1.85"/>
  </r>
  <r>
    <x v="2"/>
    <x v="0"/>
    <x v="4"/>
    <x v="3"/>
    <x v="1"/>
    <x v="0"/>
    <n v="0.59"/>
    <n v="0.53"/>
    <n v="0.02"/>
    <n v="0.59"/>
  </r>
  <r>
    <x v="2"/>
    <x v="0"/>
    <x v="4"/>
    <x v="4"/>
    <x v="1"/>
    <x v="2"/>
    <n v="1.53"/>
    <n v="1.39"/>
    <n v="0.04"/>
    <n v="1.47"/>
  </r>
  <r>
    <x v="2"/>
    <x v="0"/>
    <x v="4"/>
    <x v="2"/>
    <x v="4"/>
    <x v="0"/>
    <n v="40.880000000000003"/>
    <n v="37.01"/>
    <n v="12.87"/>
    <n v="40.200000000000003"/>
  </r>
  <r>
    <x v="2"/>
    <x v="0"/>
    <x v="4"/>
    <x v="2"/>
    <x v="0"/>
    <x v="0"/>
    <n v="30.88"/>
    <n v="27.96"/>
    <n v="19.55"/>
    <n v="29.91"/>
  </r>
  <r>
    <x v="2"/>
    <x v="0"/>
    <x v="4"/>
    <x v="1"/>
    <x v="2"/>
    <x v="0"/>
    <n v="14.87"/>
    <n v="13.47"/>
    <n v="0.24"/>
    <n v="14.13"/>
  </r>
  <r>
    <x v="2"/>
    <x v="0"/>
    <x v="4"/>
    <x v="1"/>
    <x v="1"/>
    <x v="0"/>
    <n v="66.95"/>
    <n v="60.61"/>
    <n v="4.93"/>
    <n v="64.569999999999993"/>
  </r>
  <r>
    <x v="2"/>
    <x v="0"/>
    <x v="4"/>
    <x v="1"/>
    <x v="0"/>
    <x v="0"/>
    <n v="29.51"/>
    <n v="26.71"/>
    <n v="18.87"/>
    <n v="28.9"/>
  </r>
  <r>
    <x v="2"/>
    <x v="0"/>
    <x v="4"/>
    <x v="4"/>
    <x v="4"/>
    <x v="2"/>
    <n v="1.2"/>
    <n v="1.08"/>
    <n v="0.09"/>
    <n v="1.1499999999999999"/>
  </r>
  <r>
    <x v="2"/>
    <x v="0"/>
    <x v="4"/>
    <x v="4"/>
    <x v="0"/>
    <x v="0"/>
    <n v="0.95"/>
    <n v="0.86"/>
    <n v="0.3"/>
    <n v="0.88"/>
  </r>
  <r>
    <x v="2"/>
    <x v="3"/>
    <x v="5"/>
    <x v="0"/>
    <x v="4"/>
    <x v="1"/>
    <n v="4.49"/>
    <n v="4.3499999999999996"/>
    <n v="0.22"/>
    <n v="4.12"/>
  </r>
  <r>
    <x v="2"/>
    <x v="3"/>
    <x v="5"/>
    <x v="2"/>
    <x v="3"/>
    <x v="3"/>
    <n v="107.57"/>
    <n v="104.38"/>
    <n v="0.08"/>
    <n v="105.22"/>
  </r>
  <r>
    <x v="2"/>
    <x v="3"/>
    <x v="5"/>
    <x v="4"/>
    <x v="0"/>
    <x v="1"/>
    <n v="17.34"/>
    <n v="16.829999999999998"/>
    <n v="1.56"/>
    <n v="15.95"/>
  </r>
  <r>
    <x v="2"/>
    <x v="3"/>
    <x v="5"/>
    <x v="4"/>
    <x v="4"/>
    <x v="1"/>
    <n v="4.54"/>
    <n v="4.41"/>
    <n v="0.2"/>
    <n v="4.17"/>
  </r>
  <r>
    <x v="2"/>
    <x v="3"/>
    <x v="5"/>
    <x v="0"/>
    <x v="0"/>
    <x v="1"/>
    <n v="29.55"/>
    <n v="28.67"/>
    <n v="0.62"/>
    <n v="27.11"/>
  </r>
  <r>
    <x v="2"/>
    <x v="3"/>
    <x v="5"/>
    <x v="2"/>
    <x v="2"/>
    <x v="3"/>
    <n v="5.01"/>
    <n v="4.8600000000000003"/>
    <n v="0.01"/>
    <n v="4.9800000000000004"/>
  </r>
  <r>
    <x v="2"/>
    <x v="3"/>
    <x v="5"/>
    <x v="4"/>
    <x v="2"/>
    <x v="2"/>
    <n v="2.57"/>
    <n v="2.5"/>
    <n v="0.01"/>
    <n v="2.33"/>
  </r>
  <r>
    <x v="2"/>
    <x v="3"/>
    <x v="5"/>
    <x v="4"/>
    <x v="1"/>
    <x v="1"/>
    <n v="2.2599999999999998"/>
    <n v="2.2000000000000002"/>
    <n v="0.05"/>
    <n v="2.08"/>
  </r>
  <r>
    <x v="2"/>
    <x v="3"/>
    <x v="5"/>
    <x v="2"/>
    <x v="3"/>
    <x v="2"/>
    <n v="30.14"/>
    <n v="29.24"/>
    <n v="0.02"/>
    <n v="27.48"/>
  </r>
  <r>
    <x v="2"/>
    <x v="3"/>
    <x v="5"/>
    <x v="2"/>
    <x v="2"/>
    <x v="2"/>
    <n v="0.88"/>
    <n v="0.85"/>
    <n v="0"/>
    <n v="0.84"/>
  </r>
  <r>
    <x v="2"/>
    <x v="3"/>
    <x v="5"/>
    <x v="2"/>
    <x v="1"/>
    <x v="2"/>
    <n v="1.68"/>
    <n v="1.63"/>
    <n v="0.01"/>
    <n v="1.6"/>
  </r>
  <r>
    <x v="2"/>
    <x v="3"/>
    <x v="5"/>
    <x v="1"/>
    <x v="3"/>
    <x v="2"/>
    <n v="2.52"/>
    <n v="2.4500000000000002"/>
    <n v="0"/>
    <n v="2.29"/>
  </r>
  <r>
    <x v="2"/>
    <x v="3"/>
    <x v="5"/>
    <x v="1"/>
    <x v="2"/>
    <x v="2"/>
    <n v="2.44"/>
    <n v="2.37"/>
    <n v="0.01"/>
    <n v="2.21"/>
  </r>
  <r>
    <x v="2"/>
    <x v="3"/>
    <x v="5"/>
    <x v="1"/>
    <x v="0"/>
    <x v="1"/>
    <n v="12.81"/>
    <n v="12.43"/>
    <n v="1.05"/>
    <n v="11.9"/>
  </r>
  <r>
    <x v="2"/>
    <x v="3"/>
    <x v="5"/>
    <x v="1"/>
    <x v="4"/>
    <x v="2"/>
    <n v="1.88"/>
    <n v="1.83"/>
    <n v="0.1"/>
    <n v="1.7"/>
  </r>
  <r>
    <x v="2"/>
    <x v="3"/>
    <x v="5"/>
    <x v="4"/>
    <x v="0"/>
    <x v="0"/>
    <n v="2.0099999999999998"/>
    <n v="1.95"/>
    <n v="0.91"/>
    <n v="1.84"/>
  </r>
  <r>
    <x v="2"/>
    <x v="3"/>
    <x v="5"/>
    <x v="4"/>
    <x v="1"/>
    <x v="2"/>
    <n v="1.53"/>
    <n v="1.49"/>
    <n v="0.02"/>
    <n v="1.39"/>
  </r>
  <r>
    <x v="2"/>
    <x v="3"/>
    <x v="5"/>
    <x v="4"/>
    <x v="4"/>
    <x v="2"/>
    <n v="4.8899999999999997"/>
    <n v="4.74"/>
    <n v="0.17"/>
    <n v="4.4400000000000004"/>
  </r>
  <r>
    <x v="2"/>
    <x v="3"/>
    <x v="5"/>
    <x v="1"/>
    <x v="1"/>
    <x v="2"/>
    <n v="0.96"/>
    <n v="0.93"/>
    <n v="0.03"/>
    <n v="0.87"/>
  </r>
  <r>
    <x v="2"/>
    <x v="3"/>
    <x v="5"/>
    <x v="4"/>
    <x v="1"/>
    <x v="0"/>
    <n v="32.590000000000003"/>
    <n v="31.62"/>
    <n v="2.27"/>
    <n v="30.59"/>
  </r>
  <r>
    <x v="2"/>
    <x v="3"/>
    <x v="5"/>
    <x v="1"/>
    <x v="4"/>
    <x v="0"/>
    <n v="383.43"/>
    <n v="372.03"/>
    <n v="100.36"/>
    <n v="364.19"/>
  </r>
  <r>
    <x v="2"/>
    <x v="3"/>
    <x v="5"/>
    <x v="1"/>
    <x v="1"/>
    <x v="0"/>
    <n v="160.26"/>
    <n v="155.5"/>
    <n v="7.4"/>
    <n v="154.55000000000001"/>
  </r>
  <r>
    <x v="2"/>
    <x v="3"/>
    <x v="5"/>
    <x v="1"/>
    <x v="2"/>
    <x v="0"/>
    <n v="11.47"/>
    <n v="11.13"/>
    <n v="0.13"/>
    <n v="10.66"/>
  </r>
  <r>
    <x v="2"/>
    <x v="3"/>
    <x v="5"/>
    <x v="2"/>
    <x v="0"/>
    <x v="0"/>
    <n v="21.38"/>
    <n v="20.75"/>
    <n v="13.24"/>
    <n v="20.32"/>
  </r>
  <r>
    <x v="2"/>
    <x v="3"/>
    <x v="5"/>
    <x v="2"/>
    <x v="4"/>
    <x v="0"/>
    <n v="57.33"/>
    <n v="55.62"/>
    <n v="16.41"/>
    <n v="56"/>
  </r>
  <r>
    <x v="2"/>
    <x v="3"/>
    <x v="5"/>
    <x v="1"/>
    <x v="0"/>
    <x v="0"/>
    <n v="47.53"/>
    <n v="46.11"/>
    <n v="30.95"/>
    <n v="45.81"/>
  </r>
  <r>
    <x v="2"/>
    <x v="3"/>
    <x v="5"/>
    <x v="3"/>
    <x v="4"/>
    <x v="0"/>
    <n v="41.88"/>
    <n v="40.64"/>
    <n v="17.93"/>
    <n v="38.6"/>
  </r>
  <r>
    <x v="2"/>
    <x v="3"/>
    <x v="5"/>
    <x v="0"/>
    <x v="0"/>
    <x v="0"/>
    <n v="1.63"/>
    <n v="1.59"/>
    <n v="0.82"/>
    <n v="1.52"/>
  </r>
  <r>
    <x v="2"/>
    <x v="3"/>
    <x v="5"/>
    <x v="1"/>
    <x v="4"/>
    <x v="1"/>
    <n v="3.07"/>
    <n v="2.98"/>
    <n v="0.18"/>
    <n v="2.84"/>
  </r>
  <r>
    <x v="2"/>
    <x v="3"/>
    <x v="5"/>
    <x v="4"/>
    <x v="4"/>
    <x v="0"/>
    <n v="209.71"/>
    <n v="203.48"/>
    <n v="29.88"/>
    <n v="196.51"/>
  </r>
  <r>
    <x v="2"/>
    <x v="3"/>
    <x v="5"/>
    <x v="3"/>
    <x v="1"/>
    <x v="0"/>
    <n v="0.48"/>
    <n v="0.47"/>
    <n v="7.0000000000000007E-2"/>
    <n v="0.48"/>
  </r>
  <r>
    <x v="2"/>
    <x v="3"/>
    <x v="5"/>
    <x v="3"/>
    <x v="0"/>
    <x v="0"/>
    <n v="22.08"/>
    <n v="21.43"/>
    <n v="22.68"/>
    <n v="21.35"/>
  </r>
  <r>
    <x v="2"/>
    <x v="3"/>
    <x v="5"/>
    <x v="2"/>
    <x v="3"/>
    <x v="1"/>
    <n v="48.12"/>
    <n v="46.69"/>
    <n v="0.06"/>
    <n v="44.37"/>
  </r>
  <r>
    <x v="2"/>
    <x v="3"/>
    <x v="5"/>
    <x v="2"/>
    <x v="4"/>
    <x v="1"/>
    <n v="0.54"/>
    <n v="0.53"/>
    <n v="0"/>
    <n v="0.52"/>
  </r>
  <r>
    <x v="2"/>
    <x v="3"/>
    <x v="5"/>
    <x v="1"/>
    <x v="2"/>
    <x v="1"/>
    <n v="50.48"/>
    <n v="48.98"/>
    <n v="0.43"/>
    <n v="46.34"/>
  </r>
  <r>
    <x v="2"/>
    <x v="3"/>
    <x v="5"/>
    <x v="1"/>
    <x v="1"/>
    <x v="1"/>
    <n v="34.74"/>
    <n v="33.71"/>
    <n v="0.41"/>
    <n v="31.89"/>
  </r>
  <r>
    <x v="2"/>
    <x v="3"/>
    <x v="5"/>
    <x v="0"/>
    <x v="4"/>
    <x v="0"/>
    <n v="69.34"/>
    <n v="67.28"/>
    <n v="23.27"/>
    <n v="66.52"/>
  </r>
  <r>
    <x v="2"/>
    <x v="0"/>
    <x v="6"/>
    <x v="3"/>
    <x v="1"/>
    <x v="0"/>
    <n v="0.03"/>
    <n v="0.03"/>
    <n v="0"/>
    <n v="0.03"/>
  </r>
  <r>
    <x v="2"/>
    <x v="0"/>
    <x v="6"/>
    <x v="0"/>
    <x v="0"/>
    <x v="0"/>
    <n v="4.3499999999999996"/>
    <n v="4.2699999999999996"/>
    <n v="3.62"/>
    <n v="4.07"/>
  </r>
  <r>
    <x v="2"/>
    <x v="0"/>
    <x v="6"/>
    <x v="0"/>
    <x v="4"/>
    <x v="0"/>
    <n v="4.68"/>
    <n v="4.59"/>
    <n v="1.9"/>
    <n v="4.46"/>
  </r>
  <r>
    <x v="2"/>
    <x v="0"/>
    <x v="6"/>
    <x v="1"/>
    <x v="0"/>
    <x v="0"/>
    <n v="3.28"/>
    <n v="3.22"/>
    <n v="1.75"/>
    <n v="3.12"/>
  </r>
  <r>
    <x v="2"/>
    <x v="0"/>
    <x v="6"/>
    <x v="1"/>
    <x v="4"/>
    <x v="0"/>
    <n v="32.22"/>
    <n v="31.62"/>
    <n v="8.5500000000000007"/>
    <n v="30.46"/>
  </r>
  <r>
    <x v="2"/>
    <x v="0"/>
    <x v="6"/>
    <x v="1"/>
    <x v="1"/>
    <x v="0"/>
    <n v="6.76"/>
    <n v="6.64"/>
    <n v="0.5"/>
    <n v="6.42"/>
  </r>
  <r>
    <x v="2"/>
    <x v="0"/>
    <x v="6"/>
    <x v="1"/>
    <x v="2"/>
    <x v="0"/>
    <n v="12.88"/>
    <n v="12.64"/>
    <n v="0.17"/>
    <n v="12.14"/>
  </r>
  <r>
    <x v="2"/>
    <x v="0"/>
    <x v="6"/>
    <x v="4"/>
    <x v="1"/>
    <x v="0"/>
    <n v="2.4"/>
    <n v="2.35"/>
    <n v="0.17"/>
    <n v="2.2400000000000002"/>
  </r>
  <r>
    <x v="2"/>
    <x v="0"/>
    <x v="6"/>
    <x v="2"/>
    <x v="4"/>
    <x v="0"/>
    <n v="7.85"/>
    <n v="7.71"/>
    <n v="1.07"/>
    <n v="7.69"/>
  </r>
  <r>
    <x v="2"/>
    <x v="0"/>
    <x v="6"/>
    <x v="4"/>
    <x v="0"/>
    <x v="0"/>
    <n v="0.14000000000000001"/>
    <n v="0.14000000000000001"/>
    <n v="0.05"/>
    <n v="0.13"/>
  </r>
  <r>
    <x v="2"/>
    <x v="0"/>
    <x v="6"/>
    <x v="4"/>
    <x v="4"/>
    <x v="0"/>
    <n v="20.170000000000002"/>
    <n v="19.79"/>
    <n v="2.38"/>
    <n v="18.899999999999999"/>
  </r>
  <r>
    <x v="2"/>
    <x v="0"/>
    <x v="6"/>
    <x v="3"/>
    <x v="4"/>
    <x v="0"/>
    <n v="0.21"/>
    <n v="0.21"/>
    <n v="0.08"/>
    <n v="0.2"/>
  </r>
  <r>
    <x v="2"/>
    <x v="0"/>
    <x v="6"/>
    <x v="1"/>
    <x v="2"/>
    <x v="1"/>
    <n v="8.42"/>
    <n v="8.26"/>
    <n v="0.05"/>
    <n v="8.01"/>
  </r>
  <r>
    <x v="2"/>
    <x v="0"/>
    <x v="6"/>
    <x v="2"/>
    <x v="0"/>
    <x v="0"/>
    <n v="4.99"/>
    <n v="4.9000000000000004"/>
    <n v="3.4"/>
    <n v="4.71"/>
  </r>
  <r>
    <x v="2"/>
    <x v="0"/>
    <x v="6"/>
    <x v="2"/>
    <x v="3"/>
    <x v="3"/>
    <n v="8.67"/>
    <n v="8.51"/>
    <n v="0.01"/>
    <n v="8.4600000000000009"/>
  </r>
  <r>
    <x v="2"/>
    <x v="0"/>
    <x v="6"/>
    <x v="4"/>
    <x v="4"/>
    <x v="2"/>
    <n v="7.0000000000000007E-2"/>
    <n v="7.0000000000000007E-2"/>
    <n v="0"/>
    <n v="0.06"/>
  </r>
  <r>
    <x v="2"/>
    <x v="0"/>
    <x v="6"/>
    <x v="4"/>
    <x v="1"/>
    <x v="2"/>
    <n v="0.2"/>
    <n v="0.2"/>
    <n v="0.01"/>
    <n v="0.19"/>
  </r>
  <r>
    <x v="2"/>
    <x v="0"/>
    <x v="6"/>
    <x v="4"/>
    <x v="2"/>
    <x v="2"/>
    <n v="3.2"/>
    <n v="3.14"/>
    <n v="0.02"/>
    <n v="3.01"/>
  </r>
  <r>
    <x v="2"/>
    <x v="0"/>
    <x v="6"/>
    <x v="1"/>
    <x v="4"/>
    <x v="2"/>
    <n v="0.27"/>
    <n v="0.26"/>
    <n v="0.01"/>
    <n v="0.25"/>
  </r>
  <r>
    <x v="2"/>
    <x v="0"/>
    <x v="6"/>
    <x v="1"/>
    <x v="1"/>
    <x v="2"/>
    <n v="0.39"/>
    <n v="0.39"/>
    <n v="0"/>
    <n v="0.37"/>
  </r>
  <r>
    <x v="2"/>
    <x v="0"/>
    <x v="6"/>
    <x v="1"/>
    <x v="2"/>
    <x v="2"/>
    <n v="0.02"/>
    <n v="0.02"/>
    <n v="0"/>
    <n v="0.01"/>
  </r>
  <r>
    <x v="2"/>
    <x v="0"/>
    <x v="6"/>
    <x v="1"/>
    <x v="3"/>
    <x v="2"/>
    <n v="0.23"/>
    <n v="0.23"/>
    <n v="0"/>
    <n v="0.22"/>
  </r>
  <r>
    <x v="2"/>
    <x v="0"/>
    <x v="6"/>
    <x v="2"/>
    <x v="2"/>
    <x v="2"/>
    <n v="0.2"/>
    <n v="0.19"/>
    <n v="0"/>
    <n v="0.19"/>
  </r>
  <r>
    <x v="2"/>
    <x v="0"/>
    <x v="6"/>
    <x v="2"/>
    <x v="4"/>
    <x v="1"/>
    <n v="0.4"/>
    <n v="0.39"/>
    <n v="0"/>
    <n v="0.39"/>
  </r>
  <r>
    <x v="2"/>
    <x v="0"/>
    <x v="6"/>
    <x v="2"/>
    <x v="2"/>
    <x v="3"/>
    <n v="0.05"/>
    <n v="0.05"/>
    <n v="0"/>
    <n v="0.05"/>
  </r>
  <r>
    <x v="2"/>
    <x v="0"/>
    <x v="6"/>
    <x v="3"/>
    <x v="0"/>
    <x v="0"/>
    <n v="0.14000000000000001"/>
    <n v="0.13"/>
    <n v="0.12"/>
    <n v="0.13"/>
  </r>
  <r>
    <x v="2"/>
    <x v="0"/>
    <x v="6"/>
    <x v="4"/>
    <x v="0"/>
    <x v="1"/>
    <n v="1.97"/>
    <n v="1.94"/>
    <n v="0.12"/>
    <n v="1.87"/>
  </r>
  <r>
    <x v="2"/>
    <x v="0"/>
    <x v="6"/>
    <x v="4"/>
    <x v="4"/>
    <x v="1"/>
    <n v="0.34"/>
    <n v="0.33"/>
    <n v="0.02"/>
    <n v="0.32"/>
  </r>
  <r>
    <x v="2"/>
    <x v="0"/>
    <x v="6"/>
    <x v="4"/>
    <x v="1"/>
    <x v="1"/>
    <n v="0.33"/>
    <n v="0.32"/>
    <n v="0.01"/>
    <n v="0.31"/>
  </r>
  <r>
    <x v="2"/>
    <x v="0"/>
    <x v="6"/>
    <x v="0"/>
    <x v="0"/>
    <x v="1"/>
    <n v="1.58"/>
    <n v="1.56"/>
    <n v="0.05"/>
    <n v="1.51"/>
  </r>
  <r>
    <x v="2"/>
    <x v="0"/>
    <x v="6"/>
    <x v="0"/>
    <x v="4"/>
    <x v="1"/>
    <n v="1.26"/>
    <n v="1.24"/>
    <n v="0.03"/>
    <n v="1.2"/>
  </r>
  <r>
    <x v="2"/>
    <x v="0"/>
    <x v="6"/>
    <x v="1"/>
    <x v="0"/>
    <x v="1"/>
    <n v="4.07"/>
    <n v="4"/>
    <n v="0.16"/>
    <n v="3.85"/>
  </r>
  <r>
    <x v="2"/>
    <x v="0"/>
    <x v="6"/>
    <x v="1"/>
    <x v="4"/>
    <x v="1"/>
    <n v="1.79"/>
    <n v="1.75"/>
    <n v="0.08"/>
    <n v="1.69"/>
  </r>
  <r>
    <x v="2"/>
    <x v="0"/>
    <x v="6"/>
    <x v="1"/>
    <x v="1"/>
    <x v="1"/>
    <n v="11.47"/>
    <n v="11.25"/>
    <n v="0.22"/>
    <n v="10.85"/>
  </r>
  <r>
    <x v="2"/>
    <x v="0"/>
    <x v="6"/>
    <x v="1"/>
    <x v="3"/>
    <x v="1"/>
    <n v="0.53"/>
    <n v="0.52"/>
    <n v="0"/>
    <n v="0.51"/>
  </r>
  <r>
    <x v="2"/>
    <x v="0"/>
    <x v="6"/>
    <x v="2"/>
    <x v="3"/>
    <x v="1"/>
    <n v="13.48"/>
    <n v="13.23"/>
    <n v="0.03"/>
    <n v="12.84"/>
  </r>
  <r>
    <x v="2"/>
    <x v="0"/>
    <x v="6"/>
    <x v="2"/>
    <x v="3"/>
    <x v="2"/>
    <n v="4.0599999999999996"/>
    <n v="3.99"/>
    <n v="0"/>
    <n v="3.89"/>
  </r>
  <r>
    <x v="2"/>
    <x v="4"/>
    <x v="7"/>
    <x v="1"/>
    <x v="4"/>
    <x v="1"/>
    <n v="14.36"/>
    <n v="14.74"/>
    <n v="0.56000000000000005"/>
    <n v="11.95"/>
  </r>
  <r>
    <x v="2"/>
    <x v="4"/>
    <x v="7"/>
    <x v="0"/>
    <x v="4"/>
    <x v="0"/>
    <n v="159.65"/>
    <n v="163.82"/>
    <n v="62.72"/>
    <n v="140.80000000000001"/>
  </r>
  <r>
    <x v="2"/>
    <x v="4"/>
    <x v="7"/>
    <x v="0"/>
    <x v="4"/>
    <x v="1"/>
    <n v="208.04"/>
    <n v="213.47"/>
    <n v="2.75"/>
    <n v="171.93"/>
  </r>
  <r>
    <x v="2"/>
    <x v="4"/>
    <x v="7"/>
    <x v="3"/>
    <x v="0"/>
    <x v="0"/>
    <n v="40.090000000000003"/>
    <n v="41.14"/>
    <n v="31.81"/>
    <n v="40.090000000000003"/>
  </r>
  <r>
    <x v="2"/>
    <x v="4"/>
    <x v="7"/>
    <x v="3"/>
    <x v="4"/>
    <x v="0"/>
    <n v="134.36000000000001"/>
    <n v="137.86000000000001"/>
    <n v="47.92"/>
    <n v="125.59"/>
  </r>
  <r>
    <x v="2"/>
    <x v="4"/>
    <x v="7"/>
    <x v="3"/>
    <x v="1"/>
    <x v="0"/>
    <n v="8.92"/>
    <n v="9.15"/>
    <n v="1.1000000000000001"/>
    <n v="8.92"/>
  </r>
  <r>
    <x v="2"/>
    <x v="4"/>
    <x v="7"/>
    <x v="4"/>
    <x v="0"/>
    <x v="0"/>
    <n v="1.71"/>
    <n v="1.76"/>
    <n v="0.67"/>
    <n v="1.52"/>
  </r>
  <r>
    <x v="2"/>
    <x v="4"/>
    <x v="7"/>
    <x v="4"/>
    <x v="4"/>
    <x v="0"/>
    <n v="504.28"/>
    <n v="517.44000000000005"/>
    <n v="118.86"/>
    <n v="459.11"/>
  </r>
  <r>
    <x v="2"/>
    <x v="4"/>
    <x v="7"/>
    <x v="2"/>
    <x v="4"/>
    <x v="1"/>
    <n v="0.6"/>
    <n v="0.61"/>
    <n v="0"/>
    <n v="0.6"/>
  </r>
  <r>
    <x v="2"/>
    <x v="4"/>
    <x v="7"/>
    <x v="0"/>
    <x v="0"/>
    <x v="0"/>
    <n v="21.85"/>
    <n v="22.42"/>
    <n v="26.54"/>
    <n v="19.03"/>
  </r>
  <r>
    <x v="2"/>
    <x v="4"/>
    <x v="7"/>
    <x v="1"/>
    <x v="3"/>
    <x v="1"/>
    <n v="0.4"/>
    <n v="0.41"/>
    <n v="0.01"/>
    <n v="0.34"/>
  </r>
  <r>
    <x v="2"/>
    <x v="4"/>
    <x v="7"/>
    <x v="0"/>
    <x v="2"/>
    <x v="0"/>
    <n v="0.88"/>
    <n v="0.9"/>
    <n v="0.02"/>
    <n v="0.7"/>
  </r>
  <r>
    <x v="2"/>
    <x v="4"/>
    <x v="7"/>
    <x v="1"/>
    <x v="0"/>
    <x v="0"/>
    <n v="57.89"/>
    <n v="59.4"/>
    <n v="44.13"/>
    <n v="53.43"/>
  </r>
  <r>
    <x v="2"/>
    <x v="4"/>
    <x v="7"/>
    <x v="1"/>
    <x v="4"/>
    <x v="0"/>
    <n v="2303.9899999999998"/>
    <n v="2364.1"/>
    <n v="746.9"/>
    <n v="2084.41"/>
  </r>
  <r>
    <x v="2"/>
    <x v="4"/>
    <x v="7"/>
    <x v="1"/>
    <x v="1"/>
    <x v="0"/>
    <n v="1108.21"/>
    <n v="1137.1199999999999"/>
    <n v="105.94"/>
    <n v="973.46"/>
  </r>
  <r>
    <x v="2"/>
    <x v="4"/>
    <x v="7"/>
    <x v="1"/>
    <x v="2"/>
    <x v="0"/>
    <n v="59.86"/>
    <n v="61.43"/>
    <n v="1.37"/>
    <n v="51.32"/>
  </r>
  <r>
    <x v="2"/>
    <x v="4"/>
    <x v="7"/>
    <x v="2"/>
    <x v="0"/>
    <x v="0"/>
    <n v="103.18"/>
    <n v="105.87"/>
    <n v="109.51"/>
    <n v="94.06"/>
  </r>
  <r>
    <x v="2"/>
    <x v="4"/>
    <x v="7"/>
    <x v="2"/>
    <x v="4"/>
    <x v="0"/>
    <n v="118.58"/>
    <n v="121.67"/>
    <n v="61.99"/>
    <n v="108.23"/>
  </r>
  <r>
    <x v="2"/>
    <x v="4"/>
    <x v="7"/>
    <x v="4"/>
    <x v="1"/>
    <x v="0"/>
    <n v="121.61"/>
    <n v="124.78"/>
    <n v="11.68"/>
    <n v="108.52"/>
  </r>
  <r>
    <x v="2"/>
    <x v="4"/>
    <x v="7"/>
    <x v="2"/>
    <x v="3"/>
    <x v="3"/>
    <n v="275.14"/>
    <n v="282.32"/>
    <n v="0.16"/>
    <n v="275.14"/>
  </r>
  <r>
    <x v="2"/>
    <x v="4"/>
    <x v="7"/>
    <x v="4"/>
    <x v="1"/>
    <x v="2"/>
    <n v="2.3199999999999998"/>
    <n v="2.38"/>
    <n v="7.0000000000000007E-2"/>
    <n v="1.93"/>
  </r>
  <r>
    <x v="2"/>
    <x v="4"/>
    <x v="7"/>
    <x v="4"/>
    <x v="2"/>
    <x v="2"/>
    <n v="9.06"/>
    <n v="9.2899999999999991"/>
    <n v="0.15"/>
    <n v="7.55"/>
  </r>
  <r>
    <x v="2"/>
    <x v="4"/>
    <x v="7"/>
    <x v="1"/>
    <x v="4"/>
    <x v="2"/>
    <n v="23.1"/>
    <n v="23.7"/>
    <n v="1.26"/>
    <n v="19.25"/>
  </r>
  <r>
    <x v="2"/>
    <x v="4"/>
    <x v="7"/>
    <x v="1"/>
    <x v="1"/>
    <x v="2"/>
    <n v="1.75"/>
    <n v="1.8"/>
    <n v="0.02"/>
    <n v="1.46"/>
  </r>
  <r>
    <x v="2"/>
    <x v="4"/>
    <x v="7"/>
    <x v="1"/>
    <x v="2"/>
    <x v="2"/>
    <n v="1.73"/>
    <n v="1.78"/>
    <n v="0.03"/>
    <n v="1.73"/>
  </r>
  <r>
    <x v="2"/>
    <x v="4"/>
    <x v="7"/>
    <x v="1"/>
    <x v="3"/>
    <x v="2"/>
    <n v="17.66"/>
    <n v="18.12"/>
    <n v="0.15"/>
    <n v="17.66"/>
  </r>
  <r>
    <x v="2"/>
    <x v="4"/>
    <x v="7"/>
    <x v="2"/>
    <x v="3"/>
    <x v="1"/>
    <n v="42.9"/>
    <n v="44.02"/>
    <n v="0.06"/>
    <n v="37.369999999999997"/>
  </r>
  <r>
    <x v="2"/>
    <x v="4"/>
    <x v="7"/>
    <x v="2"/>
    <x v="2"/>
    <x v="3"/>
    <n v="67.27"/>
    <n v="69.02"/>
    <n v="0.03"/>
    <n v="67.27"/>
  </r>
  <r>
    <x v="2"/>
    <x v="4"/>
    <x v="7"/>
    <x v="4"/>
    <x v="4"/>
    <x v="2"/>
    <n v="37.06"/>
    <n v="38.020000000000003"/>
    <n v="2.02"/>
    <n v="30.9"/>
  </r>
  <r>
    <x v="2"/>
    <x v="4"/>
    <x v="7"/>
    <x v="4"/>
    <x v="0"/>
    <x v="1"/>
    <n v="39.67"/>
    <n v="40.700000000000003"/>
    <n v="1.85"/>
    <n v="32.83"/>
  </r>
  <r>
    <x v="2"/>
    <x v="4"/>
    <x v="7"/>
    <x v="4"/>
    <x v="4"/>
    <x v="1"/>
    <n v="6.75"/>
    <n v="6.92"/>
    <n v="0.28999999999999998"/>
    <n v="5.58"/>
  </r>
  <r>
    <x v="2"/>
    <x v="4"/>
    <x v="7"/>
    <x v="4"/>
    <x v="1"/>
    <x v="1"/>
    <n v="6.43"/>
    <n v="6.6"/>
    <n v="0.11"/>
    <n v="5.33"/>
  </r>
  <r>
    <x v="2"/>
    <x v="4"/>
    <x v="7"/>
    <x v="0"/>
    <x v="0"/>
    <x v="1"/>
    <n v="271.20999999999998"/>
    <n v="278.29000000000002"/>
    <n v="6.8"/>
    <n v="224.14"/>
  </r>
  <r>
    <x v="2"/>
    <x v="4"/>
    <x v="7"/>
    <x v="1"/>
    <x v="0"/>
    <x v="1"/>
    <n v="67.03"/>
    <n v="68.78"/>
    <n v="3.08"/>
    <n v="55.7"/>
  </r>
  <r>
    <x v="2"/>
    <x v="4"/>
    <x v="7"/>
    <x v="1"/>
    <x v="1"/>
    <x v="1"/>
    <n v="534.69000000000005"/>
    <n v="548.64"/>
    <n v="2.94"/>
    <n v="441.98"/>
  </r>
  <r>
    <x v="2"/>
    <x v="4"/>
    <x v="7"/>
    <x v="1"/>
    <x v="2"/>
    <x v="1"/>
    <n v="423.08"/>
    <n v="434.12"/>
    <n v="1.1599999999999999"/>
    <n v="349.74"/>
  </r>
  <r>
    <x v="2"/>
    <x v="4"/>
    <x v="7"/>
    <x v="2"/>
    <x v="3"/>
    <x v="2"/>
    <n v="139.41"/>
    <n v="143.05000000000001"/>
    <n v="0.33"/>
    <n v="139.41"/>
  </r>
  <r>
    <x v="2"/>
    <x v="0"/>
    <x v="8"/>
    <x v="0"/>
    <x v="0"/>
    <x v="0"/>
    <n v="7.13"/>
    <n v="6.85"/>
    <n v="4.76"/>
    <n v="6.45"/>
  </r>
  <r>
    <x v="2"/>
    <x v="0"/>
    <x v="8"/>
    <x v="2"/>
    <x v="2"/>
    <x v="3"/>
    <n v="0.03"/>
    <n v="0.03"/>
    <n v="0"/>
    <n v="0.03"/>
  </r>
  <r>
    <x v="2"/>
    <x v="0"/>
    <x v="8"/>
    <x v="4"/>
    <x v="2"/>
    <x v="2"/>
    <n v="0.49"/>
    <n v="0.47"/>
    <n v="0"/>
    <n v="0.45"/>
  </r>
  <r>
    <x v="2"/>
    <x v="0"/>
    <x v="8"/>
    <x v="0"/>
    <x v="4"/>
    <x v="1"/>
    <n v="2.12"/>
    <n v="2.04"/>
    <n v="0.05"/>
    <n v="2.02"/>
  </r>
  <r>
    <x v="2"/>
    <x v="0"/>
    <x v="8"/>
    <x v="0"/>
    <x v="0"/>
    <x v="1"/>
    <n v="3.25"/>
    <n v="3.13"/>
    <n v="0.11"/>
    <n v="3.11"/>
  </r>
  <r>
    <x v="2"/>
    <x v="0"/>
    <x v="8"/>
    <x v="4"/>
    <x v="1"/>
    <x v="1"/>
    <n v="0.46"/>
    <n v="0.44"/>
    <n v="0.01"/>
    <n v="0.43"/>
  </r>
  <r>
    <x v="2"/>
    <x v="0"/>
    <x v="8"/>
    <x v="4"/>
    <x v="4"/>
    <x v="1"/>
    <n v="0.63"/>
    <n v="0.61"/>
    <n v="0.04"/>
    <n v="0.6"/>
  </r>
  <r>
    <x v="2"/>
    <x v="0"/>
    <x v="8"/>
    <x v="4"/>
    <x v="4"/>
    <x v="0"/>
    <n v="22.28"/>
    <n v="21.41"/>
    <n v="3.2"/>
    <n v="20.51"/>
  </r>
  <r>
    <x v="2"/>
    <x v="0"/>
    <x v="8"/>
    <x v="2"/>
    <x v="3"/>
    <x v="3"/>
    <n v="3.79"/>
    <n v="3.64"/>
    <n v="0"/>
    <n v="3.7"/>
  </r>
  <r>
    <x v="2"/>
    <x v="0"/>
    <x v="8"/>
    <x v="1"/>
    <x v="2"/>
    <x v="1"/>
    <n v="13.3"/>
    <n v="12.79"/>
    <n v="0.06"/>
    <n v="12.68"/>
  </r>
  <r>
    <x v="2"/>
    <x v="0"/>
    <x v="8"/>
    <x v="2"/>
    <x v="3"/>
    <x v="2"/>
    <n v="0.78"/>
    <n v="0.75"/>
    <n v="0"/>
    <n v="0.74"/>
  </r>
  <r>
    <x v="2"/>
    <x v="0"/>
    <x v="8"/>
    <x v="2"/>
    <x v="2"/>
    <x v="2"/>
    <n v="0.39"/>
    <n v="0.37"/>
    <n v="0"/>
    <n v="0.39"/>
  </r>
  <r>
    <x v="2"/>
    <x v="0"/>
    <x v="8"/>
    <x v="1"/>
    <x v="3"/>
    <x v="2"/>
    <n v="1.38"/>
    <n v="1.32"/>
    <n v="0"/>
    <n v="1.26"/>
  </r>
  <r>
    <x v="2"/>
    <x v="0"/>
    <x v="8"/>
    <x v="1"/>
    <x v="2"/>
    <x v="2"/>
    <n v="0.3"/>
    <n v="0.28999999999999998"/>
    <n v="0"/>
    <n v="0.28000000000000003"/>
  </r>
  <r>
    <x v="2"/>
    <x v="0"/>
    <x v="8"/>
    <x v="1"/>
    <x v="1"/>
    <x v="2"/>
    <n v="0.02"/>
    <n v="0.02"/>
    <n v="0"/>
    <n v="0.02"/>
  </r>
  <r>
    <x v="2"/>
    <x v="0"/>
    <x v="8"/>
    <x v="1"/>
    <x v="4"/>
    <x v="2"/>
    <n v="0.72"/>
    <n v="0.69"/>
    <n v="0.03"/>
    <n v="0.66"/>
  </r>
  <r>
    <x v="2"/>
    <x v="0"/>
    <x v="8"/>
    <x v="4"/>
    <x v="0"/>
    <x v="1"/>
    <n v="2.31"/>
    <n v="2.2200000000000002"/>
    <n v="0.14000000000000001"/>
    <n v="2.2000000000000002"/>
  </r>
  <r>
    <x v="2"/>
    <x v="0"/>
    <x v="8"/>
    <x v="4"/>
    <x v="1"/>
    <x v="0"/>
    <n v="2.73"/>
    <n v="2.62"/>
    <n v="0.25"/>
    <n v="2.5299999999999998"/>
  </r>
  <r>
    <x v="2"/>
    <x v="0"/>
    <x v="8"/>
    <x v="2"/>
    <x v="4"/>
    <x v="0"/>
    <n v="2.2799999999999998"/>
    <n v="2.19"/>
    <n v="0.73"/>
    <n v="2.1800000000000002"/>
  </r>
  <r>
    <x v="2"/>
    <x v="0"/>
    <x v="8"/>
    <x v="2"/>
    <x v="0"/>
    <x v="0"/>
    <n v="3.47"/>
    <n v="3.33"/>
    <n v="2.27"/>
    <n v="3.29"/>
  </r>
  <r>
    <x v="2"/>
    <x v="0"/>
    <x v="8"/>
    <x v="1"/>
    <x v="2"/>
    <x v="0"/>
    <n v="6.41"/>
    <n v="6.16"/>
    <n v="0.08"/>
    <n v="6.03"/>
  </r>
  <r>
    <x v="2"/>
    <x v="0"/>
    <x v="8"/>
    <x v="1"/>
    <x v="1"/>
    <x v="0"/>
    <n v="8.64"/>
    <n v="8.31"/>
    <n v="0.44"/>
    <n v="8.1199999999999992"/>
  </r>
  <r>
    <x v="2"/>
    <x v="0"/>
    <x v="8"/>
    <x v="1"/>
    <x v="4"/>
    <x v="0"/>
    <n v="30.09"/>
    <n v="28.92"/>
    <n v="7.21"/>
    <n v="28.12"/>
  </r>
  <r>
    <x v="2"/>
    <x v="0"/>
    <x v="8"/>
    <x v="1"/>
    <x v="4"/>
    <x v="1"/>
    <n v="0.86"/>
    <n v="0.82"/>
    <n v="0.04"/>
    <n v="0.81"/>
  </r>
  <r>
    <x v="2"/>
    <x v="0"/>
    <x v="8"/>
    <x v="0"/>
    <x v="4"/>
    <x v="0"/>
    <n v="8.98"/>
    <n v="8.6300000000000008"/>
    <n v="3.14"/>
    <n v="8.2799999999999994"/>
  </r>
  <r>
    <x v="2"/>
    <x v="0"/>
    <x v="8"/>
    <x v="1"/>
    <x v="0"/>
    <x v="1"/>
    <n v="2.5"/>
    <n v="2.4"/>
    <n v="0.1"/>
    <n v="2.36"/>
  </r>
  <r>
    <x v="2"/>
    <x v="0"/>
    <x v="8"/>
    <x v="4"/>
    <x v="0"/>
    <x v="0"/>
    <n v="0.17"/>
    <n v="0.17"/>
    <n v="0.05"/>
    <n v="0.16"/>
  </r>
  <r>
    <x v="2"/>
    <x v="0"/>
    <x v="8"/>
    <x v="3"/>
    <x v="1"/>
    <x v="0"/>
    <n v="0.03"/>
    <n v="0.03"/>
    <n v="0"/>
    <n v="0.03"/>
  </r>
  <r>
    <x v="2"/>
    <x v="0"/>
    <x v="8"/>
    <x v="3"/>
    <x v="4"/>
    <x v="0"/>
    <n v="0.37"/>
    <n v="0.35"/>
    <n v="0.08"/>
    <n v="0.34"/>
  </r>
  <r>
    <x v="2"/>
    <x v="0"/>
    <x v="8"/>
    <x v="3"/>
    <x v="0"/>
    <x v="0"/>
    <n v="0.03"/>
    <n v="0.03"/>
    <n v="0.01"/>
    <n v="0.03"/>
  </r>
  <r>
    <x v="2"/>
    <x v="0"/>
    <x v="8"/>
    <x v="2"/>
    <x v="3"/>
    <x v="1"/>
    <n v="21.08"/>
    <n v="20.260000000000002"/>
    <n v="0.04"/>
    <n v="20.100000000000001"/>
  </r>
  <r>
    <x v="2"/>
    <x v="0"/>
    <x v="8"/>
    <x v="1"/>
    <x v="3"/>
    <x v="1"/>
    <n v="0.72"/>
    <n v="0.69"/>
    <n v="0"/>
    <n v="0.68"/>
  </r>
  <r>
    <x v="2"/>
    <x v="0"/>
    <x v="8"/>
    <x v="1"/>
    <x v="0"/>
    <x v="0"/>
    <n v="2.46"/>
    <n v="2.37"/>
    <n v="1.17"/>
    <n v="2.3199999999999998"/>
  </r>
  <r>
    <x v="2"/>
    <x v="0"/>
    <x v="8"/>
    <x v="4"/>
    <x v="4"/>
    <x v="2"/>
    <n v="0.54"/>
    <n v="0.52"/>
    <n v="0.03"/>
    <n v="0.49"/>
  </r>
  <r>
    <x v="2"/>
    <x v="0"/>
    <x v="8"/>
    <x v="4"/>
    <x v="1"/>
    <x v="2"/>
    <n v="0.65"/>
    <n v="0.63"/>
    <n v="0.02"/>
    <n v="0.6"/>
  </r>
  <r>
    <x v="2"/>
    <x v="0"/>
    <x v="8"/>
    <x v="1"/>
    <x v="1"/>
    <x v="1"/>
    <n v="9.56"/>
    <n v="9.19"/>
    <n v="0.14000000000000001"/>
    <n v="9.08"/>
  </r>
  <r>
    <x v="2"/>
    <x v="5"/>
    <x v="9"/>
    <x v="4"/>
    <x v="4"/>
    <x v="2"/>
    <n v="1.67"/>
    <n v="1.67"/>
    <n v="0.09"/>
    <n v="1.49"/>
  </r>
  <r>
    <x v="2"/>
    <x v="5"/>
    <x v="9"/>
    <x v="4"/>
    <x v="1"/>
    <x v="1"/>
    <n v="7.0000000000000007E-2"/>
    <n v="7.0000000000000007E-2"/>
    <n v="0"/>
    <n v="0.06"/>
  </r>
  <r>
    <x v="2"/>
    <x v="5"/>
    <x v="9"/>
    <x v="4"/>
    <x v="4"/>
    <x v="1"/>
    <n v="0.12"/>
    <n v="0.12"/>
    <n v="0.01"/>
    <n v="0.11"/>
  </r>
  <r>
    <x v="2"/>
    <x v="5"/>
    <x v="9"/>
    <x v="4"/>
    <x v="0"/>
    <x v="1"/>
    <n v="0.59"/>
    <n v="0.59"/>
    <n v="0.03"/>
    <n v="0.56000000000000005"/>
  </r>
  <r>
    <x v="2"/>
    <x v="5"/>
    <x v="9"/>
    <x v="2"/>
    <x v="3"/>
    <x v="2"/>
    <n v="4.84"/>
    <n v="4.84"/>
    <n v="0.01"/>
    <n v="4.3"/>
  </r>
  <r>
    <x v="2"/>
    <x v="5"/>
    <x v="9"/>
    <x v="1"/>
    <x v="4"/>
    <x v="2"/>
    <n v="1.71"/>
    <n v="1.71"/>
    <n v="0.06"/>
    <n v="1.52"/>
  </r>
  <r>
    <x v="2"/>
    <x v="5"/>
    <x v="9"/>
    <x v="4"/>
    <x v="1"/>
    <x v="2"/>
    <n v="1.1499999999999999"/>
    <n v="1.1499999999999999"/>
    <n v="0.03"/>
    <n v="1.03"/>
  </r>
  <r>
    <x v="2"/>
    <x v="5"/>
    <x v="9"/>
    <x v="1"/>
    <x v="0"/>
    <x v="1"/>
    <n v="4.8600000000000003"/>
    <n v="4.8600000000000003"/>
    <n v="0.22"/>
    <n v="4.84"/>
  </r>
  <r>
    <x v="2"/>
    <x v="5"/>
    <x v="9"/>
    <x v="1"/>
    <x v="4"/>
    <x v="0"/>
    <n v="64.45"/>
    <n v="64.459999999999994"/>
    <n v="16.600000000000001"/>
    <n v="59.77"/>
  </r>
  <r>
    <x v="2"/>
    <x v="5"/>
    <x v="9"/>
    <x v="1"/>
    <x v="1"/>
    <x v="0"/>
    <n v="11.29"/>
    <n v="11.29"/>
    <n v="0.95"/>
    <n v="10.41"/>
  </r>
  <r>
    <x v="2"/>
    <x v="5"/>
    <x v="9"/>
    <x v="1"/>
    <x v="2"/>
    <x v="0"/>
    <n v="0.21"/>
    <n v="0.21"/>
    <n v="0"/>
    <n v="0.19"/>
  </r>
  <r>
    <x v="2"/>
    <x v="5"/>
    <x v="9"/>
    <x v="2"/>
    <x v="0"/>
    <x v="0"/>
    <n v="3.54"/>
    <n v="3.54"/>
    <n v="2.59"/>
    <n v="3.35"/>
  </r>
  <r>
    <x v="2"/>
    <x v="5"/>
    <x v="9"/>
    <x v="4"/>
    <x v="2"/>
    <x v="2"/>
    <n v="1.42"/>
    <n v="1.42"/>
    <n v="0.01"/>
    <n v="1.24"/>
  </r>
  <r>
    <x v="2"/>
    <x v="5"/>
    <x v="9"/>
    <x v="3"/>
    <x v="4"/>
    <x v="0"/>
    <n v="2.2999999999999998"/>
    <n v="2.2999999999999998"/>
    <n v="0.62"/>
    <n v="2.17"/>
  </r>
  <r>
    <x v="2"/>
    <x v="5"/>
    <x v="9"/>
    <x v="1"/>
    <x v="0"/>
    <x v="0"/>
    <n v="5.13"/>
    <n v="5.13"/>
    <n v="3.27"/>
    <n v="4.84"/>
  </r>
  <r>
    <x v="2"/>
    <x v="5"/>
    <x v="9"/>
    <x v="0"/>
    <x v="4"/>
    <x v="0"/>
    <n v="9.19"/>
    <n v="9.19"/>
    <n v="2.7"/>
    <n v="8.61"/>
  </r>
  <r>
    <x v="2"/>
    <x v="5"/>
    <x v="9"/>
    <x v="0"/>
    <x v="0"/>
    <x v="0"/>
    <n v="3.03"/>
    <n v="3.03"/>
    <n v="2.57"/>
    <n v="2.77"/>
  </r>
  <r>
    <x v="2"/>
    <x v="5"/>
    <x v="9"/>
    <x v="4"/>
    <x v="1"/>
    <x v="0"/>
    <n v="2.2799999999999998"/>
    <n v="2.2799999999999998"/>
    <n v="0.14000000000000001"/>
    <n v="2.15"/>
  </r>
  <r>
    <x v="2"/>
    <x v="5"/>
    <x v="9"/>
    <x v="4"/>
    <x v="4"/>
    <x v="0"/>
    <n v="18.13"/>
    <n v="18.13"/>
    <n v="2.69"/>
    <n v="16.98"/>
  </r>
  <r>
    <x v="2"/>
    <x v="5"/>
    <x v="9"/>
    <x v="0"/>
    <x v="0"/>
    <x v="1"/>
    <n v="1.25"/>
    <n v="1.25"/>
    <n v="0.05"/>
    <n v="1.1499999999999999"/>
  </r>
  <r>
    <x v="2"/>
    <x v="5"/>
    <x v="9"/>
    <x v="3"/>
    <x v="1"/>
    <x v="0"/>
    <n v="0.02"/>
    <n v="0.02"/>
    <n v="0"/>
    <n v="0.02"/>
  </r>
  <r>
    <x v="2"/>
    <x v="5"/>
    <x v="9"/>
    <x v="0"/>
    <x v="4"/>
    <x v="1"/>
    <n v="0.95"/>
    <n v="0.95"/>
    <n v="0.02"/>
    <n v="0.88"/>
  </r>
  <r>
    <x v="2"/>
    <x v="5"/>
    <x v="9"/>
    <x v="3"/>
    <x v="0"/>
    <x v="0"/>
    <n v="0.38"/>
    <n v="0.38"/>
    <n v="0.32"/>
    <n v="0.37"/>
  </r>
  <r>
    <x v="2"/>
    <x v="5"/>
    <x v="9"/>
    <x v="2"/>
    <x v="3"/>
    <x v="1"/>
    <n v="4.42"/>
    <n v="4.42"/>
    <n v="0.01"/>
    <n v="4.09"/>
  </r>
  <r>
    <x v="2"/>
    <x v="5"/>
    <x v="9"/>
    <x v="1"/>
    <x v="2"/>
    <x v="1"/>
    <n v="4.87"/>
    <n v="4.88"/>
    <n v="0.04"/>
    <n v="4.6399999999999997"/>
  </r>
  <r>
    <x v="2"/>
    <x v="5"/>
    <x v="9"/>
    <x v="1"/>
    <x v="1"/>
    <x v="1"/>
    <n v="2.08"/>
    <n v="2.08"/>
    <n v="0.04"/>
    <n v="1.97"/>
  </r>
  <r>
    <x v="2"/>
    <x v="5"/>
    <x v="9"/>
    <x v="1"/>
    <x v="4"/>
    <x v="1"/>
    <n v="1.44"/>
    <n v="1.44"/>
    <n v="0.05"/>
    <n v="1.44"/>
  </r>
  <r>
    <x v="2"/>
    <x v="5"/>
    <x v="9"/>
    <x v="2"/>
    <x v="4"/>
    <x v="0"/>
    <n v="2.81"/>
    <n v="2.81"/>
    <n v="0.67"/>
    <n v="2.66"/>
  </r>
  <r>
    <x v="2"/>
    <x v="5"/>
    <x v="9"/>
    <x v="4"/>
    <x v="0"/>
    <x v="0"/>
    <n v="0.11"/>
    <n v="0.11"/>
    <n v="0.02"/>
    <n v="0.1"/>
  </r>
  <r>
    <x v="2"/>
    <x v="2"/>
    <x v="10"/>
    <x v="1"/>
    <x v="2"/>
    <x v="1"/>
    <n v="5.64"/>
    <n v="5.81"/>
    <n v="0.03"/>
    <n v="5.08"/>
  </r>
  <r>
    <x v="2"/>
    <x v="2"/>
    <x v="10"/>
    <x v="3"/>
    <x v="1"/>
    <x v="0"/>
    <n v="0.04"/>
    <n v="0.04"/>
    <n v="0"/>
    <n v="0.04"/>
  </r>
  <r>
    <x v="2"/>
    <x v="2"/>
    <x v="10"/>
    <x v="2"/>
    <x v="3"/>
    <x v="2"/>
    <n v="4.07"/>
    <n v="4.2"/>
    <n v="0.01"/>
    <n v="3.99"/>
  </r>
  <r>
    <x v="2"/>
    <x v="2"/>
    <x v="10"/>
    <x v="2"/>
    <x v="3"/>
    <x v="3"/>
    <n v="33.43"/>
    <n v="34.46"/>
    <n v="0.03"/>
    <n v="33.43"/>
  </r>
  <r>
    <x v="2"/>
    <x v="2"/>
    <x v="10"/>
    <x v="4"/>
    <x v="0"/>
    <x v="1"/>
    <n v="0.6"/>
    <n v="0.62"/>
    <n v="0.04"/>
    <n v="0.55000000000000004"/>
  </r>
  <r>
    <x v="2"/>
    <x v="2"/>
    <x v="10"/>
    <x v="4"/>
    <x v="4"/>
    <x v="1"/>
    <n v="0.19"/>
    <n v="0.2"/>
    <n v="0.02"/>
    <n v="0.17"/>
  </r>
  <r>
    <x v="2"/>
    <x v="2"/>
    <x v="10"/>
    <x v="4"/>
    <x v="1"/>
    <x v="1"/>
    <n v="0.12"/>
    <n v="0.12"/>
    <n v="0.01"/>
    <n v="0.11"/>
  </r>
  <r>
    <x v="2"/>
    <x v="2"/>
    <x v="10"/>
    <x v="0"/>
    <x v="0"/>
    <x v="1"/>
    <n v="1.18"/>
    <n v="1.21"/>
    <n v="0.06"/>
    <n v="1.06"/>
  </r>
  <r>
    <x v="2"/>
    <x v="2"/>
    <x v="10"/>
    <x v="0"/>
    <x v="4"/>
    <x v="1"/>
    <n v="0.82"/>
    <n v="0.85"/>
    <n v="0.03"/>
    <n v="0.74"/>
  </r>
  <r>
    <x v="2"/>
    <x v="2"/>
    <x v="10"/>
    <x v="1"/>
    <x v="0"/>
    <x v="1"/>
    <n v="4.3600000000000003"/>
    <n v="4.49"/>
    <n v="0.18"/>
    <n v="4.33"/>
  </r>
  <r>
    <x v="2"/>
    <x v="2"/>
    <x v="10"/>
    <x v="1"/>
    <x v="4"/>
    <x v="1"/>
    <n v="1.01"/>
    <n v="1.04"/>
    <n v="0.04"/>
    <n v="1.01"/>
  </r>
  <r>
    <x v="2"/>
    <x v="2"/>
    <x v="10"/>
    <x v="1"/>
    <x v="1"/>
    <x v="1"/>
    <n v="1.85"/>
    <n v="1.91"/>
    <n v="0.02"/>
    <n v="1.72"/>
  </r>
  <r>
    <x v="2"/>
    <x v="2"/>
    <x v="10"/>
    <x v="2"/>
    <x v="2"/>
    <x v="1"/>
    <n v="2.2000000000000002"/>
    <n v="2.27"/>
    <n v="0.01"/>
    <n v="2.14"/>
  </r>
  <r>
    <x v="2"/>
    <x v="2"/>
    <x v="10"/>
    <x v="4"/>
    <x v="4"/>
    <x v="2"/>
    <n v="0.04"/>
    <n v="0.04"/>
    <n v="0"/>
    <n v="0.03"/>
  </r>
  <r>
    <x v="2"/>
    <x v="2"/>
    <x v="10"/>
    <x v="3"/>
    <x v="4"/>
    <x v="0"/>
    <n v="2.25"/>
    <n v="2.3199999999999998"/>
    <n v="0.6"/>
    <n v="2.12"/>
  </r>
  <r>
    <x v="2"/>
    <x v="2"/>
    <x v="10"/>
    <x v="1"/>
    <x v="4"/>
    <x v="2"/>
    <n v="1.41"/>
    <n v="1.45"/>
    <n v="0.03"/>
    <n v="1.22"/>
  </r>
  <r>
    <x v="2"/>
    <x v="2"/>
    <x v="10"/>
    <x v="4"/>
    <x v="0"/>
    <x v="0"/>
    <n v="0.08"/>
    <n v="0.09"/>
    <n v="0.02"/>
    <n v="0.08"/>
  </r>
  <r>
    <x v="2"/>
    <x v="2"/>
    <x v="10"/>
    <x v="4"/>
    <x v="4"/>
    <x v="0"/>
    <n v="46.56"/>
    <n v="48"/>
    <n v="6.57"/>
    <n v="43.37"/>
  </r>
  <r>
    <x v="2"/>
    <x v="2"/>
    <x v="10"/>
    <x v="4"/>
    <x v="1"/>
    <x v="0"/>
    <n v="6.71"/>
    <n v="6.92"/>
    <n v="0.42"/>
    <n v="6.28"/>
  </r>
  <r>
    <x v="2"/>
    <x v="2"/>
    <x v="10"/>
    <x v="2"/>
    <x v="3"/>
    <x v="1"/>
    <n v="5.25"/>
    <n v="5.41"/>
    <n v="0.01"/>
    <n v="4.76"/>
  </r>
  <r>
    <x v="2"/>
    <x v="2"/>
    <x v="10"/>
    <x v="0"/>
    <x v="0"/>
    <x v="0"/>
    <n v="3.39"/>
    <n v="3.5"/>
    <n v="2.41"/>
    <n v="3.11"/>
  </r>
  <r>
    <x v="2"/>
    <x v="2"/>
    <x v="10"/>
    <x v="0"/>
    <x v="4"/>
    <x v="0"/>
    <n v="8.4600000000000009"/>
    <n v="8.7200000000000006"/>
    <n v="2.35"/>
    <n v="7.84"/>
  </r>
  <r>
    <x v="2"/>
    <x v="2"/>
    <x v="10"/>
    <x v="1"/>
    <x v="0"/>
    <x v="0"/>
    <n v="3.34"/>
    <n v="3.44"/>
    <n v="2.02"/>
    <n v="3.13"/>
  </r>
  <r>
    <x v="2"/>
    <x v="2"/>
    <x v="10"/>
    <x v="1"/>
    <x v="4"/>
    <x v="0"/>
    <n v="56.92"/>
    <n v="58.69"/>
    <n v="12.5"/>
    <n v="52.73"/>
  </r>
  <r>
    <x v="2"/>
    <x v="2"/>
    <x v="10"/>
    <x v="1"/>
    <x v="1"/>
    <x v="0"/>
    <n v="11.95"/>
    <n v="12.32"/>
    <n v="0.82"/>
    <n v="11.03"/>
  </r>
  <r>
    <x v="2"/>
    <x v="2"/>
    <x v="10"/>
    <x v="1"/>
    <x v="2"/>
    <x v="0"/>
    <n v="0.6"/>
    <n v="0.62"/>
    <n v="0.01"/>
    <n v="0.54"/>
  </r>
  <r>
    <x v="2"/>
    <x v="2"/>
    <x v="10"/>
    <x v="2"/>
    <x v="0"/>
    <x v="0"/>
    <n v="3.17"/>
    <n v="3.27"/>
    <n v="1.76"/>
    <n v="2.95"/>
  </r>
  <r>
    <x v="2"/>
    <x v="2"/>
    <x v="10"/>
    <x v="2"/>
    <x v="4"/>
    <x v="0"/>
    <n v="2.36"/>
    <n v="2.4300000000000002"/>
    <n v="0.52"/>
    <n v="2.21"/>
  </r>
  <r>
    <x v="2"/>
    <x v="2"/>
    <x v="10"/>
    <x v="3"/>
    <x v="0"/>
    <x v="0"/>
    <n v="0.3"/>
    <n v="0.31"/>
    <n v="0.24"/>
    <n v="0.3"/>
  </r>
  <r>
    <x v="2"/>
    <x v="2"/>
    <x v="10"/>
    <x v="2"/>
    <x v="2"/>
    <x v="3"/>
    <n v="2.73"/>
    <n v="2.81"/>
    <n v="0"/>
    <n v="2.73"/>
  </r>
  <r>
    <x v="2"/>
    <x v="2"/>
    <x v="11"/>
    <x v="4"/>
    <x v="0"/>
    <x v="1"/>
    <n v="0.8"/>
    <n v="0.83"/>
    <n v="0.04"/>
    <n v="0.74"/>
  </r>
  <r>
    <x v="2"/>
    <x v="2"/>
    <x v="11"/>
    <x v="1"/>
    <x v="4"/>
    <x v="1"/>
    <n v="3.29"/>
    <n v="3.4"/>
    <n v="0.13"/>
    <n v="3.29"/>
  </r>
  <r>
    <x v="2"/>
    <x v="2"/>
    <x v="11"/>
    <x v="1"/>
    <x v="4"/>
    <x v="2"/>
    <n v="2.5499999999999998"/>
    <n v="2.63"/>
    <n v="0.04"/>
    <n v="2.21"/>
  </r>
  <r>
    <x v="2"/>
    <x v="2"/>
    <x v="11"/>
    <x v="1"/>
    <x v="0"/>
    <x v="1"/>
    <n v="5.56"/>
    <n v="5.74"/>
    <n v="0.26"/>
    <n v="5.48"/>
  </r>
  <r>
    <x v="2"/>
    <x v="2"/>
    <x v="11"/>
    <x v="0"/>
    <x v="4"/>
    <x v="1"/>
    <n v="1"/>
    <n v="1.03"/>
    <n v="0.02"/>
    <n v="0.9"/>
  </r>
  <r>
    <x v="2"/>
    <x v="2"/>
    <x v="11"/>
    <x v="0"/>
    <x v="0"/>
    <x v="1"/>
    <n v="1.2"/>
    <n v="1.24"/>
    <n v="0.05"/>
    <n v="1.08"/>
  </r>
  <r>
    <x v="2"/>
    <x v="2"/>
    <x v="11"/>
    <x v="1"/>
    <x v="2"/>
    <x v="1"/>
    <n v="3.79"/>
    <n v="3.91"/>
    <n v="0.02"/>
    <n v="3.43"/>
  </r>
  <r>
    <x v="2"/>
    <x v="2"/>
    <x v="11"/>
    <x v="4"/>
    <x v="4"/>
    <x v="1"/>
    <n v="0.19"/>
    <n v="0.19"/>
    <n v="0.02"/>
    <n v="0.17"/>
  </r>
  <r>
    <x v="2"/>
    <x v="2"/>
    <x v="11"/>
    <x v="2"/>
    <x v="3"/>
    <x v="1"/>
    <n v="5.24"/>
    <n v="5.41"/>
    <n v="0.01"/>
    <n v="4.75"/>
  </r>
  <r>
    <x v="2"/>
    <x v="2"/>
    <x v="11"/>
    <x v="2"/>
    <x v="3"/>
    <x v="3"/>
    <n v="4.03"/>
    <n v="4.16"/>
    <n v="0"/>
    <n v="4.03"/>
  </r>
  <r>
    <x v="2"/>
    <x v="2"/>
    <x v="11"/>
    <x v="2"/>
    <x v="2"/>
    <x v="3"/>
    <n v="0.31"/>
    <n v="0.32"/>
    <n v="0"/>
    <n v="0.31"/>
  </r>
  <r>
    <x v="2"/>
    <x v="2"/>
    <x v="11"/>
    <x v="2"/>
    <x v="3"/>
    <x v="2"/>
    <n v="0.31"/>
    <n v="0.32"/>
    <n v="0"/>
    <n v="0.31"/>
  </r>
  <r>
    <x v="2"/>
    <x v="2"/>
    <x v="11"/>
    <x v="1"/>
    <x v="1"/>
    <x v="2"/>
    <n v="1.67"/>
    <n v="1.73"/>
    <n v="0.01"/>
    <n v="1.45"/>
  </r>
  <r>
    <x v="2"/>
    <x v="2"/>
    <x v="11"/>
    <x v="4"/>
    <x v="4"/>
    <x v="2"/>
    <n v="0.74"/>
    <n v="0.76"/>
    <n v="0.03"/>
    <n v="0.64"/>
  </r>
  <r>
    <x v="2"/>
    <x v="2"/>
    <x v="11"/>
    <x v="4"/>
    <x v="1"/>
    <x v="2"/>
    <n v="0.48"/>
    <n v="0.49"/>
    <n v="0.01"/>
    <n v="0.41"/>
  </r>
  <r>
    <x v="2"/>
    <x v="2"/>
    <x v="11"/>
    <x v="4"/>
    <x v="1"/>
    <x v="1"/>
    <n v="0.09"/>
    <n v="0.09"/>
    <n v="0"/>
    <n v="0.08"/>
  </r>
  <r>
    <x v="2"/>
    <x v="2"/>
    <x v="11"/>
    <x v="0"/>
    <x v="0"/>
    <x v="0"/>
    <n v="3.21"/>
    <n v="3.31"/>
    <n v="2.78"/>
    <n v="2.92"/>
  </r>
  <r>
    <x v="2"/>
    <x v="2"/>
    <x v="11"/>
    <x v="2"/>
    <x v="0"/>
    <x v="0"/>
    <n v="1.8"/>
    <n v="1.86"/>
    <n v="1.61"/>
    <n v="1.67"/>
  </r>
  <r>
    <x v="2"/>
    <x v="2"/>
    <x v="11"/>
    <x v="1"/>
    <x v="2"/>
    <x v="0"/>
    <n v="0.12"/>
    <n v="0.12"/>
    <n v="0"/>
    <n v="0.11"/>
  </r>
  <r>
    <x v="2"/>
    <x v="2"/>
    <x v="11"/>
    <x v="4"/>
    <x v="2"/>
    <x v="2"/>
    <n v="0.65"/>
    <n v="0.68"/>
    <n v="0"/>
    <n v="0.56999999999999995"/>
  </r>
  <r>
    <x v="2"/>
    <x v="2"/>
    <x v="11"/>
    <x v="1"/>
    <x v="1"/>
    <x v="0"/>
    <n v="10.58"/>
    <n v="10.93"/>
    <n v="0.83"/>
    <n v="9.7100000000000009"/>
  </r>
  <r>
    <x v="2"/>
    <x v="2"/>
    <x v="11"/>
    <x v="1"/>
    <x v="4"/>
    <x v="0"/>
    <n v="56.12"/>
    <n v="57.97"/>
    <n v="14.29"/>
    <n v="51.51"/>
  </r>
  <r>
    <x v="2"/>
    <x v="2"/>
    <x v="11"/>
    <x v="1"/>
    <x v="1"/>
    <x v="1"/>
    <n v="2.97"/>
    <n v="3.07"/>
    <n v="0.06"/>
    <n v="2.82"/>
  </r>
  <r>
    <x v="2"/>
    <x v="2"/>
    <x v="11"/>
    <x v="0"/>
    <x v="4"/>
    <x v="0"/>
    <n v="8.08"/>
    <n v="8.34"/>
    <n v="2.46"/>
    <n v="7.37"/>
  </r>
  <r>
    <x v="2"/>
    <x v="2"/>
    <x v="11"/>
    <x v="2"/>
    <x v="4"/>
    <x v="0"/>
    <n v="1.56"/>
    <n v="1.61"/>
    <n v="0.48"/>
    <n v="1.45"/>
  </r>
  <r>
    <x v="2"/>
    <x v="2"/>
    <x v="11"/>
    <x v="4"/>
    <x v="1"/>
    <x v="0"/>
    <n v="5.96"/>
    <n v="6.16"/>
    <n v="0.37"/>
    <n v="5.47"/>
  </r>
  <r>
    <x v="2"/>
    <x v="2"/>
    <x v="11"/>
    <x v="4"/>
    <x v="4"/>
    <x v="0"/>
    <n v="54.44"/>
    <n v="56.23"/>
    <n v="7.68"/>
    <n v="50.17"/>
  </r>
  <r>
    <x v="2"/>
    <x v="2"/>
    <x v="11"/>
    <x v="4"/>
    <x v="0"/>
    <x v="0"/>
    <n v="0.05"/>
    <n v="0.05"/>
    <n v="0.01"/>
    <n v="0.04"/>
  </r>
  <r>
    <x v="2"/>
    <x v="2"/>
    <x v="11"/>
    <x v="3"/>
    <x v="1"/>
    <x v="0"/>
    <n v="0.03"/>
    <n v="0.03"/>
    <n v="0"/>
    <n v="0.03"/>
  </r>
  <r>
    <x v="2"/>
    <x v="2"/>
    <x v="11"/>
    <x v="3"/>
    <x v="4"/>
    <x v="0"/>
    <n v="1.43"/>
    <n v="1.48"/>
    <n v="0.51"/>
    <n v="1.35"/>
  </r>
  <r>
    <x v="2"/>
    <x v="2"/>
    <x v="11"/>
    <x v="3"/>
    <x v="0"/>
    <x v="0"/>
    <n v="0.33"/>
    <n v="0.34"/>
    <n v="0.27"/>
    <n v="0.32"/>
  </r>
  <r>
    <x v="2"/>
    <x v="2"/>
    <x v="11"/>
    <x v="1"/>
    <x v="0"/>
    <x v="0"/>
    <n v="3.77"/>
    <n v="3.89"/>
    <n v="2.41"/>
    <n v="3.53"/>
  </r>
  <r>
    <x v="2"/>
    <x v="2"/>
    <x v="12"/>
    <x v="3"/>
    <x v="0"/>
    <x v="0"/>
    <n v="7.88"/>
    <n v="8.14"/>
    <n v="6.44"/>
    <n v="7.75"/>
  </r>
  <r>
    <x v="2"/>
    <x v="2"/>
    <x v="12"/>
    <x v="2"/>
    <x v="3"/>
    <x v="2"/>
    <n v="24.62"/>
    <n v="25.43"/>
    <n v="0.02"/>
    <n v="22.13"/>
  </r>
  <r>
    <x v="2"/>
    <x v="2"/>
    <x v="12"/>
    <x v="0"/>
    <x v="4"/>
    <x v="1"/>
    <n v="10.37"/>
    <n v="10.71"/>
    <n v="0.24"/>
    <n v="9.34"/>
  </r>
  <r>
    <x v="2"/>
    <x v="2"/>
    <x v="12"/>
    <x v="3"/>
    <x v="1"/>
    <x v="0"/>
    <n v="0.51"/>
    <n v="0.52"/>
    <n v="0.06"/>
    <n v="0.49"/>
  </r>
  <r>
    <x v="2"/>
    <x v="2"/>
    <x v="12"/>
    <x v="0"/>
    <x v="0"/>
    <x v="1"/>
    <n v="12.62"/>
    <n v="13.03"/>
    <n v="0.55000000000000004"/>
    <n v="11.37"/>
  </r>
  <r>
    <x v="2"/>
    <x v="2"/>
    <x v="12"/>
    <x v="4"/>
    <x v="1"/>
    <x v="1"/>
    <n v="0.88"/>
    <n v="0.91"/>
    <n v="0.05"/>
    <n v="0.8"/>
  </r>
  <r>
    <x v="2"/>
    <x v="2"/>
    <x v="12"/>
    <x v="4"/>
    <x v="4"/>
    <x v="1"/>
    <n v="1.61"/>
    <n v="1.67"/>
    <n v="0.2"/>
    <n v="1.47"/>
  </r>
  <r>
    <x v="2"/>
    <x v="2"/>
    <x v="12"/>
    <x v="4"/>
    <x v="0"/>
    <x v="1"/>
    <n v="6.95"/>
    <n v="7.18"/>
    <n v="0.33"/>
    <n v="6.4"/>
  </r>
  <r>
    <x v="2"/>
    <x v="2"/>
    <x v="12"/>
    <x v="2"/>
    <x v="2"/>
    <x v="0"/>
    <n v="2.94"/>
    <n v="3.04"/>
    <n v="0.01"/>
    <n v="2.7"/>
  </r>
  <r>
    <x v="2"/>
    <x v="2"/>
    <x v="12"/>
    <x v="2"/>
    <x v="2"/>
    <x v="3"/>
    <n v="7.55"/>
    <n v="7.8"/>
    <n v="0"/>
    <n v="7.55"/>
  </r>
  <r>
    <x v="2"/>
    <x v="2"/>
    <x v="12"/>
    <x v="1"/>
    <x v="0"/>
    <x v="1"/>
    <n v="24.29"/>
    <n v="25.09"/>
    <n v="1.01"/>
    <n v="23.95"/>
  </r>
  <r>
    <x v="2"/>
    <x v="2"/>
    <x v="12"/>
    <x v="1"/>
    <x v="2"/>
    <x v="2"/>
    <n v="0.66"/>
    <n v="0.68"/>
    <n v="0"/>
    <n v="0.57999999999999996"/>
  </r>
  <r>
    <x v="2"/>
    <x v="2"/>
    <x v="12"/>
    <x v="1"/>
    <x v="1"/>
    <x v="2"/>
    <n v="4.96"/>
    <n v="5.13"/>
    <n v="0.01"/>
    <n v="4.8899999999999997"/>
  </r>
  <r>
    <x v="2"/>
    <x v="2"/>
    <x v="12"/>
    <x v="1"/>
    <x v="4"/>
    <x v="2"/>
    <n v="6.75"/>
    <n v="6.98"/>
    <n v="0.19"/>
    <n v="5.91"/>
  </r>
  <r>
    <x v="2"/>
    <x v="2"/>
    <x v="12"/>
    <x v="4"/>
    <x v="2"/>
    <x v="2"/>
    <n v="3.62"/>
    <n v="3.73"/>
    <n v="0.03"/>
    <n v="3.18"/>
  </r>
  <r>
    <x v="2"/>
    <x v="2"/>
    <x v="12"/>
    <x v="4"/>
    <x v="1"/>
    <x v="2"/>
    <n v="2.57"/>
    <n v="2.66"/>
    <n v="0.1"/>
    <n v="2.2599999999999998"/>
  </r>
  <r>
    <x v="2"/>
    <x v="2"/>
    <x v="12"/>
    <x v="4"/>
    <x v="4"/>
    <x v="2"/>
    <n v="4.22"/>
    <n v="4.3600000000000003"/>
    <n v="0.31"/>
    <n v="3.75"/>
  </r>
  <r>
    <x v="2"/>
    <x v="2"/>
    <x v="12"/>
    <x v="2"/>
    <x v="3"/>
    <x v="3"/>
    <n v="144.63"/>
    <n v="149.4"/>
    <n v="0.13"/>
    <n v="144.63"/>
  </r>
  <r>
    <x v="2"/>
    <x v="2"/>
    <x v="12"/>
    <x v="0"/>
    <x v="0"/>
    <x v="0"/>
    <n v="18.600000000000001"/>
    <n v="19.21"/>
    <n v="15.81"/>
    <n v="17.05"/>
  </r>
  <r>
    <x v="2"/>
    <x v="2"/>
    <x v="12"/>
    <x v="2"/>
    <x v="4"/>
    <x v="0"/>
    <n v="21.94"/>
    <n v="22.66"/>
    <n v="4.8600000000000003"/>
    <n v="20.74"/>
  </r>
  <r>
    <x v="2"/>
    <x v="2"/>
    <x v="12"/>
    <x v="2"/>
    <x v="0"/>
    <x v="0"/>
    <n v="26.64"/>
    <n v="27.51"/>
    <n v="21.74"/>
    <n v="25.46"/>
  </r>
  <r>
    <x v="2"/>
    <x v="2"/>
    <x v="12"/>
    <x v="1"/>
    <x v="2"/>
    <x v="0"/>
    <n v="13.85"/>
    <n v="14.31"/>
    <n v="0.23"/>
    <n v="12.52"/>
  </r>
  <r>
    <x v="2"/>
    <x v="2"/>
    <x v="12"/>
    <x v="1"/>
    <x v="1"/>
    <x v="0"/>
    <n v="101.37"/>
    <n v="104.71"/>
    <n v="6.08"/>
    <n v="94.64"/>
  </r>
  <r>
    <x v="2"/>
    <x v="2"/>
    <x v="12"/>
    <x v="1"/>
    <x v="4"/>
    <x v="0"/>
    <n v="499.61"/>
    <n v="516.05999999999995"/>
    <n v="106.64"/>
    <n v="465.77"/>
  </r>
  <r>
    <x v="2"/>
    <x v="2"/>
    <x v="12"/>
    <x v="0"/>
    <x v="4"/>
    <x v="0"/>
    <n v="67.650000000000006"/>
    <n v="69.88"/>
    <n v="18.72"/>
    <n v="63.5"/>
  </r>
  <r>
    <x v="2"/>
    <x v="2"/>
    <x v="12"/>
    <x v="1"/>
    <x v="4"/>
    <x v="1"/>
    <n v="62.63"/>
    <n v="64.7"/>
    <n v="0.37"/>
    <n v="61.23"/>
  </r>
  <r>
    <x v="2"/>
    <x v="2"/>
    <x v="12"/>
    <x v="4"/>
    <x v="1"/>
    <x v="0"/>
    <n v="26.45"/>
    <n v="27.32"/>
    <n v="1.7"/>
    <n v="24.77"/>
  </r>
  <r>
    <x v="2"/>
    <x v="2"/>
    <x v="12"/>
    <x v="4"/>
    <x v="4"/>
    <x v="0"/>
    <n v="292.52999999999997"/>
    <n v="302.16000000000003"/>
    <n v="31.59"/>
    <n v="281.39"/>
  </r>
  <r>
    <x v="2"/>
    <x v="2"/>
    <x v="12"/>
    <x v="4"/>
    <x v="0"/>
    <x v="0"/>
    <n v="0.6"/>
    <n v="0.62"/>
    <n v="0.13"/>
    <n v="0.56000000000000005"/>
  </r>
  <r>
    <x v="2"/>
    <x v="2"/>
    <x v="12"/>
    <x v="3"/>
    <x v="4"/>
    <x v="0"/>
    <n v="42.34"/>
    <n v="43.73"/>
    <n v="10.48"/>
    <n v="40.950000000000003"/>
  </r>
  <r>
    <x v="2"/>
    <x v="2"/>
    <x v="12"/>
    <x v="2"/>
    <x v="3"/>
    <x v="1"/>
    <n v="50.41"/>
    <n v="52.07"/>
    <n v="0.1"/>
    <n v="45.69"/>
  </r>
  <r>
    <x v="2"/>
    <x v="2"/>
    <x v="12"/>
    <x v="1"/>
    <x v="2"/>
    <x v="1"/>
    <n v="49.69"/>
    <n v="51.32"/>
    <n v="0.27"/>
    <n v="45.9"/>
  </r>
  <r>
    <x v="2"/>
    <x v="2"/>
    <x v="12"/>
    <x v="1"/>
    <x v="1"/>
    <x v="1"/>
    <n v="45.6"/>
    <n v="47.1"/>
    <n v="0.4"/>
    <n v="44.02"/>
  </r>
  <r>
    <x v="2"/>
    <x v="2"/>
    <x v="12"/>
    <x v="1"/>
    <x v="0"/>
    <x v="0"/>
    <n v="48.27"/>
    <n v="49.86"/>
    <n v="25.56"/>
    <n v="46.08"/>
  </r>
  <r>
    <x v="2"/>
    <x v="2"/>
    <x v="13"/>
    <x v="2"/>
    <x v="0"/>
    <x v="0"/>
    <n v="36.380000000000003"/>
    <n v="37.58"/>
    <n v="23.91"/>
    <n v="34.06"/>
  </r>
  <r>
    <x v="2"/>
    <x v="2"/>
    <x v="13"/>
    <x v="0"/>
    <x v="4"/>
    <x v="1"/>
    <n v="13.25"/>
    <n v="13.69"/>
    <n v="0.31"/>
    <n v="11.94"/>
  </r>
  <r>
    <x v="2"/>
    <x v="2"/>
    <x v="13"/>
    <x v="2"/>
    <x v="2"/>
    <x v="0"/>
    <n v="2.56"/>
    <n v="2.65"/>
    <n v="0.01"/>
    <n v="2.35"/>
  </r>
  <r>
    <x v="2"/>
    <x v="2"/>
    <x v="13"/>
    <x v="2"/>
    <x v="4"/>
    <x v="0"/>
    <n v="54.55"/>
    <n v="56.35"/>
    <n v="9.4499999999999993"/>
    <n v="50.72"/>
  </r>
  <r>
    <x v="2"/>
    <x v="2"/>
    <x v="13"/>
    <x v="2"/>
    <x v="2"/>
    <x v="3"/>
    <n v="12.72"/>
    <n v="13.14"/>
    <n v="0"/>
    <n v="12.72"/>
  </r>
  <r>
    <x v="2"/>
    <x v="2"/>
    <x v="13"/>
    <x v="4"/>
    <x v="4"/>
    <x v="2"/>
    <n v="5.62"/>
    <n v="5.81"/>
    <n v="0.31"/>
    <n v="4.8899999999999997"/>
  </r>
  <r>
    <x v="2"/>
    <x v="2"/>
    <x v="13"/>
    <x v="1"/>
    <x v="0"/>
    <x v="1"/>
    <n v="26.05"/>
    <n v="26.91"/>
    <n v="1.37"/>
    <n v="25.07"/>
  </r>
  <r>
    <x v="2"/>
    <x v="2"/>
    <x v="13"/>
    <x v="0"/>
    <x v="0"/>
    <x v="1"/>
    <n v="24.03"/>
    <n v="24.82"/>
    <n v="0.91"/>
    <n v="21.65"/>
  </r>
  <r>
    <x v="2"/>
    <x v="2"/>
    <x v="13"/>
    <x v="4"/>
    <x v="1"/>
    <x v="1"/>
    <n v="1.31"/>
    <n v="1.35"/>
    <n v="7.0000000000000007E-2"/>
    <n v="1.19"/>
  </r>
  <r>
    <x v="2"/>
    <x v="2"/>
    <x v="13"/>
    <x v="4"/>
    <x v="4"/>
    <x v="1"/>
    <n v="2.36"/>
    <n v="2.44"/>
    <n v="0.28999999999999998"/>
    <n v="2.14"/>
  </r>
  <r>
    <x v="2"/>
    <x v="2"/>
    <x v="13"/>
    <x v="1"/>
    <x v="2"/>
    <x v="1"/>
    <n v="94.22"/>
    <n v="97.32"/>
    <n v="0.51"/>
    <n v="87.11"/>
  </r>
  <r>
    <x v="2"/>
    <x v="2"/>
    <x v="13"/>
    <x v="2"/>
    <x v="3"/>
    <x v="3"/>
    <n v="299.07"/>
    <n v="308.92"/>
    <n v="0.17"/>
    <n v="297.41000000000003"/>
  </r>
  <r>
    <x v="2"/>
    <x v="2"/>
    <x v="13"/>
    <x v="1"/>
    <x v="3"/>
    <x v="1"/>
    <n v="4.17"/>
    <n v="4.3099999999999996"/>
    <n v="0.01"/>
    <n v="3.86"/>
  </r>
  <r>
    <x v="2"/>
    <x v="2"/>
    <x v="13"/>
    <x v="2"/>
    <x v="1"/>
    <x v="3"/>
    <n v="86.24"/>
    <n v="89.08"/>
    <n v="0.03"/>
    <n v="84.58"/>
  </r>
  <r>
    <x v="2"/>
    <x v="2"/>
    <x v="13"/>
    <x v="2"/>
    <x v="3"/>
    <x v="2"/>
    <n v="63.55"/>
    <n v="65.64"/>
    <n v="0.06"/>
    <n v="55.92"/>
  </r>
  <r>
    <x v="2"/>
    <x v="2"/>
    <x v="13"/>
    <x v="1"/>
    <x v="1"/>
    <x v="2"/>
    <n v="1.53"/>
    <n v="1.58"/>
    <n v="0.02"/>
    <n v="1.33"/>
  </r>
  <r>
    <x v="2"/>
    <x v="2"/>
    <x v="13"/>
    <x v="1"/>
    <x v="4"/>
    <x v="2"/>
    <n v="31.29"/>
    <n v="32.32"/>
    <n v="0.62"/>
    <n v="27.21"/>
  </r>
  <r>
    <x v="2"/>
    <x v="2"/>
    <x v="13"/>
    <x v="4"/>
    <x v="2"/>
    <x v="2"/>
    <n v="5.0599999999999996"/>
    <n v="5.23"/>
    <n v="0.03"/>
    <n v="4.4000000000000004"/>
  </r>
  <r>
    <x v="2"/>
    <x v="2"/>
    <x v="13"/>
    <x v="4"/>
    <x v="1"/>
    <x v="2"/>
    <n v="3.7"/>
    <n v="3.82"/>
    <n v="0.1"/>
    <n v="3.22"/>
  </r>
  <r>
    <x v="2"/>
    <x v="2"/>
    <x v="13"/>
    <x v="4"/>
    <x v="0"/>
    <x v="1"/>
    <n v="9.2899999999999991"/>
    <n v="9.6"/>
    <n v="0.45"/>
    <n v="8.41"/>
  </r>
  <r>
    <x v="2"/>
    <x v="2"/>
    <x v="13"/>
    <x v="4"/>
    <x v="4"/>
    <x v="0"/>
    <n v="343.6"/>
    <n v="354.92"/>
    <n v="44.68"/>
    <n v="321.77999999999997"/>
  </r>
  <r>
    <x v="2"/>
    <x v="2"/>
    <x v="13"/>
    <x v="1"/>
    <x v="2"/>
    <x v="0"/>
    <n v="38.69"/>
    <n v="39.96"/>
    <n v="0.57999999999999996"/>
    <n v="34.76"/>
  </r>
  <r>
    <x v="2"/>
    <x v="2"/>
    <x v="13"/>
    <x v="1"/>
    <x v="4"/>
    <x v="1"/>
    <n v="9.1"/>
    <n v="9.4"/>
    <n v="0.28000000000000003"/>
    <n v="9.02"/>
  </r>
  <r>
    <x v="2"/>
    <x v="2"/>
    <x v="13"/>
    <x v="1"/>
    <x v="0"/>
    <x v="0"/>
    <n v="56.05"/>
    <n v="57.89"/>
    <n v="31.48"/>
    <n v="52.1"/>
  </r>
  <r>
    <x v="2"/>
    <x v="2"/>
    <x v="13"/>
    <x v="0"/>
    <x v="2"/>
    <x v="0"/>
    <n v="1.59"/>
    <n v="1.64"/>
    <n v="0.01"/>
    <n v="1.54"/>
  </r>
  <r>
    <x v="2"/>
    <x v="2"/>
    <x v="13"/>
    <x v="0"/>
    <x v="4"/>
    <x v="0"/>
    <n v="113.61"/>
    <n v="117.35"/>
    <n v="33.049999999999997"/>
    <n v="105.37"/>
  </r>
  <r>
    <x v="2"/>
    <x v="2"/>
    <x v="13"/>
    <x v="1"/>
    <x v="1"/>
    <x v="1"/>
    <n v="41.76"/>
    <n v="43.13"/>
    <n v="0.47"/>
    <n v="39.270000000000003"/>
  </r>
  <r>
    <x v="2"/>
    <x v="2"/>
    <x v="13"/>
    <x v="4"/>
    <x v="1"/>
    <x v="0"/>
    <n v="42.69"/>
    <n v="44.09"/>
    <n v="2.58"/>
    <n v="39.840000000000003"/>
  </r>
  <r>
    <x v="2"/>
    <x v="2"/>
    <x v="13"/>
    <x v="1"/>
    <x v="2"/>
    <x v="2"/>
    <n v="0.61"/>
    <n v="0.63"/>
    <n v="0"/>
    <n v="0.53"/>
  </r>
  <r>
    <x v="2"/>
    <x v="2"/>
    <x v="13"/>
    <x v="4"/>
    <x v="0"/>
    <x v="0"/>
    <n v="3.23"/>
    <n v="3.33"/>
    <n v="0.7"/>
    <n v="3"/>
  </r>
  <r>
    <x v="2"/>
    <x v="2"/>
    <x v="13"/>
    <x v="3"/>
    <x v="1"/>
    <x v="0"/>
    <n v="5.07"/>
    <n v="5.23"/>
    <n v="1.78"/>
    <n v="5.05"/>
  </r>
  <r>
    <x v="2"/>
    <x v="2"/>
    <x v="13"/>
    <x v="3"/>
    <x v="4"/>
    <x v="0"/>
    <n v="136.25"/>
    <n v="140.74"/>
    <n v="47.42"/>
    <n v="131.31"/>
  </r>
  <r>
    <x v="2"/>
    <x v="2"/>
    <x v="13"/>
    <x v="3"/>
    <x v="0"/>
    <x v="0"/>
    <n v="3.71"/>
    <n v="3.84"/>
    <n v="2.97"/>
    <n v="3.63"/>
  </r>
  <r>
    <x v="2"/>
    <x v="2"/>
    <x v="13"/>
    <x v="2"/>
    <x v="3"/>
    <x v="1"/>
    <n v="83.34"/>
    <n v="86.08"/>
    <n v="0.16"/>
    <n v="75.64"/>
  </r>
  <r>
    <x v="2"/>
    <x v="2"/>
    <x v="13"/>
    <x v="2"/>
    <x v="2"/>
    <x v="1"/>
    <n v="2.1"/>
    <n v="2.17"/>
    <n v="0.02"/>
    <n v="2.1"/>
  </r>
  <r>
    <x v="2"/>
    <x v="2"/>
    <x v="13"/>
    <x v="0"/>
    <x v="0"/>
    <x v="0"/>
    <n v="47.57"/>
    <n v="49.13"/>
    <n v="29.47"/>
    <n v="43.6"/>
  </r>
  <r>
    <x v="2"/>
    <x v="2"/>
    <x v="13"/>
    <x v="2"/>
    <x v="4"/>
    <x v="3"/>
    <n v="0.56999999999999995"/>
    <n v="0.59"/>
    <n v="0"/>
    <n v="0.56999999999999995"/>
  </r>
  <r>
    <x v="2"/>
    <x v="2"/>
    <x v="13"/>
    <x v="1"/>
    <x v="1"/>
    <x v="0"/>
    <n v="154.11000000000001"/>
    <n v="159.18"/>
    <n v="9.35"/>
    <n v="142.69"/>
  </r>
  <r>
    <x v="2"/>
    <x v="2"/>
    <x v="13"/>
    <x v="1"/>
    <x v="4"/>
    <x v="0"/>
    <n v="778.36"/>
    <n v="803.99"/>
    <n v="165.85"/>
    <n v="718"/>
  </r>
  <r>
    <x v="2"/>
    <x v="2"/>
    <x v="14"/>
    <x v="1"/>
    <x v="0"/>
    <x v="1"/>
    <n v="0.31"/>
    <n v="0.32"/>
    <n v="0.03"/>
    <n v="0.28000000000000003"/>
  </r>
  <r>
    <x v="2"/>
    <x v="2"/>
    <x v="14"/>
    <x v="0"/>
    <x v="4"/>
    <x v="1"/>
    <n v="0.18"/>
    <n v="0.18"/>
    <n v="0.01"/>
    <n v="0.16"/>
  </r>
  <r>
    <x v="2"/>
    <x v="2"/>
    <x v="14"/>
    <x v="0"/>
    <x v="0"/>
    <x v="1"/>
    <n v="0.35"/>
    <n v="0.37"/>
    <n v="0.02"/>
    <n v="0.32"/>
  </r>
  <r>
    <x v="2"/>
    <x v="2"/>
    <x v="14"/>
    <x v="4"/>
    <x v="1"/>
    <x v="1"/>
    <n v="0.04"/>
    <n v="0.04"/>
    <n v="0"/>
    <n v="0.04"/>
  </r>
  <r>
    <x v="2"/>
    <x v="2"/>
    <x v="14"/>
    <x v="1"/>
    <x v="2"/>
    <x v="0"/>
    <n v="0.28999999999999998"/>
    <n v="0.3"/>
    <n v="0"/>
    <n v="0.26"/>
  </r>
  <r>
    <x v="2"/>
    <x v="2"/>
    <x v="14"/>
    <x v="4"/>
    <x v="0"/>
    <x v="1"/>
    <n v="0.18"/>
    <n v="0.18"/>
    <n v="0.01"/>
    <n v="0.16"/>
  </r>
  <r>
    <x v="2"/>
    <x v="2"/>
    <x v="14"/>
    <x v="1"/>
    <x v="4"/>
    <x v="1"/>
    <n v="1.95"/>
    <n v="2.02"/>
    <n v="7.0000000000000007E-2"/>
    <n v="1.95"/>
  </r>
  <r>
    <x v="2"/>
    <x v="2"/>
    <x v="14"/>
    <x v="2"/>
    <x v="3"/>
    <x v="2"/>
    <n v="1.4"/>
    <n v="1.45"/>
    <n v="0.01"/>
    <n v="1.28"/>
  </r>
  <r>
    <x v="2"/>
    <x v="2"/>
    <x v="14"/>
    <x v="4"/>
    <x v="4"/>
    <x v="1"/>
    <n v="7.0000000000000007E-2"/>
    <n v="7.0000000000000007E-2"/>
    <n v="0.01"/>
    <n v="0.06"/>
  </r>
  <r>
    <x v="2"/>
    <x v="2"/>
    <x v="14"/>
    <x v="1"/>
    <x v="2"/>
    <x v="2"/>
    <n v="0.82"/>
    <n v="0.85"/>
    <n v="0"/>
    <n v="0.75"/>
  </r>
  <r>
    <x v="2"/>
    <x v="2"/>
    <x v="14"/>
    <x v="1"/>
    <x v="4"/>
    <x v="2"/>
    <n v="0.76"/>
    <n v="0.78"/>
    <n v="0.01"/>
    <n v="0.68"/>
  </r>
  <r>
    <x v="2"/>
    <x v="2"/>
    <x v="14"/>
    <x v="4"/>
    <x v="2"/>
    <x v="2"/>
    <n v="0.09"/>
    <n v="0.09"/>
    <n v="0"/>
    <n v="7.0000000000000007E-2"/>
  </r>
  <r>
    <x v="2"/>
    <x v="2"/>
    <x v="14"/>
    <x v="4"/>
    <x v="1"/>
    <x v="2"/>
    <n v="0.17"/>
    <n v="0.17"/>
    <n v="0"/>
    <n v="0.15"/>
  </r>
  <r>
    <x v="2"/>
    <x v="2"/>
    <x v="14"/>
    <x v="4"/>
    <x v="4"/>
    <x v="2"/>
    <n v="0.28999999999999998"/>
    <n v="0.3"/>
    <n v="0.02"/>
    <n v="0.27"/>
  </r>
  <r>
    <x v="2"/>
    <x v="2"/>
    <x v="14"/>
    <x v="2"/>
    <x v="2"/>
    <x v="3"/>
    <n v="0.14000000000000001"/>
    <n v="0.14000000000000001"/>
    <n v="0"/>
    <n v="0.14000000000000001"/>
  </r>
  <r>
    <x v="2"/>
    <x v="2"/>
    <x v="14"/>
    <x v="1"/>
    <x v="1"/>
    <x v="0"/>
    <n v="3.37"/>
    <n v="3.48"/>
    <n v="0.31"/>
    <n v="3.13"/>
  </r>
  <r>
    <x v="2"/>
    <x v="2"/>
    <x v="14"/>
    <x v="2"/>
    <x v="0"/>
    <x v="0"/>
    <n v="1.06"/>
    <n v="1.1000000000000001"/>
    <n v="0.84"/>
    <n v="1.01"/>
  </r>
  <r>
    <x v="2"/>
    <x v="2"/>
    <x v="14"/>
    <x v="2"/>
    <x v="3"/>
    <x v="3"/>
    <n v="0.88"/>
    <n v="0.91"/>
    <n v="0"/>
    <n v="0.88"/>
  </r>
  <r>
    <x v="2"/>
    <x v="2"/>
    <x v="14"/>
    <x v="2"/>
    <x v="4"/>
    <x v="0"/>
    <n v="0.85"/>
    <n v="0.88"/>
    <n v="0.24"/>
    <n v="0.81"/>
  </r>
  <r>
    <x v="2"/>
    <x v="2"/>
    <x v="14"/>
    <x v="1"/>
    <x v="1"/>
    <x v="1"/>
    <n v="1.69"/>
    <n v="1.74"/>
    <n v="0.05"/>
    <n v="1.64"/>
  </r>
  <r>
    <x v="2"/>
    <x v="2"/>
    <x v="14"/>
    <x v="1"/>
    <x v="4"/>
    <x v="0"/>
    <n v="20.87"/>
    <n v="21.56"/>
    <n v="5.47"/>
    <n v="19.34"/>
  </r>
  <r>
    <x v="2"/>
    <x v="2"/>
    <x v="14"/>
    <x v="1"/>
    <x v="0"/>
    <x v="0"/>
    <n v="1.81"/>
    <n v="1.87"/>
    <n v="1.24"/>
    <n v="1.72"/>
  </r>
  <r>
    <x v="2"/>
    <x v="2"/>
    <x v="14"/>
    <x v="0"/>
    <x v="4"/>
    <x v="0"/>
    <n v="4.2300000000000004"/>
    <n v="4.37"/>
    <n v="1.27"/>
    <n v="3.97"/>
  </r>
  <r>
    <x v="2"/>
    <x v="2"/>
    <x v="14"/>
    <x v="0"/>
    <x v="0"/>
    <x v="0"/>
    <n v="1.06"/>
    <n v="1.0900000000000001"/>
    <n v="0.89"/>
    <n v="0.97"/>
  </r>
  <r>
    <x v="2"/>
    <x v="2"/>
    <x v="14"/>
    <x v="3"/>
    <x v="0"/>
    <x v="0"/>
    <n v="0.21"/>
    <n v="0.21"/>
    <n v="0.17"/>
    <n v="0.2"/>
  </r>
  <r>
    <x v="2"/>
    <x v="2"/>
    <x v="14"/>
    <x v="4"/>
    <x v="1"/>
    <x v="0"/>
    <n v="0.76"/>
    <n v="0.79"/>
    <n v="0.05"/>
    <n v="0.71"/>
  </r>
  <r>
    <x v="2"/>
    <x v="2"/>
    <x v="14"/>
    <x v="2"/>
    <x v="3"/>
    <x v="1"/>
    <n v="1.71"/>
    <n v="1.76"/>
    <n v="0"/>
    <n v="1.55"/>
  </r>
  <r>
    <x v="2"/>
    <x v="2"/>
    <x v="14"/>
    <x v="3"/>
    <x v="4"/>
    <x v="0"/>
    <n v="0.5"/>
    <n v="0.52"/>
    <n v="0.17"/>
    <n v="0.48"/>
  </r>
  <r>
    <x v="2"/>
    <x v="2"/>
    <x v="14"/>
    <x v="3"/>
    <x v="1"/>
    <x v="0"/>
    <n v="0.01"/>
    <n v="0.01"/>
    <n v="0"/>
    <n v="0.01"/>
  </r>
  <r>
    <x v="2"/>
    <x v="2"/>
    <x v="14"/>
    <x v="4"/>
    <x v="0"/>
    <x v="0"/>
    <n v="0.03"/>
    <n v="0.03"/>
    <n v="0.01"/>
    <n v="0.02"/>
  </r>
  <r>
    <x v="2"/>
    <x v="2"/>
    <x v="14"/>
    <x v="4"/>
    <x v="4"/>
    <x v="0"/>
    <n v="7.61"/>
    <n v="7.86"/>
    <n v="1.08"/>
    <n v="7.06"/>
  </r>
  <r>
    <x v="2"/>
    <x v="2"/>
    <x v="14"/>
    <x v="1"/>
    <x v="2"/>
    <x v="1"/>
    <n v="2.31"/>
    <n v="2.38"/>
    <n v="0.01"/>
    <n v="2.09"/>
  </r>
  <r>
    <x v="2"/>
    <x v="4"/>
    <x v="15"/>
    <x v="1"/>
    <x v="2"/>
    <x v="1"/>
    <n v="27.01"/>
    <n v="27.01"/>
    <n v="0.08"/>
    <n v="22.78"/>
  </r>
  <r>
    <x v="2"/>
    <x v="4"/>
    <x v="15"/>
    <x v="4"/>
    <x v="4"/>
    <x v="2"/>
    <n v="0.98"/>
    <n v="0.98"/>
    <n v="0.02"/>
    <n v="0.8"/>
  </r>
  <r>
    <x v="2"/>
    <x v="4"/>
    <x v="15"/>
    <x v="1"/>
    <x v="4"/>
    <x v="2"/>
    <n v="0.8"/>
    <n v="0.8"/>
    <n v="0.02"/>
    <n v="0.65"/>
  </r>
  <r>
    <x v="2"/>
    <x v="4"/>
    <x v="15"/>
    <x v="1"/>
    <x v="1"/>
    <x v="2"/>
    <n v="1.1299999999999999"/>
    <n v="1.1299999999999999"/>
    <n v="0.02"/>
    <n v="0.92"/>
  </r>
  <r>
    <x v="2"/>
    <x v="4"/>
    <x v="15"/>
    <x v="2"/>
    <x v="2"/>
    <x v="3"/>
    <n v="4.34"/>
    <n v="4.34"/>
    <n v="0"/>
    <n v="4.34"/>
  </r>
  <r>
    <x v="2"/>
    <x v="4"/>
    <x v="15"/>
    <x v="2"/>
    <x v="3"/>
    <x v="3"/>
    <n v="13.53"/>
    <n v="13.54"/>
    <n v="0.02"/>
    <n v="13.19"/>
  </r>
  <r>
    <x v="2"/>
    <x v="4"/>
    <x v="15"/>
    <x v="4"/>
    <x v="0"/>
    <x v="1"/>
    <n v="1.18"/>
    <n v="1.18"/>
    <n v="0.06"/>
    <n v="0.99"/>
  </r>
  <r>
    <x v="2"/>
    <x v="4"/>
    <x v="15"/>
    <x v="4"/>
    <x v="4"/>
    <x v="1"/>
    <n v="0.12"/>
    <n v="0.12"/>
    <n v="0.01"/>
    <n v="0.1"/>
  </r>
  <r>
    <x v="2"/>
    <x v="4"/>
    <x v="15"/>
    <x v="4"/>
    <x v="1"/>
    <x v="1"/>
    <n v="0.23"/>
    <n v="0.23"/>
    <n v="0"/>
    <n v="0.2"/>
  </r>
  <r>
    <x v="2"/>
    <x v="4"/>
    <x v="15"/>
    <x v="0"/>
    <x v="0"/>
    <x v="1"/>
    <n v="1.89"/>
    <n v="1.89"/>
    <n v="0.05"/>
    <n v="1.59"/>
  </r>
  <r>
    <x v="2"/>
    <x v="4"/>
    <x v="15"/>
    <x v="0"/>
    <x v="4"/>
    <x v="1"/>
    <n v="3.83"/>
    <n v="3.83"/>
    <n v="0.04"/>
    <n v="3.22"/>
  </r>
  <r>
    <x v="2"/>
    <x v="4"/>
    <x v="15"/>
    <x v="1"/>
    <x v="0"/>
    <x v="1"/>
    <n v="4.21"/>
    <n v="4.21"/>
    <n v="0.18"/>
    <n v="3.7"/>
  </r>
  <r>
    <x v="2"/>
    <x v="4"/>
    <x v="15"/>
    <x v="1"/>
    <x v="4"/>
    <x v="1"/>
    <n v="1.69"/>
    <n v="1.69"/>
    <n v="0.06"/>
    <n v="1.45"/>
  </r>
  <r>
    <x v="2"/>
    <x v="4"/>
    <x v="15"/>
    <x v="2"/>
    <x v="0"/>
    <x v="0"/>
    <n v="4.92"/>
    <n v="4.92"/>
    <n v="4.4400000000000004"/>
    <n v="4.62"/>
  </r>
  <r>
    <x v="2"/>
    <x v="4"/>
    <x v="15"/>
    <x v="1"/>
    <x v="1"/>
    <x v="1"/>
    <n v="15.59"/>
    <n v="15.59"/>
    <n v="0.15"/>
    <n v="13.36"/>
  </r>
  <r>
    <x v="2"/>
    <x v="4"/>
    <x v="15"/>
    <x v="4"/>
    <x v="4"/>
    <x v="0"/>
    <n v="36.65"/>
    <n v="36.65"/>
    <n v="5.38"/>
    <n v="32.5"/>
  </r>
  <r>
    <x v="2"/>
    <x v="4"/>
    <x v="15"/>
    <x v="1"/>
    <x v="1"/>
    <x v="0"/>
    <n v="13.52"/>
    <n v="13.52"/>
    <n v="1.06"/>
    <n v="12.41"/>
  </r>
  <r>
    <x v="2"/>
    <x v="4"/>
    <x v="15"/>
    <x v="1"/>
    <x v="4"/>
    <x v="0"/>
    <n v="138.87"/>
    <n v="138.88"/>
    <n v="33.71"/>
    <n v="125.84"/>
  </r>
  <r>
    <x v="2"/>
    <x v="4"/>
    <x v="15"/>
    <x v="1"/>
    <x v="0"/>
    <x v="0"/>
    <n v="6.22"/>
    <n v="6.22"/>
    <n v="4.47"/>
    <n v="5.73"/>
  </r>
  <r>
    <x v="2"/>
    <x v="4"/>
    <x v="15"/>
    <x v="0"/>
    <x v="4"/>
    <x v="0"/>
    <n v="5.0199999999999996"/>
    <n v="5.0199999999999996"/>
    <n v="0.86"/>
    <n v="4.9000000000000004"/>
  </r>
  <r>
    <x v="2"/>
    <x v="4"/>
    <x v="15"/>
    <x v="2"/>
    <x v="4"/>
    <x v="0"/>
    <n v="2.61"/>
    <n v="2.61"/>
    <n v="1.17"/>
    <n v="2.38"/>
  </r>
  <r>
    <x v="2"/>
    <x v="4"/>
    <x v="15"/>
    <x v="4"/>
    <x v="1"/>
    <x v="0"/>
    <n v="9.32"/>
    <n v="9.32"/>
    <n v="0.68"/>
    <n v="8.1300000000000008"/>
  </r>
  <r>
    <x v="2"/>
    <x v="4"/>
    <x v="15"/>
    <x v="1"/>
    <x v="2"/>
    <x v="0"/>
    <n v="7.11"/>
    <n v="7.11"/>
    <n v="0.12"/>
    <n v="6.09"/>
  </r>
  <r>
    <x v="2"/>
    <x v="4"/>
    <x v="15"/>
    <x v="4"/>
    <x v="0"/>
    <x v="0"/>
    <n v="0.18"/>
    <n v="0.18"/>
    <n v="0.03"/>
    <n v="0.15"/>
  </r>
  <r>
    <x v="2"/>
    <x v="4"/>
    <x v="15"/>
    <x v="3"/>
    <x v="1"/>
    <x v="0"/>
    <n v="0.11"/>
    <n v="0.11"/>
    <n v="0.01"/>
    <n v="0.11"/>
  </r>
  <r>
    <x v="2"/>
    <x v="4"/>
    <x v="15"/>
    <x v="3"/>
    <x v="4"/>
    <x v="0"/>
    <n v="7.71"/>
    <n v="7.71"/>
    <n v="2.13"/>
    <n v="7.06"/>
  </r>
  <r>
    <x v="2"/>
    <x v="4"/>
    <x v="15"/>
    <x v="3"/>
    <x v="0"/>
    <x v="0"/>
    <n v="0.56000000000000005"/>
    <n v="0.56000000000000005"/>
    <n v="0.45"/>
    <n v="0.56000000000000005"/>
  </r>
  <r>
    <x v="2"/>
    <x v="4"/>
    <x v="15"/>
    <x v="2"/>
    <x v="3"/>
    <x v="1"/>
    <n v="5.32"/>
    <n v="5.32"/>
    <n v="0.01"/>
    <n v="4.7300000000000004"/>
  </r>
  <r>
    <x v="2"/>
    <x v="4"/>
    <x v="15"/>
    <x v="2"/>
    <x v="1"/>
    <x v="1"/>
    <n v="0.09"/>
    <n v="0.09"/>
    <n v="0"/>
    <n v="0.09"/>
  </r>
  <r>
    <x v="2"/>
    <x v="4"/>
    <x v="15"/>
    <x v="0"/>
    <x v="0"/>
    <x v="0"/>
    <n v="3.95"/>
    <n v="3.95"/>
    <n v="1.67"/>
    <n v="3.71"/>
  </r>
  <r>
    <x v="2"/>
    <x v="5"/>
    <x v="16"/>
    <x v="0"/>
    <x v="4"/>
    <x v="0"/>
    <n v="5.98"/>
    <n v="6.02"/>
    <n v="1.79"/>
    <n v="5.6"/>
  </r>
  <r>
    <x v="2"/>
    <x v="5"/>
    <x v="16"/>
    <x v="2"/>
    <x v="3"/>
    <x v="1"/>
    <n v="2.4900000000000002"/>
    <n v="2.5"/>
    <n v="0.01"/>
    <n v="2.2999999999999998"/>
  </r>
  <r>
    <x v="2"/>
    <x v="5"/>
    <x v="16"/>
    <x v="4"/>
    <x v="1"/>
    <x v="2"/>
    <n v="0.05"/>
    <n v="0.05"/>
    <n v="0"/>
    <n v="0.05"/>
  </r>
  <r>
    <x v="2"/>
    <x v="5"/>
    <x v="16"/>
    <x v="2"/>
    <x v="3"/>
    <x v="2"/>
    <n v="1.28"/>
    <n v="1.29"/>
    <n v="0"/>
    <n v="1.28"/>
  </r>
  <r>
    <x v="2"/>
    <x v="5"/>
    <x v="16"/>
    <x v="2"/>
    <x v="2"/>
    <x v="3"/>
    <n v="0"/>
    <n v="0"/>
    <n v="0"/>
    <n v="0"/>
  </r>
  <r>
    <x v="2"/>
    <x v="5"/>
    <x v="16"/>
    <x v="2"/>
    <x v="3"/>
    <x v="3"/>
    <n v="0.22"/>
    <n v="0.22"/>
    <n v="0"/>
    <n v="0.22"/>
  </r>
  <r>
    <x v="2"/>
    <x v="5"/>
    <x v="16"/>
    <x v="4"/>
    <x v="0"/>
    <x v="1"/>
    <n v="0.37"/>
    <n v="0.37"/>
    <n v="0.02"/>
    <n v="0.35"/>
  </r>
  <r>
    <x v="2"/>
    <x v="5"/>
    <x v="16"/>
    <x v="4"/>
    <x v="4"/>
    <x v="1"/>
    <n v="0.08"/>
    <n v="0.08"/>
    <n v="0.01"/>
    <n v="7.0000000000000007E-2"/>
  </r>
  <r>
    <x v="2"/>
    <x v="5"/>
    <x v="16"/>
    <x v="4"/>
    <x v="1"/>
    <x v="1"/>
    <n v="0.05"/>
    <n v="0.05"/>
    <n v="0"/>
    <n v="0.04"/>
  </r>
  <r>
    <x v="2"/>
    <x v="5"/>
    <x v="16"/>
    <x v="0"/>
    <x v="0"/>
    <x v="1"/>
    <n v="0.59"/>
    <n v="0.59"/>
    <n v="0.03"/>
    <n v="0.54"/>
  </r>
  <r>
    <x v="2"/>
    <x v="5"/>
    <x v="16"/>
    <x v="0"/>
    <x v="4"/>
    <x v="1"/>
    <n v="0.47"/>
    <n v="0.48"/>
    <n v="0.01"/>
    <n v="0.44"/>
  </r>
  <r>
    <x v="2"/>
    <x v="5"/>
    <x v="16"/>
    <x v="1"/>
    <x v="0"/>
    <x v="1"/>
    <n v="4.22"/>
    <n v="4.25"/>
    <n v="0.18"/>
    <n v="4.2"/>
  </r>
  <r>
    <x v="2"/>
    <x v="5"/>
    <x v="16"/>
    <x v="1"/>
    <x v="4"/>
    <x v="1"/>
    <n v="3.65"/>
    <n v="3.67"/>
    <n v="0.11"/>
    <n v="3.58"/>
  </r>
  <r>
    <x v="2"/>
    <x v="5"/>
    <x v="16"/>
    <x v="4"/>
    <x v="4"/>
    <x v="2"/>
    <n v="0.13"/>
    <n v="0.13"/>
    <n v="0.01"/>
    <n v="0.11"/>
  </r>
  <r>
    <x v="2"/>
    <x v="5"/>
    <x v="16"/>
    <x v="1"/>
    <x v="2"/>
    <x v="1"/>
    <n v="2.5299999999999998"/>
    <n v="2.54"/>
    <n v="0.02"/>
    <n v="2.38"/>
  </r>
  <r>
    <x v="2"/>
    <x v="5"/>
    <x v="16"/>
    <x v="4"/>
    <x v="1"/>
    <x v="0"/>
    <n v="1.26"/>
    <n v="1.27"/>
    <n v="0.08"/>
    <n v="1.2"/>
  </r>
  <r>
    <x v="2"/>
    <x v="5"/>
    <x v="16"/>
    <x v="3"/>
    <x v="0"/>
    <x v="0"/>
    <n v="0.28000000000000003"/>
    <n v="0.28000000000000003"/>
    <n v="0.22"/>
    <n v="0.27"/>
  </r>
  <r>
    <x v="2"/>
    <x v="5"/>
    <x v="16"/>
    <x v="3"/>
    <x v="4"/>
    <x v="0"/>
    <n v="1.34"/>
    <n v="1.35"/>
    <n v="0.31"/>
    <n v="1.29"/>
  </r>
  <r>
    <x v="2"/>
    <x v="5"/>
    <x v="16"/>
    <x v="3"/>
    <x v="1"/>
    <x v="0"/>
    <n v="0.03"/>
    <n v="0.03"/>
    <n v="0"/>
    <n v="0.02"/>
  </r>
  <r>
    <x v="2"/>
    <x v="5"/>
    <x v="16"/>
    <x v="4"/>
    <x v="0"/>
    <x v="0"/>
    <n v="0.03"/>
    <n v="0.03"/>
    <n v="0.01"/>
    <n v="0.03"/>
  </r>
  <r>
    <x v="2"/>
    <x v="5"/>
    <x v="16"/>
    <x v="4"/>
    <x v="4"/>
    <x v="0"/>
    <n v="9.02"/>
    <n v="9.08"/>
    <n v="1.24"/>
    <n v="8.5500000000000007"/>
  </r>
  <r>
    <x v="2"/>
    <x v="5"/>
    <x v="16"/>
    <x v="0"/>
    <x v="0"/>
    <x v="0"/>
    <n v="1.56"/>
    <n v="1.57"/>
    <n v="1.31"/>
    <n v="1.43"/>
  </r>
  <r>
    <x v="2"/>
    <x v="5"/>
    <x v="16"/>
    <x v="1"/>
    <x v="1"/>
    <x v="0"/>
    <n v="8.58"/>
    <n v="8.64"/>
    <n v="0.76"/>
    <n v="7.9"/>
  </r>
  <r>
    <x v="2"/>
    <x v="5"/>
    <x v="16"/>
    <x v="1"/>
    <x v="2"/>
    <x v="0"/>
    <n v="0.31"/>
    <n v="0.32"/>
    <n v="0.01"/>
    <n v="0.28000000000000003"/>
  </r>
  <r>
    <x v="2"/>
    <x v="5"/>
    <x v="16"/>
    <x v="2"/>
    <x v="0"/>
    <x v="0"/>
    <n v="2"/>
    <n v="2.02"/>
    <n v="1.39"/>
    <n v="1.9"/>
  </r>
  <r>
    <x v="2"/>
    <x v="5"/>
    <x v="16"/>
    <x v="2"/>
    <x v="4"/>
    <x v="0"/>
    <n v="1.81"/>
    <n v="1.82"/>
    <n v="0.43"/>
    <n v="1.72"/>
  </r>
  <r>
    <x v="2"/>
    <x v="5"/>
    <x v="16"/>
    <x v="1"/>
    <x v="4"/>
    <x v="0"/>
    <n v="45.36"/>
    <n v="45.66"/>
    <n v="12.58"/>
    <n v="41.82"/>
  </r>
  <r>
    <x v="2"/>
    <x v="5"/>
    <x v="16"/>
    <x v="1"/>
    <x v="1"/>
    <x v="1"/>
    <n v="2.96"/>
    <n v="2.98"/>
    <n v="0.05"/>
    <n v="2.9"/>
  </r>
  <r>
    <x v="2"/>
    <x v="5"/>
    <x v="16"/>
    <x v="1"/>
    <x v="0"/>
    <x v="0"/>
    <n v="3.06"/>
    <n v="3.08"/>
    <n v="1.91"/>
    <n v="2.87"/>
  </r>
  <r>
    <x v="2"/>
    <x v="6"/>
    <x v="17"/>
    <x v="1"/>
    <x v="4"/>
    <x v="0"/>
    <n v="160.32"/>
    <n v="146.15"/>
    <n v="46.19"/>
    <n v="147.25"/>
  </r>
  <r>
    <x v="2"/>
    <x v="6"/>
    <x v="17"/>
    <x v="3"/>
    <x v="0"/>
    <x v="0"/>
    <n v="0.54"/>
    <n v="0.49"/>
    <n v="0.5"/>
    <n v="0.54"/>
  </r>
  <r>
    <x v="2"/>
    <x v="6"/>
    <x v="17"/>
    <x v="4"/>
    <x v="1"/>
    <x v="0"/>
    <n v="34.26"/>
    <n v="31.23"/>
    <n v="1.92"/>
    <n v="31.01"/>
  </r>
  <r>
    <x v="2"/>
    <x v="6"/>
    <x v="17"/>
    <x v="3"/>
    <x v="4"/>
    <x v="0"/>
    <n v="6.15"/>
    <n v="5.6"/>
    <n v="1.82"/>
    <n v="5.6"/>
  </r>
  <r>
    <x v="2"/>
    <x v="6"/>
    <x v="17"/>
    <x v="2"/>
    <x v="3"/>
    <x v="1"/>
    <n v="19.38"/>
    <n v="17.670000000000002"/>
    <n v="0.02"/>
    <n v="17.95"/>
  </r>
  <r>
    <x v="2"/>
    <x v="6"/>
    <x v="17"/>
    <x v="3"/>
    <x v="1"/>
    <x v="0"/>
    <n v="7.0000000000000007E-2"/>
    <n v="0.06"/>
    <n v="0.01"/>
    <n v="7.0000000000000007E-2"/>
  </r>
  <r>
    <x v="2"/>
    <x v="6"/>
    <x v="17"/>
    <x v="4"/>
    <x v="0"/>
    <x v="0"/>
    <n v="2.33"/>
    <n v="2.13"/>
    <n v="2.25"/>
    <n v="2.31"/>
  </r>
  <r>
    <x v="2"/>
    <x v="6"/>
    <x v="17"/>
    <x v="4"/>
    <x v="4"/>
    <x v="0"/>
    <n v="113.89"/>
    <n v="103.82"/>
    <n v="17.68"/>
    <n v="102.73"/>
  </r>
  <r>
    <x v="2"/>
    <x v="6"/>
    <x v="17"/>
    <x v="0"/>
    <x v="0"/>
    <x v="0"/>
    <n v="10.77"/>
    <n v="9.82"/>
    <n v="10.28"/>
    <n v="9.5299999999999994"/>
  </r>
  <r>
    <x v="2"/>
    <x v="6"/>
    <x v="17"/>
    <x v="0"/>
    <x v="4"/>
    <x v="0"/>
    <n v="80.430000000000007"/>
    <n v="73.319999999999993"/>
    <n v="19.53"/>
    <n v="79.209999999999994"/>
  </r>
  <r>
    <x v="2"/>
    <x v="6"/>
    <x v="17"/>
    <x v="2"/>
    <x v="0"/>
    <x v="0"/>
    <n v="12.62"/>
    <n v="11.51"/>
    <n v="10.3"/>
    <n v="12.38"/>
  </r>
  <r>
    <x v="2"/>
    <x v="6"/>
    <x v="17"/>
    <x v="1"/>
    <x v="0"/>
    <x v="0"/>
    <n v="8.7899999999999991"/>
    <n v="8.01"/>
    <n v="6.24"/>
    <n v="8.02"/>
  </r>
  <r>
    <x v="2"/>
    <x v="6"/>
    <x v="17"/>
    <x v="1"/>
    <x v="1"/>
    <x v="0"/>
    <n v="47.67"/>
    <n v="43.46"/>
    <n v="3.36"/>
    <n v="42.62"/>
  </r>
  <r>
    <x v="2"/>
    <x v="6"/>
    <x v="17"/>
    <x v="2"/>
    <x v="4"/>
    <x v="1"/>
    <n v="0.8"/>
    <n v="0.73"/>
    <n v="0"/>
    <n v="0.8"/>
  </r>
  <r>
    <x v="2"/>
    <x v="6"/>
    <x v="17"/>
    <x v="1"/>
    <x v="2"/>
    <x v="0"/>
    <n v="19.64"/>
    <n v="17.899999999999999"/>
    <n v="0.35"/>
    <n v="16.96"/>
  </r>
  <r>
    <x v="2"/>
    <x v="6"/>
    <x v="17"/>
    <x v="0"/>
    <x v="2"/>
    <x v="0"/>
    <n v="0.05"/>
    <n v="0.05"/>
    <n v="0"/>
    <n v="0.05"/>
  </r>
  <r>
    <x v="2"/>
    <x v="6"/>
    <x v="17"/>
    <x v="4"/>
    <x v="4"/>
    <x v="2"/>
    <n v="7.83"/>
    <n v="7.14"/>
    <n v="0.3"/>
    <n v="6.81"/>
  </r>
  <r>
    <x v="2"/>
    <x v="6"/>
    <x v="17"/>
    <x v="2"/>
    <x v="4"/>
    <x v="0"/>
    <n v="13.79"/>
    <n v="12.57"/>
    <n v="5.85"/>
    <n v="13.31"/>
  </r>
  <r>
    <x v="2"/>
    <x v="6"/>
    <x v="17"/>
    <x v="4"/>
    <x v="1"/>
    <x v="2"/>
    <n v="0.7"/>
    <n v="0.64"/>
    <n v="0.01"/>
    <n v="0.61"/>
  </r>
  <r>
    <x v="2"/>
    <x v="6"/>
    <x v="17"/>
    <x v="4"/>
    <x v="2"/>
    <x v="2"/>
    <n v="2.4500000000000002"/>
    <n v="2.23"/>
    <n v="0.02"/>
    <n v="2.13"/>
  </r>
  <r>
    <x v="2"/>
    <x v="6"/>
    <x v="17"/>
    <x v="1"/>
    <x v="4"/>
    <x v="2"/>
    <n v="7.96"/>
    <n v="7.26"/>
    <n v="0.28999999999999998"/>
    <n v="6.93"/>
  </r>
  <r>
    <x v="2"/>
    <x v="6"/>
    <x v="17"/>
    <x v="1"/>
    <x v="2"/>
    <x v="2"/>
    <n v="0.46"/>
    <n v="0.42"/>
    <n v="0"/>
    <n v="0.46"/>
  </r>
  <r>
    <x v="2"/>
    <x v="6"/>
    <x v="17"/>
    <x v="2"/>
    <x v="3"/>
    <x v="2"/>
    <n v="20.21"/>
    <n v="18.420000000000002"/>
    <n v="0.03"/>
    <n v="20.21"/>
  </r>
  <r>
    <x v="2"/>
    <x v="6"/>
    <x v="17"/>
    <x v="2"/>
    <x v="2"/>
    <x v="3"/>
    <n v="0.28999999999999998"/>
    <n v="0.26"/>
    <n v="0"/>
    <n v="0.28999999999999998"/>
  </r>
  <r>
    <x v="2"/>
    <x v="6"/>
    <x v="17"/>
    <x v="2"/>
    <x v="3"/>
    <x v="3"/>
    <n v="7.02"/>
    <n v="6.4"/>
    <n v="0.01"/>
    <n v="5.71"/>
  </r>
  <r>
    <x v="2"/>
    <x v="6"/>
    <x v="17"/>
    <x v="1"/>
    <x v="1"/>
    <x v="1"/>
    <n v="31.28"/>
    <n v="28.51"/>
    <n v="0.21"/>
    <n v="26.83"/>
  </r>
  <r>
    <x v="2"/>
    <x v="6"/>
    <x v="17"/>
    <x v="4"/>
    <x v="4"/>
    <x v="1"/>
    <n v="1.92"/>
    <n v="1.75"/>
    <n v="0.08"/>
    <n v="1.64"/>
  </r>
  <r>
    <x v="2"/>
    <x v="6"/>
    <x v="17"/>
    <x v="4"/>
    <x v="1"/>
    <x v="1"/>
    <n v="1.52"/>
    <n v="1.39"/>
    <n v="0.02"/>
    <n v="1.33"/>
  </r>
  <r>
    <x v="2"/>
    <x v="6"/>
    <x v="17"/>
    <x v="0"/>
    <x v="0"/>
    <x v="1"/>
    <n v="5.67"/>
    <n v="5.17"/>
    <n v="0.12"/>
    <n v="4.8499999999999996"/>
  </r>
  <r>
    <x v="2"/>
    <x v="6"/>
    <x v="17"/>
    <x v="0"/>
    <x v="4"/>
    <x v="1"/>
    <n v="10.34"/>
    <n v="9.43"/>
    <n v="0.14000000000000001"/>
    <n v="8.84"/>
  </r>
  <r>
    <x v="2"/>
    <x v="6"/>
    <x v="17"/>
    <x v="1"/>
    <x v="0"/>
    <x v="1"/>
    <n v="23.54"/>
    <n v="21.46"/>
    <n v="0.67"/>
    <n v="20.51"/>
  </r>
  <r>
    <x v="2"/>
    <x v="6"/>
    <x v="17"/>
    <x v="1"/>
    <x v="4"/>
    <x v="1"/>
    <n v="6.4"/>
    <n v="5.83"/>
    <n v="0.23"/>
    <n v="5.58"/>
  </r>
  <r>
    <x v="2"/>
    <x v="6"/>
    <x v="17"/>
    <x v="1"/>
    <x v="2"/>
    <x v="1"/>
    <n v="43.81"/>
    <n v="39.94"/>
    <n v="0.15"/>
    <n v="37.61"/>
  </r>
  <r>
    <x v="2"/>
    <x v="6"/>
    <x v="17"/>
    <x v="4"/>
    <x v="0"/>
    <x v="1"/>
    <n v="4.4400000000000004"/>
    <n v="4.05"/>
    <n v="0.22"/>
    <n v="3.81"/>
  </r>
  <r>
    <x v="2"/>
    <x v="6"/>
    <x v="18"/>
    <x v="0"/>
    <x v="0"/>
    <x v="0"/>
    <n v="9.19"/>
    <n v="8.24"/>
    <n v="8.2200000000000006"/>
    <n v="7.7"/>
  </r>
  <r>
    <x v="2"/>
    <x v="6"/>
    <x v="18"/>
    <x v="4"/>
    <x v="1"/>
    <x v="0"/>
    <n v="2.2999999999999998"/>
    <n v="2.06"/>
    <n v="0.2"/>
    <n v="1.95"/>
  </r>
  <r>
    <x v="2"/>
    <x v="6"/>
    <x v="18"/>
    <x v="4"/>
    <x v="4"/>
    <x v="0"/>
    <n v="28.78"/>
    <n v="25.8"/>
    <n v="4.1500000000000004"/>
    <n v="24.32"/>
  </r>
  <r>
    <x v="2"/>
    <x v="6"/>
    <x v="18"/>
    <x v="4"/>
    <x v="0"/>
    <x v="0"/>
    <n v="0.1"/>
    <n v="0.09"/>
    <n v="0.01"/>
    <n v="0.08"/>
  </r>
  <r>
    <x v="2"/>
    <x v="6"/>
    <x v="18"/>
    <x v="0"/>
    <x v="4"/>
    <x v="0"/>
    <n v="14.97"/>
    <n v="13.42"/>
    <n v="6.49"/>
    <n v="12.69"/>
  </r>
  <r>
    <x v="2"/>
    <x v="6"/>
    <x v="18"/>
    <x v="3"/>
    <x v="4"/>
    <x v="0"/>
    <n v="0.28999999999999998"/>
    <n v="0.26"/>
    <n v="0.08"/>
    <n v="0.25"/>
  </r>
  <r>
    <x v="2"/>
    <x v="6"/>
    <x v="18"/>
    <x v="2"/>
    <x v="0"/>
    <x v="0"/>
    <n v="6.93"/>
    <n v="6.21"/>
    <n v="5.03"/>
    <n v="6.29"/>
  </r>
  <r>
    <x v="2"/>
    <x v="6"/>
    <x v="18"/>
    <x v="3"/>
    <x v="1"/>
    <x v="0"/>
    <n v="0.04"/>
    <n v="0.03"/>
    <n v="0"/>
    <n v="0.03"/>
  </r>
  <r>
    <x v="2"/>
    <x v="6"/>
    <x v="18"/>
    <x v="0"/>
    <x v="2"/>
    <x v="0"/>
    <n v="0.47"/>
    <n v="0.42"/>
    <n v="0"/>
    <n v="0.47"/>
  </r>
  <r>
    <x v="2"/>
    <x v="6"/>
    <x v="18"/>
    <x v="1"/>
    <x v="0"/>
    <x v="0"/>
    <n v="4.29"/>
    <n v="3.85"/>
    <n v="3.16"/>
    <n v="3.62"/>
  </r>
  <r>
    <x v="2"/>
    <x v="6"/>
    <x v="18"/>
    <x v="1"/>
    <x v="4"/>
    <x v="0"/>
    <n v="70.13"/>
    <n v="62.87"/>
    <n v="18.45"/>
    <n v="59.37"/>
  </r>
  <r>
    <x v="2"/>
    <x v="6"/>
    <x v="18"/>
    <x v="1"/>
    <x v="2"/>
    <x v="0"/>
    <n v="5.86"/>
    <n v="5.25"/>
    <n v="0.11"/>
    <n v="4.8"/>
  </r>
  <r>
    <x v="2"/>
    <x v="6"/>
    <x v="18"/>
    <x v="2"/>
    <x v="4"/>
    <x v="0"/>
    <n v="7.06"/>
    <n v="6.32"/>
    <n v="2.66"/>
    <n v="6.18"/>
  </r>
  <r>
    <x v="2"/>
    <x v="6"/>
    <x v="18"/>
    <x v="3"/>
    <x v="0"/>
    <x v="0"/>
    <n v="0.2"/>
    <n v="0.18"/>
    <n v="0.14000000000000001"/>
    <n v="0.19"/>
  </r>
  <r>
    <x v="2"/>
    <x v="6"/>
    <x v="18"/>
    <x v="1"/>
    <x v="2"/>
    <x v="1"/>
    <n v="16.07"/>
    <n v="14.4"/>
    <n v="7.0000000000000007E-2"/>
    <n v="13.71"/>
  </r>
  <r>
    <x v="2"/>
    <x v="6"/>
    <x v="18"/>
    <x v="1"/>
    <x v="1"/>
    <x v="0"/>
    <n v="17.239999999999998"/>
    <n v="15.46"/>
    <n v="1.05"/>
    <n v="14.49"/>
  </r>
  <r>
    <x v="2"/>
    <x v="6"/>
    <x v="18"/>
    <x v="2"/>
    <x v="3"/>
    <x v="3"/>
    <n v="4.8499999999999996"/>
    <n v="4.34"/>
    <n v="0"/>
    <n v="3.88"/>
  </r>
  <r>
    <x v="2"/>
    <x v="6"/>
    <x v="18"/>
    <x v="4"/>
    <x v="1"/>
    <x v="2"/>
    <n v="2.79"/>
    <n v="2.5"/>
    <n v="0.03"/>
    <n v="2.33"/>
  </r>
  <r>
    <x v="2"/>
    <x v="6"/>
    <x v="18"/>
    <x v="2"/>
    <x v="3"/>
    <x v="1"/>
    <n v="10.11"/>
    <n v="9.06"/>
    <n v="0.01"/>
    <n v="9.84"/>
  </r>
  <r>
    <x v="2"/>
    <x v="6"/>
    <x v="18"/>
    <x v="2"/>
    <x v="4"/>
    <x v="1"/>
    <n v="0.56999999999999995"/>
    <n v="0.51"/>
    <n v="0"/>
    <n v="0.56999999999999995"/>
  </r>
  <r>
    <x v="2"/>
    <x v="6"/>
    <x v="18"/>
    <x v="1"/>
    <x v="1"/>
    <x v="2"/>
    <n v="3.31"/>
    <n v="2.96"/>
    <n v="0.03"/>
    <n v="2.76"/>
  </r>
  <r>
    <x v="2"/>
    <x v="6"/>
    <x v="18"/>
    <x v="1"/>
    <x v="2"/>
    <x v="2"/>
    <n v="1.21"/>
    <n v="1.0900000000000001"/>
    <n v="0"/>
    <n v="1.01"/>
  </r>
  <r>
    <x v="2"/>
    <x v="6"/>
    <x v="18"/>
    <x v="4"/>
    <x v="4"/>
    <x v="2"/>
    <n v="4.82"/>
    <n v="4.32"/>
    <n v="0.08"/>
    <n v="4.01"/>
  </r>
  <r>
    <x v="2"/>
    <x v="6"/>
    <x v="18"/>
    <x v="2"/>
    <x v="3"/>
    <x v="2"/>
    <n v="2.44"/>
    <n v="2.19"/>
    <n v="0"/>
    <n v="2.0299999999999998"/>
  </r>
  <r>
    <x v="2"/>
    <x v="6"/>
    <x v="18"/>
    <x v="4"/>
    <x v="2"/>
    <x v="2"/>
    <n v="0.54"/>
    <n v="0.49"/>
    <n v="0.01"/>
    <n v="0.45"/>
  </r>
  <r>
    <x v="2"/>
    <x v="6"/>
    <x v="18"/>
    <x v="4"/>
    <x v="0"/>
    <x v="1"/>
    <n v="0.96"/>
    <n v="0.86"/>
    <n v="0.06"/>
    <n v="0.82"/>
  </r>
  <r>
    <x v="2"/>
    <x v="6"/>
    <x v="18"/>
    <x v="4"/>
    <x v="4"/>
    <x v="1"/>
    <n v="0.09"/>
    <n v="0.08"/>
    <n v="0"/>
    <n v="0.08"/>
  </r>
  <r>
    <x v="2"/>
    <x v="6"/>
    <x v="18"/>
    <x v="4"/>
    <x v="1"/>
    <x v="1"/>
    <n v="0.31"/>
    <n v="0.28000000000000003"/>
    <n v="0.01"/>
    <n v="0.27"/>
  </r>
  <r>
    <x v="2"/>
    <x v="6"/>
    <x v="18"/>
    <x v="0"/>
    <x v="0"/>
    <x v="1"/>
    <n v="2.95"/>
    <n v="2.64"/>
    <n v="7.0000000000000007E-2"/>
    <n v="2.56"/>
  </r>
  <r>
    <x v="2"/>
    <x v="6"/>
    <x v="18"/>
    <x v="0"/>
    <x v="4"/>
    <x v="1"/>
    <n v="2.11"/>
    <n v="1.89"/>
    <n v="0.03"/>
    <n v="1.84"/>
  </r>
  <r>
    <x v="2"/>
    <x v="6"/>
    <x v="18"/>
    <x v="1"/>
    <x v="0"/>
    <x v="1"/>
    <n v="1.84"/>
    <n v="1.65"/>
    <n v="0.11"/>
    <n v="1.55"/>
  </r>
  <r>
    <x v="2"/>
    <x v="6"/>
    <x v="18"/>
    <x v="1"/>
    <x v="4"/>
    <x v="1"/>
    <n v="0.8"/>
    <n v="0.71"/>
    <n v="0.04"/>
    <n v="0.65"/>
  </r>
  <r>
    <x v="2"/>
    <x v="6"/>
    <x v="18"/>
    <x v="1"/>
    <x v="1"/>
    <x v="1"/>
    <n v="14.44"/>
    <n v="12.95"/>
    <n v="0.1"/>
    <n v="12.45"/>
  </r>
  <r>
    <x v="2"/>
    <x v="6"/>
    <x v="18"/>
    <x v="1"/>
    <x v="3"/>
    <x v="2"/>
    <n v="0.22"/>
    <n v="0.2"/>
    <n v="0"/>
    <n v="0.18"/>
  </r>
  <r>
    <x v="2"/>
    <x v="2"/>
    <x v="19"/>
    <x v="1"/>
    <x v="0"/>
    <x v="1"/>
    <n v="0.55000000000000004"/>
    <n v="0.56999999999999995"/>
    <n v="0.04"/>
    <n v="0.54"/>
  </r>
  <r>
    <x v="2"/>
    <x v="2"/>
    <x v="19"/>
    <x v="1"/>
    <x v="4"/>
    <x v="1"/>
    <n v="2.21"/>
    <n v="2.2799999999999998"/>
    <n v="0.09"/>
    <n v="2.21"/>
  </r>
  <r>
    <x v="2"/>
    <x v="2"/>
    <x v="19"/>
    <x v="0"/>
    <x v="4"/>
    <x v="1"/>
    <n v="0.3"/>
    <n v="0.31"/>
    <n v="0.01"/>
    <n v="0.27"/>
  </r>
  <r>
    <x v="2"/>
    <x v="2"/>
    <x v="19"/>
    <x v="0"/>
    <x v="0"/>
    <x v="1"/>
    <n v="0.34"/>
    <n v="0.35"/>
    <n v="0.02"/>
    <n v="0.31"/>
  </r>
  <r>
    <x v="2"/>
    <x v="2"/>
    <x v="19"/>
    <x v="4"/>
    <x v="1"/>
    <x v="1"/>
    <n v="0.02"/>
    <n v="0.02"/>
    <n v="0"/>
    <n v="0.02"/>
  </r>
  <r>
    <x v="2"/>
    <x v="2"/>
    <x v="19"/>
    <x v="1"/>
    <x v="1"/>
    <x v="1"/>
    <n v="0.73"/>
    <n v="0.76"/>
    <n v="0.01"/>
    <n v="0.7"/>
  </r>
  <r>
    <x v="2"/>
    <x v="2"/>
    <x v="19"/>
    <x v="4"/>
    <x v="4"/>
    <x v="1"/>
    <n v="0.04"/>
    <n v="0.04"/>
    <n v="0"/>
    <n v="0.03"/>
  </r>
  <r>
    <x v="2"/>
    <x v="2"/>
    <x v="19"/>
    <x v="4"/>
    <x v="0"/>
    <x v="1"/>
    <n v="0.35"/>
    <n v="0.36"/>
    <n v="0.02"/>
    <n v="0.34"/>
  </r>
  <r>
    <x v="2"/>
    <x v="2"/>
    <x v="19"/>
    <x v="2"/>
    <x v="3"/>
    <x v="3"/>
    <n v="2.08"/>
    <n v="2.14"/>
    <n v="0"/>
    <n v="2.08"/>
  </r>
  <r>
    <x v="2"/>
    <x v="2"/>
    <x v="19"/>
    <x v="2"/>
    <x v="2"/>
    <x v="3"/>
    <n v="0.13"/>
    <n v="0.14000000000000001"/>
    <n v="0"/>
    <n v="0.13"/>
  </r>
  <r>
    <x v="2"/>
    <x v="2"/>
    <x v="19"/>
    <x v="1"/>
    <x v="4"/>
    <x v="2"/>
    <n v="1.37"/>
    <n v="1.41"/>
    <n v="0.03"/>
    <n v="1.2"/>
  </r>
  <r>
    <x v="2"/>
    <x v="2"/>
    <x v="19"/>
    <x v="4"/>
    <x v="2"/>
    <x v="2"/>
    <n v="0.9"/>
    <n v="0.93"/>
    <n v="0.01"/>
    <n v="0.79"/>
  </r>
  <r>
    <x v="2"/>
    <x v="2"/>
    <x v="19"/>
    <x v="4"/>
    <x v="4"/>
    <x v="2"/>
    <n v="0.93"/>
    <n v="0.96"/>
    <n v="0.1"/>
    <n v="0.83"/>
  </r>
  <r>
    <x v="2"/>
    <x v="2"/>
    <x v="19"/>
    <x v="1"/>
    <x v="0"/>
    <x v="0"/>
    <n v="11.38"/>
    <n v="11.75"/>
    <n v="7.77"/>
    <n v="10.98"/>
  </r>
  <r>
    <x v="2"/>
    <x v="2"/>
    <x v="19"/>
    <x v="1"/>
    <x v="2"/>
    <x v="1"/>
    <n v="2.56"/>
    <n v="2.64"/>
    <n v="0.03"/>
    <n v="2.46"/>
  </r>
  <r>
    <x v="2"/>
    <x v="2"/>
    <x v="19"/>
    <x v="4"/>
    <x v="1"/>
    <x v="2"/>
    <n v="0.68"/>
    <n v="0.71"/>
    <n v="0.03"/>
    <n v="0.59"/>
  </r>
  <r>
    <x v="2"/>
    <x v="2"/>
    <x v="19"/>
    <x v="2"/>
    <x v="0"/>
    <x v="0"/>
    <n v="6.28"/>
    <n v="6.49"/>
    <n v="4.57"/>
    <n v="6.11"/>
  </r>
  <r>
    <x v="2"/>
    <x v="2"/>
    <x v="19"/>
    <x v="0"/>
    <x v="0"/>
    <x v="0"/>
    <n v="4.21"/>
    <n v="4.3499999999999996"/>
    <n v="3.78"/>
    <n v="3.82"/>
  </r>
  <r>
    <x v="2"/>
    <x v="2"/>
    <x v="19"/>
    <x v="2"/>
    <x v="4"/>
    <x v="0"/>
    <n v="9.42"/>
    <n v="9.73"/>
    <n v="2.2799999999999998"/>
    <n v="9.1999999999999993"/>
  </r>
  <r>
    <x v="2"/>
    <x v="2"/>
    <x v="19"/>
    <x v="1"/>
    <x v="2"/>
    <x v="0"/>
    <n v="0.52"/>
    <n v="0.54"/>
    <n v="0.01"/>
    <n v="0.46"/>
  </r>
  <r>
    <x v="2"/>
    <x v="2"/>
    <x v="19"/>
    <x v="1"/>
    <x v="1"/>
    <x v="0"/>
    <n v="26.78"/>
    <n v="27.66"/>
    <n v="1.77"/>
    <n v="25.55"/>
  </r>
  <r>
    <x v="2"/>
    <x v="2"/>
    <x v="19"/>
    <x v="1"/>
    <x v="4"/>
    <x v="0"/>
    <n v="136.1"/>
    <n v="140.58000000000001"/>
    <n v="29.6"/>
    <n v="129.84"/>
  </r>
  <r>
    <x v="2"/>
    <x v="2"/>
    <x v="19"/>
    <x v="0"/>
    <x v="4"/>
    <x v="0"/>
    <n v="32.58"/>
    <n v="33.659999999999997"/>
    <n v="8.26"/>
    <n v="31.12"/>
  </r>
  <r>
    <x v="2"/>
    <x v="2"/>
    <x v="19"/>
    <x v="4"/>
    <x v="1"/>
    <x v="0"/>
    <n v="3.94"/>
    <n v="4.0599999999999996"/>
    <n v="0.25"/>
    <n v="3.67"/>
  </r>
  <r>
    <x v="2"/>
    <x v="2"/>
    <x v="19"/>
    <x v="4"/>
    <x v="0"/>
    <x v="0"/>
    <n v="0"/>
    <n v="0"/>
    <n v="0"/>
    <n v="0"/>
  </r>
  <r>
    <x v="2"/>
    <x v="2"/>
    <x v="19"/>
    <x v="3"/>
    <x v="1"/>
    <x v="0"/>
    <n v="1.1299999999999999"/>
    <n v="1.1599999999999999"/>
    <n v="0.13"/>
    <n v="1.1000000000000001"/>
  </r>
  <r>
    <x v="2"/>
    <x v="2"/>
    <x v="19"/>
    <x v="3"/>
    <x v="4"/>
    <x v="0"/>
    <n v="9.2100000000000009"/>
    <n v="9.52"/>
    <n v="2.81"/>
    <n v="8.99"/>
  </r>
  <r>
    <x v="2"/>
    <x v="2"/>
    <x v="19"/>
    <x v="3"/>
    <x v="0"/>
    <x v="0"/>
    <n v="4.72"/>
    <n v="4.87"/>
    <n v="3.55"/>
    <n v="4.6100000000000003"/>
  </r>
  <r>
    <x v="2"/>
    <x v="2"/>
    <x v="19"/>
    <x v="2"/>
    <x v="3"/>
    <x v="1"/>
    <n v="1.1100000000000001"/>
    <n v="1.1499999999999999"/>
    <n v="0"/>
    <n v="1.02"/>
  </r>
  <r>
    <x v="2"/>
    <x v="2"/>
    <x v="19"/>
    <x v="4"/>
    <x v="4"/>
    <x v="0"/>
    <n v="34.19"/>
    <n v="35.32"/>
    <n v="5.05"/>
    <n v="31.98"/>
  </r>
  <r>
    <x v="2"/>
    <x v="2"/>
    <x v="19"/>
    <x v="1"/>
    <x v="3"/>
    <x v="1"/>
    <n v="0.35"/>
    <n v="0.36"/>
    <n v="0"/>
    <n v="0.31"/>
  </r>
  <r>
    <x v="2"/>
    <x v="7"/>
    <x v="20"/>
    <x v="0"/>
    <x v="4"/>
    <x v="0"/>
    <n v="10.25"/>
    <n v="10.95"/>
    <n v="2.96"/>
    <n v="9.57"/>
  </r>
  <r>
    <x v="2"/>
    <x v="7"/>
    <x v="20"/>
    <x v="1"/>
    <x v="2"/>
    <x v="1"/>
    <n v="4.12"/>
    <n v="4.4000000000000004"/>
    <n v="0.04"/>
    <n v="3.87"/>
  </r>
  <r>
    <x v="2"/>
    <x v="7"/>
    <x v="20"/>
    <x v="2"/>
    <x v="3"/>
    <x v="1"/>
    <n v="6.42"/>
    <n v="6.86"/>
    <n v="0.01"/>
    <n v="5.93"/>
  </r>
  <r>
    <x v="2"/>
    <x v="7"/>
    <x v="20"/>
    <x v="3"/>
    <x v="0"/>
    <x v="0"/>
    <n v="1.05"/>
    <n v="1.1200000000000001"/>
    <n v="0.82"/>
    <n v="1.03"/>
  </r>
  <r>
    <x v="2"/>
    <x v="7"/>
    <x v="20"/>
    <x v="3"/>
    <x v="4"/>
    <x v="0"/>
    <n v="5.98"/>
    <n v="6.39"/>
    <n v="1.76"/>
    <n v="5.65"/>
  </r>
  <r>
    <x v="2"/>
    <x v="7"/>
    <x v="20"/>
    <x v="3"/>
    <x v="1"/>
    <x v="0"/>
    <n v="0.23"/>
    <n v="0.24"/>
    <n v="0.03"/>
    <n v="0.22"/>
  </r>
  <r>
    <x v="2"/>
    <x v="7"/>
    <x v="20"/>
    <x v="4"/>
    <x v="0"/>
    <x v="0"/>
    <n v="0.28999999999999998"/>
    <n v="0.31"/>
    <n v="0.06"/>
    <n v="0.27"/>
  </r>
  <r>
    <x v="2"/>
    <x v="7"/>
    <x v="20"/>
    <x v="4"/>
    <x v="4"/>
    <x v="0"/>
    <n v="68.19"/>
    <n v="72.819999999999993"/>
    <n v="9.6300000000000008"/>
    <n v="63.04"/>
  </r>
  <r>
    <x v="2"/>
    <x v="7"/>
    <x v="20"/>
    <x v="1"/>
    <x v="4"/>
    <x v="0"/>
    <n v="88.32"/>
    <n v="94.31"/>
    <n v="21.22"/>
    <n v="81.87"/>
  </r>
  <r>
    <x v="2"/>
    <x v="7"/>
    <x v="20"/>
    <x v="0"/>
    <x v="0"/>
    <x v="0"/>
    <n v="2.5099999999999998"/>
    <n v="2.68"/>
    <n v="2.21"/>
    <n v="2.27"/>
  </r>
  <r>
    <x v="2"/>
    <x v="7"/>
    <x v="20"/>
    <x v="1"/>
    <x v="0"/>
    <x v="0"/>
    <n v="5.8"/>
    <n v="6.2"/>
    <n v="3.7"/>
    <n v="5.44"/>
  </r>
  <r>
    <x v="2"/>
    <x v="7"/>
    <x v="20"/>
    <x v="1"/>
    <x v="1"/>
    <x v="1"/>
    <n v="2.99"/>
    <n v="3.2"/>
    <n v="0.04"/>
    <n v="2.8"/>
  </r>
  <r>
    <x v="2"/>
    <x v="7"/>
    <x v="20"/>
    <x v="1"/>
    <x v="2"/>
    <x v="0"/>
    <n v="0.6"/>
    <n v="0.64"/>
    <n v="0.01"/>
    <n v="0.53"/>
  </r>
  <r>
    <x v="2"/>
    <x v="7"/>
    <x v="20"/>
    <x v="2"/>
    <x v="2"/>
    <x v="3"/>
    <n v="1.38"/>
    <n v="1.47"/>
    <n v="0"/>
    <n v="1.38"/>
  </r>
  <r>
    <x v="2"/>
    <x v="7"/>
    <x v="20"/>
    <x v="4"/>
    <x v="1"/>
    <x v="0"/>
    <n v="10.6"/>
    <n v="11.32"/>
    <n v="0.67"/>
    <n v="9.85"/>
  </r>
  <r>
    <x v="2"/>
    <x v="7"/>
    <x v="20"/>
    <x v="2"/>
    <x v="0"/>
    <x v="0"/>
    <n v="2.77"/>
    <n v="2.96"/>
    <n v="2.0099999999999998"/>
    <n v="2.62"/>
  </r>
  <r>
    <x v="2"/>
    <x v="7"/>
    <x v="20"/>
    <x v="2"/>
    <x v="4"/>
    <x v="0"/>
    <n v="4.66"/>
    <n v="4.9800000000000004"/>
    <n v="1.1499999999999999"/>
    <n v="4.3899999999999997"/>
  </r>
  <r>
    <x v="2"/>
    <x v="7"/>
    <x v="20"/>
    <x v="4"/>
    <x v="4"/>
    <x v="2"/>
    <n v="0.25"/>
    <n v="0.27"/>
    <n v="0.02"/>
    <n v="0.22"/>
  </r>
  <r>
    <x v="2"/>
    <x v="7"/>
    <x v="20"/>
    <x v="4"/>
    <x v="1"/>
    <x v="2"/>
    <n v="0.13"/>
    <n v="0.14000000000000001"/>
    <n v="0.01"/>
    <n v="0.12"/>
  </r>
  <r>
    <x v="2"/>
    <x v="7"/>
    <x v="20"/>
    <x v="4"/>
    <x v="2"/>
    <x v="2"/>
    <n v="0.17"/>
    <n v="0.18"/>
    <n v="0"/>
    <n v="0.15"/>
  </r>
  <r>
    <x v="2"/>
    <x v="7"/>
    <x v="20"/>
    <x v="1"/>
    <x v="4"/>
    <x v="2"/>
    <n v="1.01"/>
    <n v="1.07"/>
    <n v="0.01"/>
    <n v="0.88"/>
  </r>
  <r>
    <x v="2"/>
    <x v="7"/>
    <x v="20"/>
    <x v="4"/>
    <x v="0"/>
    <x v="1"/>
    <n v="0.88"/>
    <n v="0.94"/>
    <n v="0.04"/>
    <n v="0.82"/>
  </r>
  <r>
    <x v="2"/>
    <x v="7"/>
    <x v="20"/>
    <x v="2"/>
    <x v="3"/>
    <x v="2"/>
    <n v="3.1"/>
    <n v="3.32"/>
    <n v="0.01"/>
    <n v="2.76"/>
  </r>
  <r>
    <x v="2"/>
    <x v="7"/>
    <x v="20"/>
    <x v="1"/>
    <x v="4"/>
    <x v="1"/>
    <n v="2.06"/>
    <n v="2.2000000000000002"/>
    <n v="0.08"/>
    <n v="1.96"/>
  </r>
  <r>
    <x v="2"/>
    <x v="7"/>
    <x v="20"/>
    <x v="2"/>
    <x v="3"/>
    <x v="3"/>
    <n v="16.64"/>
    <n v="17.77"/>
    <n v="0.01"/>
    <n v="16.64"/>
  </r>
  <r>
    <x v="2"/>
    <x v="7"/>
    <x v="20"/>
    <x v="4"/>
    <x v="4"/>
    <x v="1"/>
    <n v="0.09"/>
    <n v="0.1"/>
    <n v="0.01"/>
    <n v="0.08"/>
  </r>
  <r>
    <x v="2"/>
    <x v="7"/>
    <x v="20"/>
    <x v="4"/>
    <x v="1"/>
    <x v="1"/>
    <n v="0.09"/>
    <n v="0.09"/>
    <n v="0"/>
    <n v="0.08"/>
  </r>
  <r>
    <x v="2"/>
    <x v="7"/>
    <x v="20"/>
    <x v="0"/>
    <x v="0"/>
    <x v="1"/>
    <n v="2.71"/>
    <n v="2.89"/>
    <n v="0.1"/>
    <n v="2.5"/>
  </r>
  <r>
    <x v="2"/>
    <x v="7"/>
    <x v="20"/>
    <x v="0"/>
    <x v="4"/>
    <x v="1"/>
    <n v="2.4"/>
    <n v="2.56"/>
    <n v="0.05"/>
    <n v="2.21"/>
  </r>
  <r>
    <x v="2"/>
    <x v="7"/>
    <x v="20"/>
    <x v="1"/>
    <x v="0"/>
    <x v="1"/>
    <n v="5.3"/>
    <n v="5.66"/>
    <n v="0.34"/>
    <n v="5.19"/>
  </r>
  <r>
    <x v="2"/>
    <x v="7"/>
    <x v="20"/>
    <x v="1"/>
    <x v="1"/>
    <x v="2"/>
    <n v="0.01"/>
    <n v="0.01"/>
    <n v="0"/>
    <n v="0.01"/>
  </r>
  <r>
    <x v="2"/>
    <x v="7"/>
    <x v="20"/>
    <x v="1"/>
    <x v="1"/>
    <x v="0"/>
    <n v="20.3"/>
    <n v="21.68"/>
    <n v="1.54"/>
    <n v="18.82"/>
  </r>
  <r>
    <x v="2"/>
    <x v="2"/>
    <x v="21"/>
    <x v="4"/>
    <x v="1"/>
    <x v="0"/>
    <n v="9.99"/>
    <n v="10.32"/>
    <n v="0.64"/>
    <n v="9.4700000000000006"/>
  </r>
  <r>
    <x v="2"/>
    <x v="2"/>
    <x v="21"/>
    <x v="4"/>
    <x v="1"/>
    <x v="1"/>
    <n v="0.5"/>
    <n v="0.52"/>
    <n v="0.03"/>
    <n v="0.46"/>
  </r>
  <r>
    <x v="2"/>
    <x v="2"/>
    <x v="21"/>
    <x v="0"/>
    <x v="0"/>
    <x v="1"/>
    <n v="9.98"/>
    <n v="10.31"/>
    <n v="0.41"/>
    <n v="8.99"/>
  </r>
  <r>
    <x v="2"/>
    <x v="2"/>
    <x v="21"/>
    <x v="0"/>
    <x v="4"/>
    <x v="1"/>
    <n v="8.61"/>
    <n v="8.9"/>
    <n v="0.18"/>
    <n v="7.76"/>
  </r>
  <r>
    <x v="2"/>
    <x v="2"/>
    <x v="21"/>
    <x v="1"/>
    <x v="0"/>
    <x v="1"/>
    <n v="2.71"/>
    <n v="2.8"/>
    <n v="0.22"/>
    <n v="2.5499999999999998"/>
  </r>
  <r>
    <x v="2"/>
    <x v="2"/>
    <x v="21"/>
    <x v="1"/>
    <x v="4"/>
    <x v="1"/>
    <n v="1.47"/>
    <n v="1.52"/>
    <n v="0.08"/>
    <n v="1.47"/>
  </r>
  <r>
    <x v="2"/>
    <x v="2"/>
    <x v="21"/>
    <x v="1"/>
    <x v="1"/>
    <x v="1"/>
    <n v="12.23"/>
    <n v="12.63"/>
    <n v="0.14000000000000001"/>
    <n v="11.15"/>
  </r>
  <r>
    <x v="2"/>
    <x v="2"/>
    <x v="21"/>
    <x v="1"/>
    <x v="2"/>
    <x v="1"/>
    <n v="21.96"/>
    <n v="22.68"/>
    <n v="0.11"/>
    <n v="19.89"/>
  </r>
  <r>
    <x v="2"/>
    <x v="2"/>
    <x v="21"/>
    <x v="1"/>
    <x v="3"/>
    <x v="1"/>
    <n v="0.84"/>
    <n v="0.86"/>
    <n v="0"/>
    <n v="0.76"/>
  </r>
  <r>
    <x v="2"/>
    <x v="2"/>
    <x v="21"/>
    <x v="2"/>
    <x v="3"/>
    <x v="1"/>
    <n v="31.66"/>
    <n v="32.700000000000003"/>
    <n v="0.06"/>
    <n v="28.75"/>
  </r>
  <r>
    <x v="2"/>
    <x v="2"/>
    <x v="21"/>
    <x v="3"/>
    <x v="0"/>
    <x v="0"/>
    <n v="1.34"/>
    <n v="1.39"/>
    <n v="1.07"/>
    <n v="1.32"/>
  </r>
  <r>
    <x v="2"/>
    <x v="2"/>
    <x v="21"/>
    <x v="4"/>
    <x v="4"/>
    <x v="1"/>
    <n v="0.73"/>
    <n v="0.75"/>
    <n v="0.09"/>
    <n v="0.66"/>
  </r>
  <r>
    <x v="2"/>
    <x v="2"/>
    <x v="21"/>
    <x v="4"/>
    <x v="4"/>
    <x v="0"/>
    <n v="78.650000000000006"/>
    <n v="81.25"/>
    <n v="10.94"/>
    <n v="73.98"/>
  </r>
  <r>
    <x v="2"/>
    <x v="2"/>
    <x v="21"/>
    <x v="3"/>
    <x v="4"/>
    <x v="0"/>
    <n v="11.59"/>
    <n v="11.98"/>
    <n v="3.18"/>
    <n v="10.88"/>
  </r>
  <r>
    <x v="2"/>
    <x v="2"/>
    <x v="21"/>
    <x v="0"/>
    <x v="0"/>
    <x v="0"/>
    <n v="13.53"/>
    <n v="13.98"/>
    <n v="8.84"/>
    <n v="12.35"/>
  </r>
  <r>
    <x v="2"/>
    <x v="2"/>
    <x v="21"/>
    <x v="0"/>
    <x v="4"/>
    <x v="0"/>
    <n v="32.200000000000003"/>
    <n v="33.26"/>
    <n v="8.9"/>
    <n v="29.87"/>
  </r>
  <r>
    <x v="2"/>
    <x v="2"/>
    <x v="21"/>
    <x v="0"/>
    <x v="2"/>
    <x v="0"/>
    <n v="0.65"/>
    <n v="0.67"/>
    <n v="0.01"/>
    <n v="0.63"/>
  </r>
  <r>
    <x v="2"/>
    <x v="2"/>
    <x v="21"/>
    <x v="1"/>
    <x v="0"/>
    <x v="0"/>
    <n v="18.41"/>
    <n v="19.010000000000002"/>
    <n v="9.69"/>
    <n v="17.04"/>
  </r>
  <r>
    <x v="2"/>
    <x v="2"/>
    <x v="21"/>
    <x v="1"/>
    <x v="4"/>
    <x v="0"/>
    <n v="233.27"/>
    <n v="240.95"/>
    <n v="52.23"/>
    <n v="215.1"/>
  </r>
  <r>
    <x v="2"/>
    <x v="2"/>
    <x v="21"/>
    <x v="1"/>
    <x v="1"/>
    <x v="0"/>
    <n v="50.02"/>
    <n v="51.67"/>
    <n v="2.97"/>
    <n v="46.25"/>
  </r>
  <r>
    <x v="2"/>
    <x v="2"/>
    <x v="21"/>
    <x v="1"/>
    <x v="2"/>
    <x v="0"/>
    <n v="3.17"/>
    <n v="3.27"/>
    <n v="0.05"/>
    <n v="2.88"/>
  </r>
  <r>
    <x v="2"/>
    <x v="2"/>
    <x v="21"/>
    <x v="2"/>
    <x v="0"/>
    <x v="0"/>
    <n v="15.18"/>
    <n v="15.68"/>
    <n v="9.24"/>
    <n v="14.23"/>
  </r>
  <r>
    <x v="2"/>
    <x v="2"/>
    <x v="21"/>
    <x v="2"/>
    <x v="4"/>
    <x v="0"/>
    <n v="14.46"/>
    <n v="14.93"/>
    <n v="2.96"/>
    <n v="13.7"/>
  </r>
  <r>
    <x v="2"/>
    <x v="2"/>
    <x v="21"/>
    <x v="4"/>
    <x v="4"/>
    <x v="2"/>
    <n v="1.56"/>
    <n v="1.61"/>
    <n v="0.08"/>
    <n v="1.43"/>
  </r>
  <r>
    <x v="2"/>
    <x v="2"/>
    <x v="21"/>
    <x v="3"/>
    <x v="1"/>
    <x v="0"/>
    <n v="0.32"/>
    <n v="0.33"/>
    <n v="0.04"/>
    <n v="0.31"/>
  </r>
  <r>
    <x v="2"/>
    <x v="2"/>
    <x v="21"/>
    <x v="4"/>
    <x v="0"/>
    <x v="0"/>
    <n v="0.41"/>
    <n v="0.42"/>
    <n v="0.09"/>
    <n v="0.38"/>
  </r>
  <r>
    <x v="2"/>
    <x v="2"/>
    <x v="21"/>
    <x v="4"/>
    <x v="1"/>
    <x v="2"/>
    <n v="1.0900000000000001"/>
    <n v="1.1200000000000001"/>
    <n v="0.03"/>
    <n v="1"/>
  </r>
  <r>
    <x v="2"/>
    <x v="2"/>
    <x v="21"/>
    <x v="4"/>
    <x v="2"/>
    <x v="2"/>
    <n v="1.51"/>
    <n v="1.56"/>
    <n v="0.01"/>
    <n v="1.39"/>
  </r>
  <r>
    <x v="2"/>
    <x v="2"/>
    <x v="21"/>
    <x v="1"/>
    <x v="4"/>
    <x v="2"/>
    <n v="1.34"/>
    <n v="1.38"/>
    <n v="0.14000000000000001"/>
    <n v="1.22"/>
  </r>
  <r>
    <x v="2"/>
    <x v="2"/>
    <x v="21"/>
    <x v="1"/>
    <x v="1"/>
    <x v="2"/>
    <n v="0.11"/>
    <n v="0.11"/>
    <n v="0"/>
    <n v="0.1"/>
  </r>
  <r>
    <x v="2"/>
    <x v="2"/>
    <x v="21"/>
    <x v="2"/>
    <x v="3"/>
    <x v="2"/>
    <n v="28.71"/>
    <n v="29.65"/>
    <n v="0.04"/>
    <n v="25.58"/>
  </r>
  <r>
    <x v="2"/>
    <x v="2"/>
    <x v="21"/>
    <x v="2"/>
    <x v="2"/>
    <x v="3"/>
    <n v="6.52"/>
    <n v="6.73"/>
    <n v="0"/>
    <n v="6.52"/>
  </r>
  <r>
    <x v="2"/>
    <x v="2"/>
    <x v="21"/>
    <x v="4"/>
    <x v="0"/>
    <x v="1"/>
    <n v="3.67"/>
    <n v="3.79"/>
    <n v="0.19"/>
    <n v="3.32"/>
  </r>
  <r>
    <x v="2"/>
    <x v="2"/>
    <x v="21"/>
    <x v="2"/>
    <x v="3"/>
    <x v="3"/>
    <n v="96.86"/>
    <n v="100.05"/>
    <n v="0.08"/>
    <n v="96.86"/>
  </r>
  <r>
    <x v="2"/>
    <x v="8"/>
    <x v="22"/>
    <x v="0"/>
    <x v="0"/>
    <x v="0"/>
    <n v="158.16"/>
    <n v="129.38"/>
    <n v="41.61"/>
    <n v="139.82"/>
  </r>
  <r>
    <x v="2"/>
    <x v="8"/>
    <x v="22"/>
    <x v="1"/>
    <x v="3"/>
    <x v="1"/>
    <n v="67.13"/>
    <n v="54.92"/>
    <n v="0.1"/>
    <n v="67.13"/>
  </r>
  <r>
    <x v="2"/>
    <x v="8"/>
    <x v="22"/>
    <x v="2"/>
    <x v="1"/>
    <x v="1"/>
    <n v="0.33"/>
    <n v="0.27"/>
    <n v="0"/>
    <n v="0.33"/>
  </r>
  <r>
    <x v="2"/>
    <x v="8"/>
    <x v="22"/>
    <x v="2"/>
    <x v="3"/>
    <x v="1"/>
    <n v="151.06"/>
    <n v="123.57"/>
    <n v="0.12"/>
    <n v="146.66"/>
  </r>
  <r>
    <x v="2"/>
    <x v="8"/>
    <x v="22"/>
    <x v="3"/>
    <x v="0"/>
    <x v="0"/>
    <n v="11.84"/>
    <n v="9.69"/>
    <n v="4.72"/>
    <n v="10.92"/>
  </r>
  <r>
    <x v="2"/>
    <x v="8"/>
    <x v="22"/>
    <x v="3"/>
    <x v="4"/>
    <x v="0"/>
    <n v="49.29"/>
    <n v="40.32"/>
    <n v="10.199999999999999"/>
    <n v="45.7"/>
  </r>
  <r>
    <x v="2"/>
    <x v="8"/>
    <x v="22"/>
    <x v="3"/>
    <x v="1"/>
    <x v="0"/>
    <n v="2.58"/>
    <n v="2.11"/>
    <n v="0.17"/>
    <n v="2.44"/>
  </r>
  <r>
    <x v="2"/>
    <x v="8"/>
    <x v="22"/>
    <x v="4"/>
    <x v="0"/>
    <x v="0"/>
    <n v="8.35"/>
    <n v="6.83"/>
    <n v="2.33"/>
    <n v="7.42"/>
  </r>
  <r>
    <x v="2"/>
    <x v="8"/>
    <x v="22"/>
    <x v="4"/>
    <x v="4"/>
    <x v="0"/>
    <n v="528.79"/>
    <n v="432.56"/>
    <n v="59.64"/>
    <n v="482.5"/>
  </r>
  <r>
    <x v="2"/>
    <x v="8"/>
    <x v="22"/>
    <x v="1"/>
    <x v="2"/>
    <x v="1"/>
    <n v="140.30000000000001"/>
    <n v="114.77"/>
    <n v="0.43"/>
    <n v="126.26"/>
  </r>
  <r>
    <x v="2"/>
    <x v="8"/>
    <x v="22"/>
    <x v="4"/>
    <x v="2"/>
    <x v="0"/>
    <n v="12.76"/>
    <n v="10.44"/>
    <n v="0.31"/>
    <n v="12.31"/>
  </r>
  <r>
    <x v="2"/>
    <x v="8"/>
    <x v="22"/>
    <x v="1"/>
    <x v="4"/>
    <x v="0"/>
    <n v="1418.43"/>
    <n v="1160.3"/>
    <n v="200.75"/>
    <n v="1256.98"/>
  </r>
  <r>
    <x v="2"/>
    <x v="8"/>
    <x v="22"/>
    <x v="0"/>
    <x v="4"/>
    <x v="0"/>
    <n v="158.55000000000001"/>
    <n v="129.69999999999999"/>
    <n v="19.350000000000001"/>
    <n v="144.84"/>
  </r>
  <r>
    <x v="2"/>
    <x v="8"/>
    <x v="22"/>
    <x v="0"/>
    <x v="1"/>
    <x v="0"/>
    <n v="28.08"/>
    <n v="22.97"/>
    <n v="0.33"/>
    <n v="28.06"/>
  </r>
  <r>
    <x v="2"/>
    <x v="8"/>
    <x v="22"/>
    <x v="0"/>
    <x v="2"/>
    <x v="0"/>
    <n v="13.63"/>
    <n v="11.15"/>
    <n v="0.04"/>
    <n v="13.63"/>
  </r>
  <r>
    <x v="2"/>
    <x v="8"/>
    <x v="22"/>
    <x v="1"/>
    <x v="0"/>
    <x v="0"/>
    <n v="278.24"/>
    <n v="227.61"/>
    <n v="64.19"/>
    <n v="249.55"/>
  </r>
  <r>
    <x v="2"/>
    <x v="8"/>
    <x v="22"/>
    <x v="1"/>
    <x v="1"/>
    <x v="0"/>
    <n v="99.83"/>
    <n v="81.66"/>
    <n v="2.67"/>
    <n v="92.96"/>
  </r>
  <r>
    <x v="2"/>
    <x v="8"/>
    <x v="22"/>
    <x v="4"/>
    <x v="4"/>
    <x v="1"/>
    <n v="0.87"/>
    <n v="0.71"/>
    <n v="0.03"/>
    <n v="0.76"/>
  </r>
  <r>
    <x v="2"/>
    <x v="8"/>
    <x v="22"/>
    <x v="2"/>
    <x v="0"/>
    <x v="0"/>
    <n v="379.68"/>
    <n v="310.58"/>
    <n v="105.43"/>
    <n v="345.8"/>
  </r>
  <r>
    <x v="2"/>
    <x v="8"/>
    <x v="22"/>
    <x v="2"/>
    <x v="4"/>
    <x v="0"/>
    <n v="90.35"/>
    <n v="73.91"/>
    <n v="15.76"/>
    <n v="82.57"/>
  </r>
  <r>
    <x v="2"/>
    <x v="8"/>
    <x v="22"/>
    <x v="4"/>
    <x v="1"/>
    <x v="0"/>
    <n v="43.06"/>
    <n v="35.22"/>
    <n v="1.43"/>
    <n v="42.44"/>
  </r>
  <r>
    <x v="2"/>
    <x v="8"/>
    <x v="22"/>
    <x v="2"/>
    <x v="2"/>
    <x v="2"/>
    <n v="0.72"/>
    <n v="0.59"/>
    <n v="0"/>
    <n v="0.71"/>
  </r>
  <r>
    <x v="2"/>
    <x v="8"/>
    <x v="22"/>
    <x v="1"/>
    <x v="1"/>
    <x v="1"/>
    <n v="115.27"/>
    <n v="94.29"/>
    <n v="1.28"/>
    <n v="102.51"/>
  </r>
  <r>
    <x v="2"/>
    <x v="8"/>
    <x v="22"/>
    <x v="1"/>
    <x v="2"/>
    <x v="0"/>
    <n v="40.909999999999997"/>
    <n v="33.46"/>
    <n v="0.31"/>
    <n v="33.49"/>
  </r>
  <r>
    <x v="2"/>
    <x v="8"/>
    <x v="22"/>
    <x v="2"/>
    <x v="3"/>
    <x v="3"/>
    <n v="514.01"/>
    <n v="420.47"/>
    <n v="0.24"/>
    <n v="492.4"/>
  </r>
  <r>
    <x v="2"/>
    <x v="8"/>
    <x v="22"/>
    <x v="4"/>
    <x v="0"/>
    <x v="1"/>
    <n v="11.53"/>
    <n v="9.43"/>
    <n v="0.4"/>
    <n v="9.41"/>
  </r>
  <r>
    <x v="2"/>
    <x v="8"/>
    <x v="22"/>
    <x v="2"/>
    <x v="2"/>
    <x v="3"/>
    <n v="369.43"/>
    <n v="302.2"/>
    <n v="0.13"/>
    <n v="351.29"/>
  </r>
  <r>
    <x v="2"/>
    <x v="8"/>
    <x v="22"/>
    <x v="2"/>
    <x v="0"/>
    <x v="3"/>
    <n v="7.15"/>
    <n v="5.85"/>
    <n v="0.02"/>
    <n v="7.15"/>
  </r>
  <r>
    <x v="2"/>
    <x v="8"/>
    <x v="22"/>
    <x v="2"/>
    <x v="1"/>
    <x v="3"/>
    <n v="130.79"/>
    <n v="106.99"/>
    <n v="0.06"/>
    <n v="130.79"/>
  </r>
  <r>
    <x v="2"/>
    <x v="8"/>
    <x v="22"/>
    <x v="2"/>
    <x v="3"/>
    <x v="2"/>
    <n v="252.8"/>
    <n v="206.8"/>
    <n v="0.25"/>
    <n v="252.06"/>
  </r>
  <r>
    <x v="2"/>
    <x v="8"/>
    <x v="22"/>
    <x v="2"/>
    <x v="4"/>
    <x v="3"/>
    <n v="50.38"/>
    <n v="41.21"/>
    <n v="0.03"/>
    <n v="50.38"/>
  </r>
  <r>
    <x v="2"/>
    <x v="8"/>
    <x v="22"/>
    <x v="2"/>
    <x v="1"/>
    <x v="2"/>
    <n v="4.7699999999999996"/>
    <n v="3.9"/>
    <n v="0.01"/>
    <n v="4.6900000000000004"/>
  </r>
  <r>
    <x v="2"/>
    <x v="8"/>
    <x v="22"/>
    <x v="4"/>
    <x v="1"/>
    <x v="1"/>
    <n v="3.2"/>
    <n v="2.62"/>
    <n v="0.16"/>
    <n v="2.6"/>
  </r>
  <r>
    <x v="2"/>
    <x v="8"/>
    <x v="22"/>
    <x v="1"/>
    <x v="1"/>
    <x v="2"/>
    <n v="9.7899999999999991"/>
    <n v="8.01"/>
    <n v="0.11"/>
    <n v="9.51"/>
  </r>
  <r>
    <x v="2"/>
    <x v="8"/>
    <x v="22"/>
    <x v="1"/>
    <x v="4"/>
    <x v="2"/>
    <n v="70.86"/>
    <n v="57.96"/>
    <n v="2.34"/>
    <n v="60.95"/>
  </r>
  <r>
    <x v="2"/>
    <x v="8"/>
    <x v="22"/>
    <x v="0"/>
    <x v="2"/>
    <x v="2"/>
    <n v="0.5"/>
    <n v="0.41"/>
    <n v="0"/>
    <n v="0.5"/>
  </r>
  <r>
    <x v="2"/>
    <x v="8"/>
    <x v="22"/>
    <x v="4"/>
    <x v="1"/>
    <x v="2"/>
    <n v="16.22"/>
    <n v="13.27"/>
    <n v="0.36"/>
    <n v="14.61"/>
  </r>
  <r>
    <x v="2"/>
    <x v="8"/>
    <x v="22"/>
    <x v="1"/>
    <x v="4"/>
    <x v="1"/>
    <n v="8.18"/>
    <n v="6.69"/>
    <n v="0.26"/>
    <n v="6.98"/>
  </r>
  <r>
    <x v="2"/>
    <x v="8"/>
    <x v="22"/>
    <x v="4"/>
    <x v="4"/>
    <x v="2"/>
    <n v="11.76"/>
    <n v="9.6199999999999992"/>
    <n v="0.48"/>
    <n v="10.6"/>
  </r>
  <r>
    <x v="2"/>
    <x v="8"/>
    <x v="22"/>
    <x v="1"/>
    <x v="2"/>
    <x v="2"/>
    <n v="5.69"/>
    <n v="4.6500000000000004"/>
    <n v="0.02"/>
    <n v="5.37"/>
  </r>
  <r>
    <x v="2"/>
    <x v="8"/>
    <x v="22"/>
    <x v="1"/>
    <x v="0"/>
    <x v="1"/>
    <n v="95.02"/>
    <n v="77.73"/>
    <n v="4.6500000000000004"/>
    <n v="85.08"/>
  </r>
  <r>
    <x v="2"/>
    <x v="8"/>
    <x v="22"/>
    <x v="0"/>
    <x v="0"/>
    <x v="1"/>
    <n v="78.83"/>
    <n v="64.489999999999995"/>
    <n v="2.33"/>
    <n v="70.94"/>
  </r>
  <r>
    <x v="2"/>
    <x v="8"/>
    <x v="22"/>
    <x v="0"/>
    <x v="4"/>
    <x v="1"/>
    <n v="30.21"/>
    <n v="24.71"/>
    <n v="0.52"/>
    <n v="26.99"/>
  </r>
  <r>
    <x v="2"/>
    <x v="6"/>
    <x v="23"/>
    <x v="0"/>
    <x v="0"/>
    <x v="1"/>
    <n v="3.27"/>
    <n v="3.21"/>
    <n v="7.0000000000000007E-2"/>
    <n v="2.68"/>
  </r>
  <r>
    <x v="2"/>
    <x v="6"/>
    <x v="23"/>
    <x v="4"/>
    <x v="4"/>
    <x v="1"/>
    <n v="0.24"/>
    <n v="0.24"/>
    <n v="0.01"/>
    <n v="0.2"/>
  </r>
  <r>
    <x v="2"/>
    <x v="6"/>
    <x v="23"/>
    <x v="4"/>
    <x v="0"/>
    <x v="1"/>
    <n v="1.43"/>
    <n v="1.4"/>
    <n v="0.08"/>
    <n v="1.21"/>
  </r>
  <r>
    <x v="2"/>
    <x v="6"/>
    <x v="23"/>
    <x v="2"/>
    <x v="3"/>
    <x v="3"/>
    <n v="4.1100000000000003"/>
    <n v="4.03"/>
    <n v="0"/>
    <n v="3.69"/>
  </r>
  <r>
    <x v="2"/>
    <x v="6"/>
    <x v="23"/>
    <x v="2"/>
    <x v="2"/>
    <x v="3"/>
    <n v="1.25"/>
    <n v="1.22"/>
    <n v="0"/>
    <n v="1.25"/>
  </r>
  <r>
    <x v="2"/>
    <x v="6"/>
    <x v="23"/>
    <x v="4"/>
    <x v="4"/>
    <x v="0"/>
    <n v="21.65"/>
    <n v="21.22"/>
    <n v="3.1"/>
    <n v="18.72"/>
  </r>
  <r>
    <x v="2"/>
    <x v="6"/>
    <x v="23"/>
    <x v="0"/>
    <x v="4"/>
    <x v="1"/>
    <n v="3.48"/>
    <n v="3.41"/>
    <n v="0.04"/>
    <n v="2.85"/>
  </r>
  <r>
    <x v="2"/>
    <x v="6"/>
    <x v="23"/>
    <x v="4"/>
    <x v="4"/>
    <x v="2"/>
    <n v="1.34"/>
    <n v="1.32"/>
    <n v="0.03"/>
    <n v="1.08"/>
  </r>
  <r>
    <x v="2"/>
    <x v="6"/>
    <x v="23"/>
    <x v="1"/>
    <x v="1"/>
    <x v="2"/>
    <n v="4.55"/>
    <n v="4.46"/>
    <n v="0.04"/>
    <n v="3.64"/>
  </r>
  <r>
    <x v="2"/>
    <x v="6"/>
    <x v="23"/>
    <x v="4"/>
    <x v="1"/>
    <x v="2"/>
    <n v="4.3"/>
    <n v="4.21"/>
    <n v="0.05"/>
    <n v="4.3"/>
  </r>
  <r>
    <x v="2"/>
    <x v="6"/>
    <x v="23"/>
    <x v="3"/>
    <x v="4"/>
    <x v="0"/>
    <n v="0.52"/>
    <n v="0.51"/>
    <n v="0.13"/>
    <n v="0.44"/>
  </r>
  <r>
    <x v="2"/>
    <x v="6"/>
    <x v="23"/>
    <x v="2"/>
    <x v="0"/>
    <x v="0"/>
    <n v="3.49"/>
    <n v="3.42"/>
    <n v="2.77"/>
    <n v="3.39"/>
  </r>
  <r>
    <x v="2"/>
    <x v="6"/>
    <x v="23"/>
    <x v="1"/>
    <x v="2"/>
    <x v="0"/>
    <n v="9.1300000000000008"/>
    <n v="8.94"/>
    <n v="0.13"/>
    <n v="7.65"/>
  </r>
  <r>
    <x v="2"/>
    <x v="6"/>
    <x v="23"/>
    <x v="1"/>
    <x v="2"/>
    <x v="2"/>
    <n v="0.24"/>
    <n v="0.24"/>
    <n v="0"/>
    <n v="0.24"/>
  </r>
  <r>
    <x v="2"/>
    <x v="6"/>
    <x v="23"/>
    <x v="1"/>
    <x v="1"/>
    <x v="0"/>
    <n v="35.72"/>
    <n v="35"/>
    <n v="2.04"/>
    <n v="31.01"/>
  </r>
  <r>
    <x v="2"/>
    <x v="6"/>
    <x v="23"/>
    <x v="1"/>
    <x v="0"/>
    <x v="1"/>
    <n v="1.69"/>
    <n v="1.66"/>
    <n v="0.09"/>
    <n v="1.47"/>
  </r>
  <r>
    <x v="2"/>
    <x v="6"/>
    <x v="23"/>
    <x v="3"/>
    <x v="1"/>
    <x v="0"/>
    <n v="0.04"/>
    <n v="0.04"/>
    <n v="0"/>
    <n v="0.04"/>
  </r>
  <r>
    <x v="2"/>
    <x v="6"/>
    <x v="23"/>
    <x v="1"/>
    <x v="4"/>
    <x v="0"/>
    <n v="66.97"/>
    <n v="65.62"/>
    <n v="17.03"/>
    <n v="60.2"/>
  </r>
  <r>
    <x v="2"/>
    <x v="6"/>
    <x v="23"/>
    <x v="1"/>
    <x v="0"/>
    <x v="0"/>
    <n v="4.4400000000000004"/>
    <n v="4.3499999999999996"/>
    <n v="1.94"/>
    <n v="3.94"/>
  </r>
  <r>
    <x v="2"/>
    <x v="6"/>
    <x v="23"/>
    <x v="2"/>
    <x v="4"/>
    <x v="0"/>
    <n v="5.8"/>
    <n v="5.69"/>
    <n v="2.2799999999999998"/>
    <n v="5.31"/>
  </r>
  <r>
    <x v="2"/>
    <x v="6"/>
    <x v="23"/>
    <x v="0"/>
    <x v="0"/>
    <x v="0"/>
    <n v="1.68"/>
    <n v="1.64"/>
    <n v="1.67"/>
    <n v="1.43"/>
  </r>
  <r>
    <x v="2"/>
    <x v="6"/>
    <x v="23"/>
    <x v="4"/>
    <x v="0"/>
    <x v="0"/>
    <n v="0.21"/>
    <n v="0.21"/>
    <n v="0.05"/>
    <n v="0.21"/>
  </r>
  <r>
    <x v="2"/>
    <x v="6"/>
    <x v="23"/>
    <x v="2"/>
    <x v="3"/>
    <x v="1"/>
    <n v="0.82"/>
    <n v="0.81"/>
    <n v="0"/>
    <n v="0.7"/>
  </r>
  <r>
    <x v="2"/>
    <x v="6"/>
    <x v="23"/>
    <x v="4"/>
    <x v="1"/>
    <x v="0"/>
    <n v="2.34"/>
    <n v="2.29"/>
    <n v="0.25"/>
    <n v="2.06"/>
  </r>
  <r>
    <x v="2"/>
    <x v="6"/>
    <x v="23"/>
    <x v="1"/>
    <x v="3"/>
    <x v="1"/>
    <n v="1.23"/>
    <n v="1.2"/>
    <n v="0.01"/>
    <n v="0.98"/>
  </r>
  <r>
    <x v="2"/>
    <x v="6"/>
    <x v="23"/>
    <x v="1"/>
    <x v="2"/>
    <x v="1"/>
    <n v="12.56"/>
    <n v="12.3"/>
    <n v="0.06"/>
    <n v="10.4"/>
  </r>
  <r>
    <x v="2"/>
    <x v="6"/>
    <x v="23"/>
    <x v="1"/>
    <x v="1"/>
    <x v="1"/>
    <n v="14.46"/>
    <n v="14.17"/>
    <n v="0.08"/>
    <n v="11.89"/>
  </r>
  <r>
    <x v="2"/>
    <x v="6"/>
    <x v="23"/>
    <x v="1"/>
    <x v="4"/>
    <x v="1"/>
    <n v="0.6"/>
    <n v="0.57999999999999996"/>
    <n v="0.03"/>
    <n v="0.52"/>
  </r>
  <r>
    <x v="2"/>
    <x v="6"/>
    <x v="23"/>
    <x v="0"/>
    <x v="4"/>
    <x v="0"/>
    <n v="4.66"/>
    <n v="4.57"/>
    <n v="1.1299999999999999"/>
    <n v="4.1500000000000004"/>
  </r>
  <r>
    <x v="2"/>
    <x v="0"/>
    <x v="24"/>
    <x v="0"/>
    <x v="4"/>
    <x v="0"/>
    <n v="16.100000000000001"/>
    <n v="16.59"/>
    <n v="5.2"/>
    <n v="15.69"/>
  </r>
  <r>
    <x v="2"/>
    <x v="0"/>
    <x v="24"/>
    <x v="1"/>
    <x v="0"/>
    <x v="0"/>
    <n v="9.52"/>
    <n v="9.81"/>
    <n v="5.04"/>
    <n v="9.2799999999999994"/>
  </r>
  <r>
    <x v="2"/>
    <x v="0"/>
    <x v="24"/>
    <x v="2"/>
    <x v="0"/>
    <x v="0"/>
    <n v="11.01"/>
    <n v="11.35"/>
    <n v="7.32"/>
    <n v="10.58"/>
  </r>
  <r>
    <x v="2"/>
    <x v="0"/>
    <x v="24"/>
    <x v="1"/>
    <x v="1"/>
    <x v="0"/>
    <n v="27.88"/>
    <n v="28.73"/>
    <n v="1.5"/>
    <n v="26.73"/>
  </r>
  <r>
    <x v="2"/>
    <x v="0"/>
    <x v="24"/>
    <x v="1"/>
    <x v="2"/>
    <x v="0"/>
    <n v="15.35"/>
    <n v="15.82"/>
    <n v="0.21"/>
    <n v="14.55"/>
  </r>
  <r>
    <x v="2"/>
    <x v="0"/>
    <x v="24"/>
    <x v="1"/>
    <x v="4"/>
    <x v="0"/>
    <n v="89.26"/>
    <n v="91.96"/>
    <n v="23.09"/>
    <n v="86.2"/>
  </r>
  <r>
    <x v="2"/>
    <x v="0"/>
    <x v="24"/>
    <x v="0"/>
    <x v="0"/>
    <x v="0"/>
    <n v="13.49"/>
    <n v="13.9"/>
    <n v="8.77"/>
    <n v="13.03"/>
  </r>
  <r>
    <x v="2"/>
    <x v="0"/>
    <x v="24"/>
    <x v="4"/>
    <x v="1"/>
    <x v="0"/>
    <n v="14.37"/>
    <n v="14.8"/>
    <n v="1.08"/>
    <n v="13.95"/>
  </r>
  <r>
    <x v="2"/>
    <x v="0"/>
    <x v="24"/>
    <x v="4"/>
    <x v="4"/>
    <x v="0"/>
    <n v="56.65"/>
    <n v="58.37"/>
    <n v="7.07"/>
    <n v="54.48"/>
  </r>
  <r>
    <x v="2"/>
    <x v="0"/>
    <x v="24"/>
    <x v="4"/>
    <x v="0"/>
    <x v="0"/>
    <n v="0.32"/>
    <n v="0.33"/>
    <n v="0.1"/>
    <n v="0.3"/>
  </r>
  <r>
    <x v="2"/>
    <x v="0"/>
    <x v="24"/>
    <x v="3"/>
    <x v="1"/>
    <x v="0"/>
    <n v="0.16"/>
    <n v="0.17"/>
    <n v="0.01"/>
    <n v="0.16"/>
  </r>
  <r>
    <x v="2"/>
    <x v="0"/>
    <x v="24"/>
    <x v="3"/>
    <x v="4"/>
    <x v="0"/>
    <n v="1.59"/>
    <n v="1.64"/>
    <n v="0.61"/>
    <n v="1.54"/>
  </r>
  <r>
    <x v="2"/>
    <x v="0"/>
    <x v="24"/>
    <x v="2"/>
    <x v="4"/>
    <x v="0"/>
    <n v="25.51"/>
    <n v="26.28"/>
    <n v="3.05"/>
    <n v="25.24"/>
  </r>
  <r>
    <x v="2"/>
    <x v="0"/>
    <x v="24"/>
    <x v="2"/>
    <x v="3"/>
    <x v="1"/>
    <n v="31.77"/>
    <n v="32.729999999999997"/>
    <n v="0.06"/>
    <n v="30.29"/>
  </r>
  <r>
    <x v="2"/>
    <x v="0"/>
    <x v="24"/>
    <x v="2"/>
    <x v="4"/>
    <x v="1"/>
    <n v="0.4"/>
    <n v="0.42"/>
    <n v="0.01"/>
    <n v="0.39"/>
  </r>
  <r>
    <x v="2"/>
    <x v="0"/>
    <x v="24"/>
    <x v="1"/>
    <x v="3"/>
    <x v="1"/>
    <n v="1.07"/>
    <n v="1.1000000000000001"/>
    <n v="0"/>
    <n v="1.03"/>
  </r>
  <r>
    <x v="2"/>
    <x v="0"/>
    <x v="24"/>
    <x v="1"/>
    <x v="2"/>
    <x v="1"/>
    <n v="18.940000000000001"/>
    <n v="19.510000000000002"/>
    <n v="0.08"/>
    <n v="18.05"/>
  </r>
  <r>
    <x v="2"/>
    <x v="0"/>
    <x v="24"/>
    <x v="3"/>
    <x v="0"/>
    <x v="0"/>
    <n v="0.44"/>
    <n v="0.46"/>
    <n v="0.35"/>
    <n v="0.44"/>
  </r>
  <r>
    <x v="2"/>
    <x v="0"/>
    <x v="24"/>
    <x v="4"/>
    <x v="1"/>
    <x v="2"/>
    <n v="1.44"/>
    <n v="1.48"/>
    <n v="0.04"/>
    <n v="1.4"/>
  </r>
  <r>
    <x v="2"/>
    <x v="0"/>
    <x v="24"/>
    <x v="2"/>
    <x v="2"/>
    <x v="2"/>
    <n v="0.37"/>
    <n v="0.38"/>
    <n v="0"/>
    <n v="0.35"/>
  </r>
  <r>
    <x v="2"/>
    <x v="0"/>
    <x v="24"/>
    <x v="2"/>
    <x v="3"/>
    <x v="2"/>
    <n v="38.53"/>
    <n v="39.700000000000003"/>
    <n v="0.03"/>
    <n v="37.42"/>
  </r>
  <r>
    <x v="2"/>
    <x v="0"/>
    <x v="24"/>
    <x v="1"/>
    <x v="1"/>
    <x v="1"/>
    <n v="17.02"/>
    <n v="17.53"/>
    <n v="0.27"/>
    <n v="16.14"/>
  </r>
  <r>
    <x v="2"/>
    <x v="0"/>
    <x v="24"/>
    <x v="1"/>
    <x v="3"/>
    <x v="2"/>
    <n v="0.26"/>
    <n v="0.27"/>
    <n v="0"/>
    <n v="0.25"/>
  </r>
  <r>
    <x v="2"/>
    <x v="0"/>
    <x v="24"/>
    <x v="1"/>
    <x v="2"/>
    <x v="2"/>
    <n v="0.19"/>
    <n v="0.19"/>
    <n v="0"/>
    <n v="0.18"/>
  </r>
  <r>
    <x v="2"/>
    <x v="0"/>
    <x v="24"/>
    <x v="1"/>
    <x v="1"/>
    <x v="2"/>
    <n v="0.31"/>
    <n v="0.32"/>
    <n v="0"/>
    <n v="0.3"/>
  </r>
  <r>
    <x v="2"/>
    <x v="0"/>
    <x v="24"/>
    <x v="2"/>
    <x v="3"/>
    <x v="3"/>
    <n v="55.95"/>
    <n v="57.64"/>
    <n v="0.04"/>
    <n v="54.64"/>
  </r>
  <r>
    <x v="2"/>
    <x v="0"/>
    <x v="24"/>
    <x v="4"/>
    <x v="2"/>
    <x v="2"/>
    <n v="2.66"/>
    <n v="2.74"/>
    <n v="0.02"/>
    <n v="2.6"/>
  </r>
  <r>
    <x v="2"/>
    <x v="0"/>
    <x v="24"/>
    <x v="1"/>
    <x v="4"/>
    <x v="1"/>
    <n v="1.93"/>
    <n v="1.99"/>
    <n v="0.08"/>
    <n v="1.82"/>
  </r>
  <r>
    <x v="2"/>
    <x v="0"/>
    <x v="24"/>
    <x v="4"/>
    <x v="4"/>
    <x v="2"/>
    <n v="1.03"/>
    <n v="1.07"/>
    <n v="0.06"/>
    <n v="1.01"/>
  </r>
  <r>
    <x v="2"/>
    <x v="0"/>
    <x v="24"/>
    <x v="2"/>
    <x v="2"/>
    <x v="3"/>
    <n v="0.22"/>
    <n v="0.23"/>
    <n v="0"/>
    <n v="0.22"/>
  </r>
  <r>
    <x v="2"/>
    <x v="0"/>
    <x v="24"/>
    <x v="4"/>
    <x v="0"/>
    <x v="1"/>
    <n v="3.32"/>
    <n v="3.42"/>
    <n v="0.2"/>
    <n v="3.16"/>
  </r>
  <r>
    <x v="2"/>
    <x v="0"/>
    <x v="24"/>
    <x v="4"/>
    <x v="4"/>
    <x v="1"/>
    <n v="0.91"/>
    <n v="0.94"/>
    <n v="0.06"/>
    <n v="0.87"/>
  </r>
  <r>
    <x v="2"/>
    <x v="0"/>
    <x v="24"/>
    <x v="4"/>
    <x v="1"/>
    <x v="1"/>
    <n v="0.69"/>
    <n v="0.71"/>
    <n v="0.02"/>
    <n v="0.65"/>
  </r>
  <r>
    <x v="2"/>
    <x v="0"/>
    <x v="24"/>
    <x v="0"/>
    <x v="0"/>
    <x v="1"/>
    <n v="3.4"/>
    <n v="3.51"/>
    <n v="0.12"/>
    <n v="3.25"/>
  </r>
  <r>
    <x v="2"/>
    <x v="0"/>
    <x v="24"/>
    <x v="0"/>
    <x v="4"/>
    <x v="1"/>
    <n v="3.35"/>
    <n v="3.45"/>
    <n v="7.0000000000000007E-2"/>
    <n v="3.2"/>
  </r>
  <r>
    <x v="2"/>
    <x v="0"/>
    <x v="24"/>
    <x v="1"/>
    <x v="0"/>
    <x v="1"/>
    <n v="4.8099999999999996"/>
    <n v="4.95"/>
    <n v="0.19"/>
    <n v="4.54"/>
  </r>
  <r>
    <x v="2"/>
    <x v="0"/>
    <x v="24"/>
    <x v="1"/>
    <x v="4"/>
    <x v="2"/>
    <n v="1.48"/>
    <n v="1.52"/>
    <n v="7.0000000000000007E-2"/>
    <n v="1.45"/>
  </r>
  <r>
    <x v="2"/>
    <x v="2"/>
    <x v="25"/>
    <x v="4"/>
    <x v="0"/>
    <x v="1"/>
    <n v="1.9"/>
    <n v="1.97"/>
    <n v="0.09"/>
    <n v="1.72"/>
  </r>
  <r>
    <x v="2"/>
    <x v="2"/>
    <x v="25"/>
    <x v="2"/>
    <x v="3"/>
    <x v="3"/>
    <n v="15.65"/>
    <n v="16.170000000000002"/>
    <n v="0.01"/>
    <n v="15.65"/>
  </r>
  <r>
    <x v="2"/>
    <x v="2"/>
    <x v="25"/>
    <x v="2"/>
    <x v="2"/>
    <x v="3"/>
    <n v="0.21"/>
    <n v="0.21"/>
    <n v="0"/>
    <n v="0.21"/>
  </r>
  <r>
    <x v="2"/>
    <x v="2"/>
    <x v="25"/>
    <x v="4"/>
    <x v="4"/>
    <x v="1"/>
    <n v="0.44"/>
    <n v="0.45"/>
    <n v="0.05"/>
    <n v="0.4"/>
  </r>
  <r>
    <x v="2"/>
    <x v="2"/>
    <x v="25"/>
    <x v="4"/>
    <x v="1"/>
    <x v="1"/>
    <n v="0.22"/>
    <n v="0.23"/>
    <n v="0.01"/>
    <n v="0.2"/>
  </r>
  <r>
    <x v="2"/>
    <x v="2"/>
    <x v="25"/>
    <x v="0"/>
    <x v="0"/>
    <x v="1"/>
    <n v="4.57"/>
    <n v="4.72"/>
    <n v="0.16"/>
    <n v="4.12"/>
  </r>
  <r>
    <x v="2"/>
    <x v="2"/>
    <x v="25"/>
    <x v="1"/>
    <x v="0"/>
    <x v="1"/>
    <n v="6.31"/>
    <n v="6.51"/>
    <n v="0.28999999999999998"/>
    <n v="6.21"/>
  </r>
  <r>
    <x v="2"/>
    <x v="2"/>
    <x v="25"/>
    <x v="1"/>
    <x v="4"/>
    <x v="1"/>
    <n v="1.88"/>
    <n v="1.94"/>
    <n v="0.06"/>
    <n v="1.82"/>
  </r>
  <r>
    <x v="2"/>
    <x v="2"/>
    <x v="25"/>
    <x v="1"/>
    <x v="1"/>
    <x v="1"/>
    <n v="5.92"/>
    <n v="6.11"/>
    <n v="7.0000000000000007E-2"/>
    <n v="5.44"/>
  </r>
  <r>
    <x v="2"/>
    <x v="2"/>
    <x v="25"/>
    <x v="1"/>
    <x v="2"/>
    <x v="1"/>
    <n v="15.13"/>
    <n v="15.63"/>
    <n v="0.06"/>
    <n v="13.89"/>
  </r>
  <r>
    <x v="2"/>
    <x v="2"/>
    <x v="25"/>
    <x v="2"/>
    <x v="3"/>
    <x v="1"/>
    <n v="15.6"/>
    <n v="16.11"/>
    <n v="0.03"/>
    <n v="14.12"/>
  </r>
  <r>
    <x v="2"/>
    <x v="2"/>
    <x v="25"/>
    <x v="2"/>
    <x v="3"/>
    <x v="2"/>
    <n v="9.76"/>
    <n v="10.08"/>
    <n v="0.02"/>
    <n v="8.5"/>
  </r>
  <r>
    <x v="2"/>
    <x v="2"/>
    <x v="25"/>
    <x v="1"/>
    <x v="4"/>
    <x v="0"/>
    <n v="239.58"/>
    <n v="247.47"/>
    <n v="52.11"/>
    <n v="222.92"/>
  </r>
  <r>
    <x v="2"/>
    <x v="2"/>
    <x v="25"/>
    <x v="3"/>
    <x v="0"/>
    <x v="0"/>
    <n v="4.4800000000000004"/>
    <n v="4.63"/>
    <n v="3.56"/>
    <n v="4.42"/>
  </r>
  <r>
    <x v="2"/>
    <x v="2"/>
    <x v="25"/>
    <x v="3"/>
    <x v="4"/>
    <x v="0"/>
    <n v="11.73"/>
    <n v="12.11"/>
    <n v="4.58"/>
    <n v="11.28"/>
  </r>
  <r>
    <x v="2"/>
    <x v="2"/>
    <x v="25"/>
    <x v="0"/>
    <x v="4"/>
    <x v="1"/>
    <n v="2.36"/>
    <n v="2.4300000000000002"/>
    <n v="0.05"/>
    <n v="2.12"/>
  </r>
  <r>
    <x v="2"/>
    <x v="2"/>
    <x v="25"/>
    <x v="4"/>
    <x v="1"/>
    <x v="0"/>
    <n v="12.4"/>
    <n v="12.81"/>
    <n v="0.78"/>
    <n v="11.62"/>
  </r>
  <r>
    <x v="2"/>
    <x v="2"/>
    <x v="25"/>
    <x v="3"/>
    <x v="1"/>
    <x v="0"/>
    <n v="0.43"/>
    <n v="0.44"/>
    <n v="0.05"/>
    <n v="0.42"/>
  </r>
  <r>
    <x v="2"/>
    <x v="2"/>
    <x v="25"/>
    <x v="2"/>
    <x v="4"/>
    <x v="0"/>
    <n v="9.27"/>
    <n v="9.58"/>
    <n v="2.1800000000000002"/>
    <n v="8.91"/>
  </r>
  <r>
    <x v="2"/>
    <x v="2"/>
    <x v="25"/>
    <x v="2"/>
    <x v="0"/>
    <x v="0"/>
    <n v="7.42"/>
    <n v="7.66"/>
    <n v="5.59"/>
    <n v="7.1"/>
  </r>
  <r>
    <x v="2"/>
    <x v="2"/>
    <x v="25"/>
    <x v="1"/>
    <x v="2"/>
    <x v="0"/>
    <n v="4.3600000000000003"/>
    <n v="4.5"/>
    <n v="0.06"/>
    <n v="3.92"/>
  </r>
  <r>
    <x v="2"/>
    <x v="2"/>
    <x v="25"/>
    <x v="1"/>
    <x v="1"/>
    <x v="0"/>
    <n v="45.65"/>
    <n v="47.16"/>
    <n v="2.82"/>
    <n v="42.55"/>
  </r>
  <r>
    <x v="2"/>
    <x v="2"/>
    <x v="25"/>
    <x v="0"/>
    <x v="4"/>
    <x v="0"/>
    <n v="41.32"/>
    <n v="42.68"/>
    <n v="11.09"/>
    <n v="38.57"/>
  </r>
  <r>
    <x v="2"/>
    <x v="2"/>
    <x v="25"/>
    <x v="0"/>
    <x v="0"/>
    <x v="0"/>
    <n v="9.81"/>
    <n v="10.130000000000001"/>
    <n v="7.87"/>
    <n v="8.8800000000000008"/>
  </r>
  <r>
    <x v="2"/>
    <x v="2"/>
    <x v="25"/>
    <x v="1"/>
    <x v="1"/>
    <x v="2"/>
    <n v="2.4"/>
    <n v="2.4700000000000002"/>
    <n v="0.01"/>
    <n v="2.11"/>
  </r>
  <r>
    <x v="2"/>
    <x v="2"/>
    <x v="25"/>
    <x v="4"/>
    <x v="4"/>
    <x v="0"/>
    <n v="94.02"/>
    <n v="97.12"/>
    <n v="13.6"/>
    <n v="87.51"/>
  </r>
  <r>
    <x v="2"/>
    <x v="2"/>
    <x v="25"/>
    <x v="4"/>
    <x v="0"/>
    <x v="0"/>
    <n v="0.09"/>
    <n v="0.09"/>
    <n v="0.02"/>
    <n v="0.08"/>
  </r>
  <r>
    <x v="2"/>
    <x v="2"/>
    <x v="25"/>
    <x v="4"/>
    <x v="4"/>
    <x v="2"/>
    <n v="0.37"/>
    <n v="0.38"/>
    <n v="0.02"/>
    <n v="0.32"/>
  </r>
  <r>
    <x v="2"/>
    <x v="2"/>
    <x v="25"/>
    <x v="4"/>
    <x v="1"/>
    <x v="2"/>
    <n v="0.2"/>
    <n v="0.21"/>
    <n v="0.01"/>
    <n v="0.18"/>
  </r>
  <r>
    <x v="2"/>
    <x v="2"/>
    <x v="25"/>
    <x v="4"/>
    <x v="2"/>
    <x v="2"/>
    <n v="0.17"/>
    <n v="0.18"/>
    <n v="0"/>
    <n v="0.15"/>
  </r>
  <r>
    <x v="2"/>
    <x v="2"/>
    <x v="25"/>
    <x v="1"/>
    <x v="4"/>
    <x v="2"/>
    <n v="4.53"/>
    <n v="4.67"/>
    <n v="0.05"/>
    <n v="3.94"/>
  </r>
  <r>
    <x v="2"/>
    <x v="2"/>
    <x v="25"/>
    <x v="1"/>
    <x v="0"/>
    <x v="0"/>
    <n v="16.8"/>
    <n v="17.350000000000001"/>
    <n v="10.6"/>
    <n v="15.89"/>
  </r>
  <r>
    <x v="2"/>
    <x v="1"/>
    <x v="26"/>
    <x v="2"/>
    <x v="3"/>
    <x v="3"/>
    <n v="11.06"/>
    <n v="11.19"/>
    <n v="0.01"/>
    <n v="9.4"/>
  </r>
  <r>
    <x v="2"/>
    <x v="1"/>
    <x v="26"/>
    <x v="0"/>
    <x v="0"/>
    <x v="1"/>
    <n v="0.08"/>
    <n v="0.08"/>
    <n v="0"/>
    <n v="7.0000000000000007E-2"/>
  </r>
  <r>
    <x v="2"/>
    <x v="1"/>
    <x v="26"/>
    <x v="4"/>
    <x v="4"/>
    <x v="1"/>
    <n v="0.2"/>
    <n v="0.2"/>
    <n v="0.01"/>
    <n v="0.16"/>
  </r>
  <r>
    <x v="2"/>
    <x v="1"/>
    <x v="26"/>
    <x v="2"/>
    <x v="4"/>
    <x v="0"/>
    <n v="1.86"/>
    <n v="1.88"/>
    <n v="0.75"/>
    <n v="1.65"/>
  </r>
  <r>
    <x v="2"/>
    <x v="1"/>
    <x v="26"/>
    <x v="4"/>
    <x v="4"/>
    <x v="2"/>
    <n v="0.25"/>
    <n v="0.25"/>
    <n v="0.01"/>
    <n v="0.25"/>
  </r>
  <r>
    <x v="2"/>
    <x v="1"/>
    <x v="26"/>
    <x v="4"/>
    <x v="1"/>
    <x v="2"/>
    <n v="0.76"/>
    <n v="0.77"/>
    <n v="0.01"/>
    <n v="0.76"/>
  </r>
  <r>
    <x v="2"/>
    <x v="1"/>
    <x v="26"/>
    <x v="1"/>
    <x v="1"/>
    <x v="2"/>
    <n v="1.38"/>
    <n v="1.39"/>
    <n v="0.01"/>
    <n v="1.1200000000000001"/>
  </r>
  <r>
    <x v="2"/>
    <x v="1"/>
    <x v="26"/>
    <x v="2"/>
    <x v="2"/>
    <x v="3"/>
    <n v="9.56"/>
    <n v="9.67"/>
    <n v="0"/>
    <n v="9.56"/>
  </r>
  <r>
    <x v="2"/>
    <x v="1"/>
    <x v="26"/>
    <x v="4"/>
    <x v="0"/>
    <x v="1"/>
    <n v="0.36"/>
    <n v="0.37"/>
    <n v="0.02"/>
    <n v="0.31"/>
  </r>
  <r>
    <x v="2"/>
    <x v="1"/>
    <x v="26"/>
    <x v="0"/>
    <x v="4"/>
    <x v="1"/>
    <n v="0.32"/>
    <n v="0.32"/>
    <n v="0"/>
    <n v="0.27"/>
  </r>
  <r>
    <x v="2"/>
    <x v="1"/>
    <x v="26"/>
    <x v="1"/>
    <x v="0"/>
    <x v="1"/>
    <n v="0.71"/>
    <n v="0.72"/>
    <n v="0.03"/>
    <n v="0.61"/>
  </r>
  <r>
    <x v="2"/>
    <x v="1"/>
    <x v="26"/>
    <x v="1"/>
    <x v="4"/>
    <x v="1"/>
    <n v="0.45"/>
    <n v="0.46"/>
    <n v="0.02"/>
    <n v="0.39"/>
  </r>
  <r>
    <x v="2"/>
    <x v="1"/>
    <x v="26"/>
    <x v="1"/>
    <x v="1"/>
    <x v="1"/>
    <n v="2.0699999999999998"/>
    <n v="2.09"/>
    <n v="0.03"/>
    <n v="1.76"/>
  </r>
  <r>
    <x v="2"/>
    <x v="1"/>
    <x v="26"/>
    <x v="1"/>
    <x v="2"/>
    <x v="1"/>
    <n v="7.98"/>
    <n v="8.07"/>
    <n v="0.05"/>
    <n v="6.78"/>
  </r>
  <r>
    <x v="2"/>
    <x v="1"/>
    <x v="26"/>
    <x v="0"/>
    <x v="4"/>
    <x v="0"/>
    <n v="12.1"/>
    <n v="12.24"/>
    <n v="2.4500000000000002"/>
    <n v="10.37"/>
  </r>
  <r>
    <x v="2"/>
    <x v="1"/>
    <x v="26"/>
    <x v="2"/>
    <x v="0"/>
    <x v="0"/>
    <n v="0.99"/>
    <n v="1.01"/>
    <n v="0.81"/>
    <n v="0.94"/>
  </r>
  <r>
    <x v="2"/>
    <x v="1"/>
    <x v="26"/>
    <x v="2"/>
    <x v="3"/>
    <x v="1"/>
    <n v="1.27"/>
    <n v="1.29"/>
    <n v="0"/>
    <n v="1.19"/>
  </r>
  <r>
    <x v="2"/>
    <x v="1"/>
    <x v="26"/>
    <x v="1"/>
    <x v="1"/>
    <x v="0"/>
    <n v="10.210000000000001"/>
    <n v="10.33"/>
    <n v="0.6"/>
    <n v="8.77"/>
  </r>
  <r>
    <x v="2"/>
    <x v="1"/>
    <x v="26"/>
    <x v="1"/>
    <x v="0"/>
    <x v="0"/>
    <n v="5.43"/>
    <n v="5.5"/>
    <n v="2.5099999999999998"/>
    <n v="4.7"/>
  </r>
  <r>
    <x v="2"/>
    <x v="1"/>
    <x v="26"/>
    <x v="1"/>
    <x v="2"/>
    <x v="0"/>
    <n v="0.84"/>
    <n v="0.85"/>
    <n v="0.01"/>
    <n v="0.72"/>
  </r>
  <r>
    <x v="2"/>
    <x v="1"/>
    <x v="26"/>
    <x v="0"/>
    <x v="0"/>
    <x v="0"/>
    <n v="0.34"/>
    <n v="0.34"/>
    <n v="0.1"/>
    <n v="0.3"/>
  </r>
  <r>
    <x v="2"/>
    <x v="1"/>
    <x v="26"/>
    <x v="4"/>
    <x v="1"/>
    <x v="0"/>
    <n v="0.02"/>
    <n v="0.02"/>
    <n v="0"/>
    <n v="0.02"/>
  </r>
  <r>
    <x v="2"/>
    <x v="1"/>
    <x v="26"/>
    <x v="4"/>
    <x v="4"/>
    <x v="0"/>
    <n v="19.14"/>
    <n v="19.36"/>
    <n v="2.0499999999999998"/>
    <n v="16.59"/>
  </r>
  <r>
    <x v="2"/>
    <x v="1"/>
    <x v="26"/>
    <x v="3"/>
    <x v="1"/>
    <x v="0"/>
    <n v="0.16"/>
    <n v="0.17"/>
    <n v="0.02"/>
    <n v="0.16"/>
  </r>
  <r>
    <x v="2"/>
    <x v="1"/>
    <x v="26"/>
    <x v="3"/>
    <x v="4"/>
    <x v="0"/>
    <n v="2.2200000000000002"/>
    <n v="2.2400000000000002"/>
    <n v="0.6"/>
    <n v="1.89"/>
  </r>
  <r>
    <x v="2"/>
    <x v="1"/>
    <x v="26"/>
    <x v="1"/>
    <x v="4"/>
    <x v="0"/>
    <n v="16.39"/>
    <n v="16.579999999999998"/>
    <n v="4"/>
    <n v="14.67"/>
  </r>
  <r>
    <x v="2"/>
    <x v="2"/>
    <x v="27"/>
    <x v="4"/>
    <x v="0"/>
    <x v="0"/>
    <n v="0.05"/>
    <n v="0.05"/>
    <n v="0.01"/>
    <n v="0.05"/>
  </r>
  <r>
    <x v="2"/>
    <x v="2"/>
    <x v="27"/>
    <x v="3"/>
    <x v="1"/>
    <x v="0"/>
    <n v="7.0000000000000007E-2"/>
    <n v="7.0000000000000007E-2"/>
    <n v="0.01"/>
    <n v="7.0000000000000007E-2"/>
  </r>
  <r>
    <x v="2"/>
    <x v="2"/>
    <x v="27"/>
    <x v="0"/>
    <x v="4"/>
    <x v="0"/>
    <n v="9.07"/>
    <n v="8.98"/>
    <n v="2.5099999999999998"/>
    <n v="8.43"/>
  </r>
  <r>
    <x v="2"/>
    <x v="2"/>
    <x v="27"/>
    <x v="4"/>
    <x v="4"/>
    <x v="0"/>
    <n v="45.83"/>
    <n v="45.37"/>
    <n v="6.54"/>
    <n v="42.19"/>
  </r>
  <r>
    <x v="2"/>
    <x v="2"/>
    <x v="27"/>
    <x v="4"/>
    <x v="1"/>
    <x v="0"/>
    <n v="5.91"/>
    <n v="5.85"/>
    <n v="0.37"/>
    <n v="5.46"/>
  </r>
  <r>
    <x v="2"/>
    <x v="2"/>
    <x v="27"/>
    <x v="0"/>
    <x v="0"/>
    <x v="0"/>
    <n v="2.54"/>
    <n v="2.5099999999999998"/>
    <n v="2.14"/>
    <n v="2.31"/>
  </r>
  <r>
    <x v="2"/>
    <x v="2"/>
    <x v="27"/>
    <x v="1"/>
    <x v="0"/>
    <x v="0"/>
    <n v="3.43"/>
    <n v="3.4"/>
    <n v="2.21"/>
    <n v="3.23"/>
  </r>
  <r>
    <x v="2"/>
    <x v="2"/>
    <x v="27"/>
    <x v="1"/>
    <x v="4"/>
    <x v="0"/>
    <n v="49"/>
    <n v="48.5"/>
    <n v="11.44"/>
    <n v="45.45"/>
  </r>
  <r>
    <x v="2"/>
    <x v="2"/>
    <x v="27"/>
    <x v="1"/>
    <x v="1"/>
    <x v="0"/>
    <n v="9.35"/>
    <n v="9.25"/>
    <n v="0.68"/>
    <n v="8.66"/>
  </r>
  <r>
    <x v="2"/>
    <x v="2"/>
    <x v="27"/>
    <x v="2"/>
    <x v="4"/>
    <x v="0"/>
    <n v="2.31"/>
    <n v="2.29"/>
    <n v="0.54"/>
    <n v="2.2000000000000002"/>
  </r>
  <r>
    <x v="2"/>
    <x v="2"/>
    <x v="27"/>
    <x v="2"/>
    <x v="0"/>
    <x v="0"/>
    <n v="2.39"/>
    <n v="2.37"/>
    <n v="1.8"/>
    <n v="2.2599999999999998"/>
  </r>
  <r>
    <x v="2"/>
    <x v="2"/>
    <x v="27"/>
    <x v="3"/>
    <x v="4"/>
    <x v="0"/>
    <n v="1.78"/>
    <n v="1.76"/>
    <n v="0.51"/>
    <n v="1.7"/>
  </r>
  <r>
    <x v="2"/>
    <x v="2"/>
    <x v="27"/>
    <x v="4"/>
    <x v="1"/>
    <x v="2"/>
    <n v="0.24"/>
    <n v="0.24"/>
    <n v="0"/>
    <n v="0.21"/>
  </r>
  <r>
    <x v="2"/>
    <x v="2"/>
    <x v="27"/>
    <x v="1"/>
    <x v="2"/>
    <x v="0"/>
    <n v="0.1"/>
    <n v="0.1"/>
    <n v="0"/>
    <n v="0.09"/>
  </r>
  <r>
    <x v="2"/>
    <x v="2"/>
    <x v="27"/>
    <x v="3"/>
    <x v="0"/>
    <x v="0"/>
    <n v="0.56999999999999995"/>
    <n v="0.56999999999999995"/>
    <n v="0.46"/>
    <n v="0.56000000000000005"/>
  </r>
  <r>
    <x v="2"/>
    <x v="2"/>
    <x v="27"/>
    <x v="2"/>
    <x v="3"/>
    <x v="1"/>
    <n v="3.95"/>
    <n v="3.91"/>
    <n v="0.01"/>
    <n v="3.58"/>
  </r>
  <r>
    <x v="2"/>
    <x v="2"/>
    <x v="27"/>
    <x v="1"/>
    <x v="2"/>
    <x v="1"/>
    <n v="2.56"/>
    <n v="2.5299999999999998"/>
    <n v="0.01"/>
    <n v="2.3199999999999998"/>
  </r>
  <r>
    <x v="2"/>
    <x v="2"/>
    <x v="27"/>
    <x v="1"/>
    <x v="1"/>
    <x v="1"/>
    <n v="1.89"/>
    <n v="1.87"/>
    <n v="0.02"/>
    <n v="1.75"/>
  </r>
  <r>
    <x v="2"/>
    <x v="2"/>
    <x v="27"/>
    <x v="1"/>
    <x v="4"/>
    <x v="1"/>
    <n v="1.07"/>
    <n v="1.06"/>
    <n v="0.04"/>
    <n v="1.07"/>
  </r>
  <r>
    <x v="2"/>
    <x v="2"/>
    <x v="27"/>
    <x v="1"/>
    <x v="0"/>
    <x v="1"/>
    <n v="0.96"/>
    <n v="0.95"/>
    <n v="0.13"/>
    <n v="0.94"/>
  </r>
  <r>
    <x v="2"/>
    <x v="2"/>
    <x v="27"/>
    <x v="0"/>
    <x v="4"/>
    <x v="1"/>
    <n v="0.62"/>
    <n v="0.61"/>
    <n v="0.01"/>
    <n v="0.56000000000000005"/>
  </r>
  <r>
    <x v="2"/>
    <x v="2"/>
    <x v="27"/>
    <x v="0"/>
    <x v="0"/>
    <x v="1"/>
    <n v="0.66"/>
    <n v="0.65"/>
    <n v="0.03"/>
    <n v="0.6"/>
  </r>
  <r>
    <x v="2"/>
    <x v="2"/>
    <x v="27"/>
    <x v="4"/>
    <x v="1"/>
    <x v="1"/>
    <n v="0.06"/>
    <n v="0.06"/>
    <n v="0"/>
    <n v="0.06"/>
  </r>
  <r>
    <x v="2"/>
    <x v="2"/>
    <x v="27"/>
    <x v="4"/>
    <x v="4"/>
    <x v="1"/>
    <n v="0.14000000000000001"/>
    <n v="0.14000000000000001"/>
    <n v="0.02"/>
    <n v="0.13"/>
  </r>
  <r>
    <x v="2"/>
    <x v="2"/>
    <x v="27"/>
    <x v="2"/>
    <x v="3"/>
    <x v="3"/>
    <n v="15.77"/>
    <n v="15.61"/>
    <n v="0.01"/>
    <n v="15.77"/>
  </r>
  <r>
    <x v="2"/>
    <x v="2"/>
    <x v="27"/>
    <x v="1"/>
    <x v="4"/>
    <x v="2"/>
    <n v="1.96"/>
    <n v="1.94"/>
    <n v="0.02"/>
    <n v="1.7"/>
  </r>
  <r>
    <x v="2"/>
    <x v="2"/>
    <x v="27"/>
    <x v="4"/>
    <x v="4"/>
    <x v="2"/>
    <n v="0.31"/>
    <n v="0.31"/>
    <n v="0.01"/>
    <n v="0.27"/>
  </r>
  <r>
    <x v="2"/>
    <x v="2"/>
    <x v="27"/>
    <x v="2"/>
    <x v="2"/>
    <x v="3"/>
    <n v="0.81"/>
    <n v="0.8"/>
    <n v="0"/>
    <n v="0.81"/>
  </r>
  <r>
    <x v="2"/>
    <x v="2"/>
    <x v="27"/>
    <x v="2"/>
    <x v="3"/>
    <x v="2"/>
    <n v="1.81"/>
    <n v="1.79"/>
    <n v="0"/>
    <n v="1.58"/>
  </r>
  <r>
    <x v="2"/>
    <x v="2"/>
    <x v="27"/>
    <x v="4"/>
    <x v="0"/>
    <x v="1"/>
    <n v="0.56999999999999995"/>
    <n v="0.56999999999999995"/>
    <n v="0.03"/>
    <n v="0.53"/>
  </r>
  <r>
    <x v="2"/>
    <x v="5"/>
    <x v="28"/>
    <x v="4"/>
    <x v="0"/>
    <x v="1"/>
    <n v="0.9"/>
    <n v="0.93"/>
    <n v="0.05"/>
    <n v="0.84"/>
  </r>
  <r>
    <x v="2"/>
    <x v="5"/>
    <x v="28"/>
    <x v="0"/>
    <x v="0"/>
    <x v="1"/>
    <n v="2.78"/>
    <n v="2.86"/>
    <n v="0.11"/>
    <n v="2.58"/>
  </r>
  <r>
    <x v="2"/>
    <x v="5"/>
    <x v="28"/>
    <x v="0"/>
    <x v="4"/>
    <x v="0"/>
    <n v="16.2"/>
    <n v="16.68"/>
    <n v="4.91"/>
    <n v="15.19"/>
  </r>
  <r>
    <x v="2"/>
    <x v="5"/>
    <x v="28"/>
    <x v="4"/>
    <x v="4"/>
    <x v="2"/>
    <n v="1.02"/>
    <n v="1.05"/>
    <n v="0.04"/>
    <n v="0.89"/>
  </r>
  <r>
    <x v="2"/>
    <x v="5"/>
    <x v="28"/>
    <x v="4"/>
    <x v="1"/>
    <x v="2"/>
    <n v="0.68"/>
    <n v="0.7"/>
    <n v="0.01"/>
    <n v="0.6"/>
  </r>
  <r>
    <x v="2"/>
    <x v="5"/>
    <x v="28"/>
    <x v="4"/>
    <x v="2"/>
    <x v="2"/>
    <n v="0.4"/>
    <n v="0.41"/>
    <n v="0"/>
    <n v="0.35"/>
  </r>
  <r>
    <x v="2"/>
    <x v="5"/>
    <x v="28"/>
    <x v="1"/>
    <x v="4"/>
    <x v="2"/>
    <n v="1.54"/>
    <n v="1.58"/>
    <n v="0.03"/>
    <n v="1.37"/>
  </r>
  <r>
    <x v="2"/>
    <x v="5"/>
    <x v="28"/>
    <x v="2"/>
    <x v="3"/>
    <x v="2"/>
    <n v="8.26"/>
    <n v="8.5"/>
    <n v="0.01"/>
    <n v="7.78"/>
  </r>
  <r>
    <x v="2"/>
    <x v="5"/>
    <x v="28"/>
    <x v="2"/>
    <x v="2"/>
    <x v="3"/>
    <n v="0.46"/>
    <n v="0.48"/>
    <n v="0"/>
    <n v="0.46"/>
  </r>
  <r>
    <x v="2"/>
    <x v="5"/>
    <x v="28"/>
    <x v="4"/>
    <x v="1"/>
    <x v="1"/>
    <n v="0.14000000000000001"/>
    <n v="0.14000000000000001"/>
    <n v="0.01"/>
    <n v="0.13"/>
  </r>
  <r>
    <x v="2"/>
    <x v="5"/>
    <x v="28"/>
    <x v="4"/>
    <x v="4"/>
    <x v="1"/>
    <n v="0.2"/>
    <n v="0.21"/>
    <n v="0.02"/>
    <n v="0.19"/>
  </r>
  <r>
    <x v="2"/>
    <x v="5"/>
    <x v="28"/>
    <x v="3"/>
    <x v="1"/>
    <x v="0"/>
    <n v="0.04"/>
    <n v="0.04"/>
    <n v="0.01"/>
    <n v="0.04"/>
  </r>
  <r>
    <x v="2"/>
    <x v="5"/>
    <x v="28"/>
    <x v="0"/>
    <x v="4"/>
    <x v="1"/>
    <n v="1.74"/>
    <n v="1.79"/>
    <n v="0.04"/>
    <n v="1.62"/>
  </r>
  <r>
    <x v="2"/>
    <x v="5"/>
    <x v="28"/>
    <x v="1"/>
    <x v="0"/>
    <x v="1"/>
    <n v="4.8899999999999997"/>
    <n v="5.04"/>
    <n v="0.24"/>
    <n v="4.83"/>
  </r>
  <r>
    <x v="2"/>
    <x v="5"/>
    <x v="28"/>
    <x v="1"/>
    <x v="4"/>
    <x v="1"/>
    <n v="6.96"/>
    <n v="7.17"/>
    <n v="0.06"/>
    <n v="6.96"/>
  </r>
  <r>
    <x v="2"/>
    <x v="5"/>
    <x v="28"/>
    <x v="1"/>
    <x v="1"/>
    <x v="1"/>
    <n v="3.64"/>
    <n v="3.74"/>
    <n v="0.06"/>
    <n v="3.46"/>
  </r>
  <r>
    <x v="2"/>
    <x v="5"/>
    <x v="28"/>
    <x v="1"/>
    <x v="2"/>
    <x v="1"/>
    <n v="8.23"/>
    <n v="8.48"/>
    <n v="0.04"/>
    <n v="7.67"/>
  </r>
  <r>
    <x v="2"/>
    <x v="5"/>
    <x v="28"/>
    <x v="2"/>
    <x v="3"/>
    <x v="1"/>
    <n v="7.91"/>
    <n v="8.15"/>
    <n v="0.02"/>
    <n v="7.31"/>
  </r>
  <r>
    <x v="2"/>
    <x v="5"/>
    <x v="28"/>
    <x v="3"/>
    <x v="0"/>
    <x v="0"/>
    <n v="0.67"/>
    <n v="0.69"/>
    <n v="0.55000000000000004"/>
    <n v="0.65"/>
  </r>
  <r>
    <x v="2"/>
    <x v="5"/>
    <x v="28"/>
    <x v="3"/>
    <x v="4"/>
    <x v="0"/>
    <n v="3.71"/>
    <n v="3.82"/>
    <n v="1.1499999999999999"/>
    <n v="3.49"/>
  </r>
  <r>
    <x v="2"/>
    <x v="5"/>
    <x v="28"/>
    <x v="2"/>
    <x v="3"/>
    <x v="3"/>
    <n v="4.22"/>
    <n v="4.3499999999999996"/>
    <n v="0"/>
    <n v="4.22"/>
  </r>
  <r>
    <x v="2"/>
    <x v="5"/>
    <x v="28"/>
    <x v="2"/>
    <x v="4"/>
    <x v="0"/>
    <n v="5.86"/>
    <n v="6.03"/>
    <n v="1.36"/>
    <n v="5.53"/>
  </r>
  <r>
    <x v="2"/>
    <x v="5"/>
    <x v="28"/>
    <x v="4"/>
    <x v="0"/>
    <x v="0"/>
    <n v="0.18"/>
    <n v="0.18"/>
    <n v="0.04"/>
    <n v="0.17"/>
  </r>
  <r>
    <x v="2"/>
    <x v="5"/>
    <x v="28"/>
    <x v="2"/>
    <x v="0"/>
    <x v="0"/>
    <n v="5.76"/>
    <n v="5.94"/>
    <n v="3.91"/>
    <n v="5.46"/>
  </r>
  <r>
    <x v="2"/>
    <x v="5"/>
    <x v="28"/>
    <x v="1"/>
    <x v="2"/>
    <x v="0"/>
    <n v="0.91"/>
    <n v="0.94"/>
    <n v="0.02"/>
    <n v="0.81"/>
  </r>
  <r>
    <x v="2"/>
    <x v="5"/>
    <x v="28"/>
    <x v="1"/>
    <x v="1"/>
    <x v="0"/>
    <n v="19.2"/>
    <n v="19.77"/>
    <n v="1.92"/>
    <n v="17.78"/>
  </r>
  <r>
    <x v="2"/>
    <x v="5"/>
    <x v="28"/>
    <x v="1"/>
    <x v="4"/>
    <x v="0"/>
    <n v="102.67"/>
    <n v="105.75"/>
    <n v="31.1"/>
    <n v="95.59"/>
  </r>
  <r>
    <x v="2"/>
    <x v="5"/>
    <x v="28"/>
    <x v="1"/>
    <x v="0"/>
    <x v="0"/>
    <n v="9.34"/>
    <n v="9.6199999999999992"/>
    <n v="6.14"/>
    <n v="8.83"/>
  </r>
  <r>
    <x v="2"/>
    <x v="5"/>
    <x v="28"/>
    <x v="0"/>
    <x v="0"/>
    <x v="0"/>
    <n v="4.34"/>
    <n v="4.47"/>
    <n v="3.82"/>
    <n v="3.99"/>
  </r>
  <r>
    <x v="2"/>
    <x v="5"/>
    <x v="28"/>
    <x v="4"/>
    <x v="4"/>
    <x v="0"/>
    <n v="38.17"/>
    <n v="39.31"/>
    <n v="5.39"/>
    <n v="35.64"/>
  </r>
  <r>
    <x v="2"/>
    <x v="5"/>
    <x v="28"/>
    <x v="4"/>
    <x v="1"/>
    <x v="0"/>
    <n v="4.8099999999999996"/>
    <n v="4.95"/>
    <n v="0.3"/>
    <n v="4.4800000000000004"/>
  </r>
  <r>
    <x v="2"/>
    <x v="2"/>
    <x v="29"/>
    <x v="4"/>
    <x v="0"/>
    <x v="1"/>
    <n v="1.01"/>
    <n v="1.04"/>
    <n v="0.04"/>
    <n v="0.97"/>
  </r>
  <r>
    <x v="2"/>
    <x v="2"/>
    <x v="29"/>
    <x v="1"/>
    <x v="1"/>
    <x v="1"/>
    <n v="1.39"/>
    <n v="1.44"/>
    <n v="0.02"/>
    <n v="1.29"/>
  </r>
  <r>
    <x v="2"/>
    <x v="2"/>
    <x v="29"/>
    <x v="1"/>
    <x v="4"/>
    <x v="1"/>
    <n v="1.5"/>
    <n v="1.55"/>
    <n v="0.08"/>
    <n v="1.5"/>
  </r>
  <r>
    <x v="2"/>
    <x v="2"/>
    <x v="29"/>
    <x v="1"/>
    <x v="0"/>
    <x v="1"/>
    <n v="4.1100000000000003"/>
    <n v="4.25"/>
    <n v="0.16"/>
    <n v="4.0999999999999996"/>
  </r>
  <r>
    <x v="2"/>
    <x v="2"/>
    <x v="29"/>
    <x v="0"/>
    <x v="4"/>
    <x v="1"/>
    <n v="0.93"/>
    <n v="0.96"/>
    <n v="0.02"/>
    <n v="0.84"/>
  </r>
  <r>
    <x v="2"/>
    <x v="2"/>
    <x v="29"/>
    <x v="0"/>
    <x v="0"/>
    <x v="1"/>
    <n v="0.99"/>
    <n v="1.03"/>
    <n v="0.04"/>
    <n v="0.89"/>
  </r>
  <r>
    <x v="2"/>
    <x v="2"/>
    <x v="29"/>
    <x v="1"/>
    <x v="2"/>
    <x v="1"/>
    <n v="2.4"/>
    <n v="2.4700000000000002"/>
    <n v="0.02"/>
    <n v="2.27"/>
  </r>
  <r>
    <x v="2"/>
    <x v="2"/>
    <x v="29"/>
    <x v="4"/>
    <x v="4"/>
    <x v="1"/>
    <n v="0.06"/>
    <n v="0.06"/>
    <n v="0.01"/>
    <n v="0.06"/>
  </r>
  <r>
    <x v="2"/>
    <x v="2"/>
    <x v="29"/>
    <x v="4"/>
    <x v="2"/>
    <x v="2"/>
    <n v="0.53"/>
    <n v="0.54"/>
    <n v="0.01"/>
    <n v="0.46"/>
  </r>
  <r>
    <x v="2"/>
    <x v="2"/>
    <x v="29"/>
    <x v="2"/>
    <x v="3"/>
    <x v="3"/>
    <n v="0.02"/>
    <n v="0.02"/>
    <n v="0"/>
    <n v="0.02"/>
  </r>
  <r>
    <x v="2"/>
    <x v="2"/>
    <x v="29"/>
    <x v="2"/>
    <x v="2"/>
    <x v="3"/>
    <n v="0"/>
    <n v="0"/>
    <n v="0"/>
    <n v="0"/>
  </r>
  <r>
    <x v="2"/>
    <x v="2"/>
    <x v="29"/>
    <x v="2"/>
    <x v="3"/>
    <x v="2"/>
    <n v="1.04"/>
    <n v="1.07"/>
    <n v="0.01"/>
    <n v="1.02"/>
  </r>
  <r>
    <x v="2"/>
    <x v="2"/>
    <x v="29"/>
    <x v="1"/>
    <x v="4"/>
    <x v="2"/>
    <n v="3.89"/>
    <n v="4.0199999999999996"/>
    <n v="0.01"/>
    <n v="3.39"/>
  </r>
  <r>
    <x v="2"/>
    <x v="2"/>
    <x v="29"/>
    <x v="4"/>
    <x v="1"/>
    <x v="2"/>
    <n v="0.44"/>
    <n v="0.45"/>
    <n v="0.02"/>
    <n v="0.38"/>
  </r>
  <r>
    <x v="2"/>
    <x v="2"/>
    <x v="29"/>
    <x v="4"/>
    <x v="1"/>
    <x v="1"/>
    <n v="0.04"/>
    <n v="0.04"/>
    <n v="0"/>
    <n v="0.04"/>
  </r>
  <r>
    <x v="2"/>
    <x v="2"/>
    <x v="29"/>
    <x v="1"/>
    <x v="4"/>
    <x v="0"/>
    <n v="27.27"/>
    <n v="28.17"/>
    <n v="6.88"/>
    <n v="25.09"/>
  </r>
  <r>
    <x v="2"/>
    <x v="2"/>
    <x v="29"/>
    <x v="4"/>
    <x v="4"/>
    <x v="2"/>
    <n v="0.56000000000000005"/>
    <n v="0.57999999999999996"/>
    <n v="0.06"/>
    <n v="0.5"/>
  </r>
  <r>
    <x v="2"/>
    <x v="2"/>
    <x v="29"/>
    <x v="2"/>
    <x v="0"/>
    <x v="0"/>
    <n v="1.68"/>
    <n v="1.73"/>
    <n v="1.56"/>
    <n v="1.58"/>
  </r>
  <r>
    <x v="2"/>
    <x v="2"/>
    <x v="29"/>
    <x v="1"/>
    <x v="3"/>
    <x v="1"/>
    <n v="0.03"/>
    <n v="0.03"/>
    <n v="0.01"/>
    <n v="0.02"/>
  </r>
  <r>
    <x v="2"/>
    <x v="2"/>
    <x v="29"/>
    <x v="1"/>
    <x v="1"/>
    <x v="0"/>
    <n v="2.4900000000000002"/>
    <n v="2.57"/>
    <n v="0.28999999999999998"/>
    <n v="2.36"/>
  </r>
  <r>
    <x v="2"/>
    <x v="2"/>
    <x v="29"/>
    <x v="2"/>
    <x v="4"/>
    <x v="0"/>
    <n v="0.76"/>
    <n v="0.78"/>
    <n v="0.2"/>
    <n v="0.73"/>
  </r>
  <r>
    <x v="2"/>
    <x v="2"/>
    <x v="29"/>
    <x v="1"/>
    <x v="0"/>
    <x v="0"/>
    <n v="2.77"/>
    <n v="2.86"/>
    <n v="1.6"/>
    <n v="2.57"/>
  </r>
  <r>
    <x v="2"/>
    <x v="2"/>
    <x v="29"/>
    <x v="0"/>
    <x v="4"/>
    <x v="0"/>
    <n v="4.12"/>
    <n v="4.25"/>
    <n v="1.19"/>
    <n v="3.82"/>
  </r>
  <r>
    <x v="2"/>
    <x v="2"/>
    <x v="29"/>
    <x v="0"/>
    <x v="0"/>
    <x v="0"/>
    <n v="2.1800000000000002"/>
    <n v="2.25"/>
    <n v="1.79"/>
    <n v="1.98"/>
  </r>
  <r>
    <x v="2"/>
    <x v="2"/>
    <x v="29"/>
    <x v="4"/>
    <x v="1"/>
    <x v="0"/>
    <n v="0.7"/>
    <n v="0.72"/>
    <n v="0.05"/>
    <n v="0.68"/>
  </r>
  <r>
    <x v="2"/>
    <x v="2"/>
    <x v="29"/>
    <x v="4"/>
    <x v="4"/>
    <x v="0"/>
    <n v="11.92"/>
    <n v="12.31"/>
    <n v="1.62"/>
    <n v="11.23"/>
  </r>
  <r>
    <x v="2"/>
    <x v="2"/>
    <x v="29"/>
    <x v="4"/>
    <x v="0"/>
    <x v="0"/>
    <n v="0.01"/>
    <n v="0.01"/>
    <n v="0"/>
    <n v="0.01"/>
  </r>
  <r>
    <x v="2"/>
    <x v="2"/>
    <x v="29"/>
    <x v="3"/>
    <x v="4"/>
    <x v="0"/>
    <n v="0.39"/>
    <n v="0.41"/>
    <n v="0.12"/>
    <n v="0.37"/>
  </r>
  <r>
    <x v="2"/>
    <x v="2"/>
    <x v="29"/>
    <x v="3"/>
    <x v="0"/>
    <x v="0"/>
    <n v="0.15"/>
    <n v="0.16"/>
    <n v="0.13"/>
    <n v="0.15"/>
  </r>
  <r>
    <x v="2"/>
    <x v="2"/>
    <x v="29"/>
    <x v="2"/>
    <x v="3"/>
    <x v="1"/>
    <n v="2.86"/>
    <n v="2.95"/>
    <n v="0"/>
    <n v="2.59"/>
  </r>
  <r>
    <x v="2"/>
    <x v="2"/>
    <x v="29"/>
    <x v="1"/>
    <x v="2"/>
    <x v="0"/>
    <n v="0.43"/>
    <n v="0.45"/>
    <n v="0.01"/>
    <n v="0.38"/>
  </r>
  <r>
    <x v="2"/>
    <x v="5"/>
    <x v="30"/>
    <x v="3"/>
    <x v="1"/>
    <x v="0"/>
    <n v="0.02"/>
    <n v="0.02"/>
    <n v="0"/>
    <n v="0.02"/>
  </r>
  <r>
    <x v="2"/>
    <x v="5"/>
    <x v="30"/>
    <x v="0"/>
    <x v="2"/>
    <x v="0"/>
    <n v="0.15"/>
    <n v="0.15"/>
    <n v="0"/>
    <n v="0.14000000000000001"/>
  </r>
  <r>
    <x v="2"/>
    <x v="5"/>
    <x v="30"/>
    <x v="2"/>
    <x v="4"/>
    <x v="0"/>
    <n v="6.56"/>
    <n v="6.77"/>
    <n v="1.65"/>
    <n v="6.15"/>
  </r>
  <r>
    <x v="2"/>
    <x v="5"/>
    <x v="30"/>
    <x v="2"/>
    <x v="0"/>
    <x v="0"/>
    <n v="5.5"/>
    <n v="5.68"/>
    <n v="4.1900000000000004"/>
    <n v="5.19"/>
  </r>
  <r>
    <x v="2"/>
    <x v="5"/>
    <x v="30"/>
    <x v="1"/>
    <x v="2"/>
    <x v="0"/>
    <n v="2.93"/>
    <n v="3.02"/>
    <n v="0.05"/>
    <n v="2.6"/>
  </r>
  <r>
    <x v="2"/>
    <x v="5"/>
    <x v="30"/>
    <x v="1"/>
    <x v="1"/>
    <x v="0"/>
    <n v="27.74"/>
    <n v="28.66"/>
    <n v="3.53"/>
    <n v="25.52"/>
  </r>
  <r>
    <x v="2"/>
    <x v="5"/>
    <x v="30"/>
    <x v="1"/>
    <x v="4"/>
    <x v="0"/>
    <n v="158.32"/>
    <n v="163.54"/>
    <n v="57.99"/>
    <n v="145.55000000000001"/>
  </r>
  <r>
    <x v="2"/>
    <x v="5"/>
    <x v="30"/>
    <x v="1"/>
    <x v="0"/>
    <x v="0"/>
    <n v="12.06"/>
    <n v="12.46"/>
    <n v="8.66"/>
    <n v="11.23"/>
  </r>
  <r>
    <x v="2"/>
    <x v="5"/>
    <x v="30"/>
    <x v="0"/>
    <x v="4"/>
    <x v="0"/>
    <n v="23.69"/>
    <n v="24.47"/>
    <n v="7.8"/>
    <n v="21.87"/>
  </r>
  <r>
    <x v="2"/>
    <x v="5"/>
    <x v="30"/>
    <x v="0"/>
    <x v="0"/>
    <x v="0"/>
    <n v="6.88"/>
    <n v="7.1"/>
    <n v="5.5"/>
    <n v="6.3"/>
  </r>
  <r>
    <x v="2"/>
    <x v="5"/>
    <x v="30"/>
    <x v="4"/>
    <x v="1"/>
    <x v="0"/>
    <n v="5.95"/>
    <n v="6.14"/>
    <n v="0.37"/>
    <n v="5.53"/>
  </r>
  <r>
    <x v="2"/>
    <x v="5"/>
    <x v="30"/>
    <x v="3"/>
    <x v="0"/>
    <x v="0"/>
    <n v="0.46"/>
    <n v="0.47"/>
    <n v="0.38"/>
    <n v="0.45"/>
  </r>
  <r>
    <x v="2"/>
    <x v="5"/>
    <x v="30"/>
    <x v="4"/>
    <x v="0"/>
    <x v="0"/>
    <n v="0.22"/>
    <n v="0.23"/>
    <n v="0.05"/>
    <n v="0.2"/>
  </r>
  <r>
    <x v="2"/>
    <x v="5"/>
    <x v="30"/>
    <x v="1"/>
    <x v="4"/>
    <x v="1"/>
    <n v="2.75"/>
    <n v="2.84"/>
    <n v="0.12"/>
    <n v="2.74"/>
  </r>
  <r>
    <x v="2"/>
    <x v="5"/>
    <x v="30"/>
    <x v="3"/>
    <x v="4"/>
    <x v="0"/>
    <n v="4.45"/>
    <n v="4.59"/>
    <n v="1.33"/>
    <n v="4.1500000000000004"/>
  </r>
  <r>
    <x v="2"/>
    <x v="5"/>
    <x v="30"/>
    <x v="4"/>
    <x v="4"/>
    <x v="0"/>
    <n v="57.51"/>
    <n v="59.4"/>
    <n v="7.83"/>
    <n v="53.17"/>
  </r>
  <r>
    <x v="2"/>
    <x v="5"/>
    <x v="30"/>
    <x v="4"/>
    <x v="0"/>
    <x v="1"/>
    <n v="1.4"/>
    <n v="1.45"/>
    <n v="7.0000000000000007E-2"/>
    <n v="1.3"/>
  </r>
  <r>
    <x v="2"/>
    <x v="5"/>
    <x v="30"/>
    <x v="4"/>
    <x v="4"/>
    <x v="2"/>
    <n v="1.87"/>
    <n v="1.93"/>
    <n v="0.08"/>
    <n v="1.62"/>
  </r>
  <r>
    <x v="2"/>
    <x v="5"/>
    <x v="30"/>
    <x v="4"/>
    <x v="1"/>
    <x v="2"/>
    <n v="1.28"/>
    <n v="1.33"/>
    <n v="0.03"/>
    <n v="1.1200000000000001"/>
  </r>
  <r>
    <x v="2"/>
    <x v="5"/>
    <x v="30"/>
    <x v="4"/>
    <x v="2"/>
    <x v="2"/>
    <n v="1.76"/>
    <n v="1.82"/>
    <n v="0.01"/>
    <n v="1.53"/>
  </r>
  <r>
    <x v="2"/>
    <x v="5"/>
    <x v="30"/>
    <x v="1"/>
    <x v="4"/>
    <x v="2"/>
    <n v="0.39"/>
    <n v="0.4"/>
    <n v="0.02"/>
    <n v="0.34"/>
  </r>
  <r>
    <x v="2"/>
    <x v="5"/>
    <x v="30"/>
    <x v="1"/>
    <x v="1"/>
    <x v="2"/>
    <n v="0.24"/>
    <n v="0.25"/>
    <n v="0"/>
    <n v="0.21"/>
  </r>
  <r>
    <x v="2"/>
    <x v="5"/>
    <x v="30"/>
    <x v="2"/>
    <x v="3"/>
    <x v="2"/>
    <n v="23.4"/>
    <n v="24.17"/>
    <n v="0.04"/>
    <n v="20.81"/>
  </r>
  <r>
    <x v="2"/>
    <x v="5"/>
    <x v="30"/>
    <x v="1"/>
    <x v="2"/>
    <x v="1"/>
    <n v="10.3"/>
    <n v="10.64"/>
    <n v="0.05"/>
    <n v="9.6300000000000008"/>
  </r>
  <r>
    <x v="2"/>
    <x v="5"/>
    <x v="30"/>
    <x v="2"/>
    <x v="3"/>
    <x v="3"/>
    <n v="4.5199999999999996"/>
    <n v="4.67"/>
    <n v="0"/>
    <n v="4.5199999999999996"/>
  </r>
  <r>
    <x v="2"/>
    <x v="5"/>
    <x v="30"/>
    <x v="2"/>
    <x v="3"/>
    <x v="1"/>
    <n v="11.55"/>
    <n v="11.94"/>
    <n v="0.02"/>
    <n v="10.68"/>
  </r>
  <r>
    <x v="2"/>
    <x v="5"/>
    <x v="30"/>
    <x v="4"/>
    <x v="4"/>
    <x v="1"/>
    <n v="0.37"/>
    <n v="0.39"/>
    <n v="0.05"/>
    <n v="0.35"/>
  </r>
  <r>
    <x v="2"/>
    <x v="5"/>
    <x v="30"/>
    <x v="4"/>
    <x v="1"/>
    <x v="1"/>
    <n v="0.19"/>
    <n v="0.2"/>
    <n v="0.01"/>
    <n v="0.18"/>
  </r>
  <r>
    <x v="2"/>
    <x v="5"/>
    <x v="30"/>
    <x v="0"/>
    <x v="0"/>
    <x v="1"/>
    <n v="2.58"/>
    <n v="2.67"/>
    <n v="0.11"/>
    <n v="2.39"/>
  </r>
  <r>
    <x v="2"/>
    <x v="5"/>
    <x v="30"/>
    <x v="0"/>
    <x v="4"/>
    <x v="1"/>
    <n v="1.8"/>
    <n v="1.86"/>
    <n v="0.04"/>
    <n v="1.66"/>
  </r>
  <r>
    <x v="2"/>
    <x v="5"/>
    <x v="30"/>
    <x v="1"/>
    <x v="0"/>
    <x v="1"/>
    <n v="4.33"/>
    <n v="4.47"/>
    <n v="0.22"/>
    <n v="4.2699999999999996"/>
  </r>
  <r>
    <x v="2"/>
    <x v="5"/>
    <x v="30"/>
    <x v="1"/>
    <x v="1"/>
    <x v="1"/>
    <n v="4.3899999999999997"/>
    <n v="4.53"/>
    <n v="7.0000000000000007E-2"/>
    <n v="4.12"/>
  </r>
  <r>
    <x v="2"/>
    <x v="5"/>
    <x v="30"/>
    <x v="2"/>
    <x v="2"/>
    <x v="3"/>
    <n v="0.56999999999999995"/>
    <n v="0.59"/>
    <n v="0"/>
    <n v="0.56999999999999995"/>
  </r>
  <r>
    <x v="2"/>
    <x v="6"/>
    <x v="31"/>
    <x v="2"/>
    <x v="3"/>
    <x v="1"/>
    <n v="0.69"/>
    <n v="0.69"/>
    <n v="0"/>
    <n v="0.56999999999999995"/>
  </r>
  <r>
    <x v="2"/>
    <x v="6"/>
    <x v="31"/>
    <x v="3"/>
    <x v="4"/>
    <x v="0"/>
    <n v="0.08"/>
    <n v="0.08"/>
    <n v="0.02"/>
    <n v="7.0000000000000007E-2"/>
  </r>
  <r>
    <x v="2"/>
    <x v="6"/>
    <x v="31"/>
    <x v="3"/>
    <x v="1"/>
    <x v="0"/>
    <n v="7.0000000000000007E-2"/>
    <n v="7.0000000000000007E-2"/>
    <n v="0.01"/>
    <n v="7.0000000000000007E-2"/>
  </r>
  <r>
    <x v="2"/>
    <x v="6"/>
    <x v="31"/>
    <x v="4"/>
    <x v="0"/>
    <x v="0"/>
    <n v="0.06"/>
    <n v="0.06"/>
    <n v="0.01"/>
    <n v="0.05"/>
  </r>
  <r>
    <x v="2"/>
    <x v="6"/>
    <x v="31"/>
    <x v="4"/>
    <x v="4"/>
    <x v="0"/>
    <n v="23.98"/>
    <n v="23.98"/>
    <n v="3.91"/>
    <n v="21.02"/>
  </r>
  <r>
    <x v="2"/>
    <x v="6"/>
    <x v="31"/>
    <x v="4"/>
    <x v="1"/>
    <x v="0"/>
    <n v="2.38"/>
    <n v="2.38"/>
    <n v="0.31"/>
    <n v="2.08"/>
  </r>
  <r>
    <x v="2"/>
    <x v="6"/>
    <x v="31"/>
    <x v="0"/>
    <x v="0"/>
    <x v="0"/>
    <n v="1.45"/>
    <n v="1.45"/>
    <n v="1.32"/>
    <n v="1.25"/>
  </r>
  <r>
    <x v="2"/>
    <x v="6"/>
    <x v="31"/>
    <x v="0"/>
    <x v="4"/>
    <x v="0"/>
    <n v="13.74"/>
    <n v="13.74"/>
    <n v="4.0599999999999996"/>
    <n v="12.11"/>
  </r>
  <r>
    <x v="2"/>
    <x v="6"/>
    <x v="31"/>
    <x v="1"/>
    <x v="0"/>
    <x v="0"/>
    <n v="9.57"/>
    <n v="9.57"/>
    <n v="5.28"/>
    <n v="8.42"/>
  </r>
  <r>
    <x v="2"/>
    <x v="6"/>
    <x v="31"/>
    <x v="1"/>
    <x v="4"/>
    <x v="0"/>
    <n v="93.16"/>
    <n v="93.16"/>
    <n v="29.52"/>
    <n v="84.54"/>
  </r>
  <r>
    <x v="2"/>
    <x v="6"/>
    <x v="31"/>
    <x v="1"/>
    <x v="1"/>
    <x v="0"/>
    <n v="21.72"/>
    <n v="21.72"/>
    <n v="1.29"/>
    <n v="18.829999999999998"/>
  </r>
  <r>
    <x v="2"/>
    <x v="6"/>
    <x v="31"/>
    <x v="2"/>
    <x v="4"/>
    <x v="1"/>
    <n v="0.3"/>
    <n v="0.3"/>
    <n v="0"/>
    <n v="0.24"/>
  </r>
  <r>
    <x v="2"/>
    <x v="6"/>
    <x v="31"/>
    <x v="2"/>
    <x v="0"/>
    <x v="0"/>
    <n v="5.86"/>
    <n v="5.86"/>
    <n v="5.25"/>
    <n v="5.55"/>
  </r>
  <r>
    <x v="2"/>
    <x v="6"/>
    <x v="31"/>
    <x v="1"/>
    <x v="3"/>
    <x v="2"/>
    <n v="0.22"/>
    <n v="0.22"/>
    <n v="0"/>
    <n v="0.18"/>
  </r>
  <r>
    <x v="2"/>
    <x v="6"/>
    <x v="31"/>
    <x v="1"/>
    <x v="2"/>
    <x v="0"/>
    <n v="6.71"/>
    <n v="6.71"/>
    <n v="0.09"/>
    <n v="5.63"/>
  </r>
  <r>
    <x v="2"/>
    <x v="6"/>
    <x v="31"/>
    <x v="1"/>
    <x v="2"/>
    <x v="1"/>
    <n v="12.36"/>
    <n v="12.36"/>
    <n v="7.0000000000000007E-2"/>
    <n v="10.37"/>
  </r>
  <r>
    <x v="2"/>
    <x v="6"/>
    <x v="31"/>
    <x v="1"/>
    <x v="1"/>
    <x v="1"/>
    <n v="9.2799999999999994"/>
    <n v="9.2799999999999994"/>
    <n v="0.09"/>
    <n v="7.74"/>
  </r>
  <r>
    <x v="2"/>
    <x v="6"/>
    <x v="31"/>
    <x v="1"/>
    <x v="4"/>
    <x v="1"/>
    <n v="0.9"/>
    <n v="0.9"/>
    <n v="0.06"/>
    <n v="0.76"/>
  </r>
  <r>
    <x v="2"/>
    <x v="6"/>
    <x v="31"/>
    <x v="0"/>
    <x v="4"/>
    <x v="1"/>
    <n v="2.4"/>
    <n v="2.4"/>
    <n v="0.04"/>
    <n v="1.94"/>
  </r>
  <r>
    <x v="2"/>
    <x v="6"/>
    <x v="31"/>
    <x v="4"/>
    <x v="0"/>
    <x v="1"/>
    <n v="0.94"/>
    <n v="0.94"/>
    <n v="0.05"/>
    <n v="0.79"/>
  </r>
  <r>
    <x v="2"/>
    <x v="6"/>
    <x v="31"/>
    <x v="2"/>
    <x v="3"/>
    <x v="3"/>
    <n v="4.46"/>
    <n v="4.46"/>
    <n v="0"/>
    <n v="4.16"/>
  </r>
  <r>
    <x v="2"/>
    <x v="6"/>
    <x v="31"/>
    <x v="2"/>
    <x v="3"/>
    <x v="2"/>
    <n v="1.53"/>
    <n v="1.53"/>
    <n v="0"/>
    <n v="1.41"/>
  </r>
  <r>
    <x v="2"/>
    <x v="6"/>
    <x v="31"/>
    <x v="1"/>
    <x v="1"/>
    <x v="2"/>
    <n v="1.61"/>
    <n v="1.61"/>
    <n v="0.02"/>
    <n v="1.37"/>
  </r>
  <r>
    <x v="2"/>
    <x v="6"/>
    <x v="31"/>
    <x v="1"/>
    <x v="4"/>
    <x v="2"/>
    <n v="0.82"/>
    <n v="0.82"/>
    <n v="0.03"/>
    <n v="0.67"/>
  </r>
  <r>
    <x v="2"/>
    <x v="6"/>
    <x v="31"/>
    <x v="4"/>
    <x v="2"/>
    <x v="2"/>
    <n v="0.56000000000000005"/>
    <n v="0.56000000000000005"/>
    <n v="0"/>
    <n v="0.45"/>
  </r>
  <r>
    <x v="2"/>
    <x v="6"/>
    <x v="31"/>
    <x v="4"/>
    <x v="1"/>
    <x v="2"/>
    <n v="4.01"/>
    <n v="4.01"/>
    <n v="0.03"/>
    <n v="3.27"/>
  </r>
  <r>
    <x v="2"/>
    <x v="6"/>
    <x v="31"/>
    <x v="4"/>
    <x v="4"/>
    <x v="2"/>
    <n v="3.8"/>
    <n v="3.8"/>
    <n v="0.06"/>
    <n v="3.09"/>
  </r>
  <r>
    <x v="2"/>
    <x v="6"/>
    <x v="31"/>
    <x v="2"/>
    <x v="4"/>
    <x v="0"/>
    <n v="5.5"/>
    <n v="5.5"/>
    <n v="2.5499999999999998"/>
    <n v="5.01"/>
  </r>
  <r>
    <x v="2"/>
    <x v="6"/>
    <x v="31"/>
    <x v="1"/>
    <x v="0"/>
    <x v="1"/>
    <n v="1.75"/>
    <n v="1.75"/>
    <n v="0.09"/>
    <n v="1.46"/>
  </r>
  <r>
    <x v="2"/>
    <x v="6"/>
    <x v="31"/>
    <x v="2"/>
    <x v="2"/>
    <x v="3"/>
    <n v="5.57"/>
    <n v="5.57"/>
    <n v="0"/>
    <n v="5.57"/>
  </r>
  <r>
    <x v="2"/>
    <x v="6"/>
    <x v="31"/>
    <x v="0"/>
    <x v="0"/>
    <x v="1"/>
    <n v="3.01"/>
    <n v="3.01"/>
    <n v="0.09"/>
    <n v="2.4300000000000002"/>
  </r>
  <r>
    <x v="2"/>
    <x v="9"/>
    <x v="32"/>
    <x v="2"/>
    <x v="3"/>
    <x v="3"/>
    <n v="1.2"/>
    <n v="1.17"/>
    <n v="0"/>
    <n v="1.2"/>
  </r>
  <r>
    <x v="2"/>
    <x v="9"/>
    <x v="32"/>
    <x v="1"/>
    <x v="1"/>
    <x v="1"/>
    <n v="1.17"/>
    <n v="1.1399999999999999"/>
    <n v="0.02"/>
    <n v="1.1000000000000001"/>
  </r>
  <r>
    <x v="2"/>
    <x v="9"/>
    <x v="32"/>
    <x v="1"/>
    <x v="4"/>
    <x v="1"/>
    <n v="0.73"/>
    <n v="0.71"/>
    <n v="0.03"/>
    <n v="0.73"/>
  </r>
  <r>
    <x v="2"/>
    <x v="9"/>
    <x v="32"/>
    <x v="0"/>
    <x v="4"/>
    <x v="1"/>
    <n v="0.48"/>
    <n v="0.47"/>
    <n v="0.01"/>
    <n v="0.44"/>
  </r>
  <r>
    <x v="2"/>
    <x v="9"/>
    <x v="32"/>
    <x v="4"/>
    <x v="1"/>
    <x v="1"/>
    <n v="0.05"/>
    <n v="0.05"/>
    <n v="0"/>
    <n v="0.05"/>
  </r>
  <r>
    <x v="2"/>
    <x v="9"/>
    <x v="32"/>
    <x v="4"/>
    <x v="4"/>
    <x v="2"/>
    <n v="0.5"/>
    <n v="0.48"/>
    <n v="0.02"/>
    <n v="0.43"/>
  </r>
  <r>
    <x v="2"/>
    <x v="9"/>
    <x v="32"/>
    <x v="4"/>
    <x v="0"/>
    <x v="1"/>
    <n v="0.37"/>
    <n v="0.36"/>
    <n v="0.02"/>
    <n v="0.35"/>
  </r>
  <r>
    <x v="2"/>
    <x v="9"/>
    <x v="32"/>
    <x v="3"/>
    <x v="0"/>
    <x v="0"/>
    <n v="0.12"/>
    <n v="0.12"/>
    <n v="0.1"/>
    <n v="0.12"/>
  </r>
  <r>
    <x v="2"/>
    <x v="9"/>
    <x v="32"/>
    <x v="2"/>
    <x v="2"/>
    <x v="3"/>
    <n v="0.15"/>
    <n v="0.15"/>
    <n v="0"/>
    <n v="0.15"/>
  </r>
  <r>
    <x v="2"/>
    <x v="9"/>
    <x v="32"/>
    <x v="2"/>
    <x v="3"/>
    <x v="2"/>
    <n v="6.22"/>
    <n v="6.06"/>
    <n v="0.01"/>
    <n v="5.53"/>
  </r>
  <r>
    <x v="2"/>
    <x v="9"/>
    <x v="32"/>
    <x v="1"/>
    <x v="1"/>
    <x v="2"/>
    <n v="0.06"/>
    <n v="0.06"/>
    <n v="0"/>
    <n v="0.06"/>
  </r>
  <r>
    <x v="2"/>
    <x v="9"/>
    <x v="32"/>
    <x v="1"/>
    <x v="4"/>
    <x v="2"/>
    <n v="0.1"/>
    <n v="0.1"/>
    <n v="0.01"/>
    <n v="0.09"/>
  </r>
  <r>
    <x v="2"/>
    <x v="9"/>
    <x v="32"/>
    <x v="4"/>
    <x v="2"/>
    <x v="2"/>
    <n v="0.47"/>
    <n v="0.46"/>
    <n v="0"/>
    <n v="0.41"/>
  </r>
  <r>
    <x v="2"/>
    <x v="9"/>
    <x v="32"/>
    <x v="4"/>
    <x v="1"/>
    <x v="2"/>
    <n v="0.34"/>
    <n v="0.33"/>
    <n v="0.01"/>
    <n v="0.3"/>
  </r>
  <r>
    <x v="2"/>
    <x v="9"/>
    <x v="32"/>
    <x v="4"/>
    <x v="4"/>
    <x v="1"/>
    <n v="0.1"/>
    <n v="0.1"/>
    <n v="0.01"/>
    <n v="0.09"/>
  </r>
  <r>
    <x v="2"/>
    <x v="9"/>
    <x v="32"/>
    <x v="1"/>
    <x v="1"/>
    <x v="0"/>
    <n v="7.38"/>
    <n v="7.19"/>
    <n v="0.94"/>
    <n v="6.78"/>
  </r>
  <r>
    <x v="2"/>
    <x v="9"/>
    <x v="32"/>
    <x v="4"/>
    <x v="4"/>
    <x v="0"/>
    <n v="15.29"/>
    <n v="14.9"/>
    <n v="2.08"/>
    <n v="14.13"/>
  </r>
  <r>
    <x v="2"/>
    <x v="9"/>
    <x v="32"/>
    <x v="4"/>
    <x v="0"/>
    <x v="0"/>
    <n v="0.06"/>
    <n v="0.06"/>
    <n v="0.01"/>
    <n v="0.05"/>
  </r>
  <r>
    <x v="2"/>
    <x v="9"/>
    <x v="32"/>
    <x v="4"/>
    <x v="1"/>
    <x v="0"/>
    <n v="1.58"/>
    <n v="1.54"/>
    <n v="0.1"/>
    <n v="1.47"/>
  </r>
  <r>
    <x v="2"/>
    <x v="9"/>
    <x v="32"/>
    <x v="0"/>
    <x v="0"/>
    <x v="0"/>
    <n v="1.83"/>
    <n v="1.78"/>
    <n v="1.46"/>
    <n v="1.67"/>
  </r>
  <r>
    <x v="2"/>
    <x v="9"/>
    <x v="32"/>
    <x v="0"/>
    <x v="4"/>
    <x v="0"/>
    <n v="6.3"/>
    <n v="6.14"/>
    <n v="2.0699999999999998"/>
    <n v="5.81"/>
  </r>
  <r>
    <x v="2"/>
    <x v="9"/>
    <x v="32"/>
    <x v="0"/>
    <x v="2"/>
    <x v="0"/>
    <n v="0.04"/>
    <n v="0.04"/>
    <n v="0"/>
    <n v="0.04"/>
  </r>
  <r>
    <x v="2"/>
    <x v="9"/>
    <x v="32"/>
    <x v="1"/>
    <x v="2"/>
    <x v="1"/>
    <n v="2.74"/>
    <n v="2.67"/>
    <n v="0.01"/>
    <n v="2.56"/>
  </r>
  <r>
    <x v="2"/>
    <x v="9"/>
    <x v="32"/>
    <x v="1"/>
    <x v="4"/>
    <x v="0"/>
    <n v="42.09"/>
    <n v="41.03"/>
    <n v="15.41"/>
    <n v="38.69"/>
  </r>
  <r>
    <x v="2"/>
    <x v="9"/>
    <x v="32"/>
    <x v="2"/>
    <x v="3"/>
    <x v="1"/>
    <n v="3.07"/>
    <n v="2.99"/>
    <n v="0.01"/>
    <n v="2.84"/>
  </r>
  <r>
    <x v="2"/>
    <x v="9"/>
    <x v="32"/>
    <x v="1"/>
    <x v="2"/>
    <x v="0"/>
    <n v="0.78"/>
    <n v="0.76"/>
    <n v="0.01"/>
    <n v="0.69"/>
  </r>
  <r>
    <x v="2"/>
    <x v="9"/>
    <x v="32"/>
    <x v="2"/>
    <x v="0"/>
    <x v="0"/>
    <n v="1.46"/>
    <n v="1.43"/>
    <n v="1.1100000000000001"/>
    <n v="1.38"/>
  </r>
  <r>
    <x v="2"/>
    <x v="9"/>
    <x v="32"/>
    <x v="2"/>
    <x v="4"/>
    <x v="0"/>
    <n v="1.74"/>
    <n v="1.7"/>
    <n v="0.44"/>
    <n v="1.63"/>
  </r>
  <r>
    <x v="2"/>
    <x v="9"/>
    <x v="32"/>
    <x v="3"/>
    <x v="1"/>
    <x v="0"/>
    <n v="0.01"/>
    <n v="0.01"/>
    <n v="0"/>
    <n v="0.01"/>
  </r>
  <r>
    <x v="2"/>
    <x v="9"/>
    <x v="32"/>
    <x v="3"/>
    <x v="4"/>
    <x v="0"/>
    <n v="1.18"/>
    <n v="1.1499999999999999"/>
    <n v="0.35"/>
    <n v="1.1000000000000001"/>
  </r>
  <r>
    <x v="2"/>
    <x v="9"/>
    <x v="32"/>
    <x v="0"/>
    <x v="0"/>
    <x v="1"/>
    <n v="0.69"/>
    <n v="0.67"/>
    <n v="0.03"/>
    <n v="0.63"/>
  </r>
  <r>
    <x v="2"/>
    <x v="9"/>
    <x v="32"/>
    <x v="1"/>
    <x v="0"/>
    <x v="0"/>
    <n v="3.21"/>
    <n v="3.13"/>
    <n v="2.2999999999999998"/>
    <n v="2.98"/>
  </r>
  <r>
    <x v="2"/>
    <x v="9"/>
    <x v="32"/>
    <x v="1"/>
    <x v="0"/>
    <x v="1"/>
    <n v="1.1499999999999999"/>
    <n v="1.1200000000000001"/>
    <n v="0.06"/>
    <n v="1.1399999999999999"/>
  </r>
  <r>
    <x v="2"/>
    <x v="0"/>
    <x v="33"/>
    <x v="4"/>
    <x v="1"/>
    <x v="0"/>
    <n v="10.32"/>
    <n v="10.32"/>
    <n v="0.93"/>
    <n v="9.59"/>
  </r>
  <r>
    <x v="2"/>
    <x v="0"/>
    <x v="33"/>
    <x v="4"/>
    <x v="4"/>
    <x v="0"/>
    <n v="56.93"/>
    <n v="56.93"/>
    <n v="7.77"/>
    <n v="53.12"/>
  </r>
  <r>
    <x v="2"/>
    <x v="0"/>
    <x v="33"/>
    <x v="0"/>
    <x v="0"/>
    <x v="0"/>
    <n v="14.83"/>
    <n v="14.83"/>
    <n v="11"/>
    <n v="13.65"/>
  </r>
  <r>
    <x v="2"/>
    <x v="0"/>
    <x v="33"/>
    <x v="0"/>
    <x v="4"/>
    <x v="0"/>
    <n v="19.13"/>
    <n v="19.13"/>
    <n v="6.58"/>
    <n v="18.059999999999999"/>
  </r>
  <r>
    <x v="2"/>
    <x v="0"/>
    <x v="33"/>
    <x v="1"/>
    <x v="0"/>
    <x v="0"/>
    <n v="11.32"/>
    <n v="11.32"/>
    <n v="5.47"/>
    <n v="10.72"/>
  </r>
  <r>
    <x v="2"/>
    <x v="0"/>
    <x v="33"/>
    <x v="1"/>
    <x v="4"/>
    <x v="0"/>
    <n v="101.35"/>
    <n v="101.35"/>
    <n v="28.1"/>
    <n v="95.72"/>
  </r>
  <r>
    <x v="2"/>
    <x v="0"/>
    <x v="33"/>
    <x v="1"/>
    <x v="1"/>
    <x v="0"/>
    <n v="33.31"/>
    <n v="33.31"/>
    <n v="2.06"/>
    <n v="31.33"/>
  </r>
  <r>
    <x v="2"/>
    <x v="0"/>
    <x v="33"/>
    <x v="2"/>
    <x v="0"/>
    <x v="0"/>
    <n v="13.61"/>
    <n v="13.61"/>
    <n v="9.0399999999999991"/>
    <n v="12.85"/>
  </r>
  <r>
    <x v="2"/>
    <x v="0"/>
    <x v="33"/>
    <x v="2"/>
    <x v="4"/>
    <x v="0"/>
    <n v="9.11"/>
    <n v="9.11"/>
    <n v="3.4"/>
    <n v="8.69"/>
  </r>
  <r>
    <x v="2"/>
    <x v="0"/>
    <x v="33"/>
    <x v="1"/>
    <x v="2"/>
    <x v="0"/>
    <n v="4.41"/>
    <n v="4.41"/>
    <n v="0.08"/>
    <n v="4.12"/>
  </r>
  <r>
    <x v="2"/>
    <x v="0"/>
    <x v="33"/>
    <x v="2"/>
    <x v="3"/>
    <x v="1"/>
    <n v="41.74"/>
    <n v="41.74"/>
    <n v="7.0000000000000007E-2"/>
    <n v="39.83"/>
  </r>
  <r>
    <x v="2"/>
    <x v="0"/>
    <x v="33"/>
    <x v="3"/>
    <x v="1"/>
    <x v="0"/>
    <n v="0.11"/>
    <n v="0.11"/>
    <n v="0"/>
    <n v="0.11"/>
  </r>
  <r>
    <x v="2"/>
    <x v="0"/>
    <x v="33"/>
    <x v="4"/>
    <x v="0"/>
    <x v="0"/>
    <n v="0.57999999999999996"/>
    <n v="0.57999999999999996"/>
    <n v="0.18"/>
    <n v="0.54"/>
  </r>
  <r>
    <x v="2"/>
    <x v="0"/>
    <x v="33"/>
    <x v="3"/>
    <x v="0"/>
    <x v="0"/>
    <n v="0.22"/>
    <n v="0.22"/>
    <n v="0.15"/>
    <n v="0.22"/>
  </r>
  <r>
    <x v="2"/>
    <x v="0"/>
    <x v="33"/>
    <x v="2"/>
    <x v="4"/>
    <x v="1"/>
    <n v="0.85"/>
    <n v="0.85"/>
    <n v="0.01"/>
    <n v="0.82"/>
  </r>
  <r>
    <x v="2"/>
    <x v="0"/>
    <x v="33"/>
    <x v="2"/>
    <x v="1"/>
    <x v="1"/>
    <n v="0.39"/>
    <n v="0.39"/>
    <n v="0"/>
    <n v="0.39"/>
  </r>
  <r>
    <x v="2"/>
    <x v="0"/>
    <x v="33"/>
    <x v="4"/>
    <x v="2"/>
    <x v="2"/>
    <n v="2.11"/>
    <n v="2.11"/>
    <n v="0.02"/>
    <n v="2.0499999999999998"/>
  </r>
  <r>
    <x v="2"/>
    <x v="0"/>
    <x v="33"/>
    <x v="3"/>
    <x v="4"/>
    <x v="0"/>
    <n v="0.44"/>
    <n v="0.44"/>
    <n v="0.14000000000000001"/>
    <n v="0.43"/>
  </r>
  <r>
    <x v="2"/>
    <x v="0"/>
    <x v="33"/>
    <x v="1"/>
    <x v="3"/>
    <x v="1"/>
    <n v="0.99"/>
    <n v="0.99"/>
    <n v="0"/>
    <n v="0.95"/>
  </r>
  <r>
    <x v="2"/>
    <x v="0"/>
    <x v="33"/>
    <x v="4"/>
    <x v="1"/>
    <x v="2"/>
    <n v="1.02"/>
    <n v="1.02"/>
    <n v="0.03"/>
    <n v="0.99"/>
  </r>
  <r>
    <x v="2"/>
    <x v="0"/>
    <x v="33"/>
    <x v="1"/>
    <x v="4"/>
    <x v="2"/>
    <n v="1.34"/>
    <n v="1.34"/>
    <n v="0.06"/>
    <n v="1.29"/>
  </r>
  <r>
    <x v="2"/>
    <x v="0"/>
    <x v="33"/>
    <x v="1"/>
    <x v="1"/>
    <x v="2"/>
    <n v="0.18"/>
    <n v="0.18"/>
    <n v="0"/>
    <n v="0.17"/>
  </r>
  <r>
    <x v="2"/>
    <x v="0"/>
    <x v="33"/>
    <x v="1"/>
    <x v="2"/>
    <x v="2"/>
    <n v="0.08"/>
    <n v="0.08"/>
    <n v="0"/>
    <n v="0.08"/>
  </r>
  <r>
    <x v="2"/>
    <x v="0"/>
    <x v="33"/>
    <x v="1"/>
    <x v="3"/>
    <x v="2"/>
    <n v="0.33"/>
    <n v="0.33"/>
    <n v="0"/>
    <n v="0.32"/>
  </r>
  <r>
    <x v="2"/>
    <x v="0"/>
    <x v="33"/>
    <x v="2"/>
    <x v="2"/>
    <x v="2"/>
    <n v="0.4"/>
    <n v="0.4"/>
    <n v="0"/>
    <n v="0.39"/>
  </r>
  <r>
    <x v="2"/>
    <x v="0"/>
    <x v="33"/>
    <x v="2"/>
    <x v="3"/>
    <x v="2"/>
    <n v="4.3600000000000003"/>
    <n v="4.3600000000000003"/>
    <n v="0"/>
    <n v="4.18"/>
  </r>
  <r>
    <x v="2"/>
    <x v="0"/>
    <x v="33"/>
    <x v="2"/>
    <x v="2"/>
    <x v="3"/>
    <n v="0.22"/>
    <n v="0.22"/>
    <n v="0"/>
    <n v="0.21"/>
  </r>
  <r>
    <x v="2"/>
    <x v="0"/>
    <x v="33"/>
    <x v="1"/>
    <x v="4"/>
    <x v="1"/>
    <n v="0.28999999999999998"/>
    <n v="0.28999999999999998"/>
    <n v="0.01"/>
    <n v="0.27"/>
  </r>
  <r>
    <x v="2"/>
    <x v="0"/>
    <x v="33"/>
    <x v="4"/>
    <x v="0"/>
    <x v="1"/>
    <n v="3.72"/>
    <n v="3.72"/>
    <n v="0.21"/>
    <n v="3.55"/>
  </r>
  <r>
    <x v="2"/>
    <x v="0"/>
    <x v="33"/>
    <x v="4"/>
    <x v="4"/>
    <x v="1"/>
    <n v="1.39"/>
    <n v="1.39"/>
    <n v="0.09"/>
    <n v="1.33"/>
  </r>
  <r>
    <x v="2"/>
    <x v="0"/>
    <x v="33"/>
    <x v="4"/>
    <x v="1"/>
    <x v="1"/>
    <n v="0.94"/>
    <n v="0.94"/>
    <n v="0.03"/>
    <n v="0.9"/>
  </r>
  <r>
    <x v="2"/>
    <x v="0"/>
    <x v="33"/>
    <x v="0"/>
    <x v="0"/>
    <x v="1"/>
    <n v="6.51"/>
    <n v="6.51"/>
    <n v="0.23"/>
    <n v="6.21"/>
  </r>
  <r>
    <x v="2"/>
    <x v="0"/>
    <x v="33"/>
    <x v="0"/>
    <x v="4"/>
    <x v="1"/>
    <n v="4.28"/>
    <n v="4.28"/>
    <n v="0.1"/>
    <n v="4.08"/>
  </r>
  <r>
    <x v="2"/>
    <x v="0"/>
    <x v="33"/>
    <x v="1"/>
    <x v="0"/>
    <x v="1"/>
    <n v="2.08"/>
    <n v="2.08"/>
    <n v="0.08"/>
    <n v="1.98"/>
  </r>
  <r>
    <x v="2"/>
    <x v="0"/>
    <x v="33"/>
    <x v="1"/>
    <x v="2"/>
    <x v="1"/>
    <n v="28.08"/>
    <n v="28.08"/>
    <n v="0.1"/>
    <n v="26.79"/>
  </r>
  <r>
    <x v="2"/>
    <x v="0"/>
    <x v="33"/>
    <x v="1"/>
    <x v="1"/>
    <x v="1"/>
    <n v="12.82"/>
    <n v="12.82"/>
    <n v="0.11"/>
    <n v="12.22"/>
  </r>
  <r>
    <x v="2"/>
    <x v="0"/>
    <x v="33"/>
    <x v="4"/>
    <x v="4"/>
    <x v="2"/>
    <n v="1.07"/>
    <n v="1.07"/>
    <n v="0.06"/>
    <n v="1.03"/>
  </r>
  <r>
    <x v="2"/>
    <x v="0"/>
    <x v="33"/>
    <x v="2"/>
    <x v="3"/>
    <x v="3"/>
    <n v="56.8"/>
    <n v="56.8"/>
    <n v="0.04"/>
    <n v="55.11"/>
  </r>
  <r>
    <x v="2"/>
    <x v="7"/>
    <x v="34"/>
    <x v="1"/>
    <x v="2"/>
    <x v="0"/>
    <n v="1.92"/>
    <n v="1.95"/>
    <n v="0.04"/>
    <n v="1.75"/>
  </r>
  <r>
    <x v="2"/>
    <x v="7"/>
    <x v="34"/>
    <x v="1"/>
    <x v="3"/>
    <x v="1"/>
    <n v="0.3"/>
    <n v="0.3"/>
    <n v="0"/>
    <n v="0.3"/>
  </r>
  <r>
    <x v="2"/>
    <x v="7"/>
    <x v="34"/>
    <x v="2"/>
    <x v="3"/>
    <x v="1"/>
    <n v="18.940000000000001"/>
    <n v="19.21"/>
    <n v="0.04"/>
    <n v="17.52"/>
  </r>
  <r>
    <x v="2"/>
    <x v="7"/>
    <x v="34"/>
    <x v="3"/>
    <x v="0"/>
    <x v="0"/>
    <n v="1.58"/>
    <n v="1.6"/>
    <n v="1.31"/>
    <n v="1.55"/>
  </r>
  <r>
    <x v="2"/>
    <x v="7"/>
    <x v="34"/>
    <x v="3"/>
    <x v="4"/>
    <x v="0"/>
    <n v="8.65"/>
    <n v="8.77"/>
    <n v="2.59"/>
    <n v="8.1199999999999992"/>
  </r>
  <r>
    <x v="2"/>
    <x v="7"/>
    <x v="34"/>
    <x v="3"/>
    <x v="1"/>
    <x v="0"/>
    <n v="0.2"/>
    <n v="0.21"/>
    <n v="0.02"/>
    <n v="0.2"/>
  </r>
  <r>
    <x v="2"/>
    <x v="7"/>
    <x v="34"/>
    <x v="4"/>
    <x v="0"/>
    <x v="0"/>
    <n v="0.3"/>
    <n v="0.31"/>
    <n v="7.0000000000000007E-2"/>
    <n v="0.28000000000000003"/>
  </r>
  <r>
    <x v="2"/>
    <x v="7"/>
    <x v="34"/>
    <x v="4"/>
    <x v="4"/>
    <x v="0"/>
    <n v="95.09"/>
    <n v="96.44"/>
    <n v="12.93"/>
    <n v="88.4"/>
  </r>
  <r>
    <x v="2"/>
    <x v="7"/>
    <x v="34"/>
    <x v="4"/>
    <x v="1"/>
    <x v="0"/>
    <n v="12.89"/>
    <n v="13.08"/>
    <n v="0.8"/>
    <n v="12.01"/>
  </r>
  <r>
    <x v="2"/>
    <x v="7"/>
    <x v="34"/>
    <x v="0"/>
    <x v="2"/>
    <x v="0"/>
    <n v="0.02"/>
    <n v="0.02"/>
    <n v="0"/>
    <n v="0.02"/>
  </r>
  <r>
    <x v="2"/>
    <x v="7"/>
    <x v="34"/>
    <x v="1"/>
    <x v="1"/>
    <x v="0"/>
    <n v="33.57"/>
    <n v="34.04"/>
    <n v="2.4"/>
    <n v="30.93"/>
  </r>
  <r>
    <x v="2"/>
    <x v="7"/>
    <x v="34"/>
    <x v="0"/>
    <x v="4"/>
    <x v="0"/>
    <n v="46.47"/>
    <n v="47.13"/>
    <n v="12.6"/>
    <n v="43.11"/>
  </r>
  <r>
    <x v="2"/>
    <x v="7"/>
    <x v="34"/>
    <x v="1"/>
    <x v="2"/>
    <x v="1"/>
    <n v="19.690000000000001"/>
    <n v="19.97"/>
    <n v="0.12"/>
    <n v="18.45"/>
  </r>
  <r>
    <x v="2"/>
    <x v="7"/>
    <x v="34"/>
    <x v="2"/>
    <x v="0"/>
    <x v="0"/>
    <n v="8.27"/>
    <n v="8.39"/>
    <n v="6.94"/>
    <n v="7.92"/>
  </r>
  <r>
    <x v="2"/>
    <x v="7"/>
    <x v="34"/>
    <x v="0"/>
    <x v="0"/>
    <x v="1"/>
    <n v="4.47"/>
    <n v="4.53"/>
    <n v="0.2"/>
    <n v="4.13"/>
  </r>
  <r>
    <x v="2"/>
    <x v="7"/>
    <x v="34"/>
    <x v="2"/>
    <x v="4"/>
    <x v="0"/>
    <n v="9.9499999999999993"/>
    <n v="10.09"/>
    <n v="2.64"/>
    <n v="9.5"/>
  </r>
  <r>
    <x v="2"/>
    <x v="7"/>
    <x v="34"/>
    <x v="1"/>
    <x v="0"/>
    <x v="0"/>
    <n v="11.65"/>
    <n v="11.82"/>
    <n v="6.83"/>
    <n v="10.98"/>
  </r>
  <r>
    <x v="2"/>
    <x v="7"/>
    <x v="34"/>
    <x v="0"/>
    <x v="0"/>
    <x v="0"/>
    <n v="12.65"/>
    <n v="12.83"/>
    <n v="10.71"/>
    <n v="11.44"/>
  </r>
  <r>
    <x v="2"/>
    <x v="7"/>
    <x v="34"/>
    <x v="4"/>
    <x v="0"/>
    <x v="1"/>
    <n v="2.08"/>
    <n v="2.11"/>
    <n v="0.11"/>
    <n v="1.93"/>
  </r>
  <r>
    <x v="2"/>
    <x v="7"/>
    <x v="34"/>
    <x v="4"/>
    <x v="4"/>
    <x v="2"/>
    <n v="1.87"/>
    <n v="1.9"/>
    <n v="0.08"/>
    <n v="1.66"/>
  </r>
  <r>
    <x v="2"/>
    <x v="7"/>
    <x v="34"/>
    <x v="4"/>
    <x v="1"/>
    <x v="2"/>
    <n v="1.25"/>
    <n v="1.26"/>
    <n v="0.03"/>
    <n v="1.08"/>
  </r>
  <r>
    <x v="2"/>
    <x v="7"/>
    <x v="34"/>
    <x v="4"/>
    <x v="2"/>
    <x v="2"/>
    <n v="1.65"/>
    <n v="1.67"/>
    <n v="0.01"/>
    <n v="1.43"/>
  </r>
  <r>
    <x v="2"/>
    <x v="7"/>
    <x v="34"/>
    <x v="1"/>
    <x v="4"/>
    <x v="2"/>
    <n v="1.1000000000000001"/>
    <n v="1.1100000000000001"/>
    <n v="0.06"/>
    <n v="0.97"/>
  </r>
  <r>
    <x v="2"/>
    <x v="7"/>
    <x v="34"/>
    <x v="1"/>
    <x v="1"/>
    <x v="2"/>
    <n v="0.1"/>
    <n v="0.11"/>
    <n v="0.01"/>
    <n v="0.09"/>
  </r>
  <r>
    <x v="2"/>
    <x v="7"/>
    <x v="34"/>
    <x v="1"/>
    <x v="2"/>
    <x v="2"/>
    <n v="0.11"/>
    <n v="0.11"/>
    <n v="0"/>
    <n v="0.09"/>
  </r>
  <r>
    <x v="2"/>
    <x v="7"/>
    <x v="34"/>
    <x v="2"/>
    <x v="3"/>
    <x v="2"/>
    <n v="24.87"/>
    <n v="25.23"/>
    <n v="0.04"/>
    <n v="22.33"/>
  </r>
  <r>
    <x v="2"/>
    <x v="7"/>
    <x v="34"/>
    <x v="2"/>
    <x v="4"/>
    <x v="3"/>
    <n v="1.4"/>
    <n v="1.42"/>
    <n v="0"/>
    <n v="1.4"/>
  </r>
  <r>
    <x v="2"/>
    <x v="7"/>
    <x v="34"/>
    <x v="1"/>
    <x v="0"/>
    <x v="1"/>
    <n v="2.4"/>
    <n v="2.4300000000000002"/>
    <n v="0.18"/>
    <n v="2.33"/>
  </r>
  <r>
    <x v="2"/>
    <x v="7"/>
    <x v="34"/>
    <x v="2"/>
    <x v="3"/>
    <x v="3"/>
    <n v="12.17"/>
    <n v="12.34"/>
    <n v="0.01"/>
    <n v="12.17"/>
  </r>
  <r>
    <x v="2"/>
    <x v="7"/>
    <x v="34"/>
    <x v="1"/>
    <x v="1"/>
    <x v="1"/>
    <n v="7.59"/>
    <n v="7.7"/>
    <n v="0.13"/>
    <n v="7.17"/>
  </r>
  <r>
    <x v="2"/>
    <x v="7"/>
    <x v="34"/>
    <x v="4"/>
    <x v="4"/>
    <x v="1"/>
    <n v="0.62"/>
    <n v="0.63"/>
    <n v="0.08"/>
    <n v="0.57999999999999996"/>
  </r>
  <r>
    <x v="2"/>
    <x v="7"/>
    <x v="34"/>
    <x v="4"/>
    <x v="1"/>
    <x v="1"/>
    <n v="0.34"/>
    <n v="0.34"/>
    <n v="0.02"/>
    <n v="0.31"/>
  </r>
  <r>
    <x v="2"/>
    <x v="7"/>
    <x v="34"/>
    <x v="0"/>
    <x v="4"/>
    <x v="1"/>
    <n v="2.98"/>
    <n v="3.02"/>
    <n v="0.08"/>
    <n v="2.75"/>
  </r>
  <r>
    <x v="2"/>
    <x v="7"/>
    <x v="34"/>
    <x v="1"/>
    <x v="4"/>
    <x v="0"/>
    <n v="166.1"/>
    <n v="168.45"/>
    <n v="40.200000000000003"/>
    <n v="153.79"/>
  </r>
  <r>
    <x v="2"/>
    <x v="7"/>
    <x v="34"/>
    <x v="1"/>
    <x v="4"/>
    <x v="1"/>
    <n v="6.08"/>
    <n v="6.16"/>
    <n v="0.12"/>
    <n v="6.06"/>
  </r>
  <r>
    <x v="2"/>
    <x v="7"/>
    <x v="34"/>
    <x v="2"/>
    <x v="2"/>
    <x v="3"/>
    <n v="0.97"/>
    <n v="0.99"/>
    <n v="0"/>
    <n v="0.97"/>
  </r>
  <r>
    <x v="2"/>
    <x v="10"/>
    <x v="35"/>
    <x v="2"/>
    <x v="4"/>
    <x v="3"/>
    <n v="0.46"/>
    <n v="0.47"/>
    <n v="0"/>
    <n v="0.46"/>
  </r>
  <r>
    <x v="2"/>
    <x v="10"/>
    <x v="35"/>
    <x v="1"/>
    <x v="2"/>
    <x v="2"/>
    <n v="0.03"/>
    <n v="0.04"/>
    <n v="0"/>
    <n v="0.03"/>
  </r>
  <r>
    <x v="2"/>
    <x v="10"/>
    <x v="35"/>
    <x v="1"/>
    <x v="1"/>
    <x v="2"/>
    <n v="0.03"/>
    <n v="0.03"/>
    <n v="0"/>
    <n v="0.03"/>
  </r>
  <r>
    <x v="2"/>
    <x v="10"/>
    <x v="35"/>
    <x v="2"/>
    <x v="4"/>
    <x v="0"/>
    <n v="3.27"/>
    <n v="3.31"/>
    <n v="0.87"/>
    <n v="3.12"/>
  </r>
  <r>
    <x v="2"/>
    <x v="10"/>
    <x v="35"/>
    <x v="4"/>
    <x v="2"/>
    <x v="2"/>
    <n v="0.54"/>
    <n v="0.55000000000000004"/>
    <n v="0"/>
    <n v="0.47"/>
  </r>
  <r>
    <x v="2"/>
    <x v="10"/>
    <x v="35"/>
    <x v="2"/>
    <x v="3"/>
    <x v="2"/>
    <n v="8.17"/>
    <n v="8.2799999999999994"/>
    <n v="0.01"/>
    <n v="7.33"/>
  </r>
  <r>
    <x v="2"/>
    <x v="10"/>
    <x v="35"/>
    <x v="3"/>
    <x v="4"/>
    <x v="0"/>
    <n v="2.84"/>
    <n v="2.88"/>
    <n v="0.85"/>
    <n v="2.67"/>
  </r>
  <r>
    <x v="2"/>
    <x v="10"/>
    <x v="35"/>
    <x v="4"/>
    <x v="1"/>
    <x v="0"/>
    <n v="4.2300000000000004"/>
    <n v="4.29"/>
    <n v="0.26"/>
    <n v="3.94"/>
  </r>
  <r>
    <x v="2"/>
    <x v="10"/>
    <x v="35"/>
    <x v="3"/>
    <x v="1"/>
    <x v="0"/>
    <n v="7.0000000000000007E-2"/>
    <n v="7.0000000000000007E-2"/>
    <n v="0.01"/>
    <n v="7.0000000000000007E-2"/>
  </r>
  <r>
    <x v="2"/>
    <x v="10"/>
    <x v="35"/>
    <x v="3"/>
    <x v="0"/>
    <x v="0"/>
    <n v="0.52"/>
    <n v="0.53"/>
    <n v="0.43"/>
    <n v="0.51"/>
  </r>
  <r>
    <x v="2"/>
    <x v="10"/>
    <x v="35"/>
    <x v="4"/>
    <x v="4"/>
    <x v="0"/>
    <n v="31.22"/>
    <n v="31.67"/>
    <n v="4.24"/>
    <n v="29.03"/>
  </r>
  <r>
    <x v="2"/>
    <x v="10"/>
    <x v="35"/>
    <x v="2"/>
    <x v="3"/>
    <x v="1"/>
    <n v="6.22"/>
    <n v="6.31"/>
    <n v="0.01"/>
    <n v="5.75"/>
  </r>
  <r>
    <x v="2"/>
    <x v="10"/>
    <x v="35"/>
    <x v="2"/>
    <x v="0"/>
    <x v="0"/>
    <n v="2.72"/>
    <n v="2.76"/>
    <n v="2.2799999999999998"/>
    <n v="2.6"/>
  </r>
  <r>
    <x v="2"/>
    <x v="10"/>
    <x v="35"/>
    <x v="1"/>
    <x v="2"/>
    <x v="0"/>
    <n v="0.63"/>
    <n v="0.64"/>
    <n v="0.01"/>
    <n v="0.56999999999999995"/>
  </r>
  <r>
    <x v="2"/>
    <x v="10"/>
    <x v="35"/>
    <x v="0"/>
    <x v="4"/>
    <x v="0"/>
    <n v="15.26"/>
    <n v="15.47"/>
    <n v="4.1399999999999997"/>
    <n v="14.16"/>
  </r>
  <r>
    <x v="2"/>
    <x v="10"/>
    <x v="35"/>
    <x v="0"/>
    <x v="2"/>
    <x v="0"/>
    <n v="0.01"/>
    <n v="0.01"/>
    <n v="0"/>
    <n v="0.01"/>
  </r>
  <r>
    <x v="2"/>
    <x v="10"/>
    <x v="35"/>
    <x v="1"/>
    <x v="0"/>
    <x v="0"/>
    <n v="3.83"/>
    <n v="3.88"/>
    <n v="2.2400000000000002"/>
    <n v="3.61"/>
  </r>
  <r>
    <x v="2"/>
    <x v="10"/>
    <x v="35"/>
    <x v="1"/>
    <x v="4"/>
    <x v="0"/>
    <n v="54.54"/>
    <n v="55.31"/>
    <n v="13.2"/>
    <n v="50.5"/>
  </r>
  <r>
    <x v="2"/>
    <x v="10"/>
    <x v="35"/>
    <x v="4"/>
    <x v="0"/>
    <x v="0"/>
    <n v="0.1"/>
    <n v="0.1"/>
    <n v="0.02"/>
    <n v="0.09"/>
  </r>
  <r>
    <x v="2"/>
    <x v="10"/>
    <x v="35"/>
    <x v="0"/>
    <x v="0"/>
    <x v="1"/>
    <n v="1.47"/>
    <n v="1.49"/>
    <n v="7.0000000000000007E-2"/>
    <n v="1.36"/>
  </r>
  <r>
    <x v="2"/>
    <x v="10"/>
    <x v="35"/>
    <x v="4"/>
    <x v="1"/>
    <x v="2"/>
    <n v="0.41"/>
    <n v="0.42"/>
    <n v="0.01"/>
    <n v="0.36"/>
  </r>
  <r>
    <x v="2"/>
    <x v="10"/>
    <x v="35"/>
    <x v="1"/>
    <x v="1"/>
    <x v="0"/>
    <n v="11.02"/>
    <n v="11.18"/>
    <n v="0.79"/>
    <n v="10.16"/>
  </r>
  <r>
    <x v="2"/>
    <x v="10"/>
    <x v="35"/>
    <x v="2"/>
    <x v="2"/>
    <x v="3"/>
    <n v="0.32"/>
    <n v="0.32"/>
    <n v="0"/>
    <n v="0.32"/>
  </r>
  <r>
    <x v="2"/>
    <x v="10"/>
    <x v="35"/>
    <x v="2"/>
    <x v="3"/>
    <x v="3"/>
    <n v="4"/>
    <n v="4.05"/>
    <n v="0"/>
    <n v="4"/>
  </r>
  <r>
    <x v="2"/>
    <x v="10"/>
    <x v="35"/>
    <x v="4"/>
    <x v="0"/>
    <x v="1"/>
    <n v="0.68"/>
    <n v="0.69"/>
    <n v="0.04"/>
    <n v="0.63"/>
  </r>
  <r>
    <x v="2"/>
    <x v="10"/>
    <x v="35"/>
    <x v="4"/>
    <x v="4"/>
    <x v="1"/>
    <n v="0.2"/>
    <n v="0.21"/>
    <n v="0.03"/>
    <n v="0.19"/>
  </r>
  <r>
    <x v="2"/>
    <x v="10"/>
    <x v="35"/>
    <x v="4"/>
    <x v="4"/>
    <x v="2"/>
    <n v="0.61"/>
    <n v="0.62"/>
    <n v="0.03"/>
    <n v="0.55000000000000004"/>
  </r>
  <r>
    <x v="2"/>
    <x v="10"/>
    <x v="35"/>
    <x v="4"/>
    <x v="1"/>
    <x v="1"/>
    <n v="0.11"/>
    <n v="0.11"/>
    <n v="0.01"/>
    <n v="0.1"/>
  </r>
  <r>
    <x v="2"/>
    <x v="10"/>
    <x v="35"/>
    <x v="1"/>
    <x v="4"/>
    <x v="2"/>
    <n v="0.36"/>
    <n v="0.36"/>
    <n v="0.02"/>
    <n v="0.32"/>
  </r>
  <r>
    <x v="2"/>
    <x v="10"/>
    <x v="35"/>
    <x v="0"/>
    <x v="0"/>
    <x v="0"/>
    <n v="4.1500000000000004"/>
    <n v="4.21"/>
    <n v="3.52"/>
    <n v="3.76"/>
  </r>
  <r>
    <x v="2"/>
    <x v="10"/>
    <x v="35"/>
    <x v="0"/>
    <x v="4"/>
    <x v="1"/>
    <n v="0.98"/>
    <n v="0.99"/>
    <n v="0.03"/>
    <n v="0.9"/>
  </r>
  <r>
    <x v="2"/>
    <x v="10"/>
    <x v="35"/>
    <x v="1"/>
    <x v="0"/>
    <x v="1"/>
    <n v="0.79"/>
    <n v="0.8"/>
    <n v="0.06"/>
    <n v="0.76"/>
  </r>
  <r>
    <x v="2"/>
    <x v="10"/>
    <x v="35"/>
    <x v="1"/>
    <x v="4"/>
    <x v="1"/>
    <n v="2"/>
    <n v="2.02"/>
    <n v="0.04"/>
    <n v="1.99"/>
  </r>
  <r>
    <x v="2"/>
    <x v="10"/>
    <x v="35"/>
    <x v="1"/>
    <x v="1"/>
    <x v="1"/>
    <n v="2.4900000000000002"/>
    <n v="2.5299999999999998"/>
    <n v="0.04"/>
    <n v="2.35"/>
  </r>
  <r>
    <x v="2"/>
    <x v="10"/>
    <x v="35"/>
    <x v="1"/>
    <x v="2"/>
    <x v="1"/>
    <n v="6.47"/>
    <n v="6.56"/>
    <n v="0.04"/>
    <n v="6.06"/>
  </r>
  <r>
    <x v="2"/>
    <x v="10"/>
    <x v="35"/>
    <x v="1"/>
    <x v="3"/>
    <x v="1"/>
    <n v="0.1"/>
    <n v="0.1"/>
    <n v="0"/>
    <n v="0.1"/>
  </r>
  <r>
    <x v="2"/>
    <x v="2"/>
    <x v="36"/>
    <x v="1"/>
    <x v="2"/>
    <x v="1"/>
    <n v="2.78"/>
    <n v="2.87"/>
    <n v="0.02"/>
    <n v="2.62"/>
  </r>
  <r>
    <x v="2"/>
    <x v="2"/>
    <x v="36"/>
    <x v="4"/>
    <x v="1"/>
    <x v="0"/>
    <n v="1.74"/>
    <n v="1.8"/>
    <n v="0.11"/>
    <n v="1.63"/>
  </r>
  <r>
    <x v="2"/>
    <x v="2"/>
    <x v="36"/>
    <x v="1"/>
    <x v="4"/>
    <x v="1"/>
    <n v="0.88"/>
    <n v="0.91"/>
    <n v="0.02"/>
    <n v="0.86"/>
  </r>
  <r>
    <x v="2"/>
    <x v="2"/>
    <x v="36"/>
    <x v="1"/>
    <x v="1"/>
    <x v="1"/>
    <n v="1.19"/>
    <n v="1.23"/>
    <n v="0.01"/>
    <n v="1.1200000000000001"/>
  </r>
  <r>
    <x v="2"/>
    <x v="2"/>
    <x v="36"/>
    <x v="1"/>
    <x v="3"/>
    <x v="1"/>
    <n v="0.02"/>
    <n v="0.02"/>
    <n v="0"/>
    <n v="0.02"/>
  </r>
  <r>
    <x v="2"/>
    <x v="2"/>
    <x v="36"/>
    <x v="2"/>
    <x v="3"/>
    <x v="1"/>
    <n v="2.0099999999999998"/>
    <n v="2.08"/>
    <n v="0"/>
    <n v="1.83"/>
  </r>
  <r>
    <x v="2"/>
    <x v="2"/>
    <x v="36"/>
    <x v="3"/>
    <x v="0"/>
    <x v="0"/>
    <n v="0.17"/>
    <n v="0.17"/>
    <n v="0.13"/>
    <n v="0.16"/>
  </r>
  <r>
    <x v="2"/>
    <x v="2"/>
    <x v="36"/>
    <x v="1"/>
    <x v="2"/>
    <x v="0"/>
    <n v="0.47"/>
    <n v="0.49"/>
    <n v="0.01"/>
    <n v="0.43"/>
  </r>
  <r>
    <x v="2"/>
    <x v="2"/>
    <x v="36"/>
    <x v="4"/>
    <x v="0"/>
    <x v="0"/>
    <n v="0.02"/>
    <n v="0.02"/>
    <n v="0"/>
    <n v="0.02"/>
  </r>
  <r>
    <x v="2"/>
    <x v="2"/>
    <x v="36"/>
    <x v="0"/>
    <x v="0"/>
    <x v="1"/>
    <n v="0.47"/>
    <n v="0.48"/>
    <n v="0.02"/>
    <n v="0.42"/>
  </r>
  <r>
    <x v="2"/>
    <x v="2"/>
    <x v="36"/>
    <x v="0"/>
    <x v="0"/>
    <x v="0"/>
    <n v="1"/>
    <n v="1.04"/>
    <n v="0.78"/>
    <n v="0.92"/>
  </r>
  <r>
    <x v="2"/>
    <x v="2"/>
    <x v="36"/>
    <x v="0"/>
    <x v="4"/>
    <x v="0"/>
    <n v="2.83"/>
    <n v="2.93"/>
    <n v="0.79"/>
    <n v="2.62"/>
  </r>
  <r>
    <x v="2"/>
    <x v="2"/>
    <x v="36"/>
    <x v="0"/>
    <x v="2"/>
    <x v="0"/>
    <n v="0"/>
    <n v="0"/>
    <n v="0"/>
    <n v="0"/>
  </r>
  <r>
    <x v="2"/>
    <x v="2"/>
    <x v="36"/>
    <x v="1"/>
    <x v="0"/>
    <x v="0"/>
    <n v="1.32"/>
    <n v="1.36"/>
    <n v="0.79"/>
    <n v="1.23"/>
  </r>
  <r>
    <x v="2"/>
    <x v="2"/>
    <x v="36"/>
    <x v="1"/>
    <x v="4"/>
    <x v="0"/>
    <n v="21.06"/>
    <n v="21.75"/>
    <n v="4.5999999999999996"/>
    <n v="19.5"/>
  </r>
  <r>
    <x v="2"/>
    <x v="2"/>
    <x v="36"/>
    <x v="1"/>
    <x v="1"/>
    <x v="0"/>
    <n v="4.5999999999999996"/>
    <n v="4.75"/>
    <n v="0.28000000000000003"/>
    <n v="4.28"/>
  </r>
  <r>
    <x v="2"/>
    <x v="2"/>
    <x v="36"/>
    <x v="3"/>
    <x v="4"/>
    <x v="0"/>
    <n v="0.77"/>
    <n v="0.79"/>
    <n v="0.22"/>
    <n v="0.73"/>
  </r>
  <r>
    <x v="2"/>
    <x v="2"/>
    <x v="36"/>
    <x v="2"/>
    <x v="3"/>
    <x v="2"/>
    <n v="1.95"/>
    <n v="2.02"/>
    <n v="0"/>
    <n v="1.83"/>
  </r>
  <r>
    <x v="2"/>
    <x v="2"/>
    <x v="36"/>
    <x v="2"/>
    <x v="2"/>
    <x v="1"/>
    <n v="1.52"/>
    <n v="1.57"/>
    <n v="0.01"/>
    <n v="1.52"/>
  </r>
  <r>
    <x v="2"/>
    <x v="2"/>
    <x v="36"/>
    <x v="4"/>
    <x v="4"/>
    <x v="2"/>
    <n v="0.2"/>
    <n v="0.21"/>
    <n v="0.01"/>
    <n v="0.18"/>
  </r>
  <r>
    <x v="2"/>
    <x v="2"/>
    <x v="36"/>
    <x v="4"/>
    <x v="1"/>
    <x v="2"/>
    <n v="0.13"/>
    <n v="0.14000000000000001"/>
    <n v="0"/>
    <n v="0.12"/>
  </r>
  <r>
    <x v="2"/>
    <x v="2"/>
    <x v="36"/>
    <x v="4"/>
    <x v="2"/>
    <x v="2"/>
    <n v="0.17"/>
    <n v="0.17"/>
    <n v="0"/>
    <n v="0.14000000000000001"/>
  </r>
  <r>
    <x v="2"/>
    <x v="2"/>
    <x v="36"/>
    <x v="1"/>
    <x v="4"/>
    <x v="2"/>
    <n v="1.34"/>
    <n v="1.39"/>
    <n v="0.02"/>
    <n v="1.17"/>
  </r>
  <r>
    <x v="2"/>
    <x v="2"/>
    <x v="36"/>
    <x v="1"/>
    <x v="1"/>
    <x v="2"/>
    <n v="1"/>
    <n v="1.03"/>
    <n v="0"/>
    <n v="0.96"/>
  </r>
  <r>
    <x v="2"/>
    <x v="2"/>
    <x v="36"/>
    <x v="1"/>
    <x v="0"/>
    <x v="1"/>
    <n v="1.21"/>
    <n v="1.25"/>
    <n v="0.06"/>
    <n v="1.2"/>
  </r>
  <r>
    <x v="2"/>
    <x v="2"/>
    <x v="36"/>
    <x v="1"/>
    <x v="3"/>
    <x v="2"/>
    <n v="0"/>
    <n v="0"/>
    <n v="0"/>
    <n v="0"/>
  </r>
  <r>
    <x v="2"/>
    <x v="2"/>
    <x v="36"/>
    <x v="0"/>
    <x v="4"/>
    <x v="1"/>
    <n v="0.37"/>
    <n v="0.38"/>
    <n v="0.01"/>
    <n v="0.33"/>
  </r>
  <r>
    <x v="2"/>
    <x v="2"/>
    <x v="36"/>
    <x v="2"/>
    <x v="2"/>
    <x v="3"/>
    <n v="0.49"/>
    <n v="0.51"/>
    <n v="0"/>
    <n v="0.49"/>
  </r>
  <r>
    <x v="2"/>
    <x v="2"/>
    <x v="36"/>
    <x v="2"/>
    <x v="3"/>
    <x v="3"/>
    <n v="6.1"/>
    <n v="6.3"/>
    <n v="0.01"/>
    <n v="6.1"/>
  </r>
  <r>
    <x v="2"/>
    <x v="2"/>
    <x v="36"/>
    <x v="4"/>
    <x v="0"/>
    <x v="1"/>
    <n v="0.25"/>
    <n v="0.26"/>
    <n v="0.01"/>
    <n v="0.23"/>
  </r>
  <r>
    <x v="2"/>
    <x v="2"/>
    <x v="36"/>
    <x v="4"/>
    <x v="4"/>
    <x v="1"/>
    <n v="7.0000000000000007E-2"/>
    <n v="7.0000000000000007E-2"/>
    <n v="0.01"/>
    <n v="0.06"/>
  </r>
  <r>
    <x v="2"/>
    <x v="2"/>
    <x v="36"/>
    <x v="4"/>
    <x v="1"/>
    <x v="1"/>
    <n v="0.04"/>
    <n v="0.04"/>
    <n v="0"/>
    <n v="0.04"/>
  </r>
  <r>
    <x v="2"/>
    <x v="2"/>
    <x v="36"/>
    <x v="4"/>
    <x v="4"/>
    <x v="0"/>
    <n v="12.51"/>
    <n v="12.93"/>
    <n v="1.72"/>
    <n v="11.67"/>
  </r>
  <r>
    <x v="2"/>
    <x v="2"/>
    <x v="36"/>
    <x v="1"/>
    <x v="2"/>
    <x v="2"/>
    <n v="7.0000000000000007E-2"/>
    <n v="7.0000000000000007E-2"/>
    <n v="0"/>
    <n v="0.06"/>
  </r>
  <r>
    <x v="2"/>
    <x v="2"/>
    <x v="36"/>
    <x v="2"/>
    <x v="4"/>
    <x v="0"/>
    <n v="0.96"/>
    <n v="0.99"/>
    <n v="0.16"/>
    <n v="0.9"/>
  </r>
  <r>
    <x v="2"/>
    <x v="2"/>
    <x v="36"/>
    <x v="2"/>
    <x v="2"/>
    <x v="0"/>
    <n v="0.34"/>
    <n v="0.35"/>
    <n v="0"/>
    <n v="0.32"/>
  </r>
  <r>
    <x v="2"/>
    <x v="2"/>
    <x v="36"/>
    <x v="2"/>
    <x v="0"/>
    <x v="0"/>
    <n v="0.84"/>
    <n v="0.87"/>
    <n v="0.56999999999999995"/>
    <n v="0.79"/>
  </r>
  <r>
    <x v="2"/>
    <x v="2"/>
    <x v="36"/>
    <x v="3"/>
    <x v="1"/>
    <x v="0"/>
    <n v="0.02"/>
    <n v="0.02"/>
    <n v="0"/>
    <n v="0.02"/>
  </r>
  <r>
    <x v="2"/>
    <x v="9"/>
    <x v="37"/>
    <x v="4"/>
    <x v="0"/>
    <x v="1"/>
    <n v="5.86"/>
    <n v="5.72"/>
    <n v="0.31"/>
    <n v="5.43"/>
  </r>
  <r>
    <x v="2"/>
    <x v="9"/>
    <x v="37"/>
    <x v="2"/>
    <x v="3"/>
    <x v="1"/>
    <n v="52.95"/>
    <n v="51.63"/>
    <n v="0.11"/>
    <n v="48.92"/>
  </r>
  <r>
    <x v="2"/>
    <x v="9"/>
    <x v="37"/>
    <x v="1"/>
    <x v="2"/>
    <x v="1"/>
    <n v="42.67"/>
    <n v="41.59"/>
    <n v="0.2"/>
    <n v="39.6"/>
  </r>
  <r>
    <x v="2"/>
    <x v="9"/>
    <x v="37"/>
    <x v="1"/>
    <x v="1"/>
    <x v="1"/>
    <n v="18.41"/>
    <n v="17.940000000000001"/>
    <n v="0.2"/>
    <n v="17.09"/>
  </r>
  <r>
    <x v="2"/>
    <x v="9"/>
    <x v="37"/>
    <x v="1"/>
    <x v="4"/>
    <x v="1"/>
    <n v="2.38"/>
    <n v="2.3199999999999998"/>
    <n v="0.11"/>
    <n v="2.38"/>
  </r>
  <r>
    <x v="2"/>
    <x v="9"/>
    <x v="37"/>
    <x v="0"/>
    <x v="4"/>
    <x v="1"/>
    <n v="12.1"/>
    <n v="11.8"/>
    <n v="0.28000000000000003"/>
    <n v="11.18"/>
  </r>
  <r>
    <x v="2"/>
    <x v="9"/>
    <x v="37"/>
    <x v="3"/>
    <x v="0"/>
    <x v="0"/>
    <n v="0.68"/>
    <n v="0.66"/>
    <n v="0.54"/>
    <n v="0.66"/>
  </r>
  <r>
    <x v="2"/>
    <x v="9"/>
    <x v="37"/>
    <x v="4"/>
    <x v="4"/>
    <x v="1"/>
    <n v="1.46"/>
    <n v="1.42"/>
    <n v="0.18"/>
    <n v="1.35"/>
  </r>
  <r>
    <x v="2"/>
    <x v="9"/>
    <x v="37"/>
    <x v="1"/>
    <x v="0"/>
    <x v="1"/>
    <n v="3.33"/>
    <n v="3.25"/>
    <n v="0.28000000000000003"/>
    <n v="3.12"/>
  </r>
  <r>
    <x v="2"/>
    <x v="9"/>
    <x v="37"/>
    <x v="2"/>
    <x v="3"/>
    <x v="3"/>
    <n v="28.34"/>
    <n v="27.63"/>
    <n v="0.02"/>
    <n v="28.34"/>
  </r>
  <r>
    <x v="2"/>
    <x v="9"/>
    <x v="37"/>
    <x v="2"/>
    <x v="2"/>
    <x v="3"/>
    <n v="3.11"/>
    <n v="3.03"/>
    <n v="0"/>
    <n v="3.11"/>
  </r>
  <r>
    <x v="2"/>
    <x v="9"/>
    <x v="37"/>
    <x v="2"/>
    <x v="3"/>
    <x v="2"/>
    <n v="23.91"/>
    <n v="23.31"/>
    <n v="0.02"/>
    <n v="21.29"/>
  </r>
  <r>
    <x v="2"/>
    <x v="9"/>
    <x v="37"/>
    <x v="4"/>
    <x v="4"/>
    <x v="2"/>
    <n v="4.3899999999999997"/>
    <n v="4.28"/>
    <n v="0.17"/>
    <n v="3.83"/>
  </r>
  <r>
    <x v="2"/>
    <x v="9"/>
    <x v="37"/>
    <x v="4"/>
    <x v="2"/>
    <x v="2"/>
    <n v="3.7"/>
    <n v="3.61"/>
    <n v="0.02"/>
    <n v="3.22"/>
  </r>
  <r>
    <x v="2"/>
    <x v="9"/>
    <x v="37"/>
    <x v="1"/>
    <x v="4"/>
    <x v="2"/>
    <n v="2.19"/>
    <n v="2.14"/>
    <n v="0.06"/>
    <n v="1.93"/>
  </r>
  <r>
    <x v="2"/>
    <x v="9"/>
    <x v="37"/>
    <x v="4"/>
    <x v="1"/>
    <x v="1"/>
    <n v="0.92"/>
    <n v="0.9"/>
    <n v="0.05"/>
    <n v="0.85"/>
  </r>
  <r>
    <x v="2"/>
    <x v="9"/>
    <x v="37"/>
    <x v="1"/>
    <x v="4"/>
    <x v="0"/>
    <n v="337.99"/>
    <n v="329.51"/>
    <n v="74.44"/>
    <n v="316.73"/>
  </r>
  <r>
    <x v="2"/>
    <x v="9"/>
    <x v="37"/>
    <x v="4"/>
    <x v="1"/>
    <x v="2"/>
    <n v="2.87"/>
    <n v="2.8"/>
    <n v="0.05"/>
    <n v="2.4900000000000002"/>
  </r>
  <r>
    <x v="2"/>
    <x v="9"/>
    <x v="37"/>
    <x v="0"/>
    <x v="0"/>
    <x v="1"/>
    <n v="14.97"/>
    <n v="14.59"/>
    <n v="0.65"/>
    <n v="13.83"/>
  </r>
  <r>
    <x v="2"/>
    <x v="9"/>
    <x v="37"/>
    <x v="3"/>
    <x v="4"/>
    <x v="0"/>
    <n v="14.71"/>
    <n v="14.34"/>
    <n v="5.13"/>
    <n v="13.85"/>
  </r>
  <r>
    <x v="2"/>
    <x v="9"/>
    <x v="37"/>
    <x v="2"/>
    <x v="0"/>
    <x v="0"/>
    <n v="8.77"/>
    <n v="8.5500000000000007"/>
    <n v="6.46"/>
    <n v="8.2200000000000006"/>
  </r>
  <r>
    <x v="2"/>
    <x v="9"/>
    <x v="37"/>
    <x v="1"/>
    <x v="1"/>
    <x v="0"/>
    <n v="52.74"/>
    <n v="51.42"/>
    <n v="3.54"/>
    <n v="48.83"/>
  </r>
  <r>
    <x v="2"/>
    <x v="9"/>
    <x v="37"/>
    <x v="2"/>
    <x v="4"/>
    <x v="0"/>
    <n v="8.9700000000000006"/>
    <n v="8.75"/>
    <n v="2.06"/>
    <n v="8.3800000000000008"/>
  </r>
  <r>
    <x v="2"/>
    <x v="9"/>
    <x v="37"/>
    <x v="1"/>
    <x v="0"/>
    <x v="0"/>
    <n v="39.03"/>
    <n v="38.049999999999997"/>
    <n v="18.2"/>
    <n v="38.369999999999997"/>
  </r>
  <r>
    <x v="2"/>
    <x v="9"/>
    <x v="37"/>
    <x v="4"/>
    <x v="4"/>
    <x v="0"/>
    <n v="201.58"/>
    <n v="196.52"/>
    <n v="28.03"/>
    <n v="186.45"/>
  </r>
  <r>
    <x v="2"/>
    <x v="9"/>
    <x v="37"/>
    <x v="3"/>
    <x v="1"/>
    <x v="0"/>
    <n v="0.05"/>
    <n v="0.05"/>
    <n v="0.01"/>
    <n v="0.05"/>
  </r>
  <r>
    <x v="2"/>
    <x v="9"/>
    <x v="37"/>
    <x v="1"/>
    <x v="2"/>
    <x v="0"/>
    <n v="6.6"/>
    <n v="6.44"/>
    <n v="0.11"/>
    <n v="5.96"/>
  </r>
  <r>
    <x v="2"/>
    <x v="9"/>
    <x v="37"/>
    <x v="4"/>
    <x v="0"/>
    <x v="0"/>
    <n v="0.38"/>
    <n v="0.37"/>
    <n v="0.09"/>
    <n v="0.36"/>
  </r>
  <r>
    <x v="2"/>
    <x v="9"/>
    <x v="37"/>
    <x v="4"/>
    <x v="1"/>
    <x v="0"/>
    <n v="26.56"/>
    <n v="25.89"/>
    <n v="1.72"/>
    <n v="24.73"/>
  </r>
  <r>
    <x v="2"/>
    <x v="9"/>
    <x v="37"/>
    <x v="0"/>
    <x v="0"/>
    <x v="0"/>
    <n v="10.210000000000001"/>
    <n v="9.9499999999999993"/>
    <n v="8.5"/>
    <n v="9.2799999999999994"/>
  </r>
  <r>
    <x v="2"/>
    <x v="9"/>
    <x v="37"/>
    <x v="0"/>
    <x v="4"/>
    <x v="0"/>
    <n v="88.39"/>
    <n v="86.17"/>
    <n v="30.14"/>
    <n v="80.95"/>
  </r>
  <r>
    <x v="2"/>
    <x v="9"/>
    <x v="37"/>
    <x v="0"/>
    <x v="2"/>
    <x v="0"/>
    <n v="0.1"/>
    <n v="0.1"/>
    <n v="0"/>
    <n v="0.1"/>
  </r>
  <r>
    <x v="2"/>
    <x v="7"/>
    <x v="38"/>
    <x v="0"/>
    <x v="4"/>
    <x v="0"/>
    <n v="7.63"/>
    <n v="7.63"/>
    <n v="2.0699999999999998"/>
    <n v="7.08"/>
  </r>
  <r>
    <x v="2"/>
    <x v="7"/>
    <x v="38"/>
    <x v="3"/>
    <x v="0"/>
    <x v="0"/>
    <n v="0.26"/>
    <n v="0.26"/>
    <n v="0.21"/>
    <n v="0.25"/>
  </r>
  <r>
    <x v="2"/>
    <x v="7"/>
    <x v="38"/>
    <x v="3"/>
    <x v="4"/>
    <x v="0"/>
    <n v="1.42"/>
    <n v="1.42"/>
    <n v="0.43"/>
    <n v="1.33"/>
  </r>
  <r>
    <x v="2"/>
    <x v="7"/>
    <x v="38"/>
    <x v="4"/>
    <x v="0"/>
    <x v="0"/>
    <n v="0.05"/>
    <n v="0.05"/>
    <n v="0.01"/>
    <n v="0.05"/>
  </r>
  <r>
    <x v="2"/>
    <x v="7"/>
    <x v="38"/>
    <x v="4"/>
    <x v="4"/>
    <x v="0"/>
    <n v="15.61"/>
    <n v="15.61"/>
    <n v="2.12"/>
    <n v="14.51"/>
  </r>
  <r>
    <x v="2"/>
    <x v="7"/>
    <x v="38"/>
    <x v="4"/>
    <x v="1"/>
    <x v="0"/>
    <n v="2.12"/>
    <n v="2.12"/>
    <n v="0.13"/>
    <n v="1.97"/>
  </r>
  <r>
    <x v="2"/>
    <x v="7"/>
    <x v="38"/>
    <x v="0"/>
    <x v="0"/>
    <x v="0"/>
    <n v="2.08"/>
    <n v="2.08"/>
    <n v="1.76"/>
    <n v="1.88"/>
  </r>
  <r>
    <x v="2"/>
    <x v="7"/>
    <x v="38"/>
    <x v="3"/>
    <x v="1"/>
    <x v="0"/>
    <n v="0.03"/>
    <n v="0.03"/>
    <n v="0"/>
    <n v="0.03"/>
  </r>
  <r>
    <x v="2"/>
    <x v="7"/>
    <x v="38"/>
    <x v="0"/>
    <x v="2"/>
    <x v="0"/>
    <n v="0"/>
    <n v="0"/>
    <n v="0"/>
    <n v="0"/>
  </r>
  <r>
    <x v="2"/>
    <x v="7"/>
    <x v="38"/>
    <x v="1"/>
    <x v="0"/>
    <x v="0"/>
    <n v="1.91"/>
    <n v="1.91"/>
    <n v="1.1200000000000001"/>
    <n v="1.8"/>
  </r>
  <r>
    <x v="2"/>
    <x v="7"/>
    <x v="38"/>
    <x v="1"/>
    <x v="4"/>
    <x v="0"/>
    <n v="27.27"/>
    <n v="27.26"/>
    <n v="6.6"/>
    <n v="25.25"/>
  </r>
  <r>
    <x v="2"/>
    <x v="7"/>
    <x v="38"/>
    <x v="1"/>
    <x v="1"/>
    <x v="0"/>
    <n v="5.51"/>
    <n v="5.51"/>
    <n v="0.39"/>
    <n v="5.08"/>
  </r>
  <r>
    <x v="2"/>
    <x v="7"/>
    <x v="38"/>
    <x v="1"/>
    <x v="2"/>
    <x v="0"/>
    <n v="0.32"/>
    <n v="0.32"/>
    <n v="0.01"/>
    <n v="0.28999999999999998"/>
  </r>
  <r>
    <x v="2"/>
    <x v="7"/>
    <x v="38"/>
    <x v="2"/>
    <x v="4"/>
    <x v="0"/>
    <n v="1.63"/>
    <n v="1.63"/>
    <n v="0.43"/>
    <n v="1.56"/>
  </r>
  <r>
    <x v="2"/>
    <x v="7"/>
    <x v="38"/>
    <x v="4"/>
    <x v="2"/>
    <x v="2"/>
    <n v="0.27"/>
    <n v="0.27"/>
    <n v="0"/>
    <n v="0.23"/>
  </r>
  <r>
    <x v="2"/>
    <x v="7"/>
    <x v="38"/>
    <x v="2"/>
    <x v="3"/>
    <x v="1"/>
    <n v="3.11"/>
    <n v="3.11"/>
    <n v="0.01"/>
    <n v="2.88"/>
  </r>
  <r>
    <x v="2"/>
    <x v="7"/>
    <x v="38"/>
    <x v="2"/>
    <x v="0"/>
    <x v="0"/>
    <n v="1.36"/>
    <n v="1.36"/>
    <n v="1.1399999999999999"/>
    <n v="1.3"/>
  </r>
  <r>
    <x v="2"/>
    <x v="7"/>
    <x v="38"/>
    <x v="2"/>
    <x v="4"/>
    <x v="3"/>
    <n v="0.23"/>
    <n v="0.23"/>
    <n v="0"/>
    <n v="0.23"/>
  </r>
  <r>
    <x v="2"/>
    <x v="7"/>
    <x v="38"/>
    <x v="1"/>
    <x v="1"/>
    <x v="2"/>
    <n v="0.02"/>
    <n v="0.02"/>
    <n v="0"/>
    <n v="0.02"/>
  </r>
  <r>
    <x v="2"/>
    <x v="7"/>
    <x v="38"/>
    <x v="4"/>
    <x v="1"/>
    <x v="2"/>
    <n v="0.2"/>
    <n v="0.2"/>
    <n v="0"/>
    <n v="0.18"/>
  </r>
  <r>
    <x v="2"/>
    <x v="7"/>
    <x v="38"/>
    <x v="1"/>
    <x v="4"/>
    <x v="2"/>
    <n v="0.18"/>
    <n v="0.18"/>
    <n v="0.01"/>
    <n v="0.16"/>
  </r>
  <r>
    <x v="2"/>
    <x v="7"/>
    <x v="38"/>
    <x v="1"/>
    <x v="3"/>
    <x v="1"/>
    <n v="0.05"/>
    <n v="0.05"/>
    <n v="0"/>
    <n v="0.05"/>
  </r>
  <r>
    <x v="2"/>
    <x v="7"/>
    <x v="38"/>
    <x v="2"/>
    <x v="3"/>
    <x v="2"/>
    <n v="4.08"/>
    <n v="4.08"/>
    <n v="0.01"/>
    <n v="3.67"/>
  </r>
  <r>
    <x v="2"/>
    <x v="7"/>
    <x v="38"/>
    <x v="4"/>
    <x v="4"/>
    <x v="2"/>
    <n v="0.31"/>
    <n v="0.31"/>
    <n v="0.01"/>
    <n v="0.27"/>
  </r>
  <r>
    <x v="2"/>
    <x v="7"/>
    <x v="38"/>
    <x v="2"/>
    <x v="2"/>
    <x v="3"/>
    <n v="0.16"/>
    <n v="0.16"/>
    <n v="0"/>
    <n v="0.16"/>
  </r>
  <r>
    <x v="2"/>
    <x v="7"/>
    <x v="38"/>
    <x v="2"/>
    <x v="3"/>
    <x v="3"/>
    <n v="2"/>
    <n v="2"/>
    <n v="0"/>
    <n v="2"/>
  </r>
  <r>
    <x v="2"/>
    <x v="7"/>
    <x v="38"/>
    <x v="1"/>
    <x v="1"/>
    <x v="1"/>
    <n v="1.25"/>
    <n v="1.25"/>
    <n v="0.02"/>
    <n v="1.18"/>
  </r>
  <r>
    <x v="2"/>
    <x v="7"/>
    <x v="38"/>
    <x v="4"/>
    <x v="4"/>
    <x v="1"/>
    <n v="0.1"/>
    <n v="0.1"/>
    <n v="0.01"/>
    <n v="0.09"/>
  </r>
  <r>
    <x v="2"/>
    <x v="7"/>
    <x v="38"/>
    <x v="4"/>
    <x v="1"/>
    <x v="1"/>
    <n v="0.06"/>
    <n v="0.06"/>
    <n v="0"/>
    <n v="0.05"/>
  </r>
  <r>
    <x v="2"/>
    <x v="7"/>
    <x v="38"/>
    <x v="0"/>
    <x v="0"/>
    <x v="1"/>
    <n v="0.73"/>
    <n v="0.73"/>
    <n v="0.03"/>
    <n v="0.68"/>
  </r>
  <r>
    <x v="2"/>
    <x v="7"/>
    <x v="38"/>
    <x v="0"/>
    <x v="4"/>
    <x v="1"/>
    <n v="0.49"/>
    <n v="0.49"/>
    <n v="0.01"/>
    <n v="0.45"/>
  </r>
  <r>
    <x v="2"/>
    <x v="7"/>
    <x v="38"/>
    <x v="1"/>
    <x v="0"/>
    <x v="1"/>
    <n v="0.39"/>
    <n v="0.39"/>
    <n v="0.03"/>
    <n v="0.38"/>
  </r>
  <r>
    <x v="2"/>
    <x v="7"/>
    <x v="38"/>
    <x v="1"/>
    <x v="4"/>
    <x v="1"/>
    <n v="1"/>
    <n v="1"/>
    <n v="0.02"/>
    <n v="1"/>
  </r>
  <r>
    <x v="2"/>
    <x v="7"/>
    <x v="38"/>
    <x v="4"/>
    <x v="0"/>
    <x v="1"/>
    <n v="0.34"/>
    <n v="0.34"/>
    <n v="0.02"/>
    <n v="0.32"/>
  </r>
  <r>
    <x v="2"/>
    <x v="7"/>
    <x v="38"/>
    <x v="1"/>
    <x v="2"/>
    <x v="2"/>
    <n v="0.02"/>
    <n v="0.02"/>
    <n v="0"/>
    <n v="0.02"/>
  </r>
  <r>
    <x v="2"/>
    <x v="7"/>
    <x v="38"/>
    <x v="1"/>
    <x v="2"/>
    <x v="1"/>
    <n v="3.23"/>
    <n v="3.23"/>
    <n v="0.02"/>
    <n v="3.03"/>
  </r>
  <r>
    <x v="2"/>
    <x v="1"/>
    <x v="39"/>
    <x v="0"/>
    <x v="0"/>
    <x v="0"/>
    <n v="0.99"/>
    <n v="0.99"/>
    <n v="0.89"/>
    <n v="0.87"/>
  </r>
  <r>
    <x v="2"/>
    <x v="1"/>
    <x v="39"/>
    <x v="4"/>
    <x v="1"/>
    <x v="0"/>
    <n v="5.64"/>
    <n v="5.63"/>
    <n v="0.43"/>
    <n v="4.97"/>
  </r>
  <r>
    <x v="2"/>
    <x v="1"/>
    <x v="39"/>
    <x v="4"/>
    <x v="4"/>
    <x v="0"/>
    <n v="48.21"/>
    <n v="48.14"/>
    <n v="7.29"/>
    <n v="42.19"/>
  </r>
  <r>
    <x v="2"/>
    <x v="1"/>
    <x v="39"/>
    <x v="4"/>
    <x v="0"/>
    <x v="0"/>
    <n v="0.26"/>
    <n v="0.26"/>
    <n v="0.04"/>
    <n v="0.22"/>
  </r>
  <r>
    <x v="2"/>
    <x v="1"/>
    <x v="39"/>
    <x v="3"/>
    <x v="1"/>
    <x v="0"/>
    <n v="0.6"/>
    <n v="0.6"/>
    <n v="0.08"/>
    <n v="0.6"/>
  </r>
  <r>
    <x v="2"/>
    <x v="1"/>
    <x v="39"/>
    <x v="3"/>
    <x v="0"/>
    <x v="0"/>
    <n v="0.79"/>
    <n v="0.79"/>
    <n v="0.59"/>
    <n v="0.79"/>
  </r>
  <r>
    <x v="2"/>
    <x v="1"/>
    <x v="39"/>
    <x v="3"/>
    <x v="4"/>
    <x v="0"/>
    <n v="12.33"/>
    <n v="12.31"/>
    <n v="3.46"/>
    <n v="11.45"/>
  </r>
  <r>
    <x v="2"/>
    <x v="1"/>
    <x v="39"/>
    <x v="0"/>
    <x v="4"/>
    <x v="0"/>
    <n v="4.0599999999999996"/>
    <n v="4.05"/>
    <n v="1.32"/>
    <n v="3.57"/>
  </r>
  <r>
    <x v="2"/>
    <x v="1"/>
    <x v="39"/>
    <x v="0"/>
    <x v="2"/>
    <x v="0"/>
    <n v="0.06"/>
    <n v="0.06"/>
    <n v="0"/>
    <n v="0.06"/>
  </r>
  <r>
    <x v="2"/>
    <x v="1"/>
    <x v="39"/>
    <x v="1"/>
    <x v="0"/>
    <x v="0"/>
    <n v="7.12"/>
    <n v="7.11"/>
    <n v="4.0199999999999996"/>
    <n v="6.59"/>
  </r>
  <r>
    <x v="2"/>
    <x v="1"/>
    <x v="39"/>
    <x v="1"/>
    <x v="4"/>
    <x v="0"/>
    <n v="158.13"/>
    <n v="157.87"/>
    <n v="33.15"/>
    <n v="136.78"/>
  </r>
  <r>
    <x v="2"/>
    <x v="1"/>
    <x v="39"/>
    <x v="1"/>
    <x v="1"/>
    <x v="0"/>
    <n v="45.61"/>
    <n v="45.53"/>
    <n v="2.59"/>
    <n v="39.32"/>
  </r>
  <r>
    <x v="2"/>
    <x v="1"/>
    <x v="39"/>
    <x v="1"/>
    <x v="2"/>
    <x v="0"/>
    <n v="7.37"/>
    <n v="7.35"/>
    <n v="0.08"/>
    <n v="6.08"/>
  </r>
  <r>
    <x v="2"/>
    <x v="1"/>
    <x v="39"/>
    <x v="2"/>
    <x v="3"/>
    <x v="1"/>
    <n v="6.39"/>
    <n v="6.38"/>
    <n v="0.01"/>
    <n v="5.72"/>
  </r>
  <r>
    <x v="2"/>
    <x v="1"/>
    <x v="39"/>
    <x v="2"/>
    <x v="4"/>
    <x v="0"/>
    <n v="2.23"/>
    <n v="2.23"/>
    <n v="0.94"/>
    <n v="1.98"/>
  </r>
  <r>
    <x v="2"/>
    <x v="1"/>
    <x v="39"/>
    <x v="2"/>
    <x v="3"/>
    <x v="3"/>
    <n v="20.39"/>
    <n v="20.350000000000001"/>
    <n v="0.01"/>
    <n v="16.739999999999998"/>
  </r>
  <r>
    <x v="2"/>
    <x v="1"/>
    <x v="39"/>
    <x v="2"/>
    <x v="0"/>
    <x v="0"/>
    <n v="2.94"/>
    <n v="2.94"/>
    <n v="2.4700000000000002"/>
    <n v="2.67"/>
  </r>
  <r>
    <x v="2"/>
    <x v="1"/>
    <x v="39"/>
    <x v="2"/>
    <x v="2"/>
    <x v="3"/>
    <n v="15.29"/>
    <n v="15.27"/>
    <n v="0.01"/>
    <n v="15.29"/>
  </r>
  <r>
    <x v="2"/>
    <x v="1"/>
    <x v="39"/>
    <x v="4"/>
    <x v="4"/>
    <x v="2"/>
    <n v="1.87"/>
    <n v="1.87"/>
    <n v="0.05"/>
    <n v="1.5"/>
  </r>
  <r>
    <x v="2"/>
    <x v="1"/>
    <x v="39"/>
    <x v="4"/>
    <x v="1"/>
    <x v="2"/>
    <n v="1.65"/>
    <n v="1.65"/>
    <n v="0.02"/>
    <n v="1.32"/>
  </r>
  <r>
    <x v="2"/>
    <x v="1"/>
    <x v="39"/>
    <x v="1"/>
    <x v="4"/>
    <x v="2"/>
    <n v="0.65"/>
    <n v="0.65"/>
    <n v="0.02"/>
    <n v="0.55000000000000004"/>
  </r>
  <r>
    <x v="2"/>
    <x v="1"/>
    <x v="39"/>
    <x v="1"/>
    <x v="1"/>
    <x v="2"/>
    <n v="1.67"/>
    <n v="1.67"/>
    <n v="0.03"/>
    <n v="1.67"/>
  </r>
  <r>
    <x v="2"/>
    <x v="1"/>
    <x v="39"/>
    <x v="1"/>
    <x v="2"/>
    <x v="2"/>
    <n v="1.17"/>
    <n v="1.1599999999999999"/>
    <n v="0.01"/>
    <n v="1.17"/>
  </r>
  <r>
    <x v="2"/>
    <x v="1"/>
    <x v="39"/>
    <x v="4"/>
    <x v="4"/>
    <x v="1"/>
    <n v="0.53"/>
    <n v="0.53"/>
    <n v="0.02"/>
    <n v="0.44"/>
  </r>
  <r>
    <x v="2"/>
    <x v="1"/>
    <x v="39"/>
    <x v="2"/>
    <x v="3"/>
    <x v="2"/>
    <n v="1.04"/>
    <n v="1.04"/>
    <n v="0"/>
    <n v="1.04"/>
  </r>
  <r>
    <x v="2"/>
    <x v="1"/>
    <x v="39"/>
    <x v="1"/>
    <x v="2"/>
    <x v="1"/>
    <n v="36.950000000000003"/>
    <n v="36.89"/>
    <n v="0.13"/>
    <n v="30.92"/>
  </r>
  <r>
    <x v="2"/>
    <x v="1"/>
    <x v="39"/>
    <x v="4"/>
    <x v="0"/>
    <x v="1"/>
    <n v="2.77"/>
    <n v="2.76"/>
    <n v="0.11"/>
    <n v="2.2999999999999998"/>
  </r>
  <r>
    <x v="2"/>
    <x v="1"/>
    <x v="39"/>
    <x v="4"/>
    <x v="1"/>
    <x v="1"/>
    <n v="0.47"/>
    <n v="0.47"/>
    <n v="0.01"/>
    <n v="0.39"/>
  </r>
  <r>
    <x v="2"/>
    <x v="1"/>
    <x v="39"/>
    <x v="0"/>
    <x v="0"/>
    <x v="1"/>
    <n v="2.02"/>
    <n v="2.0099999999999998"/>
    <n v="0.05"/>
    <n v="1.68"/>
  </r>
  <r>
    <x v="2"/>
    <x v="1"/>
    <x v="39"/>
    <x v="0"/>
    <x v="4"/>
    <x v="1"/>
    <n v="7.21"/>
    <n v="7.2"/>
    <n v="7.0000000000000007E-2"/>
    <n v="6.01"/>
  </r>
  <r>
    <x v="2"/>
    <x v="1"/>
    <x v="39"/>
    <x v="1"/>
    <x v="0"/>
    <x v="1"/>
    <n v="7.37"/>
    <n v="7.35"/>
    <n v="0.28999999999999998"/>
    <n v="6.42"/>
  </r>
  <r>
    <x v="2"/>
    <x v="1"/>
    <x v="39"/>
    <x v="1"/>
    <x v="4"/>
    <x v="1"/>
    <n v="2.23"/>
    <n v="2.23"/>
    <n v="0.09"/>
    <n v="1.88"/>
  </r>
  <r>
    <x v="2"/>
    <x v="1"/>
    <x v="39"/>
    <x v="1"/>
    <x v="1"/>
    <x v="1"/>
    <n v="22.25"/>
    <n v="22.21"/>
    <n v="0.18"/>
    <n v="18.79"/>
  </r>
  <r>
    <x v="2"/>
    <x v="1"/>
    <x v="39"/>
    <x v="1"/>
    <x v="3"/>
    <x v="2"/>
    <n v="0.27"/>
    <n v="0.27"/>
    <n v="0"/>
    <n v="0.27"/>
  </r>
  <r>
    <x v="2"/>
    <x v="10"/>
    <x v="40"/>
    <x v="1"/>
    <x v="4"/>
    <x v="2"/>
    <n v="0.8"/>
    <n v="0.68"/>
    <n v="0.02"/>
    <n v="0.71"/>
  </r>
  <r>
    <x v="2"/>
    <x v="10"/>
    <x v="40"/>
    <x v="0"/>
    <x v="0"/>
    <x v="0"/>
    <n v="5.62"/>
    <n v="4.78"/>
    <n v="4.37"/>
    <n v="5.07"/>
  </r>
  <r>
    <x v="2"/>
    <x v="10"/>
    <x v="40"/>
    <x v="1"/>
    <x v="1"/>
    <x v="0"/>
    <n v="19.78"/>
    <n v="16.829999999999998"/>
    <n v="1.68"/>
    <n v="18.32"/>
  </r>
  <r>
    <x v="2"/>
    <x v="10"/>
    <x v="40"/>
    <x v="1"/>
    <x v="2"/>
    <x v="0"/>
    <n v="1.33"/>
    <n v="1.1299999999999999"/>
    <n v="0.02"/>
    <n v="1.22"/>
  </r>
  <r>
    <x v="2"/>
    <x v="10"/>
    <x v="40"/>
    <x v="4"/>
    <x v="4"/>
    <x v="2"/>
    <n v="0.21"/>
    <n v="0.18"/>
    <n v="0.02"/>
    <n v="0.18"/>
  </r>
  <r>
    <x v="2"/>
    <x v="10"/>
    <x v="40"/>
    <x v="2"/>
    <x v="0"/>
    <x v="0"/>
    <n v="2.5099999999999998"/>
    <n v="2.13"/>
    <n v="2.16"/>
    <n v="2.4"/>
  </r>
  <r>
    <x v="2"/>
    <x v="10"/>
    <x v="40"/>
    <x v="4"/>
    <x v="1"/>
    <x v="2"/>
    <n v="0.08"/>
    <n v="7.0000000000000007E-2"/>
    <n v="0.01"/>
    <n v="7.0000000000000007E-2"/>
  </r>
  <r>
    <x v="2"/>
    <x v="10"/>
    <x v="40"/>
    <x v="2"/>
    <x v="4"/>
    <x v="0"/>
    <n v="3.85"/>
    <n v="3.28"/>
    <n v="0.8"/>
    <n v="3.74"/>
  </r>
  <r>
    <x v="2"/>
    <x v="10"/>
    <x v="40"/>
    <x v="1"/>
    <x v="4"/>
    <x v="0"/>
    <n v="90.51"/>
    <n v="76.989999999999995"/>
    <n v="23.47"/>
    <n v="83.84"/>
  </r>
  <r>
    <x v="2"/>
    <x v="10"/>
    <x v="40"/>
    <x v="0"/>
    <x v="4"/>
    <x v="0"/>
    <n v="18.89"/>
    <n v="16.059999999999999"/>
    <n v="4.72"/>
    <n v="17.309999999999999"/>
  </r>
  <r>
    <x v="2"/>
    <x v="10"/>
    <x v="40"/>
    <x v="4"/>
    <x v="1"/>
    <x v="0"/>
    <n v="5.54"/>
    <n v="4.71"/>
    <n v="0.35"/>
    <n v="5.2"/>
  </r>
  <r>
    <x v="2"/>
    <x v="10"/>
    <x v="40"/>
    <x v="4"/>
    <x v="4"/>
    <x v="0"/>
    <n v="32.92"/>
    <n v="28"/>
    <n v="4.5199999999999996"/>
    <n v="30.99"/>
  </r>
  <r>
    <x v="2"/>
    <x v="10"/>
    <x v="40"/>
    <x v="4"/>
    <x v="0"/>
    <x v="0"/>
    <n v="0.02"/>
    <n v="0.02"/>
    <n v="0"/>
    <n v="0.02"/>
  </r>
  <r>
    <x v="2"/>
    <x v="10"/>
    <x v="40"/>
    <x v="3"/>
    <x v="1"/>
    <x v="0"/>
    <n v="0.13"/>
    <n v="0.11"/>
    <n v="0.02"/>
    <n v="0.13"/>
  </r>
  <r>
    <x v="2"/>
    <x v="10"/>
    <x v="40"/>
    <x v="3"/>
    <x v="4"/>
    <x v="0"/>
    <n v="2.11"/>
    <n v="1.79"/>
    <n v="0.61"/>
    <n v="2.0299999999999998"/>
  </r>
  <r>
    <x v="2"/>
    <x v="10"/>
    <x v="40"/>
    <x v="3"/>
    <x v="0"/>
    <x v="0"/>
    <n v="0.81"/>
    <n v="0.69"/>
    <n v="0.66"/>
    <n v="0.8"/>
  </r>
  <r>
    <x v="2"/>
    <x v="10"/>
    <x v="40"/>
    <x v="4"/>
    <x v="0"/>
    <x v="1"/>
    <n v="1.44"/>
    <n v="1.23"/>
    <n v="7.0000000000000007E-2"/>
    <n v="1.35"/>
  </r>
  <r>
    <x v="2"/>
    <x v="10"/>
    <x v="40"/>
    <x v="4"/>
    <x v="2"/>
    <x v="2"/>
    <n v="0.01"/>
    <n v="0.01"/>
    <n v="0"/>
    <n v="0.01"/>
  </r>
  <r>
    <x v="2"/>
    <x v="10"/>
    <x v="40"/>
    <x v="2"/>
    <x v="3"/>
    <x v="2"/>
    <n v="3.81"/>
    <n v="3.24"/>
    <n v="0.01"/>
    <n v="3.45"/>
  </r>
  <r>
    <x v="2"/>
    <x v="10"/>
    <x v="40"/>
    <x v="2"/>
    <x v="2"/>
    <x v="3"/>
    <n v="3.6"/>
    <n v="3.06"/>
    <n v="0"/>
    <n v="3.6"/>
  </r>
  <r>
    <x v="2"/>
    <x v="10"/>
    <x v="40"/>
    <x v="1"/>
    <x v="0"/>
    <x v="0"/>
    <n v="5.96"/>
    <n v="5.07"/>
    <n v="3.89"/>
    <n v="5.58"/>
  </r>
  <r>
    <x v="2"/>
    <x v="10"/>
    <x v="40"/>
    <x v="2"/>
    <x v="3"/>
    <x v="3"/>
    <n v="34.409999999999997"/>
    <n v="29.27"/>
    <n v="0.03"/>
    <n v="34.409999999999997"/>
  </r>
  <r>
    <x v="2"/>
    <x v="10"/>
    <x v="40"/>
    <x v="2"/>
    <x v="3"/>
    <x v="1"/>
    <n v="10.74"/>
    <n v="9.1300000000000008"/>
    <n v="0.02"/>
    <n v="9.93"/>
  </r>
  <r>
    <x v="2"/>
    <x v="10"/>
    <x v="40"/>
    <x v="4"/>
    <x v="4"/>
    <x v="1"/>
    <n v="0.32"/>
    <n v="0.27"/>
    <n v="0.04"/>
    <n v="0.3"/>
  </r>
  <r>
    <x v="2"/>
    <x v="10"/>
    <x v="40"/>
    <x v="1"/>
    <x v="1"/>
    <x v="1"/>
    <n v="4.34"/>
    <n v="3.69"/>
    <n v="0.05"/>
    <n v="4.07"/>
  </r>
  <r>
    <x v="2"/>
    <x v="10"/>
    <x v="40"/>
    <x v="1"/>
    <x v="2"/>
    <x v="1"/>
    <n v="8.36"/>
    <n v="7.11"/>
    <n v="0.05"/>
    <n v="7.83"/>
  </r>
  <r>
    <x v="2"/>
    <x v="10"/>
    <x v="40"/>
    <x v="4"/>
    <x v="1"/>
    <x v="1"/>
    <n v="0.17"/>
    <n v="0.14000000000000001"/>
    <n v="0.01"/>
    <n v="0.15"/>
  </r>
  <r>
    <x v="2"/>
    <x v="10"/>
    <x v="40"/>
    <x v="1"/>
    <x v="4"/>
    <x v="1"/>
    <n v="1.21"/>
    <n v="1.03"/>
    <n v="0.05"/>
    <n v="1.21"/>
  </r>
  <r>
    <x v="2"/>
    <x v="10"/>
    <x v="40"/>
    <x v="1"/>
    <x v="0"/>
    <x v="1"/>
    <n v="4.72"/>
    <n v="4.0199999999999996"/>
    <n v="0.21"/>
    <n v="4.68"/>
  </r>
  <r>
    <x v="2"/>
    <x v="10"/>
    <x v="40"/>
    <x v="0"/>
    <x v="4"/>
    <x v="1"/>
    <n v="2.13"/>
    <n v="1.81"/>
    <n v="0.05"/>
    <n v="1.96"/>
  </r>
  <r>
    <x v="2"/>
    <x v="10"/>
    <x v="40"/>
    <x v="0"/>
    <x v="0"/>
    <x v="1"/>
    <n v="2.64"/>
    <n v="2.25"/>
    <n v="0.11"/>
    <n v="2.44"/>
  </r>
  <r>
    <x v="2"/>
    <x v="1"/>
    <x v="41"/>
    <x v="1"/>
    <x v="2"/>
    <x v="2"/>
    <n v="3.33"/>
    <n v="3.43"/>
    <n v="0.03"/>
    <n v="2.9"/>
  </r>
  <r>
    <x v="2"/>
    <x v="1"/>
    <x v="41"/>
    <x v="0"/>
    <x v="4"/>
    <x v="1"/>
    <n v="11.58"/>
    <n v="11.91"/>
    <n v="0.14000000000000001"/>
    <n v="9.65"/>
  </r>
  <r>
    <x v="2"/>
    <x v="1"/>
    <x v="41"/>
    <x v="0"/>
    <x v="0"/>
    <x v="1"/>
    <n v="17.100000000000001"/>
    <n v="17.59"/>
    <n v="0.45"/>
    <n v="14.25"/>
  </r>
  <r>
    <x v="2"/>
    <x v="1"/>
    <x v="41"/>
    <x v="4"/>
    <x v="1"/>
    <x v="1"/>
    <n v="0.98"/>
    <n v="1.01"/>
    <n v="0.01"/>
    <n v="0.82"/>
  </r>
  <r>
    <x v="2"/>
    <x v="1"/>
    <x v="41"/>
    <x v="4"/>
    <x v="4"/>
    <x v="1"/>
    <n v="0.99"/>
    <n v="1.01"/>
    <n v="0.04"/>
    <n v="0.82"/>
  </r>
  <r>
    <x v="2"/>
    <x v="1"/>
    <x v="41"/>
    <x v="4"/>
    <x v="0"/>
    <x v="1"/>
    <n v="6.62"/>
    <n v="6.82"/>
    <n v="0.33"/>
    <n v="5.52"/>
  </r>
  <r>
    <x v="2"/>
    <x v="1"/>
    <x v="41"/>
    <x v="2"/>
    <x v="3"/>
    <x v="3"/>
    <n v="11.97"/>
    <n v="12.32"/>
    <n v="0.01"/>
    <n v="11.97"/>
  </r>
  <r>
    <x v="2"/>
    <x v="1"/>
    <x v="41"/>
    <x v="1"/>
    <x v="1"/>
    <x v="0"/>
    <n v="52.49"/>
    <n v="54"/>
    <n v="3.41"/>
    <n v="46.9"/>
  </r>
  <r>
    <x v="2"/>
    <x v="1"/>
    <x v="41"/>
    <x v="2"/>
    <x v="3"/>
    <x v="2"/>
    <n v="76.510000000000005"/>
    <n v="78.709999999999994"/>
    <n v="0.19"/>
    <n v="76.510000000000005"/>
  </r>
  <r>
    <x v="2"/>
    <x v="1"/>
    <x v="41"/>
    <x v="1"/>
    <x v="4"/>
    <x v="2"/>
    <n v="18.12"/>
    <n v="18.64"/>
    <n v="0.78"/>
    <n v="15.76"/>
  </r>
  <r>
    <x v="2"/>
    <x v="1"/>
    <x v="41"/>
    <x v="1"/>
    <x v="0"/>
    <x v="1"/>
    <n v="25.93"/>
    <n v="26.67"/>
    <n v="0.89"/>
    <n v="22.3"/>
  </r>
  <r>
    <x v="2"/>
    <x v="1"/>
    <x v="41"/>
    <x v="1"/>
    <x v="3"/>
    <x v="2"/>
    <n v="6.36"/>
    <n v="6.55"/>
    <n v="0.03"/>
    <n v="5.53"/>
  </r>
  <r>
    <x v="2"/>
    <x v="1"/>
    <x v="41"/>
    <x v="4"/>
    <x v="4"/>
    <x v="2"/>
    <n v="17.05"/>
    <n v="17.54"/>
    <n v="0.67"/>
    <n v="14.83"/>
  </r>
  <r>
    <x v="2"/>
    <x v="1"/>
    <x v="41"/>
    <x v="4"/>
    <x v="1"/>
    <x v="2"/>
    <n v="0.68"/>
    <n v="0.7"/>
    <n v="0.02"/>
    <n v="0.59"/>
  </r>
  <r>
    <x v="2"/>
    <x v="1"/>
    <x v="41"/>
    <x v="4"/>
    <x v="2"/>
    <x v="2"/>
    <n v="1.98"/>
    <n v="2.04"/>
    <n v="0.03"/>
    <n v="1.73"/>
  </r>
  <r>
    <x v="2"/>
    <x v="1"/>
    <x v="41"/>
    <x v="2"/>
    <x v="2"/>
    <x v="3"/>
    <n v="17.27"/>
    <n v="17.77"/>
    <n v="0.01"/>
    <n v="17.27"/>
  </r>
  <r>
    <x v="2"/>
    <x v="1"/>
    <x v="41"/>
    <x v="1"/>
    <x v="4"/>
    <x v="0"/>
    <n v="271.94"/>
    <n v="279.76"/>
    <n v="65.72"/>
    <n v="247.77"/>
  </r>
  <r>
    <x v="2"/>
    <x v="1"/>
    <x v="41"/>
    <x v="1"/>
    <x v="1"/>
    <x v="2"/>
    <n v="5.38"/>
    <n v="5.53"/>
    <n v="0.1"/>
    <n v="4.68"/>
  </r>
  <r>
    <x v="2"/>
    <x v="1"/>
    <x v="41"/>
    <x v="1"/>
    <x v="4"/>
    <x v="1"/>
    <n v="8.0299999999999994"/>
    <n v="8.26"/>
    <n v="0.33"/>
    <n v="6.85"/>
  </r>
  <r>
    <x v="2"/>
    <x v="1"/>
    <x v="41"/>
    <x v="2"/>
    <x v="4"/>
    <x v="0"/>
    <n v="12.15"/>
    <n v="12.5"/>
    <n v="4.8499999999999996"/>
    <n v="10.84"/>
  </r>
  <r>
    <x v="2"/>
    <x v="1"/>
    <x v="41"/>
    <x v="1"/>
    <x v="0"/>
    <x v="0"/>
    <n v="28.01"/>
    <n v="28.81"/>
    <n v="13.13"/>
    <n v="24.65"/>
  </r>
  <r>
    <x v="2"/>
    <x v="1"/>
    <x v="41"/>
    <x v="0"/>
    <x v="2"/>
    <x v="0"/>
    <n v="0.18"/>
    <n v="0.19"/>
    <n v="0.01"/>
    <n v="0.18"/>
  </r>
  <r>
    <x v="2"/>
    <x v="1"/>
    <x v="41"/>
    <x v="0"/>
    <x v="4"/>
    <x v="0"/>
    <n v="21.43"/>
    <n v="22.04"/>
    <n v="8.23"/>
    <n v="19"/>
  </r>
  <r>
    <x v="2"/>
    <x v="1"/>
    <x v="41"/>
    <x v="0"/>
    <x v="0"/>
    <x v="0"/>
    <n v="1.01"/>
    <n v="1.04"/>
    <n v="0.7"/>
    <n v="0.95"/>
  </r>
  <r>
    <x v="2"/>
    <x v="1"/>
    <x v="41"/>
    <x v="4"/>
    <x v="1"/>
    <x v="0"/>
    <n v="6.76"/>
    <n v="6.96"/>
    <n v="0.51"/>
    <n v="6.63"/>
  </r>
  <r>
    <x v="2"/>
    <x v="1"/>
    <x v="41"/>
    <x v="4"/>
    <x v="4"/>
    <x v="0"/>
    <n v="48.64"/>
    <n v="50.04"/>
    <n v="8.58"/>
    <n v="44.09"/>
  </r>
  <r>
    <x v="2"/>
    <x v="1"/>
    <x v="41"/>
    <x v="1"/>
    <x v="1"/>
    <x v="1"/>
    <n v="96.37"/>
    <n v="99.14"/>
    <n v="0.49"/>
    <n v="80.540000000000006"/>
  </r>
  <r>
    <x v="2"/>
    <x v="1"/>
    <x v="41"/>
    <x v="2"/>
    <x v="0"/>
    <x v="0"/>
    <n v="9.19"/>
    <n v="9.4499999999999993"/>
    <n v="7.55"/>
    <n v="8.68"/>
  </r>
  <r>
    <x v="2"/>
    <x v="1"/>
    <x v="41"/>
    <x v="1"/>
    <x v="2"/>
    <x v="0"/>
    <n v="15.37"/>
    <n v="15.81"/>
    <n v="0.2"/>
    <n v="13.38"/>
  </r>
  <r>
    <x v="2"/>
    <x v="1"/>
    <x v="41"/>
    <x v="1"/>
    <x v="2"/>
    <x v="1"/>
    <n v="67.14"/>
    <n v="69.069999999999993"/>
    <n v="0.21"/>
    <n v="55.99"/>
  </r>
  <r>
    <x v="2"/>
    <x v="1"/>
    <x v="41"/>
    <x v="2"/>
    <x v="4"/>
    <x v="1"/>
    <n v="0.33"/>
    <n v="0.34"/>
    <n v="0"/>
    <n v="0.33"/>
  </r>
  <r>
    <x v="2"/>
    <x v="1"/>
    <x v="41"/>
    <x v="2"/>
    <x v="1"/>
    <x v="1"/>
    <n v="0.08"/>
    <n v="0.08"/>
    <n v="0"/>
    <n v="0.08"/>
  </r>
  <r>
    <x v="2"/>
    <x v="1"/>
    <x v="41"/>
    <x v="2"/>
    <x v="3"/>
    <x v="1"/>
    <n v="31.48"/>
    <n v="32.39"/>
    <n v="0.03"/>
    <n v="27.19"/>
  </r>
  <r>
    <x v="2"/>
    <x v="1"/>
    <x v="41"/>
    <x v="3"/>
    <x v="4"/>
    <x v="0"/>
    <n v="4.46"/>
    <n v="4.59"/>
    <n v="1.29"/>
    <n v="4.29"/>
  </r>
  <r>
    <x v="2"/>
    <x v="1"/>
    <x v="41"/>
    <x v="3"/>
    <x v="1"/>
    <x v="0"/>
    <n v="0.85"/>
    <n v="0.87"/>
    <n v="0.11"/>
    <n v="0.85"/>
  </r>
  <r>
    <x v="2"/>
    <x v="1"/>
    <x v="41"/>
    <x v="4"/>
    <x v="0"/>
    <x v="0"/>
    <n v="0.28999999999999998"/>
    <n v="0.3"/>
    <n v="0.09"/>
    <n v="0.25"/>
  </r>
  <r>
    <x v="2"/>
    <x v="2"/>
    <x v="42"/>
    <x v="1"/>
    <x v="1"/>
    <x v="0"/>
    <n v="32.380000000000003"/>
    <n v="33.44"/>
    <n v="1.99"/>
    <n v="29.86"/>
  </r>
  <r>
    <x v="2"/>
    <x v="2"/>
    <x v="42"/>
    <x v="4"/>
    <x v="4"/>
    <x v="0"/>
    <n v="66.569999999999993"/>
    <n v="68.77"/>
    <n v="9.09"/>
    <n v="62.3"/>
  </r>
  <r>
    <x v="2"/>
    <x v="2"/>
    <x v="42"/>
    <x v="3"/>
    <x v="4"/>
    <x v="0"/>
    <n v="6.36"/>
    <n v="6.57"/>
    <n v="1.84"/>
    <n v="5.98"/>
  </r>
  <r>
    <x v="2"/>
    <x v="2"/>
    <x v="42"/>
    <x v="3"/>
    <x v="1"/>
    <x v="0"/>
    <n v="7.0000000000000007E-2"/>
    <n v="7.0000000000000007E-2"/>
    <n v="0.01"/>
    <n v="0.06"/>
  </r>
  <r>
    <x v="2"/>
    <x v="2"/>
    <x v="42"/>
    <x v="2"/>
    <x v="3"/>
    <x v="1"/>
    <n v="10.76"/>
    <n v="11.11"/>
    <n v="0.02"/>
    <n v="9.7899999999999991"/>
  </r>
  <r>
    <x v="2"/>
    <x v="2"/>
    <x v="42"/>
    <x v="4"/>
    <x v="0"/>
    <x v="0"/>
    <n v="0.17"/>
    <n v="0.17"/>
    <n v="0.04"/>
    <n v="0.15"/>
  </r>
  <r>
    <x v="2"/>
    <x v="2"/>
    <x v="42"/>
    <x v="3"/>
    <x v="0"/>
    <x v="0"/>
    <n v="0.76"/>
    <n v="0.79"/>
    <n v="0.61"/>
    <n v="0.74"/>
  </r>
  <r>
    <x v="2"/>
    <x v="2"/>
    <x v="42"/>
    <x v="4"/>
    <x v="1"/>
    <x v="0"/>
    <n v="8.3699999999999992"/>
    <n v="8.65"/>
    <n v="0.53"/>
    <n v="7.83"/>
  </r>
  <r>
    <x v="2"/>
    <x v="2"/>
    <x v="42"/>
    <x v="0"/>
    <x v="0"/>
    <x v="0"/>
    <n v="11.1"/>
    <n v="11.47"/>
    <n v="9.24"/>
    <n v="10.11"/>
  </r>
  <r>
    <x v="2"/>
    <x v="2"/>
    <x v="42"/>
    <x v="0"/>
    <x v="4"/>
    <x v="0"/>
    <n v="25.41"/>
    <n v="26.24"/>
    <n v="7.26"/>
    <n v="23.35"/>
  </r>
  <r>
    <x v="2"/>
    <x v="2"/>
    <x v="42"/>
    <x v="1"/>
    <x v="4"/>
    <x v="0"/>
    <n v="167.42"/>
    <n v="172.94"/>
    <n v="37.46"/>
    <n v="154.1"/>
  </r>
  <r>
    <x v="2"/>
    <x v="2"/>
    <x v="42"/>
    <x v="1"/>
    <x v="2"/>
    <x v="0"/>
    <n v="5"/>
    <n v="5.17"/>
    <n v="7.0000000000000007E-2"/>
    <n v="4.45"/>
  </r>
  <r>
    <x v="2"/>
    <x v="2"/>
    <x v="42"/>
    <x v="2"/>
    <x v="0"/>
    <x v="0"/>
    <n v="5.77"/>
    <n v="5.96"/>
    <n v="5.48"/>
    <n v="5.41"/>
  </r>
  <r>
    <x v="2"/>
    <x v="2"/>
    <x v="42"/>
    <x v="1"/>
    <x v="2"/>
    <x v="1"/>
    <n v="12.53"/>
    <n v="12.94"/>
    <n v="0.09"/>
    <n v="11.8"/>
  </r>
  <r>
    <x v="2"/>
    <x v="2"/>
    <x v="42"/>
    <x v="0"/>
    <x v="0"/>
    <x v="1"/>
    <n v="2.61"/>
    <n v="2.7"/>
    <n v="0.12"/>
    <n v="2.35"/>
  </r>
  <r>
    <x v="2"/>
    <x v="2"/>
    <x v="42"/>
    <x v="2"/>
    <x v="4"/>
    <x v="0"/>
    <n v="4.47"/>
    <n v="4.62"/>
    <n v="1.36"/>
    <n v="4.21"/>
  </r>
  <r>
    <x v="2"/>
    <x v="2"/>
    <x v="42"/>
    <x v="1"/>
    <x v="0"/>
    <x v="0"/>
    <n v="11.49"/>
    <n v="11.87"/>
    <n v="6.64"/>
    <n v="10.74"/>
  </r>
  <r>
    <x v="2"/>
    <x v="2"/>
    <x v="42"/>
    <x v="1"/>
    <x v="1"/>
    <x v="2"/>
    <n v="0.16"/>
    <n v="0.17"/>
    <n v="0.01"/>
    <n v="0.15"/>
  </r>
  <r>
    <x v="2"/>
    <x v="2"/>
    <x v="42"/>
    <x v="1"/>
    <x v="0"/>
    <x v="1"/>
    <n v="6.6"/>
    <n v="6.82"/>
    <n v="0.35"/>
    <n v="6.51"/>
  </r>
  <r>
    <x v="2"/>
    <x v="2"/>
    <x v="42"/>
    <x v="1"/>
    <x v="1"/>
    <x v="1"/>
    <n v="6.02"/>
    <n v="6.22"/>
    <n v="0.11"/>
    <n v="5.71"/>
  </r>
  <r>
    <x v="2"/>
    <x v="2"/>
    <x v="42"/>
    <x v="4"/>
    <x v="1"/>
    <x v="2"/>
    <n v="1.81"/>
    <n v="1.87"/>
    <n v="0.05"/>
    <n v="1.57"/>
  </r>
  <r>
    <x v="2"/>
    <x v="2"/>
    <x v="42"/>
    <x v="1"/>
    <x v="4"/>
    <x v="2"/>
    <n v="0.77"/>
    <n v="0.8"/>
    <n v="7.0000000000000007E-2"/>
    <n v="0.68"/>
  </r>
  <r>
    <x v="2"/>
    <x v="2"/>
    <x v="42"/>
    <x v="4"/>
    <x v="4"/>
    <x v="2"/>
    <n v="2.4300000000000002"/>
    <n v="2.5099999999999998"/>
    <n v="0.14000000000000001"/>
    <n v="2.2400000000000002"/>
  </r>
  <r>
    <x v="2"/>
    <x v="2"/>
    <x v="42"/>
    <x v="1"/>
    <x v="3"/>
    <x v="2"/>
    <n v="0.23"/>
    <n v="0.24"/>
    <n v="0"/>
    <n v="0.21"/>
  </r>
  <r>
    <x v="2"/>
    <x v="2"/>
    <x v="42"/>
    <x v="2"/>
    <x v="3"/>
    <x v="2"/>
    <n v="16.23"/>
    <n v="16.77"/>
    <n v="0.03"/>
    <n v="14.39"/>
  </r>
  <r>
    <x v="2"/>
    <x v="2"/>
    <x v="42"/>
    <x v="2"/>
    <x v="2"/>
    <x v="3"/>
    <n v="5.45"/>
    <n v="5.63"/>
    <n v="0"/>
    <n v="5.45"/>
  </r>
  <r>
    <x v="2"/>
    <x v="2"/>
    <x v="42"/>
    <x v="2"/>
    <x v="3"/>
    <x v="3"/>
    <n v="64.06"/>
    <n v="66.17"/>
    <n v="0.06"/>
    <n v="64.06"/>
  </r>
  <r>
    <x v="2"/>
    <x v="2"/>
    <x v="42"/>
    <x v="4"/>
    <x v="0"/>
    <x v="1"/>
    <n v="1.25"/>
    <n v="1.3"/>
    <n v="7.0000000000000007E-2"/>
    <n v="1.1399999999999999"/>
  </r>
  <r>
    <x v="2"/>
    <x v="2"/>
    <x v="42"/>
    <x v="4"/>
    <x v="4"/>
    <x v="1"/>
    <n v="0.32"/>
    <n v="0.33"/>
    <n v="0.04"/>
    <n v="0.28999999999999998"/>
  </r>
  <r>
    <x v="2"/>
    <x v="2"/>
    <x v="42"/>
    <x v="4"/>
    <x v="1"/>
    <x v="1"/>
    <n v="0.19"/>
    <n v="0.2"/>
    <n v="0.01"/>
    <n v="0.17"/>
  </r>
  <r>
    <x v="2"/>
    <x v="2"/>
    <x v="42"/>
    <x v="0"/>
    <x v="4"/>
    <x v="1"/>
    <n v="2.25"/>
    <n v="2.33"/>
    <n v="0.05"/>
    <n v="2.0299999999999998"/>
  </r>
  <r>
    <x v="2"/>
    <x v="2"/>
    <x v="42"/>
    <x v="1"/>
    <x v="4"/>
    <x v="1"/>
    <n v="4.82"/>
    <n v="4.9800000000000004"/>
    <n v="0.19"/>
    <n v="4.72"/>
  </r>
  <r>
    <x v="2"/>
    <x v="2"/>
    <x v="42"/>
    <x v="4"/>
    <x v="2"/>
    <x v="2"/>
    <n v="2.5099999999999998"/>
    <n v="2.59"/>
    <n v="0.01"/>
    <n v="2.1800000000000002"/>
  </r>
  <r>
    <x v="2"/>
    <x v="2"/>
    <x v="43"/>
    <x v="4"/>
    <x v="0"/>
    <x v="1"/>
    <n v="1.1200000000000001"/>
    <n v="1.17"/>
    <n v="0.06"/>
    <n v="1.02"/>
  </r>
  <r>
    <x v="2"/>
    <x v="2"/>
    <x v="43"/>
    <x v="1"/>
    <x v="1"/>
    <x v="1"/>
    <n v="6.76"/>
    <n v="7.02"/>
    <n v="0.11"/>
    <n v="6.49"/>
  </r>
  <r>
    <x v="2"/>
    <x v="2"/>
    <x v="43"/>
    <x v="0"/>
    <x v="4"/>
    <x v="1"/>
    <n v="2.2599999999999998"/>
    <n v="2.34"/>
    <n v="0.04"/>
    <n v="2.0299999999999998"/>
  </r>
  <r>
    <x v="2"/>
    <x v="2"/>
    <x v="43"/>
    <x v="0"/>
    <x v="0"/>
    <x v="1"/>
    <n v="2.77"/>
    <n v="2.88"/>
    <n v="0.11"/>
    <n v="2.4900000000000002"/>
  </r>
  <r>
    <x v="2"/>
    <x v="2"/>
    <x v="43"/>
    <x v="4"/>
    <x v="1"/>
    <x v="1"/>
    <n v="0.12"/>
    <n v="0.12"/>
    <n v="0.01"/>
    <n v="0.1"/>
  </r>
  <r>
    <x v="2"/>
    <x v="2"/>
    <x v="43"/>
    <x v="4"/>
    <x v="4"/>
    <x v="1"/>
    <n v="0.18"/>
    <n v="0.19"/>
    <n v="0.02"/>
    <n v="0.16"/>
  </r>
  <r>
    <x v="2"/>
    <x v="2"/>
    <x v="43"/>
    <x v="2"/>
    <x v="3"/>
    <x v="3"/>
    <n v="32.17"/>
    <n v="33.450000000000003"/>
    <n v="0.03"/>
    <n v="32.17"/>
  </r>
  <r>
    <x v="2"/>
    <x v="2"/>
    <x v="43"/>
    <x v="2"/>
    <x v="2"/>
    <x v="3"/>
    <n v="2.12"/>
    <n v="2.2000000000000002"/>
    <n v="0"/>
    <n v="2.12"/>
  </r>
  <r>
    <x v="2"/>
    <x v="2"/>
    <x v="43"/>
    <x v="2"/>
    <x v="3"/>
    <x v="2"/>
    <n v="3.8"/>
    <n v="3.95"/>
    <n v="0.01"/>
    <n v="3.66"/>
  </r>
  <r>
    <x v="2"/>
    <x v="2"/>
    <x v="43"/>
    <x v="1"/>
    <x v="4"/>
    <x v="2"/>
    <n v="8.69"/>
    <n v="9.0299999999999994"/>
    <n v="0.15"/>
    <n v="7.55"/>
  </r>
  <r>
    <x v="2"/>
    <x v="2"/>
    <x v="43"/>
    <x v="4"/>
    <x v="2"/>
    <x v="2"/>
    <n v="0.96"/>
    <n v="1"/>
    <n v="0.01"/>
    <n v="0.83"/>
  </r>
  <r>
    <x v="2"/>
    <x v="2"/>
    <x v="43"/>
    <x v="4"/>
    <x v="1"/>
    <x v="2"/>
    <n v="0.62"/>
    <n v="0.64"/>
    <n v="0.02"/>
    <n v="0.54"/>
  </r>
  <r>
    <x v="2"/>
    <x v="2"/>
    <x v="43"/>
    <x v="1"/>
    <x v="4"/>
    <x v="1"/>
    <n v="2.76"/>
    <n v="2.87"/>
    <n v="0.13"/>
    <n v="2.72"/>
  </r>
  <r>
    <x v="2"/>
    <x v="2"/>
    <x v="43"/>
    <x v="4"/>
    <x v="4"/>
    <x v="2"/>
    <n v="0.94"/>
    <n v="0.98"/>
    <n v="0.06"/>
    <n v="0.82"/>
  </r>
  <r>
    <x v="2"/>
    <x v="2"/>
    <x v="43"/>
    <x v="1"/>
    <x v="1"/>
    <x v="0"/>
    <n v="21.56"/>
    <n v="22.41"/>
    <n v="1.37"/>
    <n v="20.010000000000002"/>
  </r>
  <r>
    <x v="2"/>
    <x v="2"/>
    <x v="43"/>
    <x v="1"/>
    <x v="0"/>
    <x v="1"/>
    <n v="8.85"/>
    <n v="9.1999999999999993"/>
    <n v="0.63"/>
    <n v="8.6300000000000008"/>
  </r>
  <r>
    <x v="2"/>
    <x v="2"/>
    <x v="43"/>
    <x v="2"/>
    <x v="4"/>
    <x v="0"/>
    <n v="3.07"/>
    <n v="3.19"/>
    <n v="0.8"/>
    <n v="2.94"/>
  </r>
  <r>
    <x v="2"/>
    <x v="2"/>
    <x v="43"/>
    <x v="1"/>
    <x v="2"/>
    <x v="1"/>
    <n v="8.5500000000000007"/>
    <n v="8.8800000000000008"/>
    <n v="0.05"/>
    <n v="8.09"/>
  </r>
  <r>
    <x v="2"/>
    <x v="2"/>
    <x v="43"/>
    <x v="2"/>
    <x v="0"/>
    <x v="0"/>
    <n v="7.54"/>
    <n v="7.84"/>
    <n v="3.3"/>
    <n v="7.05"/>
  </r>
  <r>
    <x v="2"/>
    <x v="2"/>
    <x v="43"/>
    <x v="1"/>
    <x v="2"/>
    <x v="0"/>
    <n v="0.51"/>
    <n v="0.53"/>
    <n v="0.01"/>
    <n v="0.46"/>
  </r>
  <r>
    <x v="2"/>
    <x v="2"/>
    <x v="43"/>
    <x v="1"/>
    <x v="4"/>
    <x v="0"/>
    <n v="112.37"/>
    <n v="116.82"/>
    <n v="25.49"/>
    <n v="103.44"/>
  </r>
  <r>
    <x v="2"/>
    <x v="2"/>
    <x v="43"/>
    <x v="1"/>
    <x v="0"/>
    <x v="0"/>
    <n v="7.68"/>
    <n v="7.98"/>
    <n v="4.43"/>
    <n v="7.18"/>
  </r>
  <r>
    <x v="2"/>
    <x v="2"/>
    <x v="43"/>
    <x v="0"/>
    <x v="4"/>
    <x v="0"/>
    <n v="17.989999999999998"/>
    <n v="18.7"/>
    <n v="5.09"/>
    <n v="16.64"/>
  </r>
  <r>
    <x v="2"/>
    <x v="2"/>
    <x v="43"/>
    <x v="0"/>
    <x v="0"/>
    <x v="0"/>
    <n v="5.67"/>
    <n v="5.89"/>
    <n v="4.5599999999999996"/>
    <n v="5.15"/>
  </r>
  <r>
    <x v="2"/>
    <x v="2"/>
    <x v="43"/>
    <x v="2"/>
    <x v="3"/>
    <x v="1"/>
    <n v="8.1300000000000008"/>
    <n v="8.4600000000000009"/>
    <n v="0.01"/>
    <n v="7.38"/>
  </r>
  <r>
    <x v="2"/>
    <x v="2"/>
    <x v="43"/>
    <x v="4"/>
    <x v="4"/>
    <x v="0"/>
    <n v="72.849999999999994"/>
    <n v="75.73"/>
    <n v="10.130000000000001"/>
    <n v="67.150000000000006"/>
  </r>
  <r>
    <x v="2"/>
    <x v="2"/>
    <x v="43"/>
    <x v="4"/>
    <x v="0"/>
    <x v="0"/>
    <n v="0.03"/>
    <n v="0.03"/>
    <n v="0.01"/>
    <n v="0.03"/>
  </r>
  <r>
    <x v="2"/>
    <x v="2"/>
    <x v="43"/>
    <x v="3"/>
    <x v="1"/>
    <x v="0"/>
    <n v="0.12"/>
    <n v="0.12"/>
    <n v="0.01"/>
    <n v="0.11"/>
  </r>
  <r>
    <x v="2"/>
    <x v="2"/>
    <x v="43"/>
    <x v="3"/>
    <x v="4"/>
    <x v="0"/>
    <n v="2.76"/>
    <n v="2.87"/>
    <n v="0.76"/>
    <n v="2.62"/>
  </r>
  <r>
    <x v="2"/>
    <x v="2"/>
    <x v="43"/>
    <x v="3"/>
    <x v="0"/>
    <x v="0"/>
    <n v="0.9"/>
    <n v="0.93"/>
    <n v="0.72"/>
    <n v="0.88"/>
  </r>
  <r>
    <x v="2"/>
    <x v="2"/>
    <x v="43"/>
    <x v="4"/>
    <x v="1"/>
    <x v="0"/>
    <n v="8.69"/>
    <n v="9.0299999999999994"/>
    <n v="0.53"/>
    <n v="8.0299999999999994"/>
  </r>
  <r>
    <x v="2"/>
    <x v="2"/>
    <x v="43"/>
    <x v="1"/>
    <x v="3"/>
    <x v="1"/>
    <n v="4.55"/>
    <n v="4.74"/>
    <n v="7.0000000000000007E-2"/>
    <n v="4"/>
  </r>
  <r>
    <x v="2"/>
    <x v="2"/>
    <x v="43"/>
    <x v="2"/>
    <x v="2"/>
    <x v="1"/>
    <n v="0.68"/>
    <n v="0.7"/>
    <n v="0"/>
    <n v="0.68"/>
  </r>
  <r>
    <x v="2"/>
    <x v="2"/>
    <x v="44"/>
    <x v="1"/>
    <x v="4"/>
    <x v="1"/>
    <n v="3.73"/>
    <n v="3.77"/>
    <n v="0.18"/>
    <n v="3.73"/>
  </r>
  <r>
    <x v="2"/>
    <x v="2"/>
    <x v="44"/>
    <x v="1"/>
    <x v="0"/>
    <x v="1"/>
    <n v="6.98"/>
    <n v="7.07"/>
    <n v="0.36"/>
    <n v="6.9"/>
  </r>
  <r>
    <x v="2"/>
    <x v="2"/>
    <x v="44"/>
    <x v="0"/>
    <x v="4"/>
    <x v="1"/>
    <n v="3.64"/>
    <n v="3.68"/>
    <n v="0.09"/>
    <n v="3.28"/>
  </r>
  <r>
    <x v="2"/>
    <x v="2"/>
    <x v="44"/>
    <x v="0"/>
    <x v="0"/>
    <x v="1"/>
    <n v="4.22"/>
    <n v="4.2699999999999996"/>
    <n v="0.2"/>
    <n v="3.81"/>
  </r>
  <r>
    <x v="2"/>
    <x v="2"/>
    <x v="44"/>
    <x v="4"/>
    <x v="1"/>
    <x v="2"/>
    <n v="0.51"/>
    <n v="0.52"/>
    <n v="0.01"/>
    <n v="0.44"/>
  </r>
  <r>
    <x v="2"/>
    <x v="2"/>
    <x v="44"/>
    <x v="4"/>
    <x v="4"/>
    <x v="1"/>
    <n v="0.65"/>
    <n v="0.66"/>
    <n v="0.08"/>
    <n v="0.59"/>
  </r>
  <r>
    <x v="2"/>
    <x v="2"/>
    <x v="44"/>
    <x v="2"/>
    <x v="3"/>
    <x v="3"/>
    <n v="32.380000000000003"/>
    <n v="32.75"/>
    <n v="0.03"/>
    <n v="32.380000000000003"/>
  </r>
  <r>
    <x v="2"/>
    <x v="2"/>
    <x v="44"/>
    <x v="4"/>
    <x v="2"/>
    <x v="2"/>
    <n v="0.56999999999999995"/>
    <n v="0.57999999999999996"/>
    <n v="0"/>
    <n v="0.5"/>
  </r>
  <r>
    <x v="2"/>
    <x v="2"/>
    <x v="44"/>
    <x v="2"/>
    <x v="3"/>
    <x v="2"/>
    <n v="9.84"/>
    <n v="9.9499999999999993"/>
    <n v="0.01"/>
    <n v="8.43"/>
  </r>
  <r>
    <x v="2"/>
    <x v="2"/>
    <x v="44"/>
    <x v="1"/>
    <x v="2"/>
    <x v="2"/>
    <n v="0.9"/>
    <n v="0.91"/>
    <n v="0"/>
    <n v="0.78"/>
  </r>
  <r>
    <x v="2"/>
    <x v="2"/>
    <x v="44"/>
    <x v="1"/>
    <x v="4"/>
    <x v="2"/>
    <n v="6.83"/>
    <n v="6.91"/>
    <n v="7.0000000000000007E-2"/>
    <n v="5.94"/>
  </r>
  <r>
    <x v="2"/>
    <x v="2"/>
    <x v="44"/>
    <x v="1"/>
    <x v="1"/>
    <x v="1"/>
    <n v="7.98"/>
    <n v="8.07"/>
    <n v="0.11"/>
    <n v="7.44"/>
  </r>
  <r>
    <x v="2"/>
    <x v="2"/>
    <x v="44"/>
    <x v="0"/>
    <x v="0"/>
    <x v="0"/>
    <n v="7.06"/>
    <n v="7.14"/>
    <n v="5.41"/>
    <n v="6.44"/>
  </r>
  <r>
    <x v="2"/>
    <x v="2"/>
    <x v="44"/>
    <x v="2"/>
    <x v="2"/>
    <x v="3"/>
    <n v="2.06"/>
    <n v="2.09"/>
    <n v="0"/>
    <n v="2.06"/>
  </r>
  <r>
    <x v="2"/>
    <x v="2"/>
    <x v="44"/>
    <x v="4"/>
    <x v="1"/>
    <x v="0"/>
    <n v="14.04"/>
    <n v="14.2"/>
    <n v="0.87"/>
    <n v="13.22"/>
  </r>
  <r>
    <x v="2"/>
    <x v="2"/>
    <x v="44"/>
    <x v="2"/>
    <x v="4"/>
    <x v="0"/>
    <n v="2.69"/>
    <n v="2.72"/>
    <n v="0.59"/>
    <n v="2.5499999999999998"/>
  </r>
  <r>
    <x v="2"/>
    <x v="2"/>
    <x v="44"/>
    <x v="2"/>
    <x v="0"/>
    <x v="0"/>
    <n v="2.4"/>
    <n v="2.4300000000000002"/>
    <n v="2.17"/>
    <n v="2.27"/>
  </r>
  <r>
    <x v="2"/>
    <x v="2"/>
    <x v="44"/>
    <x v="1"/>
    <x v="2"/>
    <x v="0"/>
    <n v="1.1399999999999999"/>
    <n v="1.1499999999999999"/>
    <n v="0.02"/>
    <n v="1.02"/>
  </r>
  <r>
    <x v="2"/>
    <x v="2"/>
    <x v="44"/>
    <x v="1"/>
    <x v="1"/>
    <x v="0"/>
    <n v="30.61"/>
    <n v="30.96"/>
    <n v="1.8"/>
    <n v="28.49"/>
  </r>
  <r>
    <x v="2"/>
    <x v="2"/>
    <x v="44"/>
    <x v="1"/>
    <x v="4"/>
    <x v="0"/>
    <n v="117.02"/>
    <n v="118.38"/>
    <n v="25.89"/>
    <n v="108.11"/>
  </r>
  <r>
    <x v="2"/>
    <x v="2"/>
    <x v="44"/>
    <x v="1"/>
    <x v="0"/>
    <x v="0"/>
    <n v="6.33"/>
    <n v="6.4"/>
    <n v="3.83"/>
    <n v="5.91"/>
  </r>
  <r>
    <x v="2"/>
    <x v="2"/>
    <x v="44"/>
    <x v="4"/>
    <x v="4"/>
    <x v="0"/>
    <n v="71.540000000000006"/>
    <n v="72.37"/>
    <n v="9.93"/>
    <n v="66.89"/>
  </r>
  <r>
    <x v="2"/>
    <x v="2"/>
    <x v="44"/>
    <x v="4"/>
    <x v="0"/>
    <x v="1"/>
    <n v="2.27"/>
    <n v="2.2999999999999998"/>
    <n v="0.12"/>
    <n v="2.0699999999999998"/>
  </r>
  <r>
    <x v="2"/>
    <x v="2"/>
    <x v="44"/>
    <x v="1"/>
    <x v="2"/>
    <x v="1"/>
    <n v="23.66"/>
    <n v="23.93"/>
    <n v="0.17"/>
    <n v="22.32"/>
  </r>
  <r>
    <x v="2"/>
    <x v="2"/>
    <x v="44"/>
    <x v="4"/>
    <x v="0"/>
    <x v="0"/>
    <n v="0.02"/>
    <n v="0.02"/>
    <n v="0"/>
    <n v="0.02"/>
  </r>
  <r>
    <x v="2"/>
    <x v="2"/>
    <x v="44"/>
    <x v="3"/>
    <x v="1"/>
    <x v="0"/>
    <n v="0.11"/>
    <n v="0.11"/>
    <n v="0.01"/>
    <n v="0.11"/>
  </r>
  <r>
    <x v="2"/>
    <x v="2"/>
    <x v="44"/>
    <x v="3"/>
    <x v="4"/>
    <x v="0"/>
    <n v="2.0299999999999998"/>
    <n v="2.06"/>
    <n v="0.54"/>
    <n v="1.94"/>
  </r>
  <r>
    <x v="2"/>
    <x v="2"/>
    <x v="44"/>
    <x v="3"/>
    <x v="0"/>
    <x v="0"/>
    <n v="0.71"/>
    <n v="0.72"/>
    <n v="0.56000000000000005"/>
    <n v="0.69"/>
  </r>
  <r>
    <x v="2"/>
    <x v="2"/>
    <x v="44"/>
    <x v="2"/>
    <x v="3"/>
    <x v="1"/>
    <n v="19.010000000000002"/>
    <n v="19.23"/>
    <n v="0.04"/>
    <n v="17.23"/>
  </r>
  <r>
    <x v="2"/>
    <x v="2"/>
    <x v="44"/>
    <x v="2"/>
    <x v="2"/>
    <x v="1"/>
    <n v="2.85"/>
    <n v="2.88"/>
    <n v="0.01"/>
    <n v="2.76"/>
  </r>
  <r>
    <x v="2"/>
    <x v="2"/>
    <x v="44"/>
    <x v="0"/>
    <x v="4"/>
    <x v="0"/>
    <n v="19.18"/>
    <n v="19.399999999999999"/>
    <n v="5.45"/>
    <n v="17.75"/>
  </r>
  <r>
    <x v="2"/>
    <x v="2"/>
    <x v="44"/>
    <x v="4"/>
    <x v="1"/>
    <x v="1"/>
    <n v="0.35"/>
    <n v="0.35"/>
    <n v="0.02"/>
    <n v="0.32"/>
  </r>
  <r>
    <x v="2"/>
    <x v="2"/>
    <x v="44"/>
    <x v="4"/>
    <x v="4"/>
    <x v="2"/>
    <n v="0.9"/>
    <n v="0.91"/>
    <n v="0.05"/>
    <n v="0.79"/>
  </r>
  <r>
    <x v="2"/>
    <x v="4"/>
    <x v="45"/>
    <x v="4"/>
    <x v="1"/>
    <x v="0"/>
    <n v="5.6"/>
    <n v="5.58"/>
    <n v="0.3"/>
    <n v="4.91"/>
  </r>
  <r>
    <x v="2"/>
    <x v="4"/>
    <x v="45"/>
    <x v="4"/>
    <x v="4"/>
    <x v="0"/>
    <n v="31.5"/>
    <n v="31.37"/>
    <n v="4.6100000000000003"/>
    <n v="27.33"/>
  </r>
  <r>
    <x v="2"/>
    <x v="4"/>
    <x v="45"/>
    <x v="4"/>
    <x v="0"/>
    <x v="0"/>
    <n v="0.13"/>
    <n v="0.13"/>
    <n v="0.02"/>
    <n v="0.11"/>
  </r>
  <r>
    <x v="2"/>
    <x v="4"/>
    <x v="45"/>
    <x v="0"/>
    <x v="0"/>
    <x v="0"/>
    <n v="1.32"/>
    <n v="1.32"/>
    <n v="1.81"/>
    <n v="1.1499999999999999"/>
  </r>
  <r>
    <x v="2"/>
    <x v="4"/>
    <x v="45"/>
    <x v="3"/>
    <x v="4"/>
    <x v="0"/>
    <n v="9"/>
    <n v="8.9600000000000009"/>
    <n v="3.51"/>
    <n v="8.33"/>
  </r>
  <r>
    <x v="2"/>
    <x v="4"/>
    <x v="45"/>
    <x v="1"/>
    <x v="2"/>
    <x v="0"/>
    <n v="7.43"/>
    <n v="7.39"/>
    <n v="0.13"/>
    <n v="6.33"/>
  </r>
  <r>
    <x v="2"/>
    <x v="4"/>
    <x v="45"/>
    <x v="3"/>
    <x v="0"/>
    <x v="0"/>
    <n v="1.6"/>
    <n v="1.6"/>
    <n v="1.34"/>
    <n v="1.46"/>
  </r>
  <r>
    <x v="2"/>
    <x v="4"/>
    <x v="45"/>
    <x v="3"/>
    <x v="1"/>
    <x v="0"/>
    <n v="0.1"/>
    <n v="0.1"/>
    <n v="0.01"/>
    <n v="0.1"/>
  </r>
  <r>
    <x v="2"/>
    <x v="4"/>
    <x v="45"/>
    <x v="0"/>
    <x v="4"/>
    <x v="0"/>
    <n v="8.89"/>
    <n v="8.85"/>
    <n v="3"/>
    <n v="7.85"/>
  </r>
  <r>
    <x v="2"/>
    <x v="4"/>
    <x v="45"/>
    <x v="1"/>
    <x v="0"/>
    <x v="0"/>
    <n v="14.69"/>
    <n v="14.63"/>
    <n v="8.26"/>
    <n v="12.99"/>
  </r>
  <r>
    <x v="2"/>
    <x v="4"/>
    <x v="45"/>
    <x v="1"/>
    <x v="1"/>
    <x v="0"/>
    <n v="22"/>
    <n v="21.91"/>
    <n v="1.31"/>
    <n v="19.16"/>
  </r>
  <r>
    <x v="2"/>
    <x v="4"/>
    <x v="45"/>
    <x v="2"/>
    <x v="0"/>
    <x v="0"/>
    <n v="11.6"/>
    <n v="11.55"/>
    <n v="9.06"/>
    <n v="10.85"/>
  </r>
  <r>
    <x v="2"/>
    <x v="4"/>
    <x v="45"/>
    <x v="2"/>
    <x v="4"/>
    <x v="0"/>
    <n v="5.91"/>
    <n v="5.89"/>
    <n v="2.38"/>
    <n v="5.38"/>
  </r>
  <r>
    <x v="2"/>
    <x v="4"/>
    <x v="45"/>
    <x v="2"/>
    <x v="3"/>
    <x v="1"/>
    <n v="17.079999999999998"/>
    <n v="17.010000000000002"/>
    <n v="0.02"/>
    <n v="14.7"/>
  </r>
  <r>
    <x v="2"/>
    <x v="4"/>
    <x v="45"/>
    <x v="2"/>
    <x v="3"/>
    <x v="2"/>
    <n v="5.36"/>
    <n v="5.34"/>
    <n v="0.01"/>
    <n v="5.36"/>
  </r>
  <r>
    <x v="2"/>
    <x v="4"/>
    <x v="45"/>
    <x v="1"/>
    <x v="4"/>
    <x v="0"/>
    <n v="121.94"/>
    <n v="121.43"/>
    <n v="35.46"/>
    <n v="108.2"/>
  </r>
  <r>
    <x v="2"/>
    <x v="4"/>
    <x v="45"/>
    <x v="4"/>
    <x v="1"/>
    <x v="1"/>
    <n v="0.38"/>
    <n v="0.37"/>
    <n v="0.01"/>
    <n v="0.31"/>
  </r>
  <r>
    <x v="2"/>
    <x v="4"/>
    <x v="45"/>
    <x v="4"/>
    <x v="4"/>
    <x v="2"/>
    <n v="1.42"/>
    <n v="1.42"/>
    <n v="0.05"/>
    <n v="1.2"/>
  </r>
  <r>
    <x v="2"/>
    <x v="4"/>
    <x v="45"/>
    <x v="4"/>
    <x v="1"/>
    <x v="2"/>
    <n v="0.16"/>
    <n v="0.16"/>
    <n v="0"/>
    <n v="0.14000000000000001"/>
  </r>
  <r>
    <x v="2"/>
    <x v="4"/>
    <x v="45"/>
    <x v="4"/>
    <x v="2"/>
    <x v="2"/>
    <n v="0.08"/>
    <n v="0.08"/>
    <n v="0"/>
    <n v="0.06"/>
  </r>
  <r>
    <x v="2"/>
    <x v="4"/>
    <x v="45"/>
    <x v="1"/>
    <x v="4"/>
    <x v="2"/>
    <n v="3.65"/>
    <n v="3.63"/>
    <n v="0.12"/>
    <n v="3.06"/>
  </r>
  <r>
    <x v="2"/>
    <x v="4"/>
    <x v="45"/>
    <x v="1"/>
    <x v="2"/>
    <x v="2"/>
    <n v="1.33"/>
    <n v="1.33"/>
    <n v="0.01"/>
    <n v="1.2"/>
  </r>
  <r>
    <x v="2"/>
    <x v="4"/>
    <x v="45"/>
    <x v="1"/>
    <x v="3"/>
    <x v="2"/>
    <n v="2.95"/>
    <n v="2.94"/>
    <n v="0.01"/>
    <n v="2.65"/>
  </r>
  <r>
    <x v="2"/>
    <x v="4"/>
    <x v="45"/>
    <x v="4"/>
    <x v="0"/>
    <x v="1"/>
    <n v="0.82"/>
    <n v="0.82"/>
    <n v="0.04"/>
    <n v="0.69"/>
  </r>
  <r>
    <x v="2"/>
    <x v="4"/>
    <x v="45"/>
    <x v="4"/>
    <x v="4"/>
    <x v="1"/>
    <n v="0.17"/>
    <n v="0.17"/>
    <n v="0.01"/>
    <n v="0.14000000000000001"/>
  </r>
  <r>
    <x v="2"/>
    <x v="4"/>
    <x v="45"/>
    <x v="2"/>
    <x v="4"/>
    <x v="1"/>
    <n v="0.86"/>
    <n v="0.86"/>
    <n v="0"/>
    <n v="0.73"/>
  </r>
  <r>
    <x v="2"/>
    <x v="4"/>
    <x v="45"/>
    <x v="0"/>
    <x v="0"/>
    <x v="1"/>
    <n v="5.28"/>
    <n v="5.26"/>
    <n v="0.12"/>
    <n v="4.33"/>
  </r>
  <r>
    <x v="2"/>
    <x v="4"/>
    <x v="45"/>
    <x v="0"/>
    <x v="4"/>
    <x v="1"/>
    <n v="5.21"/>
    <n v="5.19"/>
    <n v="7.0000000000000007E-2"/>
    <n v="4.2699999999999996"/>
  </r>
  <r>
    <x v="2"/>
    <x v="4"/>
    <x v="45"/>
    <x v="1"/>
    <x v="0"/>
    <x v="1"/>
    <n v="5.55"/>
    <n v="5.52"/>
    <n v="0.2"/>
    <n v="4.68"/>
  </r>
  <r>
    <x v="2"/>
    <x v="4"/>
    <x v="45"/>
    <x v="1"/>
    <x v="4"/>
    <x v="1"/>
    <n v="2.85"/>
    <n v="2.84"/>
    <n v="0.09"/>
    <n v="2.5099999999999998"/>
  </r>
  <r>
    <x v="2"/>
    <x v="4"/>
    <x v="45"/>
    <x v="1"/>
    <x v="1"/>
    <x v="1"/>
    <n v="10.61"/>
    <n v="10.57"/>
    <n v="0.11"/>
    <n v="8.8000000000000007"/>
  </r>
  <r>
    <x v="2"/>
    <x v="4"/>
    <x v="45"/>
    <x v="1"/>
    <x v="2"/>
    <x v="1"/>
    <n v="24.78"/>
    <n v="24.67"/>
    <n v="0.09"/>
    <n v="21.59"/>
  </r>
  <r>
    <x v="2"/>
    <x v="4"/>
    <x v="45"/>
    <x v="2"/>
    <x v="3"/>
    <x v="3"/>
    <n v="14.23"/>
    <n v="14.17"/>
    <n v="0.01"/>
    <n v="14.23"/>
  </r>
  <r>
    <x v="2"/>
    <x v="6"/>
    <x v="46"/>
    <x v="1"/>
    <x v="4"/>
    <x v="0"/>
    <n v="56.59"/>
    <n v="57.22"/>
    <n v="16.920000000000002"/>
    <n v="50.15"/>
  </r>
  <r>
    <x v="2"/>
    <x v="6"/>
    <x v="46"/>
    <x v="2"/>
    <x v="4"/>
    <x v="1"/>
    <n v="0.56000000000000005"/>
    <n v="0.56000000000000005"/>
    <n v="0"/>
    <n v="0.56000000000000005"/>
  </r>
  <r>
    <x v="2"/>
    <x v="6"/>
    <x v="46"/>
    <x v="2"/>
    <x v="3"/>
    <x v="1"/>
    <n v="5.34"/>
    <n v="5.4"/>
    <n v="0.01"/>
    <n v="5.25"/>
  </r>
  <r>
    <x v="2"/>
    <x v="6"/>
    <x v="46"/>
    <x v="3"/>
    <x v="4"/>
    <x v="0"/>
    <n v="0.22"/>
    <n v="0.22"/>
    <n v="7.0000000000000007E-2"/>
    <n v="0.21"/>
  </r>
  <r>
    <x v="2"/>
    <x v="6"/>
    <x v="46"/>
    <x v="4"/>
    <x v="0"/>
    <x v="0"/>
    <n v="0.23"/>
    <n v="0.24"/>
    <n v="0.04"/>
    <n v="0.2"/>
  </r>
  <r>
    <x v="2"/>
    <x v="6"/>
    <x v="46"/>
    <x v="4"/>
    <x v="4"/>
    <x v="0"/>
    <n v="19.850000000000001"/>
    <n v="20.07"/>
    <n v="2.93"/>
    <n v="16.95"/>
  </r>
  <r>
    <x v="2"/>
    <x v="6"/>
    <x v="46"/>
    <x v="1"/>
    <x v="2"/>
    <x v="1"/>
    <n v="16.53"/>
    <n v="16.71"/>
    <n v="0.06"/>
    <n v="13.96"/>
  </r>
  <r>
    <x v="2"/>
    <x v="6"/>
    <x v="46"/>
    <x v="0"/>
    <x v="4"/>
    <x v="0"/>
    <n v="9.6"/>
    <n v="9.6999999999999993"/>
    <n v="2.5499999999999998"/>
    <n v="8.26"/>
  </r>
  <r>
    <x v="2"/>
    <x v="6"/>
    <x v="46"/>
    <x v="0"/>
    <x v="0"/>
    <x v="0"/>
    <n v="2.52"/>
    <n v="2.54"/>
    <n v="2.86"/>
    <n v="2.14"/>
  </r>
  <r>
    <x v="2"/>
    <x v="6"/>
    <x v="46"/>
    <x v="1"/>
    <x v="1"/>
    <x v="0"/>
    <n v="14.91"/>
    <n v="15.08"/>
    <n v="0.94"/>
    <n v="12.92"/>
  </r>
  <r>
    <x v="2"/>
    <x v="6"/>
    <x v="46"/>
    <x v="1"/>
    <x v="2"/>
    <x v="0"/>
    <n v="5.86"/>
    <n v="5.92"/>
    <n v="0.09"/>
    <n v="4.8899999999999997"/>
  </r>
  <r>
    <x v="2"/>
    <x v="6"/>
    <x v="46"/>
    <x v="2"/>
    <x v="0"/>
    <x v="0"/>
    <n v="7.9"/>
    <n v="7.99"/>
    <n v="6.33"/>
    <n v="7.54"/>
  </r>
  <r>
    <x v="2"/>
    <x v="6"/>
    <x v="46"/>
    <x v="2"/>
    <x v="4"/>
    <x v="0"/>
    <n v="8.3699999999999992"/>
    <n v="8.4700000000000006"/>
    <n v="3.29"/>
    <n v="7.43"/>
  </r>
  <r>
    <x v="2"/>
    <x v="6"/>
    <x v="46"/>
    <x v="4"/>
    <x v="1"/>
    <x v="0"/>
    <n v="4.55"/>
    <n v="4.5999999999999996"/>
    <n v="0.3"/>
    <n v="3.8"/>
  </r>
  <r>
    <x v="2"/>
    <x v="6"/>
    <x v="46"/>
    <x v="2"/>
    <x v="3"/>
    <x v="2"/>
    <n v="0.72"/>
    <n v="0.73"/>
    <n v="0"/>
    <n v="0.6"/>
  </r>
  <r>
    <x v="2"/>
    <x v="6"/>
    <x v="46"/>
    <x v="4"/>
    <x v="4"/>
    <x v="2"/>
    <n v="0.75"/>
    <n v="0.76"/>
    <n v="0.03"/>
    <n v="0.63"/>
  </r>
  <r>
    <x v="2"/>
    <x v="6"/>
    <x v="46"/>
    <x v="1"/>
    <x v="0"/>
    <x v="0"/>
    <n v="9.7200000000000006"/>
    <n v="9.82"/>
    <n v="5.01"/>
    <n v="8.3800000000000008"/>
  </r>
  <r>
    <x v="2"/>
    <x v="6"/>
    <x v="46"/>
    <x v="1"/>
    <x v="1"/>
    <x v="1"/>
    <n v="11.24"/>
    <n v="11.37"/>
    <n v="7.0000000000000007E-2"/>
    <n v="9.5"/>
  </r>
  <r>
    <x v="2"/>
    <x v="6"/>
    <x v="46"/>
    <x v="4"/>
    <x v="2"/>
    <x v="2"/>
    <n v="0.44"/>
    <n v="0.44"/>
    <n v="0"/>
    <n v="0.36"/>
  </r>
  <r>
    <x v="2"/>
    <x v="6"/>
    <x v="46"/>
    <x v="1"/>
    <x v="4"/>
    <x v="2"/>
    <n v="5.0199999999999996"/>
    <n v="5.07"/>
    <n v="0.17"/>
    <n v="4.18"/>
  </r>
  <r>
    <x v="2"/>
    <x v="6"/>
    <x v="46"/>
    <x v="1"/>
    <x v="2"/>
    <x v="2"/>
    <n v="1.57"/>
    <n v="1.59"/>
    <n v="0.01"/>
    <n v="1.31"/>
  </r>
  <r>
    <x v="2"/>
    <x v="6"/>
    <x v="46"/>
    <x v="4"/>
    <x v="1"/>
    <x v="2"/>
    <n v="0.23"/>
    <n v="0.23"/>
    <n v="0.01"/>
    <n v="0.19"/>
  </r>
  <r>
    <x v="2"/>
    <x v="6"/>
    <x v="46"/>
    <x v="2"/>
    <x v="3"/>
    <x v="3"/>
    <n v="4.01"/>
    <n v="4.05"/>
    <n v="0.01"/>
    <n v="3.34"/>
  </r>
  <r>
    <x v="2"/>
    <x v="6"/>
    <x v="46"/>
    <x v="0"/>
    <x v="4"/>
    <x v="1"/>
    <n v="3.7"/>
    <n v="3.74"/>
    <n v="0.04"/>
    <n v="3.14"/>
  </r>
  <r>
    <x v="2"/>
    <x v="6"/>
    <x v="46"/>
    <x v="1"/>
    <x v="4"/>
    <x v="1"/>
    <n v="0.9"/>
    <n v="0.91"/>
    <n v="0.05"/>
    <n v="0.75"/>
  </r>
  <r>
    <x v="2"/>
    <x v="6"/>
    <x v="46"/>
    <x v="1"/>
    <x v="1"/>
    <x v="2"/>
    <n v="2.84"/>
    <n v="2.87"/>
    <n v="0.05"/>
    <n v="2.37"/>
  </r>
  <r>
    <x v="2"/>
    <x v="6"/>
    <x v="46"/>
    <x v="1"/>
    <x v="0"/>
    <x v="1"/>
    <n v="2.08"/>
    <n v="2.1"/>
    <n v="0.11"/>
    <n v="1.74"/>
  </r>
  <r>
    <x v="2"/>
    <x v="6"/>
    <x v="46"/>
    <x v="0"/>
    <x v="0"/>
    <x v="1"/>
    <n v="1.9"/>
    <n v="1.92"/>
    <n v="0.06"/>
    <n v="1.61"/>
  </r>
  <r>
    <x v="2"/>
    <x v="6"/>
    <x v="46"/>
    <x v="4"/>
    <x v="1"/>
    <x v="1"/>
    <n v="0.05"/>
    <n v="0.05"/>
    <n v="0"/>
    <n v="0.04"/>
  </r>
  <r>
    <x v="2"/>
    <x v="6"/>
    <x v="46"/>
    <x v="4"/>
    <x v="4"/>
    <x v="1"/>
    <n v="0.11"/>
    <n v="0.11"/>
    <n v="0.01"/>
    <n v="0.1"/>
  </r>
  <r>
    <x v="2"/>
    <x v="6"/>
    <x v="46"/>
    <x v="4"/>
    <x v="0"/>
    <x v="1"/>
    <n v="0.5"/>
    <n v="0.51"/>
    <n v="0.03"/>
    <n v="0.42"/>
  </r>
  <r>
    <x v="2"/>
    <x v="7"/>
    <x v="47"/>
    <x v="0"/>
    <x v="0"/>
    <x v="0"/>
    <n v="5.89"/>
    <n v="5.56"/>
    <n v="5.0999999999999996"/>
    <n v="5.34"/>
  </r>
  <r>
    <x v="2"/>
    <x v="7"/>
    <x v="47"/>
    <x v="2"/>
    <x v="3"/>
    <x v="1"/>
    <n v="6.05"/>
    <n v="5.72"/>
    <n v="0.01"/>
    <n v="5.62"/>
  </r>
  <r>
    <x v="2"/>
    <x v="7"/>
    <x v="47"/>
    <x v="3"/>
    <x v="0"/>
    <x v="0"/>
    <n v="0.39"/>
    <n v="0.37"/>
    <n v="0.32"/>
    <n v="0.39"/>
  </r>
  <r>
    <x v="2"/>
    <x v="7"/>
    <x v="47"/>
    <x v="3"/>
    <x v="1"/>
    <x v="0"/>
    <n v="0.03"/>
    <n v="0.02"/>
    <n v="0"/>
    <n v="0.02"/>
  </r>
  <r>
    <x v="2"/>
    <x v="7"/>
    <x v="47"/>
    <x v="4"/>
    <x v="0"/>
    <x v="0"/>
    <n v="0.28000000000000003"/>
    <n v="0.27"/>
    <n v="0.06"/>
    <n v="0.26"/>
  </r>
  <r>
    <x v="2"/>
    <x v="7"/>
    <x v="47"/>
    <x v="4"/>
    <x v="4"/>
    <x v="0"/>
    <n v="30.97"/>
    <n v="29.25"/>
    <n v="4.33"/>
    <n v="28.76"/>
  </r>
  <r>
    <x v="2"/>
    <x v="7"/>
    <x v="47"/>
    <x v="4"/>
    <x v="1"/>
    <x v="0"/>
    <n v="3.56"/>
    <n v="3.37"/>
    <n v="0.23"/>
    <n v="3.31"/>
  </r>
  <r>
    <x v="2"/>
    <x v="7"/>
    <x v="47"/>
    <x v="3"/>
    <x v="4"/>
    <x v="0"/>
    <n v="4.57"/>
    <n v="4.32"/>
    <n v="1.81"/>
    <n v="4.2699999999999996"/>
  </r>
  <r>
    <x v="2"/>
    <x v="7"/>
    <x v="47"/>
    <x v="0"/>
    <x v="4"/>
    <x v="0"/>
    <n v="17.75"/>
    <n v="16.77"/>
    <n v="4.93"/>
    <n v="16.41"/>
  </r>
  <r>
    <x v="2"/>
    <x v="7"/>
    <x v="47"/>
    <x v="1"/>
    <x v="0"/>
    <x v="0"/>
    <n v="5.66"/>
    <n v="5.35"/>
    <n v="3.73"/>
    <n v="5.32"/>
  </r>
  <r>
    <x v="2"/>
    <x v="7"/>
    <x v="47"/>
    <x v="1"/>
    <x v="4"/>
    <x v="0"/>
    <n v="74.8"/>
    <n v="70.66"/>
    <n v="17.739999999999998"/>
    <n v="69.180000000000007"/>
  </r>
  <r>
    <x v="2"/>
    <x v="7"/>
    <x v="47"/>
    <x v="1"/>
    <x v="1"/>
    <x v="0"/>
    <n v="15.04"/>
    <n v="14.21"/>
    <n v="0.92"/>
    <n v="13.78"/>
  </r>
  <r>
    <x v="2"/>
    <x v="7"/>
    <x v="47"/>
    <x v="1"/>
    <x v="2"/>
    <x v="0"/>
    <n v="4.32"/>
    <n v="4.08"/>
    <n v="7.0000000000000007E-2"/>
    <n v="4.05"/>
  </r>
  <r>
    <x v="2"/>
    <x v="7"/>
    <x v="47"/>
    <x v="2"/>
    <x v="4"/>
    <x v="0"/>
    <n v="4.7"/>
    <n v="4.4400000000000004"/>
    <n v="1.46"/>
    <n v="4.45"/>
  </r>
  <r>
    <x v="2"/>
    <x v="7"/>
    <x v="47"/>
    <x v="1"/>
    <x v="2"/>
    <x v="1"/>
    <n v="6.83"/>
    <n v="6.45"/>
    <n v="0.04"/>
    <n v="6.34"/>
  </r>
  <r>
    <x v="2"/>
    <x v="7"/>
    <x v="47"/>
    <x v="4"/>
    <x v="4"/>
    <x v="2"/>
    <n v="0.46"/>
    <n v="0.43"/>
    <n v="0.01"/>
    <n v="0.4"/>
  </r>
  <r>
    <x v="2"/>
    <x v="7"/>
    <x v="47"/>
    <x v="2"/>
    <x v="0"/>
    <x v="0"/>
    <n v="4.32"/>
    <n v="4.08"/>
    <n v="3.63"/>
    <n v="4.0999999999999996"/>
  </r>
  <r>
    <x v="2"/>
    <x v="7"/>
    <x v="47"/>
    <x v="2"/>
    <x v="3"/>
    <x v="3"/>
    <n v="21.03"/>
    <n v="19.87"/>
    <n v="0.02"/>
    <n v="21.03"/>
  </r>
  <r>
    <x v="2"/>
    <x v="7"/>
    <x v="47"/>
    <x v="4"/>
    <x v="1"/>
    <x v="2"/>
    <n v="0.11"/>
    <n v="0.1"/>
    <n v="0"/>
    <n v="0.09"/>
  </r>
  <r>
    <x v="2"/>
    <x v="7"/>
    <x v="47"/>
    <x v="1"/>
    <x v="4"/>
    <x v="2"/>
    <n v="2.42"/>
    <n v="2.29"/>
    <n v="0.03"/>
    <n v="2.1"/>
  </r>
  <r>
    <x v="2"/>
    <x v="7"/>
    <x v="47"/>
    <x v="1"/>
    <x v="1"/>
    <x v="2"/>
    <n v="0.43"/>
    <n v="0.4"/>
    <n v="0.01"/>
    <n v="0.38"/>
  </r>
  <r>
    <x v="2"/>
    <x v="7"/>
    <x v="47"/>
    <x v="1"/>
    <x v="2"/>
    <x v="2"/>
    <n v="0.35"/>
    <n v="0.33"/>
    <n v="0"/>
    <n v="0.31"/>
  </r>
  <r>
    <x v="2"/>
    <x v="7"/>
    <x v="47"/>
    <x v="2"/>
    <x v="2"/>
    <x v="3"/>
    <n v="1.1200000000000001"/>
    <n v="1.05"/>
    <n v="0"/>
    <n v="1.1200000000000001"/>
  </r>
  <r>
    <x v="2"/>
    <x v="7"/>
    <x v="47"/>
    <x v="1"/>
    <x v="1"/>
    <x v="1"/>
    <n v="2.92"/>
    <n v="2.76"/>
    <n v="0.06"/>
    <n v="2.8"/>
  </r>
  <r>
    <x v="2"/>
    <x v="7"/>
    <x v="47"/>
    <x v="4"/>
    <x v="0"/>
    <x v="1"/>
    <n v="0.81"/>
    <n v="0.76"/>
    <n v="0.04"/>
    <n v="0.76"/>
  </r>
  <r>
    <x v="2"/>
    <x v="7"/>
    <x v="47"/>
    <x v="4"/>
    <x v="4"/>
    <x v="1"/>
    <n v="0.18"/>
    <n v="0.17"/>
    <n v="0.02"/>
    <n v="0.17"/>
  </r>
  <r>
    <x v="2"/>
    <x v="7"/>
    <x v="47"/>
    <x v="4"/>
    <x v="1"/>
    <x v="1"/>
    <n v="0.12"/>
    <n v="0.12"/>
    <n v="0.01"/>
    <n v="0.11"/>
  </r>
  <r>
    <x v="2"/>
    <x v="7"/>
    <x v="47"/>
    <x v="0"/>
    <x v="0"/>
    <x v="1"/>
    <n v="1.81"/>
    <n v="1.71"/>
    <n v="0.08"/>
    <n v="1.68"/>
  </r>
  <r>
    <x v="2"/>
    <x v="7"/>
    <x v="47"/>
    <x v="0"/>
    <x v="4"/>
    <x v="1"/>
    <n v="1.07"/>
    <n v="1.01"/>
    <n v="0.03"/>
    <n v="0.99"/>
  </r>
  <r>
    <x v="2"/>
    <x v="7"/>
    <x v="47"/>
    <x v="1"/>
    <x v="0"/>
    <x v="1"/>
    <n v="0.69"/>
    <n v="0.65"/>
    <n v="0.08"/>
    <n v="0.66"/>
  </r>
  <r>
    <x v="2"/>
    <x v="7"/>
    <x v="47"/>
    <x v="1"/>
    <x v="4"/>
    <x v="1"/>
    <n v="2.38"/>
    <n v="2.25"/>
    <n v="0.12"/>
    <n v="2.38"/>
  </r>
  <r>
    <x v="2"/>
    <x v="7"/>
    <x v="47"/>
    <x v="2"/>
    <x v="3"/>
    <x v="2"/>
    <n v="0.22"/>
    <n v="0.21"/>
    <n v="0"/>
    <n v="0.22"/>
  </r>
  <r>
    <x v="2"/>
    <x v="2"/>
    <x v="48"/>
    <x v="2"/>
    <x v="4"/>
    <x v="0"/>
    <n v="20.75"/>
    <n v="20.47"/>
    <n v="3.88"/>
    <n v="19.62"/>
  </r>
  <r>
    <x v="2"/>
    <x v="2"/>
    <x v="48"/>
    <x v="3"/>
    <x v="4"/>
    <x v="0"/>
    <n v="58.33"/>
    <n v="57.53"/>
    <n v="16.690000000000001"/>
    <n v="55.82"/>
  </r>
  <r>
    <x v="2"/>
    <x v="2"/>
    <x v="48"/>
    <x v="2"/>
    <x v="0"/>
    <x v="0"/>
    <n v="18.82"/>
    <n v="18.559999999999999"/>
    <n v="13.06"/>
    <n v="18.059999999999999"/>
  </r>
  <r>
    <x v="2"/>
    <x v="2"/>
    <x v="48"/>
    <x v="4"/>
    <x v="1"/>
    <x v="0"/>
    <n v="72.150000000000006"/>
    <n v="71.16"/>
    <n v="4.42"/>
    <n v="68.58"/>
  </r>
  <r>
    <x v="2"/>
    <x v="2"/>
    <x v="48"/>
    <x v="1"/>
    <x v="2"/>
    <x v="1"/>
    <n v="94.23"/>
    <n v="92.94"/>
    <n v="0.57999999999999996"/>
    <n v="88.34"/>
  </r>
  <r>
    <x v="2"/>
    <x v="2"/>
    <x v="48"/>
    <x v="1"/>
    <x v="3"/>
    <x v="1"/>
    <n v="4.2"/>
    <n v="4.1399999999999997"/>
    <n v="0.04"/>
    <n v="3.68"/>
  </r>
  <r>
    <x v="2"/>
    <x v="2"/>
    <x v="48"/>
    <x v="2"/>
    <x v="3"/>
    <x v="1"/>
    <n v="91.6"/>
    <n v="90.35"/>
    <n v="0.18"/>
    <n v="83.2"/>
  </r>
  <r>
    <x v="2"/>
    <x v="2"/>
    <x v="48"/>
    <x v="3"/>
    <x v="0"/>
    <x v="0"/>
    <n v="14.7"/>
    <n v="14.5"/>
    <n v="11.68"/>
    <n v="14.54"/>
  </r>
  <r>
    <x v="2"/>
    <x v="2"/>
    <x v="48"/>
    <x v="3"/>
    <x v="1"/>
    <x v="0"/>
    <n v="2.75"/>
    <n v="2.71"/>
    <n v="0.32"/>
    <n v="2.69"/>
  </r>
  <r>
    <x v="2"/>
    <x v="2"/>
    <x v="48"/>
    <x v="1"/>
    <x v="4"/>
    <x v="1"/>
    <n v="8.64"/>
    <n v="8.52"/>
    <n v="0.32"/>
    <n v="8.56"/>
  </r>
  <r>
    <x v="2"/>
    <x v="2"/>
    <x v="48"/>
    <x v="4"/>
    <x v="4"/>
    <x v="0"/>
    <n v="436.37"/>
    <n v="430.39"/>
    <n v="56.34"/>
    <n v="413.29"/>
  </r>
  <r>
    <x v="2"/>
    <x v="2"/>
    <x v="48"/>
    <x v="1"/>
    <x v="0"/>
    <x v="1"/>
    <n v="25.43"/>
    <n v="25.08"/>
    <n v="1.25"/>
    <n v="24.52"/>
  </r>
  <r>
    <x v="2"/>
    <x v="2"/>
    <x v="48"/>
    <x v="0"/>
    <x v="0"/>
    <x v="0"/>
    <n v="15.24"/>
    <n v="15.03"/>
    <n v="12.72"/>
    <n v="14.05"/>
  </r>
  <r>
    <x v="2"/>
    <x v="2"/>
    <x v="48"/>
    <x v="0"/>
    <x v="4"/>
    <x v="0"/>
    <n v="60.63"/>
    <n v="59.8"/>
    <n v="17.71"/>
    <n v="56.95"/>
  </r>
  <r>
    <x v="2"/>
    <x v="2"/>
    <x v="48"/>
    <x v="1"/>
    <x v="0"/>
    <x v="0"/>
    <n v="39.81"/>
    <n v="39.270000000000003"/>
    <n v="23.93"/>
    <n v="37.619999999999997"/>
  </r>
  <r>
    <x v="2"/>
    <x v="2"/>
    <x v="48"/>
    <x v="1"/>
    <x v="4"/>
    <x v="0"/>
    <n v="743.86"/>
    <n v="733.67"/>
    <n v="160.29"/>
    <n v="698.83"/>
  </r>
  <r>
    <x v="2"/>
    <x v="2"/>
    <x v="48"/>
    <x v="1"/>
    <x v="1"/>
    <x v="0"/>
    <n v="176.55"/>
    <n v="174.13"/>
    <n v="11"/>
    <n v="166.1"/>
  </r>
  <r>
    <x v="2"/>
    <x v="2"/>
    <x v="48"/>
    <x v="4"/>
    <x v="0"/>
    <x v="0"/>
    <n v="0.36"/>
    <n v="0.36"/>
    <n v="0.08"/>
    <n v="0.34"/>
  </r>
  <r>
    <x v="2"/>
    <x v="2"/>
    <x v="48"/>
    <x v="1"/>
    <x v="2"/>
    <x v="0"/>
    <n v="33.340000000000003"/>
    <n v="32.89"/>
    <n v="0.4"/>
    <n v="30.43"/>
  </r>
  <r>
    <x v="2"/>
    <x v="2"/>
    <x v="48"/>
    <x v="2"/>
    <x v="3"/>
    <x v="2"/>
    <n v="41.47"/>
    <n v="40.9"/>
    <n v="0.04"/>
    <n v="35.71"/>
  </r>
  <r>
    <x v="2"/>
    <x v="2"/>
    <x v="48"/>
    <x v="4"/>
    <x v="4"/>
    <x v="2"/>
    <n v="3.34"/>
    <n v="3.29"/>
    <n v="0.16"/>
    <n v="2.95"/>
  </r>
  <r>
    <x v="2"/>
    <x v="2"/>
    <x v="48"/>
    <x v="4"/>
    <x v="1"/>
    <x v="2"/>
    <n v="2.0299999999999998"/>
    <n v="2"/>
    <n v="0.04"/>
    <n v="1.77"/>
  </r>
  <r>
    <x v="2"/>
    <x v="2"/>
    <x v="48"/>
    <x v="4"/>
    <x v="2"/>
    <x v="2"/>
    <n v="2.82"/>
    <n v="2.78"/>
    <n v="0.01"/>
    <n v="2.4500000000000002"/>
  </r>
  <r>
    <x v="2"/>
    <x v="2"/>
    <x v="48"/>
    <x v="1"/>
    <x v="4"/>
    <x v="2"/>
    <n v="9.73"/>
    <n v="9.6"/>
    <n v="0.2"/>
    <n v="8.4600000000000009"/>
  </r>
  <r>
    <x v="2"/>
    <x v="2"/>
    <x v="48"/>
    <x v="1"/>
    <x v="1"/>
    <x v="2"/>
    <n v="1.19"/>
    <n v="1.18"/>
    <n v="0.01"/>
    <n v="1.04"/>
  </r>
  <r>
    <x v="2"/>
    <x v="2"/>
    <x v="48"/>
    <x v="1"/>
    <x v="1"/>
    <x v="1"/>
    <n v="54.26"/>
    <n v="53.52"/>
    <n v="0.5"/>
    <n v="51.7"/>
  </r>
  <r>
    <x v="2"/>
    <x v="2"/>
    <x v="48"/>
    <x v="1"/>
    <x v="3"/>
    <x v="2"/>
    <n v="0.86"/>
    <n v="0.85"/>
    <n v="0"/>
    <n v="0.75"/>
  </r>
  <r>
    <x v="2"/>
    <x v="2"/>
    <x v="48"/>
    <x v="0"/>
    <x v="4"/>
    <x v="1"/>
    <n v="13.52"/>
    <n v="13.33"/>
    <n v="0.31"/>
    <n v="12.18"/>
  </r>
  <r>
    <x v="2"/>
    <x v="2"/>
    <x v="48"/>
    <x v="2"/>
    <x v="2"/>
    <x v="3"/>
    <n v="12.96"/>
    <n v="12.78"/>
    <n v="0"/>
    <n v="12.96"/>
  </r>
  <r>
    <x v="2"/>
    <x v="2"/>
    <x v="48"/>
    <x v="2"/>
    <x v="3"/>
    <x v="3"/>
    <n v="127.2"/>
    <n v="125.46"/>
    <n v="0.11"/>
    <n v="127.2"/>
  </r>
  <r>
    <x v="2"/>
    <x v="2"/>
    <x v="48"/>
    <x v="4"/>
    <x v="0"/>
    <x v="1"/>
    <n v="11.45"/>
    <n v="11.3"/>
    <n v="0.54"/>
    <n v="10.32"/>
  </r>
  <r>
    <x v="2"/>
    <x v="2"/>
    <x v="48"/>
    <x v="4"/>
    <x v="4"/>
    <x v="1"/>
    <n v="2.97"/>
    <n v="2.93"/>
    <n v="0.37"/>
    <n v="2.7"/>
  </r>
  <r>
    <x v="2"/>
    <x v="2"/>
    <x v="48"/>
    <x v="4"/>
    <x v="1"/>
    <x v="1"/>
    <n v="2.4500000000000002"/>
    <n v="2.42"/>
    <n v="0.1"/>
    <n v="2.3199999999999998"/>
  </r>
  <r>
    <x v="2"/>
    <x v="2"/>
    <x v="48"/>
    <x v="0"/>
    <x v="0"/>
    <x v="1"/>
    <n v="20.32"/>
    <n v="20.04"/>
    <n v="0.81"/>
    <n v="18.309999999999999"/>
  </r>
  <r>
    <x v="2"/>
    <x v="2"/>
    <x v="48"/>
    <x v="1"/>
    <x v="2"/>
    <x v="2"/>
    <n v="0.01"/>
    <n v="0.01"/>
    <n v="0"/>
    <n v="0.01"/>
  </r>
  <r>
    <x v="2"/>
    <x v="3"/>
    <x v="49"/>
    <x v="2"/>
    <x v="0"/>
    <x v="0"/>
    <n v="143.94999999999999"/>
    <n v="143.94999999999999"/>
    <n v="97.07"/>
    <n v="138.54"/>
  </r>
  <r>
    <x v="2"/>
    <x v="3"/>
    <x v="49"/>
    <x v="1"/>
    <x v="2"/>
    <x v="0"/>
    <n v="225.62"/>
    <n v="225.62"/>
    <n v="2.46"/>
    <n v="206.48"/>
  </r>
  <r>
    <x v="2"/>
    <x v="3"/>
    <x v="49"/>
    <x v="2"/>
    <x v="2"/>
    <x v="0"/>
    <n v="47.84"/>
    <n v="47.84"/>
    <n v="7.0000000000000007E-2"/>
    <n v="47.13"/>
  </r>
  <r>
    <x v="2"/>
    <x v="3"/>
    <x v="49"/>
    <x v="2"/>
    <x v="1"/>
    <x v="0"/>
    <n v="0.33"/>
    <n v="0.33"/>
    <n v="0"/>
    <n v="0.33"/>
  </r>
  <r>
    <x v="2"/>
    <x v="3"/>
    <x v="49"/>
    <x v="4"/>
    <x v="4"/>
    <x v="2"/>
    <n v="32.19"/>
    <n v="32.19"/>
    <n v="1.59"/>
    <n v="29.26"/>
  </r>
  <r>
    <x v="2"/>
    <x v="3"/>
    <x v="49"/>
    <x v="3"/>
    <x v="0"/>
    <x v="0"/>
    <n v="207.38"/>
    <n v="207.38"/>
    <n v="176.33"/>
    <n v="202.71"/>
  </r>
  <r>
    <x v="2"/>
    <x v="3"/>
    <x v="49"/>
    <x v="2"/>
    <x v="4"/>
    <x v="0"/>
    <n v="356.18"/>
    <n v="356.18"/>
    <n v="94.2"/>
    <n v="349.54"/>
  </r>
  <r>
    <x v="2"/>
    <x v="3"/>
    <x v="49"/>
    <x v="0"/>
    <x v="4"/>
    <x v="1"/>
    <n v="95.94"/>
    <n v="95.94"/>
    <n v="1.94"/>
    <n v="88.05"/>
  </r>
  <r>
    <x v="2"/>
    <x v="3"/>
    <x v="49"/>
    <x v="1"/>
    <x v="0"/>
    <x v="1"/>
    <n v="288.39"/>
    <n v="288.39"/>
    <n v="14.43"/>
    <n v="257.5"/>
  </r>
  <r>
    <x v="2"/>
    <x v="3"/>
    <x v="49"/>
    <x v="1"/>
    <x v="4"/>
    <x v="1"/>
    <n v="86.41"/>
    <n v="86.41"/>
    <n v="4.41"/>
    <n v="76.91"/>
  </r>
  <r>
    <x v="2"/>
    <x v="3"/>
    <x v="49"/>
    <x v="1"/>
    <x v="1"/>
    <x v="1"/>
    <n v="490.92"/>
    <n v="490.92"/>
    <n v="6.51"/>
    <n v="444.39"/>
  </r>
  <r>
    <x v="2"/>
    <x v="3"/>
    <x v="49"/>
    <x v="1"/>
    <x v="2"/>
    <x v="1"/>
    <n v="500.89"/>
    <n v="500.89"/>
    <n v="5.9"/>
    <n v="454.55"/>
  </r>
  <r>
    <x v="2"/>
    <x v="3"/>
    <x v="49"/>
    <x v="2"/>
    <x v="4"/>
    <x v="1"/>
    <n v="5.82"/>
    <n v="5.82"/>
    <n v="0.03"/>
    <n v="5.55"/>
  </r>
  <r>
    <x v="2"/>
    <x v="3"/>
    <x v="49"/>
    <x v="4"/>
    <x v="1"/>
    <x v="1"/>
    <n v="12.69"/>
    <n v="12.69"/>
    <n v="0.21"/>
    <n v="11.57"/>
  </r>
  <r>
    <x v="2"/>
    <x v="3"/>
    <x v="49"/>
    <x v="2"/>
    <x v="3"/>
    <x v="1"/>
    <n v="429.12"/>
    <n v="429.12"/>
    <n v="0.61"/>
    <n v="394.7"/>
  </r>
  <r>
    <x v="2"/>
    <x v="3"/>
    <x v="49"/>
    <x v="4"/>
    <x v="4"/>
    <x v="1"/>
    <n v="29.99"/>
    <n v="29.99"/>
    <n v="1.38"/>
    <n v="27.09"/>
  </r>
  <r>
    <x v="2"/>
    <x v="3"/>
    <x v="49"/>
    <x v="3"/>
    <x v="4"/>
    <x v="0"/>
    <n v="2685.34"/>
    <n v="2685.34"/>
    <n v="924.21"/>
    <n v="2629.09"/>
  </r>
  <r>
    <x v="2"/>
    <x v="3"/>
    <x v="49"/>
    <x v="3"/>
    <x v="1"/>
    <x v="0"/>
    <n v="156.25"/>
    <n v="156.25"/>
    <n v="12.04"/>
    <n v="155.55000000000001"/>
  </r>
  <r>
    <x v="2"/>
    <x v="3"/>
    <x v="49"/>
    <x v="4"/>
    <x v="0"/>
    <x v="0"/>
    <n v="29.07"/>
    <n v="29.07"/>
    <n v="9.15"/>
    <n v="26.16"/>
  </r>
  <r>
    <x v="2"/>
    <x v="3"/>
    <x v="49"/>
    <x v="4"/>
    <x v="4"/>
    <x v="0"/>
    <n v="2809.56"/>
    <n v="2809.56"/>
    <n v="406.36"/>
    <n v="2643.25"/>
  </r>
  <r>
    <x v="2"/>
    <x v="3"/>
    <x v="49"/>
    <x v="4"/>
    <x v="1"/>
    <x v="0"/>
    <n v="506.53"/>
    <n v="506.53"/>
    <n v="31.97"/>
    <n v="479.23"/>
  </r>
  <r>
    <x v="2"/>
    <x v="3"/>
    <x v="49"/>
    <x v="4"/>
    <x v="2"/>
    <x v="0"/>
    <n v="1.74"/>
    <n v="1.74"/>
    <n v="0.06"/>
    <n v="1.64"/>
  </r>
  <r>
    <x v="2"/>
    <x v="3"/>
    <x v="49"/>
    <x v="0"/>
    <x v="0"/>
    <x v="0"/>
    <n v="23.36"/>
    <n v="23.36"/>
    <n v="10.65"/>
    <n v="21.69"/>
  </r>
  <r>
    <x v="2"/>
    <x v="3"/>
    <x v="49"/>
    <x v="2"/>
    <x v="1"/>
    <x v="1"/>
    <n v="0.25"/>
    <n v="0.25"/>
    <n v="0"/>
    <n v="0.24"/>
  </r>
  <r>
    <x v="2"/>
    <x v="3"/>
    <x v="49"/>
    <x v="1"/>
    <x v="3"/>
    <x v="2"/>
    <n v="21.28"/>
    <n v="21.28"/>
    <n v="0.04"/>
    <n v="19.28"/>
  </r>
  <r>
    <x v="2"/>
    <x v="3"/>
    <x v="49"/>
    <x v="1"/>
    <x v="1"/>
    <x v="0"/>
    <n v="1255.6199999999999"/>
    <n v="1255.6199999999999"/>
    <n v="84.48"/>
    <n v="1184.72"/>
  </r>
  <r>
    <x v="2"/>
    <x v="3"/>
    <x v="49"/>
    <x v="1"/>
    <x v="4"/>
    <x v="0"/>
    <n v="6406.46"/>
    <n v="6406.46"/>
    <n v="1453.88"/>
    <n v="6105.65"/>
  </r>
  <r>
    <x v="2"/>
    <x v="3"/>
    <x v="49"/>
    <x v="1"/>
    <x v="0"/>
    <x v="0"/>
    <n v="448.99"/>
    <n v="448.99"/>
    <n v="325.62"/>
    <n v="432.39"/>
  </r>
  <r>
    <x v="2"/>
    <x v="3"/>
    <x v="49"/>
    <x v="0"/>
    <x v="1"/>
    <x v="0"/>
    <n v="0.47"/>
    <n v="0.47"/>
    <n v="0.12"/>
    <n v="0.47"/>
  </r>
  <r>
    <x v="2"/>
    <x v="3"/>
    <x v="49"/>
    <x v="4"/>
    <x v="1"/>
    <x v="2"/>
    <n v="18.149999999999999"/>
    <n v="18.149999999999999"/>
    <n v="0.32"/>
    <n v="16.440000000000001"/>
  </r>
  <r>
    <x v="2"/>
    <x v="3"/>
    <x v="49"/>
    <x v="4"/>
    <x v="2"/>
    <x v="2"/>
    <n v="31.52"/>
    <n v="31.52"/>
    <n v="0.11"/>
    <n v="28.55"/>
  </r>
  <r>
    <x v="2"/>
    <x v="3"/>
    <x v="49"/>
    <x v="1"/>
    <x v="4"/>
    <x v="2"/>
    <n v="23.11"/>
    <n v="23.11"/>
    <n v="1.27"/>
    <n v="20.94"/>
  </r>
  <r>
    <x v="2"/>
    <x v="3"/>
    <x v="49"/>
    <x v="0"/>
    <x v="0"/>
    <x v="1"/>
    <n v="192.86"/>
    <n v="192.86"/>
    <n v="7.12"/>
    <n v="176.94"/>
  </r>
  <r>
    <x v="2"/>
    <x v="3"/>
    <x v="49"/>
    <x v="1"/>
    <x v="2"/>
    <x v="2"/>
    <n v="5.45"/>
    <n v="5.45"/>
    <n v="0.06"/>
    <n v="4.9400000000000004"/>
  </r>
  <r>
    <x v="2"/>
    <x v="3"/>
    <x v="49"/>
    <x v="0"/>
    <x v="4"/>
    <x v="0"/>
    <n v="555.59"/>
    <n v="555.59"/>
    <n v="192.79"/>
    <n v="537.83000000000004"/>
  </r>
  <r>
    <x v="2"/>
    <x v="3"/>
    <x v="49"/>
    <x v="2"/>
    <x v="1"/>
    <x v="2"/>
    <n v="10.199999999999999"/>
    <n v="10.199999999999999"/>
    <n v="0.03"/>
    <n v="9.73"/>
  </r>
  <r>
    <x v="2"/>
    <x v="3"/>
    <x v="49"/>
    <x v="2"/>
    <x v="2"/>
    <x v="2"/>
    <n v="3.73"/>
    <n v="3.73"/>
    <n v="0.03"/>
    <n v="3.56"/>
  </r>
  <r>
    <x v="2"/>
    <x v="3"/>
    <x v="49"/>
    <x v="2"/>
    <x v="3"/>
    <x v="2"/>
    <n v="247.89"/>
    <n v="247.89"/>
    <n v="0.2"/>
    <n v="228.19"/>
  </r>
  <r>
    <x v="2"/>
    <x v="3"/>
    <x v="49"/>
    <x v="2"/>
    <x v="2"/>
    <x v="3"/>
    <n v="42.06"/>
    <n v="42.06"/>
    <n v="0.06"/>
    <n v="41.81"/>
  </r>
  <r>
    <x v="2"/>
    <x v="3"/>
    <x v="49"/>
    <x v="2"/>
    <x v="3"/>
    <x v="3"/>
    <n v="2224.5100000000002"/>
    <n v="2224.5100000000002"/>
    <n v="1.6"/>
    <n v="2191.79"/>
  </r>
  <r>
    <x v="2"/>
    <x v="3"/>
    <x v="49"/>
    <x v="4"/>
    <x v="0"/>
    <x v="1"/>
    <n v="155.35"/>
    <n v="155.35"/>
    <n v="11.33"/>
    <n v="140.22"/>
  </r>
  <r>
    <x v="2"/>
    <x v="3"/>
    <x v="49"/>
    <x v="1"/>
    <x v="1"/>
    <x v="2"/>
    <n v="4.75"/>
    <n v="4.75"/>
    <n v="0.2"/>
    <n v="4.4800000000000004"/>
  </r>
  <r>
    <x v="3"/>
    <x v="0"/>
    <x v="0"/>
    <x v="4"/>
    <x v="1"/>
    <x v="0"/>
    <n v="8.36"/>
    <n v="8.36"/>
    <n v="0.55000000000000004"/>
    <n v="7.82"/>
  </r>
  <r>
    <x v="3"/>
    <x v="0"/>
    <x v="0"/>
    <x v="1"/>
    <x v="2"/>
    <x v="0"/>
    <n v="6.39"/>
    <n v="6.39"/>
    <n v="0.09"/>
    <n v="6.03"/>
  </r>
  <r>
    <x v="3"/>
    <x v="0"/>
    <x v="0"/>
    <x v="0"/>
    <x v="0"/>
    <x v="1"/>
    <n v="0.88"/>
    <n v="0.88"/>
    <n v="0.03"/>
    <n v="0.84"/>
  </r>
  <r>
    <x v="3"/>
    <x v="0"/>
    <x v="0"/>
    <x v="4"/>
    <x v="4"/>
    <x v="1"/>
    <n v="0.93"/>
    <n v="0.93"/>
    <n v="0.06"/>
    <n v="0.88"/>
  </r>
  <r>
    <x v="3"/>
    <x v="0"/>
    <x v="0"/>
    <x v="2"/>
    <x v="3"/>
    <x v="3"/>
    <n v="12.47"/>
    <n v="12.47"/>
    <n v="0.01"/>
    <n v="11.69"/>
  </r>
  <r>
    <x v="3"/>
    <x v="0"/>
    <x v="0"/>
    <x v="2"/>
    <x v="3"/>
    <x v="2"/>
    <n v="7.03"/>
    <n v="7.03"/>
    <n v="0.01"/>
    <n v="6.63"/>
  </r>
  <r>
    <x v="3"/>
    <x v="0"/>
    <x v="0"/>
    <x v="2"/>
    <x v="2"/>
    <x v="2"/>
    <n v="0.28999999999999998"/>
    <n v="0.28999999999999998"/>
    <n v="0"/>
    <n v="0.28999999999999998"/>
  </r>
  <r>
    <x v="3"/>
    <x v="0"/>
    <x v="0"/>
    <x v="0"/>
    <x v="4"/>
    <x v="1"/>
    <n v="1.32"/>
    <n v="1.32"/>
    <n v="0.02"/>
    <n v="1.26"/>
  </r>
  <r>
    <x v="3"/>
    <x v="0"/>
    <x v="0"/>
    <x v="1"/>
    <x v="1"/>
    <x v="0"/>
    <n v="11.07"/>
    <n v="11.07"/>
    <n v="0.39"/>
    <n v="10.43"/>
  </r>
  <r>
    <x v="3"/>
    <x v="0"/>
    <x v="0"/>
    <x v="4"/>
    <x v="1"/>
    <x v="1"/>
    <n v="0.8"/>
    <n v="0.8"/>
    <n v="0.03"/>
    <n v="0.76"/>
  </r>
  <r>
    <x v="3"/>
    <x v="0"/>
    <x v="0"/>
    <x v="2"/>
    <x v="0"/>
    <x v="0"/>
    <n v="2.96"/>
    <n v="2.96"/>
    <n v="2.2799999999999998"/>
    <n v="2.81"/>
  </r>
  <r>
    <x v="3"/>
    <x v="0"/>
    <x v="0"/>
    <x v="1"/>
    <x v="4"/>
    <x v="2"/>
    <n v="0.44"/>
    <n v="0.44"/>
    <n v="0.02"/>
    <n v="0.41"/>
  </r>
  <r>
    <x v="3"/>
    <x v="0"/>
    <x v="0"/>
    <x v="4"/>
    <x v="2"/>
    <x v="2"/>
    <n v="0.99"/>
    <n v="0.99"/>
    <n v="0.01"/>
    <n v="0.94"/>
  </r>
  <r>
    <x v="3"/>
    <x v="0"/>
    <x v="0"/>
    <x v="4"/>
    <x v="1"/>
    <x v="2"/>
    <n v="0.64"/>
    <n v="0.64"/>
    <n v="0.02"/>
    <n v="0.61"/>
  </r>
  <r>
    <x v="3"/>
    <x v="0"/>
    <x v="0"/>
    <x v="4"/>
    <x v="4"/>
    <x v="2"/>
    <n v="0.52"/>
    <n v="0.52"/>
    <n v="0.03"/>
    <n v="0.49"/>
  </r>
  <r>
    <x v="3"/>
    <x v="0"/>
    <x v="0"/>
    <x v="1"/>
    <x v="4"/>
    <x v="0"/>
    <n v="31.05"/>
    <n v="31.05"/>
    <n v="5.95"/>
    <n v="29.49"/>
  </r>
  <r>
    <x v="3"/>
    <x v="0"/>
    <x v="0"/>
    <x v="1"/>
    <x v="2"/>
    <x v="2"/>
    <n v="0.16"/>
    <n v="0.16"/>
    <n v="0"/>
    <n v="0.15"/>
  </r>
  <r>
    <x v="3"/>
    <x v="0"/>
    <x v="0"/>
    <x v="2"/>
    <x v="3"/>
    <x v="1"/>
    <n v="5.45"/>
    <n v="5.45"/>
    <n v="0.01"/>
    <n v="5.2"/>
  </r>
  <r>
    <x v="3"/>
    <x v="0"/>
    <x v="0"/>
    <x v="4"/>
    <x v="0"/>
    <x v="0"/>
    <n v="0.11"/>
    <n v="0.11"/>
    <n v="0.01"/>
    <n v="0.1"/>
  </r>
  <r>
    <x v="3"/>
    <x v="0"/>
    <x v="0"/>
    <x v="3"/>
    <x v="4"/>
    <x v="0"/>
    <n v="1.29"/>
    <n v="1.29"/>
    <n v="0.13"/>
    <n v="1.21"/>
  </r>
  <r>
    <x v="3"/>
    <x v="0"/>
    <x v="0"/>
    <x v="3"/>
    <x v="0"/>
    <x v="0"/>
    <n v="0.1"/>
    <n v="0.1"/>
    <n v="0.05"/>
    <n v="0.1"/>
  </r>
  <r>
    <x v="3"/>
    <x v="0"/>
    <x v="0"/>
    <x v="4"/>
    <x v="0"/>
    <x v="1"/>
    <n v="0.4"/>
    <n v="0.4"/>
    <n v="0.02"/>
    <n v="0.38"/>
  </r>
  <r>
    <x v="3"/>
    <x v="0"/>
    <x v="0"/>
    <x v="0"/>
    <x v="0"/>
    <x v="0"/>
    <n v="1.31"/>
    <n v="1.31"/>
    <n v="1.38"/>
    <n v="1.24"/>
  </r>
  <r>
    <x v="3"/>
    <x v="0"/>
    <x v="0"/>
    <x v="1"/>
    <x v="0"/>
    <x v="1"/>
    <n v="1.91"/>
    <n v="1.91"/>
    <n v="0.11"/>
    <n v="1.8"/>
  </r>
  <r>
    <x v="3"/>
    <x v="0"/>
    <x v="0"/>
    <x v="4"/>
    <x v="4"/>
    <x v="0"/>
    <n v="25.22"/>
    <n v="25.22"/>
    <n v="2.99"/>
    <n v="23.68"/>
  </r>
  <r>
    <x v="3"/>
    <x v="0"/>
    <x v="0"/>
    <x v="2"/>
    <x v="4"/>
    <x v="0"/>
    <n v="2.88"/>
    <n v="2.88"/>
    <n v="0.81"/>
    <n v="2.75"/>
  </r>
  <r>
    <x v="3"/>
    <x v="0"/>
    <x v="0"/>
    <x v="0"/>
    <x v="4"/>
    <x v="0"/>
    <n v="2.37"/>
    <n v="2.37"/>
    <n v="0.73"/>
    <n v="2.29"/>
  </r>
  <r>
    <x v="3"/>
    <x v="0"/>
    <x v="0"/>
    <x v="1"/>
    <x v="3"/>
    <x v="1"/>
    <n v="0.1"/>
    <n v="0.1"/>
    <n v="0"/>
    <n v="0.09"/>
  </r>
  <r>
    <x v="3"/>
    <x v="0"/>
    <x v="0"/>
    <x v="1"/>
    <x v="2"/>
    <x v="1"/>
    <n v="9.57"/>
    <n v="9.57"/>
    <n v="0.03"/>
    <n v="9.1199999999999992"/>
  </r>
  <r>
    <x v="3"/>
    <x v="0"/>
    <x v="0"/>
    <x v="1"/>
    <x v="1"/>
    <x v="1"/>
    <n v="5.14"/>
    <n v="5.14"/>
    <n v="0.12"/>
    <n v="4.87"/>
  </r>
  <r>
    <x v="3"/>
    <x v="0"/>
    <x v="0"/>
    <x v="1"/>
    <x v="0"/>
    <x v="0"/>
    <n v="3.47"/>
    <n v="3.47"/>
    <n v="1.35"/>
    <n v="3.31"/>
  </r>
  <r>
    <x v="3"/>
    <x v="0"/>
    <x v="0"/>
    <x v="1"/>
    <x v="4"/>
    <x v="1"/>
    <n v="1.1200000000000001"/>
    <n v="1.1200000000000001"/>
    <n v="0.06"/>
    <n v="1.06"/>
  </r>
  <r>
    <x v="3"/>
    <x v="1"/>
    <x v="1"/>
    <x v="1"/>
    <x v="1"/>
    <x v="1"/>
    <n v="8.91"/>
    <n v="8.91"/>
    <n v="0.14000000000000001"/>
    <n v="7.56"/>
  </r>
  <r>
    <x v="3"/>
    <x v="1"/>
    <x v="1"/>
    <x v="4"/>
    <x v="0"/>
    <x v="1"/>
    <n v="3.98"/>
    <n v="3.98"/>
    <n v="0.24"/>
    <n v="3.39"/>
  </r>
  <r>
    <x v="3"/>
    <x v="1"/>
    <x v="1"/>
    <x v="3"/>
    <x v="4"/>
    <x v="0"/>
    <n v="9.34"/>
    <n v="9.34"/>
    <n v="3.11"/>
    <n v="8.65"/>
  </r>
  <r>
    <x v="3"/>
    <x v="1"/>
    <x v="1"/>
    <x v="3"/>
    <x v="0"/>
    <x v="0"/>
    <n v="0.28000000000000003"/>
    <n v="0.28000000000000003"/>
    <n v="0.23"/>
    <n v="0.28000000000000003"/>
  </r>
  <r>
    <x v="3"/>
    <x v="1"/>
    <x v="1"/>
    <x v="2"/>
    <x v="3"/>
    <x v="1"/>
    <n v="19.82"/>
    <n v="19.82"/>
    <n v="0.03"/>
    <n v="17.02"/>
  </r>
  <r>
    <x v="3"/>
    <x v="1"/>
    <x v="1"/>
    <x v="2"/>
    <x v="4"/>
    <x v="1"/>
    <n v="6.97"/>
    <n v="6.97"/>
    <n v="0.02"/>
    <n v="6.97"/>
  </r>
  <r>
    <x v="3"/>
    <x v="1"/>
    <x v="1"/>
    <x v="4"/>
    <x v="4"/>
    <x v="0"/>
    <n v="127.18"/>
    <n v="127.18"/>
    <n v="18.63"/>
    <n v="111.34"/>
  </r>
  <r>
    <x v="3"/>
    <x v="1"/>
    <x v="1"/>
    <x v="1"/>
    <x v="2"/>
    <x v="1"/>
    <n v="25.06"/>
    <n v="25.06"/>
    <n v="0.13"/>
    <n v="21.52"/>
  </r>
  <r>
    <x v="3"/>
    <x v="1"/>
    <x v="1"/>
    <x v="4"/>
    <x v="1"/>
    <x v="0"/>
    <n v="43.6"/>
    <n v="43.6"/>
    <n v="2.69"/>
    <n v="37.39"/>
  </r>
  <r>
    <x v="3"/>
    <x v="1"/>
    <x v="1"/>
    <x v="1"/>
    <x v="4"/>
    <x v="1"/>
    <n v="4.72"/>
    <n v="4.72"/>
    <n v="0.17"/>
    <n v="4"/>
  </r>
  <r>
    <x v="3"/>
    <x v="1"/>
    <x v="1"/>
    <x v="1"/>
    <x v="0"/>
    <x v="1"/>
    <n v="19.52"/>
    <n v="19.52"/>
    <n v="0.38"/>
    <n v="16.63"/>
  </r>
  <r>
    <x v="3"/>
    <x v="1"/>
    <x v="1"/>
    <x v="0"/>
    <x v="4"/>
    <x v="1"/>
    <n v="5.94"/>
    <n v="5.94"/>
    <n v="0.11"/>
    <n v="4.99"/>
  </r>
  <r>
    <x v="3"/>
    <x v="1"/>
    <x v="1"/>
    <x v="0"/>
    <x v="0"/>
    <x v="1"/>
    <n v="0.93"/>
    <n v="0.93"/>
    <n v="0.03"/>
    <n v="0.82"/>
  </r>
  <r>
    <x v="3"/>
    <x v="1"/>
    <x v="1"/>
    <x v="4"/>
    <x v="1"/>
    <x v="1"/>
    <n v="9.2799999999999994"/>
    <n v="9.2799999999999994"/>
    <n v="0.28000000000000003"/>
    <n v="7.82"/>
  </r>
  <r>
    <x v="3"/>
    <x v="1"/>
    <x v="1"/>
    <x v="4"/>
    <x v="4"/>
    <x v="2"/>
    <n v="1.17"/>
    <n v="1.17"/>
    <n v="7.0000000000000007E-2"/>
    <n v="1.1599999999999999"/>
  </r>
  <r>
    <x v="3"/>
    <x v="1"/>
    <x v="1"/>
    <x v="1"/>
    <x v="3"/>
    <x v="1"/>
    <n v="0.76"/>
    <n v="0.76"/>
    <n v="0.01"/>
    <n v="0.65"/>
  </r>
  <r>
    <x v="3"/>
    <x v="1"/>
    <x v="1"/>
    <x v="1"/>
    <x v="2"/>
    <x v="0"/>
    <n v="15.05"/>
    <n v="15.05"/>
    <n v="0.11"/>
    <n v="12.82"/>
  </r>
  <r>
    <x v="3"/>
    <x v="1"/>
    <x v="1"/>
    <x v="4"/>
    <x v="1"/>
    <x v="2"/>
    <n v="1.82"/>
    <n v="1.82"/>
    <n v="0.04"/>
    <n v="1.49"/>
  </r>
  <r>
    <x v="3"/>
    <x v="1"/>
    <x v="1"/>
    <x v="4"/>
    <x v="2"/>
    <x v="2"/>
    <n v="1.97"/>
    <n v="1.97"/>
    <n v="0.02"/>
    <n v="1.97"/>
  </r>
  <r>
    <x v="3"/>
    <x v="1"/>
    <x v="1"/>
    <x v="1"/>
    <x v="4"/>
    <x v="2"/>
    <n v="0.49"/>
    <n v="0.49"/>
    <n v="0.01"/>
    <n v="0.4"/>
  </r>
  <r>
    <x v="3"/>
    <x v="1"/>
    <x v="1"/>
    <x v="1"/>
    <x v="1"/>
    <x v="2"/>
    <n v="1.54"/>
    <n v="1.54"/>
    <n v="0.03"/>
    <n v="1.26"/>
  </r>
  <r>
    <x v="3"/>
    <x v="1"/>
    <x v="1"/>
    <x v="2"/>
    <x v="3"/>
    <x v="2"/>
    <n v="11.77"/>
    <n v="11.77"/>
    <n v="0.01"/>
    <n v="11.77"/>
  </r>
  <r>
    <x v="3"/>
    <x v="1"/>
    <x v="1"/>
    <x v="4"/>
    <x v="0"/>
    <x v="0"/>
    <n v="0.27"/>
    <n v="0.27"/>
    <n v="0.03"/>
    <n v="0.23"/>
  </r>
  <r>
    <x v="3"/>
    <x v="1"/>
    <x v="1"/>
    <x v="2"/>
    <x v="0"/>
    <x v="0"/>
    <n v="5.43"/>
    <n v="5.43"/>
    <n v="3.92"/>
    <n v="5.17"/>
  </r>
  <r>
    <x v="3"/>
    <x v="1"/>
    <x v="1"/>
    <x v="2"/>
    <x v="3"/>
    <x v="3"/>
    <n v="42.65"/>
    <n v="42.65"/>
    <n v="0.02"/>
    <n v="38.130000000000003"/>
  </r>
  <r>
    <x v="3"/>
    <x v="1"/>
    <x v="1"/>
    <x v="1"/>
    <x v="1"/>
    <x v="0"/>
    <n v="45.18"/>
    <n v="45.18"/>
    <n v="2.85"/>
    <n v="39.82"/>
  </r>
  <r>
    <x v="3"/>
    <x v="1"/>
    <x v="1"/>
    <x v="1"/>
    <x v="4"/>
    <x v="0"/>
    <n v="259.88"/>
    <n v="259.88"/>
    <n v="51.45"/>
    <n v="233.21"/>
  </r>
  <r>
    <x v="3"/>
    <x v="1"/>
    <x v="1"/>
    <x v="2"/>
    <x v="2"/>
    <x v="3"/>
    <n v="4.37"/>
    <n v="4.37"/>
    <n v="0"/>
    <n v="4.37"/>
  </r>
  <r>
    <x v="3"/>
    <x v="1"/>
    <x v="1"/>
    <x v="1"/>
    <x v="0"/>
    <x v="0"/>
    <n v="3.8"/>
    <n v="3.8"/>
    <n v="2.62"/>
    <n v="3.78"/>
  </r>
  <r>
    <x v="3"/>
    <x v="1"/>
    <x v="1"/>
    <x v="0"/>
    <x v="4"/>
    <x v="0"/>
    <n v="15.03"/>
    <n v="15.03"/>
    <n v="4.16"/>
    <n v="13.11"/>
  </r>
  <r>
    <x v="3"/>
    <x v="1"/>
    <x v="1"/>
    <x v="0"/>
    <x v="0"/>
    <x v="0"/>
    <n v="12.99"/>
    <n v="12.99"/>
    <n v="10.85"/>
    <n v="11.16"/>
  </r>
  <r>
    <x v="3"/>
    <x v="1"/>
    <x v="1"/>
    <x v="2"/>
    <x v="4"/>
    <x v="0"/>
    <n v="13.36"/>
    <n v="13.36"/>
    <n v="4.82"/>
    <n v="12.49"/>
  </r>
  <r>
    <x v="3"/>
    <x v="1"/>
    <x v="1"/>
    <x v="4"/>
    <x v="4"/>
    <x v="1"/>
    <n v="0.89"/>
    <n v="0.89"/>
    <n v="0.03"/>
    <n v="0.74"/>
  </r>
  <r>
    <x v="3"/>
    <x v="2"/>
    <x v="2"/>
    <x v="4"/>
    <x v="4"/>
    <x v="0"/>
    <n v="40.74"/>
    <n v="40.74"/>
    <n v="5.38"/>
    <n v="37.86"/>
  </r>
  <r>
    <x v="3"/>
    <x v="2"/>
    <x v="2"/>
    <x v="4"/>
    <x v="1"/>
    <x v="0"/>
    <n v="5.03"/>
    <n v="5.03"/>
    <n v="0.33"/>
    <n v="4.79"/>
  </r>
  <r>
    <x v="3"/>
    <x v="2"/>
    <x v="2"/>
    <x v="0"/>
    <x v="4"/>
    <x v="0"/>
    <n v="20.62"/>
    <n v="20.62"/>
    <n v="5.09"/>
    <n v="18.809999999999999"/>
  </r>
  <r>
    <x v="3"/>
    <x v="2"/>
    <x v="2"/>
    <x v="0"/>
    <x v="0"/>
    <x v="0"/>
    <n v="3.15"/>
    <n v="3.15"/>
    <n v="2.04"/>
    <n v="2.88"/>
  </r>
  <r>
    <x v="3"/>
    <x v="2"/>
    <x v="2"/>
    <x v="2"/>
    <x v="0"/>
    <x v="0"/>
    <n v="4.58"/>
    <n v="4.58"/>
    <n v="1.91"/>
    <n v="4.25"/>
  </r>
  <r>
    <x v="3"/>
    <x v="2"/>
    <x v="2"/>
    <x v="3"/>
    <x v="1"/>
    <x v="0"/>
    <n v="0.04"/>
    <n v="0.04"/>
    <n v="0.01"/>
    <n v="0.04"/>
  </r>
  <r>
    <x v="3"/>
    <x v="2"/>
    <x v="2"/>
    <x v="3"/>
    <x v="4"/>
    <x v="0"/>
    <n v="1.53"/>
    <n v="1.53"/>
    <n v="0.43"/>
    <n v="1.44"/>
  </r>
  <r>
    <x v="3"/>
    <x v="2"/>
    <x v="2"/>
    <x v="0"/>
    <x v="2"/>
    <x v="0"/>
    <n v="0.43"/>
    <n v="0.43"/>
    <n v="0"/>
    <n v="0.42"/>
  </r>
  <r>
    <x v="3"/>
    <x v="2"/>
    <x v="2"/>
    <x v="2"/>
    <x v="3"/>
    <x v="1"/>
    <n v="1.7"/>
    <n v="1.7"/>
    <n v="0.01"/>
    <n v="1.54"/>
  </r>
  <r>
    <x v="3"/>
    <x v="2"/>
    <x v="2"/>
    <x v="2"/>
    <x v="4"/>
    <x v="0"/>
    <n v="2.5499999999999998"/>
    <n v="2.5499999999999998"/>
    <n v="0.63"/>
    <n v="2.39"/>
  </r>
  <r>
    <x v="3"/>
    <x v="2"/>
    <x v="2"/>
    <x v="1"/>
    <x v="2"/>
    <x v="0"/>
    <n v="1.34"/>
    <n v="1.34"/>
    <n v="0.02"/>
    <n v="1.19"/>
  </r>
  <r>
    <x v="3"/>
    <x v="2"/>
    <x v="2"/>
    <x v="1"/>
    <x v="1"/>
    <x v="0"/>
    <n v="7.64"/>
    <n v="7.64"/>
    <n v="0.51"/>
    <n v="7.07"/>
  </r>
  <r>
    <x v="3"/>
    <x v="2"/>
    <x v="2"/>
    <x v="4"/>
    <x v="0"/>
    <x v="0"/>
    <n v="0.01"/>
    <n v="0.01"/>
    <n v="0"/>
    <n v="0.01"/>
  </r>
  <r>
    <x v="3"/>
    <x v="2"/>
    <x v="2"/>
    <x v="3"/>
    <x v="0"/>
    <x v="0"/>
    <n v="0.26"/>
    <n v="0.26"/>
    <n v="0.26"/>
    <n v="0.26"/>
  </r>
  <r>
    <x v="3"/>
    <x v="2"/>
    <x v="2"/>
    <x v="1"/>
    <x v="0"/>
    <x v="0"/>
    <n v="2.6"/>
    <n v="2.6"/>
    <n v="1.5"/>
    <n v="2.4500000000000002"/>
  </r>
  <r>
    <x v="3"/>
    <x v="2"/>
    <x v="2"/>
    <x v="1"/>
    <x v="2"/>
    <x v="1"/>
    <n v="5.89"/>
    <n v="5.89"/>
    <n v="0.04"/>
    <n v="5.35"/>
  </r>
  <r>
    <x v="3"/>
    <x v="2"/>
    <x v="2"/>
    <x v="1"/>
    <x v="1"/>
    <x v="1"/>
    <n v="1.05"/>
    <n v="1.05"/>
    <n v="0.02"/>
    <n v="0.96"/>
  </r>
  <r>
    <x v="3"/>
    <x v="2"/>
    <x v="2"/>
    <x v="1"/>
    <x v="4"/>
    <x v="1"/>
    <n v="0.28999999999999998"/>
    <n v="0.28999999999999998"/>
    <n v="0.01"/>
    <n v="0.28000000000000003"/>
  </r>
  <r>
    <x v="3"/>
    <x v="2"/>
    <x v="2"/>
    <x v="1"/>
    <x v="0"/>
    <x v="1"/>
    <n v="1.42"/>
    <n v="1.42"/>
    <n v="0.05"/>
    <n v="1.4"/>
  </r>
  <r>
    <x v="3"/>
    <x v="2"/>
    <x v="2"/>
    <x v="0"/>
    <x v="4"/>
    <x v="1"/>
    <n v="0.76"/>
    <n v="0.76"/>
    <n v="0.03"/>
    <n v="0.69"/>
  </r>
  <r>
    <x v="3"/>
    <x v="2"/>
    <x v="2"/>
    <x v="4"/>
    <x v="4"/>
    <x v="2"/>
    <n v="0.32"/>
    <n v="0.32"/>
    <n v="0.02"/>
    <n v="0.28000000000000003"/>
  </r>
  <r>
    <x v="3"/>
    <x v="2"/>
    <x v="2"/>
    <x v="1"/>
    <x v="4"/>
    <x v="0"/>
    <n v="86.42"/>
    <n v="86.42"/>
    <n v="15.48"/>
    <n v="79.03"/>
  </r>
  <r>
    <x v="3"/>
    <x v="2"/>
    <x v="2"/>
    <x v="0"/>
    <x v="0"/>
    <x v="1"/>
    <n v="0.84"/>
    <n v="0.84"/>
    <n v="0.06"/>
    <n v="0.77"/>
  </r>
  <r>
    <x v="3"/>
    <x v="2"/>
    <x v="2"/>
    <x v="4"/>
    <x v="2"/>
    <x v="2"/>
    <n v="0.43"/>
    <n v="0.43"/>
    <n v="0"/>
    <n v="0.37"/>
  </r>
  <r>
    <x v="3"/>
    <x v="2"/>
    <x v="2"/>
    <x v="1"/>
    <x v="4"/>
    <x v="2"/>
    <n v="1.46"/>
    <n v="1.46"/>
    <n v="0.02"/>
    <n v="1.27"/>
  </r>
  <r>
    <x v="3"/>
    <x v="2"/>
    <x v="2"/>
    <x v="1"/>
    <x v="1"/>
    <x v="2"/>
    <n v="2.44"/>
    <n v="2.44"/>
    <n v="0"/>
    <n v="2.38"/>
  </r>
  <r>
    <x v="3"/>
    <x v="2"/>
    <x v="2"/>
    <x v="2"/>
    <x v="2"/>
    <x v="3"/>
    <n v="0.22"/>
    <n v="0.22"/>
    <n v="0"/>
    <n v="0.22"/>
  </r>
  <r>
    <x v="3"/>
    <x v="2"/>
    <x v="2"/>
    <x v="2"/>
    <x v="3"/>
    <x v="3"/>
    <n v="13.54"/>
    <n v="13.54"/>
    <n v="0.01"/>
    <n v="13.54"/>
  </r>
  <r>
    <x v="3"/>
    <x v="2"/>
    <x v="2"/>
    <x v="4"/>
    <x v="0"/>
    <x v="1"/>
    <n v="0.12"/>
    <n v="0.12"/>
    <n v="0.01"/>
    <n v="0.11"/>
  </r>
  <r>
    <x v="3"/>
    <x v="2"/>
    <x v="2"/>
    <x v="4"/>
    <x v="4"/>
    <x v="1"/>
    <n v="0.23"/>
    <n v="0.23"/>
    <n v="0.01"/>
    <n v="0.21"/>
  </r>
  <r>
    <x v="3"/>
    <x v="2"/>
    <x v="2"/>
    <x v="4"/>
    <x v="1"/>
    <x v="1"/>
    <n v="0.15"/>
    <n v="0.15"/>
    <n v="0"/>
    <n v="0.14000000000000001"/>
  </r>
  <r>
    <x v="3"/>
    <x v="2"/>
    <x v="2"/>
    <x v="4"/>
    <x v="1"/>
    <x v="2"/>
    <n v="0.23"/>
    <n v="0.23"/>
    <n v="0.01"/>
    <n v="0.2"/>
  </r>
  <r>
    <x v="3"/>
    <x v="2"/>
    <x v="3"/>
    <x v="3"/>
    <x v="1"/>
    <x v="0"/>
    <n v="0.04"/>
    <n v="0.04"/>
    <n v="0.01"/>
    <n v="0.04"/>
  </r>
  <r>
    <x v="3"/>
    <x v="2"/>
    <x v="3"/>
    <x v="1"/>
    <x v="4"/>
    <x v="0"/>
    <n v="88.96"/>
    <n v="88.96"/>
    <n v="16.440000000000001"/>
    <n v="82.04"/>
  </r>
  <r>
    <x v="3"/>
    <x v="2"/>
    <x v="3"/>
    <x v="2"/>
    <x v="2"/>
    <x v="0"/>
    <n v="3.06"/>
    <n v="3.06"/>
    <n v="0"/>
    <n v="2.8"/>
  </r>
  <r>
    <x v="3"/>
    <x v="2"/>
    <x v="3"/>
    <x v="2"/>
    <x v="4"/>
    <x v="0"/>
    <n v="3.81"/>
    <n v="3.81"/>
    <n v="0.41"/>
    <n v="3.56"/>
  </r>
  <r>
    <x v="3"/>
    <x v="2"/>
    <x v="3"/>
    <x v="2"/>
    <x v="0"/>
    <x v="0"/>
    <n v="3.01"/>
    <n v="3.01"/>
    <n v="1.69"/>
    <n v="2.81"/>
  </r>
  <r>
    <x v="3"/>
    <x v="2"/>
    <x v="3"/>
    <x v="1"/>
    <x v="2"/>
    <x v="0"/>
    <n v="1.19"/>
    <n v="1.19"/>
    <n v="0.02"/>
    <n v="1.0900000000000001"/>
  </r>
  <r>
    <x v="3"/>
    <x v="2"/>
    <x v="3"/>
    <x v="1"/>
    <x v="1"/>
    <x v="0"/>
    <n v="16.559999999999999"/>
    <n v="16.559999999999999"/>
    <n v="0.85"/>
    <n v="15.39"/>
  </r>
  <r>
    <x v="3"/>
    <x v="2"/>
    <x v="3"/>
    <x v="1"/>
    <x v="0"/>
    <x v="0"/>
    <n v="4.8"/>
    <n v="4.8"/>
    <n v="2.98"/>
    <n v="4.53"/>
  </r>
  <r>
    <x v="3"/>
    <x v="2"/>
    <x v="3"/>
    <x v="0"/>
    <x v="4"/>
    <x v="0"/>
    <n v="9.07"/>
    <n v="9.07"/>
    <n v="2.2200000000000002"/>
    <n v="8.35"/>
  </r>
  <r>
    <x v="3"/>
    <x v="2"/>
    <x v="3"/>
    <x v="0"/>
    <x v="0"/>
    <x v="0"/>
    <n v="3.73"/>
    <n v="3.73"/>
    <n v="2.92"/>
    <n v="3.39"/>
  </r>
  <r>
    <x v="3"/>
    <x v="2"/>
    <x v="3"/>
    <x v="4"/>
    <x v="1"/>
    <x v="0"/>
    <n v="7.07"/>
    <n v="7.07"/>
    <n v="0.36"/>
    <n v="6.47"/>
  </r>
  <r>
    <x v="3"/>
    <x v="2"/>
    <x v="3"/>
    <x v="4"/>
    <x v="0"/>
    <x v="0"/>
    <n v="0.03"/>
    <n v="0.03"/>
    <n v="0"/>
    <n v="0.03"/>
  </r>
  <r>
    <x v="3"/>
    <x v="2"/>
    <x v="3"/>
    <x v="3"/>
    <x v="4"/>
    <x v="0"/>
    <n v="1.82"/>
    <n v="1.82"/>
    <n v="0.48"/>
    <n v="1.73"/>
  </r>
  <r>
    <x v="3"/>
    <x v="2"/>
    <x v="3"/>
    <x v="3"/>
    <x v="0"/>
    <x v="0"/>
    <n v="0.44"/>
    <n v="0.44"/>
    <n v="0.42"/>
    <n v="0.43"/>
  </r>
  <r>
    <x v="3"/>
    <x v="2"/>
    <x v="3"/>
    <x v="4"/>
    <x v="4"/>
    <x v="0"/>
    <n v="45.1"/>
    <n v="45.1"/>
    <n v="5.99"/>
    <n v="41.6"/>
  </r>
  <r>
    <x v="3"/>
    <x v="2"/>
    <x v="3"/>
    <x v="4"/>
    <x v="4"/>
    <x v="1"/>
    <n v="0.27"/>
    <n v="0.27"/>
    <n v="0.01"/>
    <n v="0.25"/>
  </r>
  <r>
    <x v="3"/>
    <x v="2"/>
    <x v="3"/>
    <x v="4"/>
    <x v="4"/>
    <x v="2"/>
    <n v="0.42"/>
    <n v="0.42"/>
    <n v="0.02"/>
    <n v="0.37"/>
  </r>
  <r>
    <x v="3"/>
    <x v="2"/>
    <x v="3"/>
    <x v="4"/>
    <x v="1"/>
    <x v="2"/>
    <n v="0.24"/>
    <n v="0.24"/>
    <n v="0.01"/>
    <n v="0.21"/>
  </r>
  <r>
    <x v="3"/>
    <x v="2"/>
    <x v="3"/>
    <x v="4"/>
    <x v="2"/>
    <x v="2"/>
    <n v="0.56999999999999995"/>
    <n v="0.56999999999999995"/>
    <n v="0"/>
    <n v="0.5"/>
  </r>
  <r>
    <x v="3"/>
    <x v="2"/>
    <x v="3"/>
    <x v="1"/>
    <x v="4"/>
    <x v="2"/>
    <n v="13.5"/>
    <n v="13.5"/>
    <n v="0.13"/>
    <n v="11.74"/>
  </r>
  <r>
    <x v="3"/>
    <x v="2"/>
    <x v="3"/>
    <x v="1"/>
    <x v="1"/>
    <x v="2"/>
    <n v="2.15"/>
    <n v="2.15"/>
    <n v="0"/>
    <n v="2.15"/>
  </r>
  <r>
    <x v="3"/>
    <x v="2"/>
    <x v="3"/>
    <x v="2"/>
    <x v="3"/>
    <x v="2"/>
    <n v="23.99"/>
    <n v="23.99"/>
    <n v="0.01"/>
    <n v="21.57"/>
  </r>
  <r>
    <x v="3"/>
    <x v="2"/>
    <x v="3"/>
    <x v="2"/>
    <x v="2"/>
    <x v="3"/>
    <n v="0.12"/>
    <n v="0.12"/>
    <n v="0"/>
    <n v="0.12"/>
  </r>
  <r>
    <x v="3"/>
    <x v="2"/>
    <x v="3"/>
    <x v="2"/>
    <x v="3"/>
    <x v="1"/>
    <n v="1.84"/>
    <n v="1.84"/>
    <n v="0.01"/>
    <n v="1.67"/>
  </r>
  <r>
    <x v="3"/>
    <x v="2"/>
    <x v="3"/>
    <x v="4"/>
    <x v="0"/>
    <x v="1"/>
    <n v="0.17"/>
    <n v="0.17"/>
    <n v="0.02"/>
    <n v="0.16"/>
  </r>
  <r>
    <x v="3"/>
    <x v="2"/>
    <x v="3"/>
    <x v="4"/>
    <x v="1"/>
    <x v="1"/>
    <n v="0.16"/>
    <n v="0.16"/>
    <n v="0"/>
    <n v="0.14000000000000001"/>
  </r>
  <r>
    <x v="3"/>
    <x v="2"/>
    <x v="3"/>
    <x v="0"/>
    <x v="0"/>
    <x v="1"/>
    <n v="1.1200000000000001"/>
    <n v="1.1200000000000001"/>
    <n v="7.0000000000000007E-2"/>
    <n v="1.01"/>
  </r>
  <r>
    <x v="3"/>
    <x v="2"/>
    <x v="3"/>
    <x v="0"/>
    <x v="4"/>
    <x v="1"/>
    <n v="0.96"/>
    <n v="0.96"/>
    <n v="0.04"/>
    <n v="0.87"/>
  </r>
  <r>
    <x v="3"/>
    <x v="2"/>
    <x v="3"/>
    <x v="1"/>
    <x v="0"/>
    <x v="1"/>
    <n v="1.52"/>
    <n v="1.52"/>
    <n v="7.0000000000000007E-2"/>
    <n v="1.49"/>
  </r>
  <r>
    <x v="3"/>
    <x v="2"/>
    <x v="3"/>
    <x v="1"/>
    <x v="4"/>
    <x v="1"/>
    <n v="0.82"/>
    <n v="0.82"/>
    <n v="0.02"/>
    <n v="0.79"/>
  </r>
  <r>
    <x v="3"/>
    <x v="2"/>
    <x v="3"/>
    <x v="1"/>
    <x v="1"/>
    <x v="1"/>
    <n v="2.4900000000000002"/>
    <n v="2.4900000000000002"/>
    <n v="0.04"/>
    <n v="2.3199999999999998"/>
  </r>
  <r>
    <x v="3"/>
    <x v="2"/>
    <x v="3"/>
    <x v="1"/>
    <x v="2"/>
    <x v="1"/>
    <n v="8.5"/>
    <n v="8.5"/>
    <n v="0.06"/>
    <n v="7.84"/>
  </r>
  <r>
    <x v="3"/>
    <x v="2"/>
    <x v="3"/>
    <x v="2"/>
    <x v="3"/>
    <x v="3"/>
    <n v="10.46"/>
    <n v="10.46"/>
    <n v="0.01"/>
    <n v="10.45"/>
  </r>
  <r>
    <x v="3"/>
    <x v="0"/>
    <x v="4"/>
    <x v="4"/>
    <x v="1"/>
    <x v="2"/>
    <n v="0.89"/>
    <n v="0.89"/>
    <n v="0.03"/>
    <n v="0.85"/>
  </r>
  <r>
    <x v="3"/>
    <x v="0"/>
    <x v="4"/>
    <x v="2"/>
    <x v="3"/>
    <x v="1"/>
    <n v="43.35"/>
    <n v="43.35"/>
    <n v="7.0000000000000007E-2"/>
    <n v="41.35"/>
  </r>
  <r>
    <x v="3"/>
    <x v="0"/>
    <x v="4"/>
    <x v="4"/>
    <x v="4"/>
    <x v="2"/>
    <n v="0.76"/>
    <n v="0.76"/>
    <n v="0.06"/>
    <n v="0.73"/>
  </r>
  <r>
    <x v="3"/>
    <x v="0"/>
    <x v="4"/>
    <x v="4"/>
    <x v="1"/>
    <x v="0"/>
    <n v="27.18"/>
    <n v="27.18"/>
    <n v="1.64"/>
    <n v="26.38"/>
  </r>
  <r>
    <x v="3"/>
    <x v="0"/>
    <x v="4"/>
    <x v="2"/>
    <x v="4"/>
    <x v="0"/>
    <n v="39.979999999999997"/>
    <n v="39.979999999999997"/>
    <n v="12.31"/>
    <n v="38.99"/>
  </r>
  <r>
    <x v="3"/>
    <x v="0"/>
    <x v="4"/>
    <x v="2"/>
    <x v="0"/>
    <x v="0"/>
    <n v="41.39"/>
    <n v="41.39"/>
    <n v="25.63"/>
    <n v="39.76"/>
  </r>
  <r>
    <x v="3"/>
    <x v="0"/>
    <x v="4"/>
    <x v="1"/>
    <x v="2"/>
    <x v="0"/>
    <n v="18.61"/>
    <n v="18.61"/>
    <n v="0.3"/>
    <n v="17.68"/>
  </r>
  <r>
    <x v="3"/>
    <x v="0"/>
    <x v="4"/>
    <x v="1"/>
    <x v="1"/>
    <x v="0"/>
    <n v="44.41"/>
    <n v="44.41"/>
    <n v="4"/>
    <n v="43.41"/>
  </r>
  <r>
    <x v="3"/>
    <x v="0"/>
    <x v="4"/>
    <x v="1"/>
    <x v="4"/>
    <x v="0"/>
    <n v="230.4"/>
    <n v="230.4"/>
    <n v="66.98"/>
    <n v="223.64"/>
  </r>
  <r>
    <x v="3"/>
    <x v="0"/>
    <x v="4"/>
    <x v="1"/>
    <x v="0"/>
    <x v="0"/>
    <n v="31.01"/>
    <n v="31.01"/>
    <n v="16.97"/>
    <n v="30.1"/>
  </r>
  <r>
    <x v="3"/>
    <x v="0"/>
    <x v="4"/>
    <x v="0"/>
    <x v="2"/>
    <x v="0"/>
    <n v="4.84"/>
    <n v="4.84"/>
    <n v="0.02"/>
    <n v="4.5"/>
  </r>
  <r>
    <x v="3"/>
    <x v="0"/>
    <x v="4"/>
    <x v="1"/>
    <x v="2"/>
    <x v="1"/>
    <n v="75.72"/>
    <n v="75.72"/>
    <n v="0.23"/>
    <n v="72.239999999999995"/>
  </r>
  <r>
    <x v="3"/>
    <x v="0"/>
    <x v="4"/>
    <x v="0"/>
    <x v="0"/>
    <x v="0"/>
    <n v="13.95"/>
    <n v="13.95"/>
    <n v="16.260000000000002"/>
    <n v="13.48"/>
  </r>
  <r>
    <x v="3"/>
    <x v="0"/>
    <x v="4"/>
    <x v="4"/>
    <x v="2"/>
    <x v="2"/>
    <n v="1.94"/>
    <n v="1.94"/>
    <n v="0.02"/>
    <n v="1.86"/>
  </r>
  <r>
    <x v="3"/>
    <x v="0"/>
    <x v="4"/>
    <x v="4"/>
    <x v="4"/>
    <x v="0"/>
    <n v="120.64"/>
    <n v="120.64"/>
    <n v="17.12"/>
    <n v="116.68"/>
  </r>
  <r>
    <x v="3"/>
    <x v="0"/>
    <x v="4"/>
    <x v="4"/>
    <x v="0"/>
    <x v="0"/>
    <n v="0.4"/>
    <n v="0.4"/>
    <n v="0.03"/>
    <n v="0.38"/>
  </r>
  <r>
    <x v="3"/>
    <x v="0"/>
    <x v="4"/>
    <x v="3"/>
    <x v="4"/>
    <x v="0"/>
    <n v="5.14"/>
    <n v="5.14"/>
    <n v="1.87"/>
    <n v="4.99"/>
  </r>
  <r>
    <x v="3"/>
    <x v="0"/>
    <x v="4"/>
    <x v="3"/>
    <x v="0"/>
    <x v="0"/>
    <n v="2.02"/>
    <n v="2.02"/>
    <n v="1.1399999999999999"/>
    <n v="2.02"/>
  </r>
  <r>
    <x v="3"/>
    <x v="0"/>
    <x v="4"/>
    <x v="2"/>
    <x v="2"/>
    <x v="2"/>
    <n v="0.26"/>
    <n v="0.26"/>
    <n v="0"/>
    <n v="0.26"/>
  </r>
  <r>
    <x v="3"/>
    <x v="0"/>
    <x v="4"/>
    <x v="0"/>
    <x v="4"/>
    <x v="0"/>
    <n v="41.36"/>
    <n v="41.36"/>
    <n v="13.25"/>
    <n v="40.44"/>
  </r>
  <r>
    <x v="3"/>
    <x v="0"/>
    <x v="4"/>
    <x v="1"/>
    <x v="2"/>
    <x v="2"/>
    <n v="0.1"/>
    <n v="0.1"/>
    <n v="0"/>
    <n v="0.1"/>
  </r>
  <r>
    <x v="3"/>
    <x v="0"/>
    <x v="4"/>
    <x v="1"/>
    <x v="3"/>
    <x v="1"/>
    <n v="0.21"/>
    <n v="0.21"/>
    <n v="0"/>
    <n v="0.2"/>
  </r>
  <r>
    <x v="3"/>
    <x v="0"/>
    <x v="4"/>
    <x v="2"/>
    <x v="3"/>
    <x v="2"/>
    <n v="14.23"/>
    <n v="14.23"/>
    <n v="0.01"/>
    <n v="13.68"/>
  </r>
  <r>
    <x v="3"/>
    <x v="0"/>
    <x v="4"/>
    <x v="2"/>
    <x v="3"/>
    <x v="3"/>
    <n v="592.59"/>
    <n v="592.59"/>
    <n v="0.33"/>
    <n v="578.70000000000005"/>
  </r>
  <r>
    <x v="3"/>
    <x v="0"/>
    <x v="4"/>
    <x v="4"/>
    <x v="0"/>
    <x v="1"/>
    <n v="2.67"/>
    <n v="2.67"/>
    <n v="0.12"/>
    <n v="2.5499999999999998"/>
  </r>
  <r>
    <x v="3"/>
    <x v="0"/>
    <x v="4"/>
    <x v="4"/>
    <x v="1"/>
    <x v="1"/>
    <n v="4.7"/>
    <n v="4.7"/>
    <n v="0.17"/>
    <n v="4.4800000000000004"/>
  </r>
  <r>
    <x v="3"/>
    <x v="0"/>
    <x v="4"/>
    <x v="0"/>
    <x v="0"/>
    <x v="1"/>
    <n v="7.44"/>
    <n v="7.44"/>
    <n v="0.21"/>
    <n v="7.09"/>
  </r>
  <r>
    <x v="3"/>
    <x v="0"/>
    <x v="4"/>
    <x v="0"/>
    <x v="4"/>
    <x v="1"/>
    <n v="11.05"/>
    <n v="11.05"/>
    <n v="0.17"/>
    <n v="10.54"/>
  </r>
  <r>
    <x v="3"/>
    <x v="0"/>
    <x v="4"/>
    <x v="1"/>
    <x v="0"/>
    <x v="1"/>
    <n v="5.88"/>
    <n v="5.88"/>
    <n v="0.31"/>
    <n v="5.57"/>
  </r>
  <r>
    <x v="3"/>
    <x v="0"/>
    <x v="4"/>
    <x v="1"/>
    <x v="4"/>
    <x v="1"/>
    <n v="3.83"/>
    <n v="3.83"/>
    <n v="0.27"/>
    <n v="3.63"/>
  </r>
  <r>
    <x v="3"/>
    <x v="0"/>
    <x v="4"/>
    <x v="1"/>
    <x v="1"/>
    <x v="1"/>
    <n v="24.35"/>
    <n v="24.35"/>
    <n v="0.35"/>
    <n v="23.16"/>
  </r>
  <r>
    <x v="3"/>
    <x v="0"/>
    <x v="4"/>
    <x v="4"/>
    <x v="4"/>
    <x v="1"/>
    <n v="7.96"/>
    <n v="7.96"/>
    <n v="0.47"/>
    <n v="7.59"/>
  </r>
  <r>
    <x v="3"/>
    <x v="0"/>
    <x v="4"/>
    <x v="1"/>
    <x v="4"/>
    <x v="2"/>
    <n v="0.57999999999999996"/>
    <n v="0.57999999999999996"/>
    <n v="0.04"/>
    <n v="0.56000000000000005"/>
  </r>
  <r>
    <x v="3"/>
    <x v="3"/>
    <x v="5"/>
    <x v="0"/>
    <x v="0"/>
    <x v="0"/>
    <n v="3.55"/>
    <n v="3.55"/>
    <n v="1.58"/>
    <n v="3.3"/>
  </r>
  <r>
    <x v="3"/>
    <x v="3"/>
    <x v="5"/>
    <x v="1"/>
    <x v="2"/>
    <x v="1"/>
    <n v="61.96"/>
    <n v="61.96"/>
    <n v="0.26"/>
    <n v="56.88"/>
  </r>
  <r>
    <x v="3"/>
    <x v="3"/>
    <x v="5"/>
    <x v="2"/>
    <x v="4"/>
    <x v="0"/>
    <n v="62.29"/>
    <n v="62.29"/>
    <n v="17.829999999999998"/>
    <n v="60.72"/>
  </r>
  <r>
    <x v="3"/>
    <x v="3"/>
    <x v="5"/>
    <x v="2"/>
    <x v="0"/>
    <x v="0"/>
    <n v="21.55"/>
    <n v="21.55"/>
    <n v="13.19"/>
    <n v="20.41"/>
  </r>
  <r>
    <x v="3"/>
    <x v="3"/>
    <x v="5"/>
    <x v="1"/>
    <x v="2"/>
    <x v="0"/>
    <n v="12.07"/>
    <n v="12.07"/>
    <n v="0.17"/>
    <n v="11.22"/>
  </r>
  <r>
    <x v="3"/>
    <x v="3"/>
    <x v="5"/>
    <x v="1"/>
    <x v="1"/>
    <x v="0"/>
    <n v="156.18"/>
    <n v="156.18"/>
    <n v="7.31"/>
    <n v="150.94999999999999"/>
  </r>
  <r>
    <x v="3"/>
    <x v="3"/>
    <x v="5"/>
    <x v="1"/>
    <x v="4"/>
    <x v="0"/>
    <n v="383.67"/>
    <n v="383.67"/>
    <n v="101.57"/>
    <n v="367.07"/>
  </r>
  <r>
    <x v="3"/>
    <x v="3"/>
    <x v="5"/>
    <x v="0"/>
    <x v="4"/>
    <x v="0"/>
    <n v="56.17"/>
    <n v="56.17"/>
    <n v="21.2"/>
    <n v="54.09"/>
  </r>
  <r>
    <x v="3"/>
    <x v="3"/>
    <x v="5"/>
    <x v="4"/>
    <x v="1"/>
    <x v="0"/>
    <n v="44.11"/>
    <n v="44.11"/>
    <n v="2.31"/>
    <n v="41.07"/>
  </r>
  <r>
    <x v="3"/>
    <x v="3"/>
    <x v="5"/>
    <x v="1"/>
    <x v="0"/>
    <x v="0"/>
    <n v="46.69"/>
    <n v="46.69"/>
    <n v="31.86"/>
    <n v="45.18"/>
  </r>
  <r>
    <x v="3"/>
    <x v="3"/>
    <x v="5"/>
    <x v="2"/>
    <x v="1"/>
    <x v="2"/>
    <n v="1.25"/>
    <n v="1.25"/>
    <n v="0"/>
    <n v="1.19"/>
  </r>
  <r>
    <x v="3"/>
    <x v="3"/>
    <x v="5"/>
    <x v="0"/>
    <x v="0"/>
    <x v="1"/>
    <n v="19.03"/>
    <n v="19.03"/>
    <n v="0.46"/>
    <n v="17.45"/>
  </r>
  <r>
    <x v="3"/>
    <x v="3"/>
    <x v="5"/>
    <x v="4"/>
    <x v="1"/>
    <x v="1"/>
    <n v="3.17"/>
    <n v="3.17"/>
    <n v="0.09"/>
    <n v="2.91"/>
  </r>
  <r>
    <x v="3"/>
    <x v="3"/>
    <x v="5"/>
    <x v="4"/>
    <x v="4"/>
    <x v="1"/>
    <n v="3.94"/>
    <n v="3.94"/>
    <n v="0.1"/>
    <n v="3.61"/>
  </r>
  <r>
    <x v="3"/>
    <x v="3"/>
    <x v="5"/>
    <x v="4"/>
    <x v="0"/>
    <x v="1"/>
    <n v="4.8499999999999996"/>
    <n v="4.8499999999999996"/>
    <n v="0.23"/>
    <n v="4.49"/>
  </r>
  <r>
    <x v="3"/>
    <x v="3"/>
    <x v="5"/>
    <x v="2"/>
    <x v="3"/>
    <x v="3"/>
    <n v="107.55"/>
    <n v="107.55"/>
    <n v="0.06"/>
    <n v="106.67"/>
  </r>
  <r>
    <x v="3"/>
    <x v="3"/>
    <x v="5"/>
    <x v="2"/>
    <x v="2"/>
    <x v="3"/>
    <n v="7.0000000000000007E-2"/>
    <n v="7.0000000000000007E-2"/>
    <n v="0"/>
    <n v="7.0000000000000007E-2"/>
  </r>
  <r>
    <x v="3"/>
    <x v="3"/>
    <x v="5"/>
    <x v="0"/>
    <x v="4"/>
    <x v="1"/>
    <n v="9.5299999999999994"/>
    <n v="9.5299999999999994"/>
    <n v="0.21"/>
    <n v="8.74"/>
  </r>
  <r>
    <x v="3"/>
    <x v="3"/>
    <x v="5"/>
    <x v="2"/>
    <x v="2"/>
    <x v="2"/>
    <n v="0.77"/>
    <n v="0.77"/>
    <n v="0.01"/>
    <n v="0.73"/>
  </r>
  <r>
    <x v="3"/>
    <x v="3"/>
    <x v="5"/>
    <x v="1"/>
    <x v="1"/>
    <x v="2"/>
    <n v="0.16"/>
    <n v="0.16"/>
    <n v="0.01"/>
    <n v="0.15"/>
  </r>
  <r>
    <x v="3"/>
    <x v="3"/>
    <x v="5"/>
    <x v="1"/>
    <x v="3"/>
    <x v="2"/>
    <n v="0.6"/>
    <n v="0.6"/>
    <n v="0"/>
    <n v="0.54"/>
  </r>
  <r>
    <x v="3"/>
    <x v="3"/>
    <x v="5"/>
    <x v="1"/>
    <x v="2"/>
    <x v="2"/>
    <n v="0.33"/>
    <n v="0.33"/>
    <n v="0"/>
    <n v="0.3"/>
  </r>
  <r>
    <x v="3"/>
    <x v="3"/>
    <x v="5"/>
    <x v="1"/>
    <x v="4"/>
    <x v="2"/>
    <n v="2.02"/>
    <n v="2.02"/>
    <n v="0.11"/>
    <n v="1.83"/>
  </r>
  <r>
    <x v="3"/>
    <x v="3"/>
    <x v="5"/>
    <x v="4"/>
    <x v="1"/>
    <x v="2"/>
    <n v="1.79"/>
    <n v="1.79"/>
    <n v="0.03"/>
    <n v="1.62"/>
  </r>
  <r>
    <x v="3"/>
    <x v="3"/>
    <x v="5"/>
    <x v="4"/>
    <x v="4"/>
    <x v="2"/>
    <n v="3.61"/>
    <n v="3.61"/>
    <n v="0.16"/>
    <n v="3.27"/>
  </r>
  <r>
    <x v="3"/>
    <x v="3"/>
    <x v="5"/>
    <x v="4"/>
    <x v="4"/>
    <x v="0"/>
    <n v="227.48"/>
    <n v="227.48"/>
    <n v="28.92"/>
    <n v="214.7"/>
  </r>
  <r>
    <x v="3"/>
    <x v="3"/>
    <x v="5"/>
    <x v="2"/>
    <x v="4"/>
    <x v="1"/>
    <n v="0.56999999999999995"/>
    <n v="0.56999999999999995"/>
    <n v="0"/>
    <n v="0.54"/>
  </r>
  <r>
    <x v="3"/>
    <x v="3"/>
    <x v="5"/>
    <x v="2"/>
    <x v="3"/>
    <x v="2"/>
    <n v="26.49"/>
    <n v="26.49"/>
    <n v="0.02"/>
    <n v="24.48"/>
  </r>
  <r>
    <x v="3"/>
    <x v="3"/>
    <x v="5"/>
    <x v="4"/>
    <x v="0"/>
    <x v="0"/>
    <n v="0.96"/>
    <n v="0.96"/>
    <n v="0.66"/>
    <n v="0.9"/>
  </r>
  <r>
    <x v="3"/>
    <x v="3"/>
    <x v="5"/>
    <x v="1"/>
    <x v="0"/>
    <x v="1"/>
    <n v="8.52"/>
    <n v="8.52"/>
    <n v="0.64"/>
    <n v="7.86"/>
  </r>
  <r>
    <x v="3"/>
    <x v="3"/>
    <x v="5"/>
    <x v="2"/>
    <x v="3"/>
    <x v="1"/>
    <n v="41.96"/>
    <n v="41.96"/>
    <n v="0.04"/>
    <n v="38.590000000000003"/>
  </r>
  <r>
    <x v="3"/>
    <x v="3"/>
    <x v="5"/>
    <x v="3"/>
    <x v="1"/>
    <x v="0"/>
    <n v="0.14000000000000001"/>
    <n v="0.14000000000000001"/>
    <n v="0.02"/>
    <n v="0.14000000000000001"/>
  </r>
  <r>
    <x v="3"/>
    <x v="3"/>
    <x v="5"/>
    <x v="4"/>
    <x v="2"/>
    <x v="2"/>
    <n v="2.02"/>
    <n v="2.02"/>
    <n v="0.01"/>
    <n v="1.83"/>
  </r>
  <r>
    <x v="3"/>
    <x v="3"/>
    <x v="5"/>
    <x v="3"/>
    <x v="0"/>
    <x v="0"/>
    <n v="21.82"/>
    <n v="21.82"/>
    <n v="23.49"/>
    <n v="21.05"/>
  </r>
  <r>
    <x v="3"/>
    <x v="3"/>
    <x v="5"/>
    <x v="1"/>
    <x v="1"/>
    <x v="1"/>
    <n v="13.53"/>
    <n v="13.53"/>
    <n v="0.14000000000000001"/>
    <n v="12.44"/>
  </r>
  <r>
    <x v="3"/>
    <x v="3"/>
    <x v="5"/>
    <x v="1"/>
    <x v="3"/>
    <x v="1"/>
    <n v="0.23"/>
    <n v="0.23"/>
    <n v="0"/>
    <n v="0.21"/>
  </r>
  <r>
    <x v="3"/>
    <x v="3"/>
    <x v="5"/>
    <x v="3"/>
    <x v="4"/>
    <x v="0"/>
    <n v="34.61"/>
    <n v="34.61"/>
    <n v="17.78"/>
    <n v="31.97"/>
  </r>
  <r>
    <x v="3"/>
    <x v="3"/>
    <x v="5"/>
    <x v="1"/>
    <x v="4"/>
    <x v="1"/>
    <n v="2.91"/>
    <n v="2.91"/>
    <n v="0.1"/>
    <n v="2.67"/>
  </r>
  <r>
    <x v="3"/>
    <x v="0"/>
    <x v="6"/>
    <x v="1"/>
    <x v="0"/>
    <x v="0"/>
    <n v="3.32"/>
    <n v="3.32"/>
    <n v="1.78"/>
    <n v="3.17"/>
  </r>
  <r>
    <x v="3"/>
    <x v="0"/>
    <x v="6"/>
    <x v="1"/>
    <x v="1"/>
    <x v="0"/>
    <n v="7.76"/>
    <n v="7.76"/>
    <n v="0.42"/>
    <n v="7.33"/>
  </r>
  <r>
    <x v="3"/>
    <x v="0"/>
    <x v="6"/>
    <x v="2"/>
    <x v="0"/>
    <x v="0"/>
    <n v="2.75"/>
    <n v="2.75"/>
    <n v="1.99"/>
    <n v="2.62"/>
  </r>
  <r>
    <x v="3"/>
    <x v="0"/>
    <x v="6"/>
    <x v="2"/>
    <x v="4"/>
    <x v="0"/>
    <n v="4.72"/>
    <n v="4.72"/>
    <n v="0.64"/>
    <n v="4.6399999999999997"/>
  </r>
  <r>
    <x v="3"/>
    <x v="0"/>
    <x v="6"/>
    <x v="1"/>
    <x v="1"/>
    <x v="1"/>
    <n v="9.36"/>
    <n v="9.36"/>
    <n v="0.28000000000000003"/>
    <n v="8.85"/>
  </r>
  <r>
    <x v="3"/>
    <x v="0"/>
    <x v="6"/>
    <x v="0"/>
    <x v="4"/>
    <x v="1"/>
    <n v="1.03"/>
    <n v="1.03"/>
    <n v="0.02"/>
    <n v="0.98"/>
  </r>
  <r>
    <x v="3"/>
    <x v="0"/>
    <x v="6"/>
    <x v="1"/>
    <x v="0"/>
    <x v="1"/>
    <n v="4.34"/>
    <n v="4.34"/>
    <n v="0.27"/>
    <n v="4.0999999999999996"/>
  </r>
  <r>
    <x v="3"/>
    <x v="0"/>
    <x v="6"/>
    <x v="1"/>
    <x v="4"/>
    <x v="0"/>
    <n v="27.48"/>
    <n v="27.48"/>
    <n v="7.39"/>
    <n v="26.02"/>
  </r>
  <r>
    <x v="3"/>
    <x v="0"/>
    <x v="6"/>
    <x v="0"/>
    <x v="0"/>
    <x v="1"/>
    <n v="0.72"/>
    <n v="0.72"/>
    <n v="0.02"/>
    <n v="0.68"/>
  </r>
  <r>
    <x v="3"/>
    <x v="0"/>
    <x v="6"/>
    <x v="4"/>
    <x v="1"/>
    <x v="1"/>
    <n v="1.23"/>
    <n v="1.23"/>
    <n v="0.05"/>
    <n v="1.17"/>
  </r>
  <r>
    <x v="3"/>
    <x v="0"/>
    <x v="6"/>
    <x v="1"/>
    <x v="2"/>
    <x v="1"/>
    <n v="9.4499999999999993"/>
    <n v="9.4499999999999993"/>
    <n v="0.03"/>
    <n v="9"/>
  </r>
  <r>
    <x v="3"/>
    <x v="0"/>
    <x v="6"/>
    <x v="1"/>
    <x v="4"/>
    <x v="1"/>
    <n v="2.38"/>
    <n v="2.38"/>
    <n v="0.1"/>
    <n v="2.2400000000000002"/>
  </r>
  <r>
    <x v="3"/>
    <x v="0"/>
    <x v="6"/>
    <x v="4"/>
    <x v="4"/>
    <x v="2"/>
    <n v="0.43"/>
    <n v="0.43"/>
    <n v="0.03"/>
    <n v="0.4"/>
  </r>
  <r>
    <x v="3"/>
    <x v="0"/>
    <x v="6"/>
    <x v="2"/>
    <x v="2"/>
    <x v="2"/>
    <n v="0.56000000000000005"/>
    <n v="0.56000000000000005"/>
    <n v="0"/>
    <n v="0.55000000000000004"/>
  </r>
  <r>
    <x v="3"/>
    <x v="0"/>
    <x v="6"/>
    <x v="2"/>
    <x v="3"/>
    <x v="2"/>
    <n v="3.14"/>
    <n v="3.14"/>
    <n v="0"/>
    <n v="2.95"/>
  </r>
  <r>
    <x v="3"/>
    <x v="0"/>
    <x v="6"/>
    <x v="2"/>
    <x v="3"/>
    <x v="3"/>
    <n v="7.11"/>
    <n v="7.11"/>
    <n v="0.01"/>
    <n v="6.94"/>
  </r>
  <r>
    <x v="3"/>
    <x v="0"/>
    <x v="6"/>
    <x v="4"/>
    <x v="0"/>
    <x v="1"/>
    <n v="0.7"/>
    <n v="0.7"/>
    <n v="0.03"/>
    <n v="0.67"/>
  </r>
  <r>
    <x v="3"/>
    <x v="0"/>
    <x v="6"/>
    <x v="1"/>
    <x v="2"/>
    <x v="0"/>
    <n v="15.67"/>
    <n v="15.67"/>
    <n v="0.23"/>
    <n v="14.78"/>
  </r>
  <r>
    <x v="3"/>
    <x v="0"/>
    <x v="6"/>
    <x v="4"/>
    <x v="4"/>
    <x v="1"/>
    <n v="0.9"/>
    <n v="0.9"/>
    <n v="0.05"/>
    <n v="0.86"/>
  </r>
  <r>
    <x v="3"/>
    <x v="0"/>
    <x v="6"/>
    <x v="0"/>
    <x v="4"/>
    <x v="0"/>
    <n v="3.85"/>
    <n v="3.85"/>
    <n v="1.33"/>
    <n v="3.68"/>
  </r>
  <r>
    <x v="3"/>
    <x v="0"/>
    <x v="6"/>
    <x v="1"/>
    <x v="2"/>
    <x v="2"/>
    <n v="0.06"/>
    <n v="0.06"/>
    <n v="0"/>
    <n v="0.06"/>
  </r>
  <r>
    <x v="3"/>
    <x v="0"/>
    <x v="6"/>
    <x v="4"/>
    <x v="1"/>
    <x v="2"/>
    <n v="0.53"/>
    <n v="0.53"/>
    <n v="0.02"/>
    <n v="0.5"/>
  </r>
  <r>
    <x v="3"/>
    <x v="0"/>
    <x v="6"/>
    <x v="1"/>
    <x v="4"/>
    <x v="2"/>
    <n v="0.41"/>
    <n v="0.41"/>
    <n v="0.02"/>
    <n v="0.38"/>
  </r>
  <r>
    <x v="3"/>
    <x v="0"/>
    <x v="6"/>
    <x v="1"/>
    <x v="3"/>
    <x v="1"/>
    <n v="0.24"/>
    <n v="0.24"/>
    <n v="0"/>
    <n v="0.23"/>
  </r>
  <r>
    <x v="3"/>
    <x v="0"/>
    <x v="6"/>
    <x v="2"/>
    <x v="3"/>
    <x v="1"/>
    <n v="5.28"/>
    <n v="5.28"/>
    <n v="0.01"/>
    <n v="5.0199999999999996"/>
  </r>
  <r>
    <x v="3"/>
    <x v="0"/>
    <x v="6"/>
    <x v="3"/>
    <x v="0"/>
    <x v="0"/>
    <n v="0.3"/>
    <n v="0.3"/>
    <n v="0.26"/>
    <n v="0.3"/>
  </r>
  <r>
    <x v="3"/>
    <x v="0"/>
    <x v="6"/>
    <x v="3"/>
    <x v="4"/>
    <x v="0"/>
    <n v="0.73"/>
    <n v="0.73"/>
    <n v="0.11"/>
    <n v="0.69"/>
  </r>
  <r>
    <x v="3"/>
    <x v="0"/>
    <x v="6"/>
    <x v="4"/>
    <x v="0"/>
    <x v="0"/>
    <n v="0.11"/>
    <n v="0.11"/>
    <n v="0.01"/>
    <n v="0.1"/>
  </r>
  <r>
    <x v="3"/>
    <x v="0"/>
    <x v="6"/>
    <x v="4"/>
    <x v="4"/>
    <x v="0"/>
    <n v="19.059999999999999"/>
    <n v="19.059999999999999"/>
    <n v="2.37"/>
    <n v="17.91"/>
  </r>
  <r>
    <x v="3"/>
    <x v="0"/>
    <x v="6"/>
    <x v="4"/>
    <x v="1"/>
    <x v="0"/>
    <n v="5.38"/>
    <n v="5.38"/>
    <n v="0.33"/>
    <n v="5.03"/>
  </r>
  <r>
    <x v="3"/>
    <x v="0"/>
    <x v="6"/>
    <x v="0"/>
    <x v="0"/>
    <x v="0"/>
    <n v="3.17"/>
    <n v="3.17"/>
    <n v="3.26"/>
    <n v="2.96"/>
  </r>
  <r>
    <x v="3"/>
    <x v="0"/>
    <x v="6"/>
    <x v="4"/>
    <x v="2"/>
    <x v="2"/>
    <n v="1.02"/>
    <n v="1.02"/>
    <n v="0.01"/>
    <n v="0.96"/>
  </r>
  <r>
    <x v="3"/>
    <x v="4"/>
    <x v="7"/>
    <x v="4"/>
    <x v="1"/>
    <x v="1"/>
    <n v="15.29"/>
    <n v="15.29"/>
    <n v="0.55000000000000004"/>
    <n v="12.65"/>
  </r>
  <r>
    <x v="3"/>
    <x v="4"/>
    <x v="7"/>
    <x v="4"/>
    <x v="4"/>
    <x v="1"/>
    <n v="30.16"/>
    <n v="30.16"/>
    <n v="1.6"/>
    <n v="24.93"/>
  </r>
  <r>
    <x v="3"/>
    <x v="4"/>
    <x v="7"/>
    <x v="4"/>
    <x v="0"/>
    <x v="1"/>
    <n v="18.239999999999998"/>
    <n v="18.239999999999998"/>
    <n v="0.82"/>
    <n v="15.11"/>
  </r>
  <r>
    <x v="3"/>
    <x v="4"/>
    <x v="7"/>
    <x v="2"/>
    <x v="3"/>
    <x v="2"/>
    <n v="91.51"/>
    <n v="91.51"/>
    <n v="0.19"/>
    <n v="91.51"/>
  </r>
  <r>
    <x v="3"/>
    <x v="4"/>
    <x v="7"/>
    <x v="2"/>
    <x v="3"/>
    <x v="3"/>
    <n v="357.04"/>
    <n v="357.04"/>
    <n v="0.17"/>
    <n v="357.04"/>
  </r>
  <r>
    <x v="3"/>
    <x v="4"/>
    <x v="7"/>
    <x v="2"/>
    <x v="2"/>
    <x v="3"/>
    <n v="30.78"/>
    <n v="30.78"/>
    <n v="0.02"/>
    <n v="30.78"/>
  </r>
  <r>
    <x v="3"/>
    <x v="4"/>
    <x v="7"/>
    <x v="4"/>
    <x v="1"/>
    <x v="0"/>
    <n v="163.22"/>
    <n v="163.22"/>
    <n v="14.42"/>
    <n v="143.13999999999999"/>
  </r>
  <r>
    <x v="3"/>
    <x v="4"/>
    <x v="7"/>
    <x v="1"/>
    <x v="0"/>
    <x v="0"/>
    <n v="73.78"/>
    <n v="73.78"/>
    <n v="53.06"/>
    <n v="67.739999999999995"/>
  </r>
  <r>
    <x v="3"/>
    <x v="4"/>
    <x v="7"/>
    <x v="2"/>
    <x v="3"/>
    <x v="1"/>
    <n v="64.86"/>
    <n v="64.86"/>
    <n v="7.0000000000000007E-2"/>
    <n v="55.18"/>
  </r>
  <r>
    <x v="3"/>
    <x v="4"/>
    <x v="7"/>
    <x v="3"/>
    <x v="0"/>
    <x v="0"/>
    <n v="43.01"/>
    <n v="43.01"/>
    <n v="33.5"/>
    <n v="43.01"/>
  </r>
  <r>
    <x v="3"/>
    <x v="4"/>
    <x v="7"/>
    <x v="3"/>
    <x v="4"/>
    <x v="0"/>
    <n v="242.06"/>
    <n v="242.06"/>
    <n v="86.16"/>
    <n v="237.17"/>
  </r>
  <r>
    <x v="3"/>
    <x v="4"/>
    <x v="7"/>
    <x v="3"/>
    <x v="1"/>
    <x v="0"/>
    <n v="6.4"/>
    <n v="6.4"/>
    <n v="0.77"/>
    <n v="6.4"/>
  </r>
  <r>
    <x v="3"/>
    <x v="4"/>
    <x v="7"/>
    <x v="1"/>
    <x v="3"/>
    <x v="1"/>
    <n v="2.64"/>
    <n v="2.64"/>
    <n v="0.02"/>
    <n v="2.2000000000000002"/>
  </r>
  <r>
    <x v="3"/>
    <x v="4"/>
    <x v="7"/>
    <x v="4"/>
    <x v="4"/>
    <x v="0"/>
    <n v="524.88"/>
    <n v="524.88"/>
    <n v="146.22999999999999"/>
    <n v="481.6"/>
  </r>
  <r>
    <x v="3"/>
    <x v="4"/>
    <x v="7"/>
    <x v="1"/>
    <x v="2"/>
    <x v="1"/>
    <n v="318.89999999999998"/>
    <n v="318.89999999999998"/>
    <n v="0.85"/>
    <n v="263.62"/>
  </r>
  <r>
    <x v="3"/>
    <x v="4"/>
    <x v="7"/>
    <x v="0"/>
    <x v="0"/>
    <x v="0"/>
    <n v="13.43"/>
    <n v="13.43"/>
    <n v="12.84"/>
    <n v="11.98"/>
  </r>
  <r>
    <x v="3"/>
    <x v="4"/>
    <x v="7"/>
    <x v="0"/>
    <x v="4"/>
    <x v="0"/>
    <n v="230.53"/>
    <n v="230.53"/>
    <n v="74.599999999999994"/>
    <n v="202.07"/>
  </r>
  <r>
    <x v="3"/>
    <x v="4"/>
    <x v="7"/>
    <x v="0"/>
    <x v="2"/>
    <x v="0"/>
    <n v="0.27"/>
    <n v="0.27"/>
    <n v="0"/>
    <n v="0.22"/>
  </r>
  <r>
    <x v="3"/>
    <x v="4"/>
    <x v="7"/>
    <x v="1"/>
    <x v="2"/>
    <x v="0"/>
    <n v="103.2"/>
    <n v="103.2"/>
    <n v="1.8"/>
    <n v="89.51"/>
  </r>
  <r>
    <x v="3"/>
    <x v="4"/>
    <x v="7"/>
    <x v="2"/>
    <x v="0"/>
    <x v="0"/>
    <n v="115.43"/>
    <n v="115.43"/>
    <n v="116"/>
    <n v="108.31"/>
  </r>
  <r>
    <x v="3"/>
    <x v="4"/>
    <x v="7"/>
    <x v="2"/>
    <x v="4"/>
    <x v="0"/>
    <n v="132.99"/>
    <n v="132.99"/>
    <n v="66.25"/>
    <n v="122.65"/>
  </r>
  <r>
    <x v="3"/>
    <x v="4"/>
    <x v="7"/>
    <x v="4"/>
    <x v="0"/>
    <x v="0"/>
    <n v="0.42"/>
    <n v="0.42"/>
    <n v="0.04"/>
    <n v="0.35"/>
  </r>
  <r>
    <x v="3"/>
    <x v="4"/>
    <x v="7"/>
    <x v="4"/>
    <x v="1"/>
    <x v="2"/>
    <n v="11.59"/>
    <n v="11.59"/>
    <n v="0.38"/>
    <n v="9.65"/>
  </r>
  <r>
    <x v="3"/>
    <x v="4"/>
    <x v="7"/>
    <x v="1"/>
    <x v="3"/>
    <x v="2"/>
    <n v="2.56"/>
    <n v="2.56"/>
    <n v="0.02"/>
    <n v="2.56"/>
  </r>
  <r>
    <x v="3"/>
    <x v="4"/>
    <x v="7"/>
    <x v="1"/>
    <x v="4"/>
    <x v="0"/>
    <n v="2880.12"/>
    <n v="2880.12"/>
    <n v="945.5"/>
    <n v="2626.66"/>
  </r>
  <r>
    <x v="3"/>
    <x v="4"/>
    <x v="7"/>
    <x v="1"/>
    <x v="2"/>
    <x v="2"/>
    <n v="0.37"/>
    <n v="0.37"/>
    <n v="0.01"/>
    <n v="0.37"/>
  </r>
  <r>
    <x v="3"/>
    <x v="4"/>
    <x v="7"/>
    <x v="1"/>
    <x v="1"/>
    <x v="2"/>
    <n v="23.98"/>
    <n v="23.98"/>
    <n v="0.33"/>
    <n v="19.98"/>
  </r>
  <r>
    <x v="3"/>
    <x v="4"/>
    <x v="7"/>
    <x v="2"/>
    <x v="4"/>
    <x v="1"/>
    <n v="1.75"/>
    <n v="1.75"/>
    <n v="0.01"/>
    <n v="1.75"/>
  </r>
  <r>
    <x v="3"/>
    <x v="4"/>
    <x v="7"/>
    <x v="4"/>
    <x v="2"/>
    <x v="2"/>
    <n v="16.79"/>
    <n v="16.79"/>
    <n v="0.4"/>
    <n v="13.99"/>
  </r>
  <r>
    <x v="3"/>
    <x v="4"/>
    <x v="7"/>
    <x v="1"/>
    <x v="1"/>
    <x v="0"/>
    <n v="1042.33"/>
    <n v="1042.33"/>
    <n v="100.25"/>
    <n v="923.55"/>
  </r>
  <r>
    <x v="3"/>
    <x v="4"/>
    <x v="7"/>
    <x v="4"/>
    <x v="4"/>
    <x v="2"/>
    <n v="14.83"/>
    <n v="14.83"/>
    <n v="0.9"/>
    <n v="12.36"/>
  </r>
  <r>
    <x v="3"/>
    <x v="4"/>
    <x v="7"/>
    <x v="0"/>
    <x v="0"/>
    <x v="1"/>
    <n v="93.79"/>
    <n v="93.79"/>
    <n v="3.37"/>
    <n v="77.510000000000005"/>
  </r>
  <r>
    <x v="3"/>
    <x v="4"/>
    <x v="7"/>
    <x v="0"/>
    <x v="4"/>
    <x v="1"/>
    <n v="137.02000000000001"/>
    <n v="137.02000000000001"/>
    <n v="2.57"/>
    <n v="113.24"/>
  </r>
  <r>
    <x v="3"/>
    <x v="4"/>
    <x v="7"/>
    <x v="1"/>
    <x v="0"/>
    <x v="1"/>
    <n v="80.47"/>
    <n v="80.47"/>
    <n v="2.9"/>
    <n v="66.88"/>
  </r>
  <r>
    <x v="3"/>
    <x v="4"/>
    <x v="7"/>
    <x v="1"/>
    <x v="4"/>
    <x v="1"/>
    <n v="21.63"/>
    <n v="21.63"/>
    <n v="0.6"/>
    <n v="17.91"/>
  </r>
  <r>
    <x v="3"/>
    <x v="4"/>
    <x v="7"/>
    <x v="1"/>
    <x v="1"/>
    <x v="1"/>
    <n v="349.07"/>
    <n v="349.07"/>
    <n v="2.12"/>
    <n v="288.55"/>
  </r>
  <r>
    <x v="3"/>
    <x v="4"/>
    <x v="7"/>
    <x v="1"/>
    <x v="4"/>
    <x v="2"/>
    <n v="22.18"/>
    <n v="22.18"/>
    <n v="1.22"/>
    <n v="18.48"/>
  </r>
  <r>
    <x v="3"/>
    <x v="0"/>
    <x v="8"/>
    <x v="4"/>
    <x v="0"/>
    <x v="1"/>
    <n v="0.61"/>
    <n v="0.61"/>
    <n v="0.03"/>
    <n v="0.57999999999999996"/>
  </r>
  <r>
    <x v="3"/>
    <x v="0"/>
    <x v="8"/>
    <x v="2"/>
    <x v="3"/>
    <x v="1"/>
    <n v="13.41"/>
    <n v="13.41"/>
    <n v="0.02"/>
    <n v="12.79"/>
  </r>
  <r>
    <x v="3"/>
    <x v="0"/>
    <x v="8"/>
    <x v="2"/>
    <x v="3"/>
    <x v="2"/>
    <n v="6.31"/>
    <n v="6.31"/>
    <n v="0"/>
    <n v="6.01"/>
  </r>
  <r>
    <x v="3"/>
    <x v="0"/>
    <x v="8"/>
    <x v="0"/>
    <x v="4"/>
    <x v="1"/>
    <n v="3.07"/>
    <n v="3.07"/>
    <n v="0.05"/>
    <n v="2.93"/>
  </r>
  <r>
    <x v="3"/>
    <x v="0"/>
    <x v="8"/>
    <x v="1"/>
    <x v="0"/>
    <x v="1"/>
    <n v="2.6"/>
    <n v="2.6"/>
    <n v="0.15"/>
    <n v="2.46"/>
  </r>
  <r>
    <x v="3"/>
    <x v="0"/>
    <x v="8"/>
    <x v="1"/>
    <x v="4"/>
    <x v="1"/>
    <n v="1.71"/>
    <n v="1.71"/>
    <n v="0.12"/>
    <n v="1.62"/>
  </r>
  <r>
    <x v="3"/>
    <x v="0"/>
    <x v="8"/>
    <x v="1"/>
    <x v="1"/>
    <x v="1"/>
    <n v="8.6999999999999993"/>
    <n v="8.6999999999999993"/>
    <n v="0.16"/>
    <n v="8.26"/>
  </r>
  <r>
    <x v="3"/>
    <x v="0"/>
    <x v="8"/>
    <x v="4"/>
    <x v="1"/>
    <x v="1"/>
    <n v="1.52"/>
    <n v="1.52"/>
    <n v="0.06"/>
    <n v="1.45"/>
  </r>
  <r>
    <x v="3"/>
    <x v="0"/>
    <x v="8"/>
    <x v="1"/>
    <x v="3"/>
    <x v="1"/>
    <n v="0.12"/>
    <n v="0.12"/>
    <n v="0"/>
    <n v="0.11"/>
  </r>
  <r>
    <x v="3"/>
    <x v="0"/>
    <x v="8"/>
    <x v="1"/>
    <x v="0"/>
    <x v="0"/>
    <n v="3.42"/>
    <n v="3.42"/>
    <n v="1.71"/>
    <n v="3.22"/>
  </r>
  <r>
    <x v="3"/>
    <x v="0"/>
    <x v="8"/>
    <x v="3"/>
    <x v="0"/>
    <x v="0"/>
    <n v="0.1"/>
    <n v="0.1"/>
    <n v="0.05"/>
    <n v="0.1"/>
  </r>
  <r>
    <x v="3"/>
    <x v="0"/>
    <x v="8"/>
    <x v="3"/>
    <x v="4"/>
    <x v="0"/>
    <n v="1.61"/>
    <n v="1.61"/>
    <n v="0.17"/>
    <n v="1.5"/>
  </r>
  <r>
    <x v="3"/>
    <x v="0"/>
    <x v="8"/>
    <x v="4"/>
    <x v="0"/>
    <x v="0"/>
    <n v="0.13"/>
    <n v="0.13"/>
    <n v="0.01"/>
    <n v="0.12"/>
  </r>
  <r>
    <x v="3"/>
    <x v="0"/>
    <x v="8"/>
    <x v="4"/>
    <x v="4"/>
    <x v="0"/>
    <n v="33.97"/>
    <n v="33.97"/>
    <n v="4.5199999999999996"/>
    <n v="31.49"/>
  </r>
  <r>
    <x v="3"/>
    <x v="0"/>
    <x v="8"/>
    <x v="4"/>
    <x v="1"/>
    <x v="0"/>
    <n v="9.49"/>
    <n v="9.49"/>
    <n v="0.59"/>
    <n v="8.8000000000000007"/>
  </r>
  <r>
    <x v="3"/>
    <x v="0"/>
    <x v="8"/>
    <x v="0"/>
    <x v="0"/>
    <x v="0"/>
    <n v="6.96"/>
    <n v="6.96"/>
    <n v="6.38"/>
    <n v="6.3"/>
  </r>
  <r>
    <x v="3"/>
    <x v="0"/>
    <x v="8"/>
    <x v="1"/>
    <x v="2"/>
    <x v="1"/>
    <n v="19.329999999999998"/>
    <n v="19.329999999999998"/>
    <n v="0.06"/>
    <n v="18.43"/>
  </r>
  <r>
    <x v="3"/>
    <x v="0"/>
    <x v="8"/>
    <x v="4"/>
    <x v="4"/>
    <x v="1"/>
    <n v="2.13"/>
    <n v="2.13"/>
    <n v="0.14000000000000001"/>
    <n v="2.0299999999999998"/>
  </r>
  <r>
    <x v="3"/>
    <x v="0"/>
    <x v="8"/>
    <x v="4"/>
    <x v="1"/>
    <x v="2"/>
    <n v="0.31"/>
    <n v="0.31"/>
    <n v="0.01"/>
    <n v="0.28999999999999998"/>
  </r>
  <r>
    <x v="3"/>
    <x v="0"/>
    <x v="8"/>
    <x v="4"/>
    <x v="2"/>
    <x v="2"/>
    <n v="0.56000000000000005"/>
    <n v="0.56000000000000005"/>
    <n v="0.01"/>
    <n v="0.51"/>
  </r>
  <r>
    <x v="3"/>
    <x v="0"/>
    <x v="8"/>
    <x v="1"/>
    <x v="4"/>
    <x v="2"/>
    <n v="0.19"/>
    <n v="0.19"/>
    <n v="0.01"/>
    <n v="0.18"/>
  </r>
  <r>
    <x v="3"/>
    <x v="0"/>
    <x v="8"/>
    <x v="1"/>
    <x v="2"/>
    <x v="2"/>
    <n v="7.0000000000000007E-2"/>
    <n v="7.0000000000000007E-2"/>
    <n v="0"/>
    <n v="7.0000000000000007E-2"/>
  </r>
  <r>
    <x v="3"/>
    <x v="0"/>
    <x v="8"/>
    <x v="2"/>
    <x v="2"/>
    <x v="2"/>
    <n v="0.18"/>
    <n v="0.18"/>
    <n v="0"/>
    <n v="0.18"/>
  </r>
  <r>
    <x v="3"/>
    <x v="0"/>
    <x v="8"/>
    <x v="0"/>
    <x v="0"/>
    <x v="1"/>
    <n v="2.12"/>
    <n v="2.12"/>
    <n v="7.0000000000000007E-2"/>
    <n v="2.0299999999999998"/>
  </r>
  <r>
    <x v="3"/>
    <x v="0"/>
    <x v="8"/>
    <x v="0"/>
    <x v="4"/>
    <x v="0"/>
    <n v="6.78"/>
    <n v="6.78"/>
    <n v="2.08"/>
    <n v="6.27"/>
  </r>
  <r>
    <x v="3"/>
    <x v="0"/>
    <x v="8"/>
    <x v="4"/>
    <x v="4"/>
    <x v="2"/>
    <n v="0.25"/>
    <n v="0.25"/>
    <n v="0.01"/>
    <n v="0.23"/>
  </r>
  <r>
    <x v="3"/>
    <x v="0"/>
    <x v="8"/>
    <x v="2"/>
    <x v="4"/>
    <x v="0"/>
    <n v="2.73"/>
    <n v="2.73"/>
    <n v="0.78"/>
    <n v="2.61"/>
  </r>
  <r>
    <x v="3"/>
    <x v="0"/>
    <x v="8"/>
    <x v="2"/>
    <x v="0"/>
    <x v="0"/>
    <n v="3.03"/>
    <n v="3.03"/>
    <n v="2.2599999999999998"/>
    <n v="2.88"/>
  </r>
  <r>
    <x v="3"/>
    <x v="0"/>
    <x v="8"/>
    <x v="1"/>
    <x v="2"/>
    <x v="0"/>
    <n v="7.87"/>
    <n v="7.87"/>
    <n v="0.12"/>
    <n v="7.4"/>
  </r>
  <r>
    <x v="3"/>
    <x v="0"/>
    <x v="8"/>
    <x v="1"/>
    <x v="1"/>
    <x v="0"/>
    <n v="10.43"/>
    <n v="10.43"/>
    <n v="0.43"/>
    <n v="9.74"/>
  </r>
  <r>
    <x v="3"/>
    <x v="0"/>
    <x v="8"/>
    <x v="1"/>
    <x v="4"/>
    <x v="0"/>
    <n v="29.29"/>
    <n v="29.29"/>
    <n v="7.04"/>
    <n v="27.33"/>
  </r>
  <r>
    <x v="3"/>
    <x v="0"/>
    <x v="8"/>
    <x v="2"/>
    <x v="3"/>
    <x v="3"/>
    <n v="3.17"/>
    <n v="3.17"/>
    <n v="0"/>
    <n v="3.09"/>
  </r>
  <r>
    <x v="3"/>
    <x v="5"/>
    <x v="9"/>
    <x v="1"/>
    <x v="4"/>
    <x v="0"/>
    <n v="65.56"/>
    <n v="65.56"/>
    <n v="15.4"/>
    <n v="60.82"/>
  </r>
  <r>
    <x v="3"/>
    <x v="5"/>
    <x v="9"/>
    <x v="2"/>
    <x v="4"/>
    <x v="0"/>
    <n v="2.93"/>
    <n v="2.93"/>
    <n v="0.67"/>
    <n v="2.78"/>
  </r>
  <r>
    <x v="3"/>
    <x v="5"/>
    <x v="9"/>
    <x v="4"/>
    <x v="4"/>
    <x v="1"/>
    <n v="0.27"/>
    <n v="0.27"/>
    <n v="0.01"/>
    <n v="0.25"/>
  </r>
  <r>
    <x v="3"/>
    <x v="5"/>
    <x v="9"/>
    <x v="1"/>
    <x v="4"/>
    <x v="1"/>
    <n v="0.25"/>
    <n v="0.25"/>
    <n v="0.01"/>
    <n v="0.24"/>
  </r>
  <r>
    <x v="3"/>
    <x v="5"/>
    <x v="9"/>
    <x v="1"/>
    <x v="0"/>
    <x v="1"/>
    <n v="1.36"/>
    <n v="1.36"/>
    <n v="0.05"/>
    <n v="1.35"/>
  </r>
  <r>
    <x v="3"/>
    <x v="5"/>
    <x v="9"/>
    <x v="0"/>
    <x v="4"/>
    <x v="1"/>
    <n v="0.52"/>
    <n v="0.52"/>
    <n v="0.02"/>
    <n v="0.48"/>
  </r>
  <r>
    <x v="3"/>
    <x v="5"/>
    <x v="9"/>
    <x v="2"/>
    <x v="3"/>
    <x v="1"/>
    <n v="1.05"/>
    <n v="1.05"/>
    <n v="0"/>
    <n v="0.97"/>
  </r>
  <r>
    <x v="3"/>
    <x v="5"/>
    <x v="9"/>
    <x v="0"/>
    <x v="0"/>
    <x v="1"/>
    <n v="0.61"/>
    <n v="0.61"/>
    <n v="0.04"/>
    <n v="0.56000000000000005"/>
  </r>
  <r>
    <x v="3"/>
    <x v="5"/>
    <x v="9"/>
    <x v="1"/>
    <x v="1"/>
    <x v="1"/>
    <n v="1.33"/>
    <n v="1.33"/>
    <n v="0.02"/>
    <n v="1.27"/>
  </r>
  <r>
    <x v="3"/>
    <x v="5"/>
    <x v="9"/>
    <x v="4"/>
    <x v="1"/>
    <x v="1"/>
    <n v="0.22"/>
    <n v="0.22"/>
    <n v="0"/>
    <n v="0.21"/>
  </r>
  <r>
    <x v="3"/>
    <x v="5"/>
    <x v="9"/>
    <x v="2"/>
    <x v="3"/>
    <x v="2"/>
    <n v="1.04"/>
    <n v="1.04"/>
    <n v="0"/>
    <n v="0.93"/>
  </r>
  <r>
    <x v="3"/>
    <x v="5"/>
    <x v="9"/>
    <x v="4"/>
    <x v="0"/>
    <x v="1"/>
    <n v="0.08"/>
    <n v="0.08"/>
    <n v="0.01"/>
    <n v="0.08"/>
  </r>
  <r>
    <x v="3"/>
    <x v="5"/>
    <x v="9"/>
    <x v="1"/>
    <x v="4"/>
    <x v="2"/>
    <n v="2.96"/>
    <n v="2.96"/>
    <n v="0.01"/>
    <n v="2.64"/>
  </r>
  <r>
    <x v="3"/>
    <x v="5"/>
    <x v="9"/>
    <x v="4"/>
    <x v="1"/>
    <x v="2"/>
    <n v="0.45"/>
    <n v="0.45"/>
    <n v="0.01"/>
    <n v="0.4"/>
  </r>
  <r>
    <x v="3"/>
    <x v="5"/>
    <x v="9"/>
    <x v="4"/>
    <x v="4"/>
    <x v="2"/>
    <n v="0.79"/>
    <n v="0.79"/>
    <n v="0.04"/>
    <n v="0.7"/>
  </r>
  <r>
    <x v="3"/>
    <x v="5"/>
    <x v="9"/>
    <x v="2"/>
    <x v="0"/>
    <x v="0"/>
    <n v="3.2"/>
    <n v="3.2"/>
    <n v="2.0299999999999998"/>
    <n v="3.04"/>
  </r>
  <r>
    <x v="3"/>
    <x v="5"/>
    <x v="9"/>
    <x v="1"/>
    <x v="1"/>
    <x v="0"/>
    <n v="9.39"/>
    <n v="9.39"/>
    <n v="0.8"/>
    <n v="8.66"/>
  </r>
  <r>
    <x v="3"/>
    <x v="5"/>
    <x v="9"/>
    <x v="1"/>
    <x v="2"/>
    <x v="1"/>
    <n v="4.12"/>
    <n v="4.12"/>
    <n v="0.03"/>
    <n v="3.84"/>
  </r>
  <r>
    <x v="3"/>
    <x v="5"/>
    <x v="9"/>
    <x v="3"/>
    <x v="0"/>
    <x v="0"/>
    <n v="0.32"/>
    <n v="0.32"/>
    <n v="0.33"/>
    <n v="0.31"/>
  </r>
  <r>
    <x v="3"/>
    <x v="5"/>
    <x v="9"/>
    <x v="0"/>
    <x v="4"/>
    <x v="0"/>
    <n v="7.42"/>
    <n v="7.42"/>
    <n v="2.04"/>
    <n v="6.97"/>
  </r>
  <r>
    <x v="3"/>
    <x v="5"/>
    <x v="9"/>
    <x v="4"/>
    <x v="4"/>
    <x v="0"/>
    <n v="21.58"/>
    <n v="21.58"/>
    <n v="2.8"/>
    <n v="20.38"/>
  </r>
  <r>
    <x v="3"/>
    <x v="5"/>
    <x v="9"/>
    <x v="4"/>
    <x v="0"/>
    <x v="0"/>
    <n v="0.02"/>
    <n v="0.02"/>
    <n v="0"/>
    <n v="0.02"/>
  </r>
  <r>
    <x v="3"/>
    <x v="5"/>
    <x v="9"/>
    <x v="0"/>
    <x v="0"/>
    <x v="0"/>
    <n v="2.58"/>
    <n v="2.58"/>
    <n v="2.37"/>
    <n v="2.36"/>
  </r>
  <r>
    <x v="3"/>
    <x v="5"/>
    <x v="9"/>
    <x v="3"/>
    <x v="4"/>
    <x v="0"/>
    <n v="1.29"/>
    <n v="1.29"/>
    <n v="0.34"/>
    <n v="1.22"/>
  </r>
  <r>
    <x v="3"/>
    <x v="5"/>
    <x v="9"/>
    <x v="4"/>
    <x v="1"/>
    <x v="0"/>
    <n v="2.6"/>
    <n v="2.6"/>
    <n v="0.14000000000000001"/>
    <n v="2.4300000000000002"/>
  </r>
  <r>
    <x v="3"/>
    <x v="5"/>
    <x v="9"/>
    <x v="4"/>
    <x v="2"/>
    <x v="2"/>
    <n v="0.7"/>
    <n v="0.7"/>
    <n v="0"/>
    <n v="0.61"/>
  </r>
  <r>
    <x v="3"/>
    <x v="5"/>
    <x v="9"/>
    <x v="1"/>
    <x v="0"/>
    <x v="0"/>
    <n v="4.83"/>
    <n v="4.83"/>
    <n v="3.19"/>
    <n v="4.5999999999999996"/>
  </r>
  <r>
    <x v="3"/>
    <x v="5"/>
    <x v="9"/>
    <x v="3"/>
    <x v="1"/>
    <x v="0"/>
    <n v="0.01"/>
    <n v="0.01"/>
    <n v="0"/>
    <n v="0.01"/>
  </r>
  <r>
    <x v="3"/>
    <x v="2"/>
    <x v="10"/>
    <x v="0"/>
    <x v="4"/>
    <x v="1"/>
    <n v="0.7"/>
    <n v="0.7"/>
    <n v="0.03"/>
    <n v="0.63"/>
  </r>
  <r>
    <x v="3"/>
    <x v="2"/>
    <x v="10"/>
    <x v="0"/>
    <x v="0"/>
    <x v="1"/>
    <n v="0.75"/>
    <n v="0.75"/>
    <n v="0.06"/>
    <n v="0.68"/>
  </r>
  <r>
    <x v="3"/>
    <x v="2"/>
    <x v="10"/>
    <x v="0"/>
    <x v="0"/>
    <x v="0"/>
    <n v="3.82"/>
    <n v="3.82"/>
    <n v="2.41"/>
    <n v="3.51"/>
  </r>
  <r>
    <x v="3"/>
    <x v="2"/>
    <x v="10"/>
    <x v="4"/>
    <x v="1"/>
    <x v="1"/>
    <n v="0.14000000000000001"/>
    <n v="0.14000000000000001"/>
    <n v="0"/>
    <n v="0.13"/>
  </r>
  <r>
    <x v="3"/>
    <x v="2"/>
    <x v="10"/>
    <x v="1"/>
    <x v="0"/>
    <x v="1"/>
    <n v="1.27"/>
    <n v="1.27"/>
    <n v="0.05"/>
    <n v="1.26"/>
  </r>
  <r>
    <x v="3"/>
    <x v="2"/>
    <x v="10"/>
    <x v="1"/>
    <x v="4"/>
    <x v="1"/>
    <n v="0.26"/>
    <n v="0.26"/>
    <n v="0.01"/>
    <n v="0.25"/>
  </r>
  <r>
    <x v="3"/>
    <x v="2"/>
    <x v="10"/>
    <x v="4"/>
    <x v="1"/>
    <x v="0"/>
    <n v="9.19"/>
    <n v="9.19"/>
    <n v="0.48"/>
    <n v="8.51"/>
  </r>
  <r>
    <x v="3"/>
    <x v="2"/>
    <x v="10"/>
    <x v="4"/>
    <x v="0"/>
    <x v="0"/>
    <n v="0.04"/>
    <n v="0.04"/>
    <n v="0.01"/>
    <n v="0.04"/>
  </r>
  <r>
    <x v="3"/>
    <x v="2"/>
    <x v="10"/>
    <x v="2"/>
    <x v="3"/>
    <x v="2"/>
    <n v="10.25"/>
    <n v="10.25"/>
    <n v="0.04"/>
    <n v="10.14"/>
  </r>
  <r>
    <x v="3"/>
    <x v="2"/>
    <x v="10"/>
    <x v="3"/>
    <x v="1"/>
    <x v="0"/>
    <n v="0.03"/>
    <n v="0.03"/>
    <n v="0"/>
    <n v="0.03"/>
  </r>
  <r>
    <x v="3"/>
    <x v="2"/>
    <x v="10"/>
    <x v="3"/>
    <x v="4"/>
    <x v="0"/>
    <n v="1.72"/>
    <n v="1.72"/>
    <n v="0.38"/>
    <n v="1.63"/>
  </r>
  <r>
    <x v="3"/>
    <x v="2"/>
    <x v="10"/>
    <x v="3"/>
    <x v="0"/>
    <x v="0"/>
    <n v="0.31"/>
    <n v="0.31"/>
    <n v="0.31"/>
    <n v="0.3"/>
  </r>
  <r>
    <x v="3"/>
    <x v="2"/>
    <x v="10"/>
    <x v="2"/>
    <x v="3"/>
    <x v="1"/>
    <n v="1.44"/>
    <n v="1.44"/>
    <n v="0.01"/>
    <n v="1.31"/>
  </r>
  <r>
    <x v="3"/>
    <x v="2"/>
    <x v="10"/>
    <x v="2"/>
    <x v="2"/>
    <x v="1"/>
    <n v="0.3"/>
    <n v="0.3"/>
    <n v="0"/>
    <n v="0.28999999999999998"/>
  </r>
  <r>
    <x v="3"/>
    <x v="2"/>
    <x v="10"/>
    <x v="1"/>
    <x v="2"/>
    <x v="1"/>
    <n v="4.9400000000000004"/>
    <n v="4.9400000000000004"/>
    <n v="0.03"/>
    <n v="4.45"/>
  </r>
  <r>
    <x v="3"/>
    <x v="2"/>
    <x v="10"/>
    <x v="4"/>
    <x v="4"/>
    <x v="0"/>
    <n v="52.09"/>
    <n v="52.09"/>
    <n v="6.85"/>
    <n v="48.35"/>
  </r>
  <r>
    <x v="3"/>
    <x v="2"/>
    <x v="10"/>
    <x v="1"/>
    <x v="1"/>
    <x v="1"/>
    <n v="0.98"/>
    <n v="0.98"/>
    <n v="0.02"/>
    <n v="0.9"/>
  </r>
  <r>
    <x v="3"/>
    <x v="2"/>
    <x v="10"/>
    <x v="2"/>
    <x v="4"/>
    <x v="0"/>
    <n v="2"/>
    <n v="2"/>
    <n v="0.37"/>
    <n v="1.89"/>
  </r>
  <r>
    <x v="3"/>
    <x v="2"/>
    <x v="10"/>
    <x v="1"/>
    <x v="2"/>
    <x v="0"/>
    <n v="0.6"/>
    <n v="0.6"/>
    <n v="0.01"/>
    <n v="0.55000000000000004"/>
  </r>
  <r>
    <x v="3"/>
    <x v="2"/>
    <x v="10"/>
    <x v="1"/>
    <x v="1"/>
    <x v="0"/>
    <n v="12.38"/>
    <n v="12.38"/>
    <n v="0.8"/>
    <n v="11.42"/>
  </r>
  <r>
    <x v="3"/>
    <x v="2"/>
    <x v="10"/>
    <x v="1"/>
    <x v="4"/>
    <x v="0"/>
    <n v="60.9"/>
    <n v="60.9"/>
    <n v="11.68"/>
    <n v="56.38"/>
  </r>
  <r>
    <x v="3"/>
    <x v="2"/>
    <x v="10"/>
    <x v="1"/>
    <x v="0"/>
    <x v="0"/>
    <n v="3.03"/>
    <n v="3.03"/>
    <n v="1.83"/>
    <n v="2.86"/>
  </r>
  <r>
    <x v="3"/>
    <x v="2"/>
    <x v="10"/>
    <x v="2"/>
    <x v="3"/>
    <x v="3"/>
    <n v="9.59"/>
    <n v="9.59"/>
    <n v="0.01"/>
    <n v="9.59"/>
  </r>
  <r>
    <x v="3"/>
    <x v="2"/>
    <x v="10"/>
    <x v="0"/>
    <x v="4"/>
    <x v="0"/>
    <n v="6.76"/>
    <n v="6.76"/>
    <n v="1.7"/>
    <n v="6.28"/>
  </r>
  <r>
    <x v="3"/>
    <x v="2"/>
    <x v="10"/>
    <x v="4"/>
    <x v="4"/>
    <x v="1"/>
    <n v="0.2"/>
    <n v="0.2"/>
    <n v="0.01"/>
    <n v="0.18"/>
  </r>
  <r>
    <x v="3"/>
    <x v="2"/>
    <x v="10"/>
    <x v="4"/>
    <x v="4"/>
    <x v="2"/>
    <n v="0.49"/>
    <n v="0.49"/>
    <n v="0.02"/>
    <n v="0.42"/>
  </r>
  <r>
    <x v="3"/>
    <x v="2"/>
    <x v="10"/>
    <x v="4"/>
    <x v="1"/>
    <x v="2"/>
    <n v="0.32"/>
    <n v="0.32"/>
    <n v="0.01"/>
    <n v="0.28000000000000003"/>
  </r>
  <r>
    <x v="3"/>
    <x v="2"/>
    <x v="10"/>
    <x v="1"/>
    <x v="4"/>
    <x v="2"/>
    <n v="1.78"/>
    <n v="1.78"/>
    <n v="0.03"/>
    <n v="1.55"/>
  </r>
  <r>
    <x v="3"/>
    <x v="2"/>
    <x v="10"/>
    <x v="2"/>
    <x v="0"/>
    <x v="0"/>
    <n v="3.21"/>
    <n v="3.21"/>
    <n v="1.33"/>
    <n v="2.99"/>
  </r>
  <r>
    <x v="3"/>
    <x v="2"/>
    <x v="10"/>
    <x v="2"/>
    <x v="2"/>
    <x v="3"/>
    <n v="0.16"/>
    <n v="0.16"/>
    <n v="0"/>
    <n v="0.16"/>
  </r>
  <r>
    <x v="3"/>
    <x v="2"/>
    <x v="10"/>
    <x v="4"/>
    <x v="0"/>
    <x v="1"/>
    <n v="0.12"/>
    <n v="0.12"/>
    <n v="0.01"/>
    <n v="0.1"/>
  </r>
  <r>
    <x v="3"/>
    <x v="2"/>
    <x v="11"/>
    <x v="0"/>
    <x v="0"/>
    <x v="0"/>
    <n v="3.79"/>
    <n v="3.79"/>
    <n v="3.11"/>
    <n v="3.45"/>
  </r>
  <r>
    <x v="3"/>
    <x v="2"/>
    <x v="11"/>
    <x v="1"/>
    <x v="2"/>
    <x v="1"/>
    <n v="4.0599999999999996"/>
    <n v="4.0599999999999996"/>
    <n v="0.02"/>
    <n v="3.66"/>
  </r>
  <r>
    <x v="3"/>
    <x v="2"/>
    <x v="11"/>
    <x v="4"/>
    <x v="4"/>
    <x v="2"/>
    <n v="0.81"/>
    <n v="0.81"/>
    <n v="0.05"/>
    <n v="0.7"/>
  </r>
  <r>
    <x v="3"/>
    <x v="2"/>
    <x v="11"/>
    <x v="4"/>
    <x v="1"/>
    <x v="2"/>
    <n v="0.48"/>
    <n v="0.48"/>
    <n v="0.02"/>
    <n v="0.42"/>
  </r>
  <r>
    <x v="3"/>
    <x v="2"/>
    <x v="11"/>
    <x v="4"/>
    <x v="2"/>
    <x v="2"/>
    <n v="0.93"/>
    <n v="0.93"/>
    <n v="0.01"/>
    <n v="0.81"/>
  </r>
  <r>
    <x v="3"/>
    <x v="2"/>
    <x v="11"/>
    <x v="1"/>
    <x v="4"/>
    <x v="2"/>
    <n v="4.4000000000000004"/>
    <n v="4.4000000000000004"/>
    <n v="0.03"/>
    <n v="3.83"/>
  </r>
  <r>
    <x v="3"/>
    <x v="2"/>
    <x v="11"/>
    <x v="2"/>
    <x v="2"/>
    <x v="3"/>
    <n v="0.02"/>
    <n v="0.02"/>
    <n v="0"/>
    <n v="0.02"/>
  </r>
  <r>
    <x v="3"/>
    <x v="2"/>
    <x v="11"/>
    <x v="2"/>
    <x v="3"/>
    <x v="3"/>
    <n v="0.85"/>
    <n v="0.85"/>
    <n v="0"/>
    <n v="0.85"/>
  </r>
  <r>
    <x v="3"/>
    <x v="2"/>
    <x v="11"/>
    <x v="4"/>
    <x v="0"/>
    <x v="1"/>
    <n v="0.09"/>
    <n v="0.09"/>
    <n v="0.01"/>
    <n v="0.08"/>
  </r>
  <r>
    <x v="3"/>
    <x v="2"/>
    <x v="11"/>
    <x v="4"/>
    <x v="4"/>
    <x v="1"/>
    <n v="0.15"/>
    <n v="0.15"/>
    <n v="0.01"/>
    <n v="0.14000000000000001"/>
  </r>
  <r>
    <x v="3"/>
    <x v="2"/>
    <x v="11"/>
    <x v="4"/>
    <x v="1"/>
    <x v="1"/>
    <n v="7.0000000000000007E-2"/>
    <n v="7.0000000000000007E-2"/>
    <n v="0"/>
    <n v="0.06"/>
  </r>
  <r>
    <x v="3"/>
    <x v="2"/>
    <x v="11"/>
    <x v="0"/>
    <x v="0"/>
    <x v="1"/>
    <n v="0.68"/>
    <n v="0.68"/>
    <n v="0.04"/>
    <n v="0.61"/>
  </r>
  <r>
    <x v="3"/>
    <x v="2"/>
    <x v="11"/>
    <x v="0"/>
    <x v="4"/>
    <x v="1"/>
    <n v="0.59"/>
    <n v="0.59"/>
    <n v="0.02"/>
    <n v="0.53"/>
  </r>
  <r>
    <x v="3"/>
    <x v="2"/>
    <x v="11"/>
    <x v="1"/>
    <x v="0"/>
    <x v="1"/>
    <n v="1.39"/>
    <n v="1.39"/>
    <n v="0.05"/>
    <n v="1.36"/>
  </r>
  <r>
    <x v="3"/>
    <x v="2"/>
    <x v="11"/>
    <x v="1"/>
    <x v="0"/>
    <x v="0"/>
    <n v="3.75"/>
    <n v="3.75"/>
    <n v="2.35"/>
    <n v="3.53"/>
  </r>
  <r>
    <x v="3"/>
    <x v="2"/>
    <x v="11"/>
    <x v="1"/>
    <x v="1"/>
    <x v="1"/>
    <n v="1.19"/>
    <n v="1.19"/>
    <n v="0.02"/>
    <n v="1.1000000000000001"/>
  </r>
  <r>
    <x v="3"/>
    <x v="2"/>
    <x v="11"/>
    <x v="2"/>
    <x v="4"/>
    <x v="0"/>
    <n v="1.77"/>
    <n v="1.77"/>
    <n v="0.38"/>
    <n v="1.65"/>
  </r>
  <r>
    <x v="3"/>
    <x v="2"/>
    <x v="11"/>
    <x v="2"/>
    <x v="3"/>
    <x v="1"/>
    <n v="1.51"/>
    <n v="1.51"/>
    <n v="0.01"/>
    <n v="1.37"/>
  </r>
  <r>
    <x v="3"/>
    <x v="2"/>
    <x v="11"/>
    <x v="3"/>
    <x v="0"/>
    <x v="0"/>
    <n v="0.36"/>
    <n v="0.36"/>
    <n v="0.37"/>
    <n v="0.36"/>
  </r>
  <r>
    <x v="3"/>
    <x v="2"/>
    <x v="11"/>
    <x v="3"/>
    <x v="4"/>
    <x v="0"/>
    <n v="2.2599999999999998"/>
    <n v="2.2599999999999998"/>
    <n v="0.57999999999999996"/>
    <n v="2.13"/>
  </r>
  <r>
    <x v="3"/>
    <x v="2"/>
    <x v="11"/>
    <x v="3"/>
    <x v="1"/>
    <x v="0"/>
    <n v="0.04"/>
    <n v="0.04"/>
    <n v="0.01"/>
    <n v="0.04"/>
  </r>
  <r>
    <x v="3"/>
    <x v="2"/>
    <x v="11"/>
    <x v="4"/>
    <x v="0"/>
    <x v="0"/>
    <n v="0.03"/>
    <n v="0.03"/>
    <n v="0"/>
    <n v="0.02"/>
  </r>
  <r>
    <x v="3"/>
    <x v="2"/>
    <x v="11"/>
    <x v="4"/>
    <x v="4"/>
    <x v="0"/>
    <n v="63.12"/>
    <n v="63.12"/>
    <n v="8.2799999999999994"/>
    <n v="58.06"/>
  </r>
  <r>
    <x v="3"/>
    <x v="2"/>
    <x v="11"/>
    <x v="4"/>
    <x v="1"/>
    <x v="0"/>
    <n v="9.06"/>
    <n v="9.06"/>
    <n v="0.43"/>
    <n v="8.27"/>
  </r>
  <r>
    <x v="3"/>
    <x v="2"/>
    <x v="11"/>
    <x v="0"/>
    <x v="4"/>
    <x v="0"/>
    <n v="7.8"/>
    <n v="7.8"/>
    <n v="2.13"/>
    <n v="7.11"/>
  </r>
  <r>
    <x v="3"/>
    <x v="2"/>
    <x v="11"/>
    <x v="1"/>
    <x v="4"/>
    <x v="0"/>
    <n v="66.77"/>
    <n v="66.77"/>
    <n v="14.24"/>
    <n v="61.27"/>
  </r>
  <r>
    <x v="3"/>
    <x v="2"/>
    <x v="11"/>
    <x v="1"/>
    <x v="1"/>
    <x v="0"/>
    <n v="10.69"/>
    <n v="10.69"/>
    <n v="0.75"/>
    <n v="9.81"/>
  </r>
  <r>
    <x v="3"/>
    <x v="2"/>
    <x v="11"/>
    <x v="2"/>
    <x v="0"/>
    <x v="0"/>
    <n v="2.15"/>
    <n v="2.15"/>
    <n v="1.38"/>
    <n v="1.99"/>
  </r>
  <r>
    <x v="3"/>
    <x v="2"/>
    <x v="11"/>
    <x v="1"/>
    <x v="4"/>
    <x v="1"/>
    <n v="0.59"/>
    <n v="0.59"/>
    <n v="0.02"/>
    <n v="0.57999999999999996"/>
  </r>
  <r>
    <x v="3"/>
    <x v="2"/>
    <x v="12"/>
    <x v="1"/>
    <x v="4"/>
    <x v="1"/>
    <n v="79.180000000000007"/>
    <n v="79.180000000000007"/>
    <n v="0.27"/>
    <n v="77.52"/>
  </r>
  <r>
    <x v="3"/>
    <x v="2"/>
    <x v="12"/>
    <x v="4"/>
    <x v="0"/>
    <x v="1"/>
    <n v="1.55"/>
    <n v="1.55"/>
    <n v="0.13"/>
    <n v="1.41"/>
  </r>
  <r>
    <x v="3"/>
    <x v="2"/>
    <x v="12"/>
    <x v="1"/>
    <x v="2"/>
    <x v="1"/>
    <n v="57.7"/>
    <n v="57.7"/>
    <n v="0.39"/>
    <n v="52.25"/>
  </r>
  <r>
    <x v="3"/>
    <x v="2"/>
    <x v="12"/>
    <x v="3"/>
    <x v="0"/>
    <x v="0"/>
    <n v="8.74"/>
    <n v="8.74"/>
    <n v="7.73"/>
    <n v="8.6199999999999992"/>
  </r>
  <r>
    <x v="3"/>
    <x v="2"/>
    <x v="12"/>
    <x v="2"/>
    <x v="3"/>
    <x v="1"/>
    <n v="18.66"/>
    <n v="18.66"/>
    <n v="7.0000000000000007E-2"/>
    <n v="16.89"/>
  </r>
  <r>
    <x v="3"/>
    <x v="2"/>
    <x v="12"/>
    <x v="1"/>
    <x v="1"/>
    <x v="1"/>
    <n v="41.02"/>
    <n v="41.02"/>
    <n v="0.51"/>
    <n v="39.89"/>
  </r>
  <r>
    <x v="3"/>
    <x v="2"/>
    <x v="12"/>
    <x v="1"/>
    <x v="0"/>
    <x v="1"/>
    <n v="25.19"/>
    <n v="25.19"/>
    <n v="1.22"/>
    <n v="24.84"/>
  </r>
  <r>
    <x v="3"/>
    <x v="2"/>
    <x v="12"/>
    <x v="0"/>
    <x v="4"/>
    <x v="1"/>
    <n v="7.87"/>
    <n v="7.87"/>
    <n v="0.31"/>
    <n v="7.09"/>
  </r>
  <r>
    <x v="3"/>
    <x v="2"/>
    <x v="12"/>
    <x v="0"/>
    <x v="0"/>
    <x v="1"/>
    <n v="8.89"/>
    <n v="8.89"/>
    <n v="0.62"/>
    <n v="8.01"/>
  </r>
  <r>
    <x v="3"/>
    <x v="2"/>
    <x v="12"/>
    <x v="3"/>
    <x v="1"/>
    <x v="0"/>
    <n v="0.42"/>
    <n v="0.42"/>
    <n v="7.0000000000000007E-2"/>
    <n v="0.41"/>
  </r>
  <r>
    <x v="3"/>
    <x v="2"/>
    <x v="12"/>
    <x v="4"/>
    <x v="4"/>
    <x v="1"/>
    <n v="1.95"/>
    <n v="1.95"/>
    <n v="0.1"/>
    <n v="1.77"/>
  </r>
  <r>
    <x v="3"/>
    <x v="2"/>
    <x v="12"/>
    <x v="4"/>
    <x v="0"/>
    <x v="0"/>
    <n v="0.26"/>
    <n v="0.26"/>
    <n v="0.04"/>
    <n v="0.24"/>
  </r>
  <r>
    <x v="3"/>
    <x v="2"/>
    <x v="12"/>
    <x v="2"/>
    <x v="3"/>
    <x v="3"/>
    <n v="184.09"/>
    <n v="184.09"/>
    <n v="0.12"/>
    <n v="184.09"/>
  </r>
  <r>
    <x v="3"/>
    <x v="2"/>
    <x v="12"/>
    <x v="2"/>
    <x v="2"/>
    <x v="3"/>
    <n v="4.38"/>
    <n v="4.38"/>
    <n v="0"/>
    <n v="4.38"/>
  </r>
  <r>
    <x v="3"/>
    <x v="2"/>
    <x v="12"/>
    <x v="2"/>
    <x v="3"/>
    <x v="2"/>
    <n v="14.06"/>
    <n v="14.06"/>
    <n v="0.01"/>
    <n v="12.64"/>
  </r>
  <r>
    <x v="3"/>
    <x v="2"/>
    <x v="12"/>
    <x v="1"/>
    <x v="3"/>
    <x v="2"/>
    <n v="3.66"/>
    <n v="3.66"/>
    <n v="0"/>
    <n v="3.22"/>
  </r>
  <r>
    <x v="3"/>
    <x v="2"/>
    <x v="12"/>
    <x v="1"/>
    <x v="4"/>
    <x v="2"/>
    <n v="7.08"/>
    <n v="7.08"/>
    <n v="0.14000000000000001"/>
    <n v="6.22"/>
  </r>
  <r>
    <x v="3"/>
    <x v="2"/>
    <x v="12"/>
    <x v="4"/>
    <x v="2"/>
    <x v="2"/>
    <n v="1.78"/>
    <n v="1.78"/>
    <n v="0.01"/>
    <n v="1.57"/>
  </r>
  <r>
    <x v="3"/>
    <x v="2"/>
    <x v="12"/>
    <x v="4"/>
    <x v="1"/>
    <x v="2"/>
    <n v="1.1000000000000001"/>
    <n v="1.1000000000000001"/>
    <n v="0.03"/>
    <n v="0.97"/>
  </r>
  <r>
    <x v="3"/>
    <x v="2"/>
    <x v="12"/>
    <x v="4"/>
    <x v="4"/>
    <x v="2"/>
    <n v="1.82"/>
    <n v="1.82"/>
    <n v="0.1"/>
    <n v="1.6"/>
  </r>
  <r>
    <x v="3"/>
    <x v="2"/>
    <x v="12"/>
    <x v="4"/>
    <x v="1"/>
    <x v="1"/>
    <n v="1.07"/>
    <n v="1.07"/>
    <n v="0.02"/>
    <n v="0.98"/>
  </r>
  <r>
    <x v="3"/>
    <x v="2"/>
    <x v="12"/>
    <x v="2"/>
    <x v="0"/>
    <x v="0"/>
    <n v="26.16"/>
    <n v="26.16"/>
    <n v="16.170000000000002"/>
    <n v="24.88"/>
  </r>
  <r>
    <x v="3"/>
    <x v="2"/>
    <x v="12"/>
    <x v="3"/>
    <x v="4"/>
    <x v="0"/>
    <n v="36.880000000000003"/>
    <n v="36.880000000000003"/>
    <n v="8.49"/>
    <n v="34.96"/>
  </r>
  <r>
    <x v="3"/>
    <x v="2"/>
    <x v="12"/>
    <x v="2"/>
    <x v="4"/>
    <x v="0"/>
    <n v="28.63"/>
    <n v="28.63"/>
    <n v="5.55"/>
    <n v="27.15"/>
  </r>
  <r>
    <x v="3"/>
    <x v="2"/>
    <x v="12"/>
    <x v="1"/>
    <x v="2"/>
    <x v="0"/>
    <n v="9.6199999999999992"/>
    <n v="9.6199999999999992"/>
    <n v="0.15"/>
    <n v="8.66"/>
  </r>
  <r>
    <x v="3"/>
    <x v="2"/>
    <x v="12"/>
    <x v="1"/>
    <x v="1"/>
    <x v="0"/>
    <n v="83.65"/>
    <n v="83.65"/>
    <n v="4.9000000000000004"/>
    <n v="78.23"/>
  </r>
  <r>
    <x v="3"/>
    <x v="2"/>
    <x v="12"/>
    <x v="1"/>
    <x v="4"/>
    <x v="0"/>
    <n v="529.29999999999995"/>
    <n v="529.29999999999995"/>
    <n v="98.67"/>
    <n v="494.79"/>
  </r>
  <r>
    <x v="3"/>
    <x v="2"/>
    <x v="12"/>
    <x v="1"/>
    <x v="0"/>
    <x v="0"/>
    <n v="40.79"/>
    <n v="40.79"/>
    <n v="25.61"/>
    <n v="38.94"/>
  </r>
  <r>
    <x v="3"/>
    <x v="2"/>
    <x v="12"/>
    <x v="0"/>
    <x v="4"/>
    <x v="0"/>
    <n v="58.34"/>
    <n v="58.34"/>
    <n v="15.11"/>
    <n v="54.84"/>
  </r>
  <r>
    <x v="3"/>
    <x v="2"/>
    <x v="12"/>
    <x v="0"/>
    <x v="0"/>
    <x v="0"/>
    <n v="17.98"/>
    <n v="17.98"/>
    <n v="15.12"/>
    <n v="16.489999999999998"/>
  </r>
  <r>
    <x v="3"/>
    <x v="2"/>
    <x v="12"/>
    <x v="4"/>
    <x v="1"/>
    <x v="0"/>
    <n v="25.21"/>
    <n v="25.21"/>
    <n v="1.41"/>
    <n v="23.42"/>
  </r>
  <r>
    <x v="3"/>
    <x v="2"/>
    <x v="12"/>
    <x v="4"/>
    <x v="4"/>
    <x v="0"/>
    <n v="277.37"/>
    <n v="277.37"/>
    <n v="29.02"/>
    <n v="265.62"/>
  </r>
  <r>
    <x v="3"/>
    <x v="2"/>
    <x v="12"/>
    <x v="2"/>
    <x v="2"/>
    <x v="0"/>
    <n v="3.06"/>
    <n v="3.06"/>
    <n v="0.01"/>
    <n v="2.81"/>
  </r>
  <r>
    <x v="3"/>
    <x v="2"/>
    <x v="13"/>
    <x v="2"/>
    <x v="1"/>
    <x v="3"/>
    <n v="94.74"/>
    <n v="94.74"/>
    <n v="0.06"/>
    <n v="92.8"/>
  </r>
  <r>
    <x v="3"/>
    <x v="2"/>
    <x v="13"/>
    <x v="4"/>
    <x v="4"/>
    <x v="2"/>
    <n v="3.64"/>
    <n v="3.64"/>
    <n v="0.17"/>
    <n v="3.17"/>
  </r>
  <r>
    <x v="3"/>
    <x v="2"/>
    <x v="13"/>
    <x v="4"/>
    <x v="1"/>
    <x v="2"/>
    <n v="2.2200000000000002"/>
    <n v="2.2200000000000002"/>
    <n v="0.05"/>
    <n v="1.93"/>
  </r>
  <r>
    <x v="3"/>
    <x v="2"/>
    <x v="13"/>
    <x v="4"/>
    <x v="2"/>
    <x v="2"/>
    <n v="1.84"/>
    <n v="1.84"/>
    <n v="0.01"/>
    <n v="1.6"/>
  </r>
  <r>
    <x v="3"/>
    <x v="2"/>
    <x v="13"/>
    <x v="1"/>
    <x v="4"/>
    <x v="2"/>
    <n v="7.89"/>
    <n v="7.89"/>
    <n v="0.11"/>
    <n v="6.86"/>
  </r>
  <r>
    <x v="3"/>
    <x v="2"/>
    <x v="13"/>
    <x v="2"/>
    <x v="3"/>
    <x v="2"/>
    <n v="46.37"/>
    <n v="46.37"/>
    <n v="0.05"/>
    <n v="39.840000000000003"/>
  </r>
  <r>
    <x v="3"/>
    <x v="2"/>
    <x v="13"/>
    <x v="2"/>
    <x v="3"/>
    <x v="3"/>
    <n v="334.83"/>
    <n v="334.83"/>
    <n v="0.18"/>
    <n v="332.99"/>
  </r>
  <r>
    <x v="3"/>
    <x v="2"/>
    <x v="13"/>
    <x v="2"/>
    <x v="2"/>
    <x v="3"/>
    <n v="4.1900000000000004"/>
    <n v="4.1900000000000004"/>
    <n v="0"/>
    <n v="4.1900000000000004"/>
  </r>
  <r>
    <x v="3"/>
    <x v="2"/>
    <x v="13"/>
    <x v="0"/>
    <x v="1"/>
    <x v="1"/>
    <n v="0.15"/>
    <n v="0.15"/>
    <n v="0.01"/>
    <n v="0.14000000000000001"/>
  </r>
  <r>
    <x v="3"/>
    <x v="2"/>
    <x v="13"/>
    <x v="2"/>
    <x v="3"/>
    <x v="1"/>
    <n v="35.24"/>
    <n v="35.24"/>
    <n v="0.13"/>
    <n v="33.67"/>
  </r>
  <r>
    <x v="3"/>
    <x v="2"/>
    <x v="13"/>
    <x v="2"/>
    <x v="2"/>
    <x v="0"/>
    <n v="1.5"/>
    <n v="1.5"/>
    <n v="0"/>
    <n v="1.38"/>
  </r>
  <r>
    <x v="3"/>
    <x v="2"/>
    <x v="13"/>
    <x v="2"/>
    <x v="4"/>
    <x v="0"/>
    <n v="55.7"/>
    <n v="55.7"/>
    <n v="8.84"/>
    <n v="51.9"/>
  </r>
  <r>
    <x v="3"/>
    <x v="2"/>
    <x v="13"/>
    <x v="2"/>
    <x v="0"/>
    <x v="0"/>
    <n v="47.22"/>
    <n v="47.22"/>
    <n v="23.83"/>
    <n v="44.05"/>
  </r>
  <r>
    <x v="3"/>
    <x v="2"/>
    <x v="13"/>
    <x v="1"/>
    <x v="2"/>
    <x v="0"/>
    <n v="38"/>
    <n v="38"/>
    <n v="0.54"/>
    <n v="34.1"/>
  </r>
  <r>
    <x v="3"/>
    <x v="2"/>
    <x v="13"/>
    <x v="1"/>
    <x v="1"/>
    <x v="0"/>
    <n v="134.04"/>
    <n v="134.04"/>
    <n v="8.31"/>
    <n v="124.37"/>
  </r>
  <r>
    <x v="3"/>
    <x v="2"/>
    <x v="13"/>
    <x v="0"/>
    <x v="4"/>
    <x v="1"/>
    <n v="7.97"/>
    <n v="7.97"/>
    <n v="0.3"/>
    <n v="7.18"/>
  </r>
  <r>
    <x v="3"/>
    <x v="2"/>
    <x v="13"/>
    <x v="1"/>
    <x v="4"/>
    <x v="0"/>
    <n v="774.57"/>
    <n v="774.57"/>
    <n v="152.77000000000001"/>
    <n v="715.16"/>
  </r>
  <r>
    <x v="3"/>
    <x v="2"/>
    <x v="13"/>
    <x v="1"/>
    <x v="0"/>
    <x v="1"/>
    <n v="17.579999999999998"/>
    <n v="17.579999999999998"/>
    <n v="0.96"/>
    <n v="17.3"/>
  </r>
  <r>
    <x v="3"/>
    <x v="2"/>
    <x v="13"/>
    <x v="1"/>
    <x v="4"/>
    <x v="1"/>
    <n v="6.46"/>
    <n v="6.46"/>
    <n v="0.36"/>
    <n v="6.32"/>
  </r>
  <r>
    <x v="3"/>
    <x v="2"/>
    <x v="13"/>
    <x v="1"/>
    <x v="1"/>
    <x v="1"/>
    <n v="48.89"/>
    <n v="48.89"/>
    <n v="0.82"/>
    <n v="47.76"/>
  </r>
  <r>
    <x v="3"/>
    <x v="2"/>
    <x v="13"/>
    <x v="1"/>
    <x v="2"/>
    <x v="1"/>
    <n v="96.74"/>
    <n v="96.74"/>
    <n v="0.78"/>
    <n v="91.24"/>
  </r>
  <r>
    <x v="3"/>
    <x v="2"/>
    <x v="13"/>
    <x v="1"/>
    <x v="0"/>
    <x v="0"/>
    <n v="50.9"/>
    <n v="50.9"/>
    <n v="28.97"/>
    <n v="47.55"/>
  </r>
  <r>
    <x v="3"/>
    <x v="2"/>
    <x v="13"/>
    <x v="2"/>
    <x v="2"/>
    <x v="1"/>
    <n v="7.71"/>
    <n v="7.71"/>
    <n v="0.06"/>
    <n v="7.71"/>
  </r>
  <r>
    <x v="3"/>
    <x v="2"/>
    <x v="13"/>
    <x v="3"/>
    <x v="0"/>
    <x v="0"/>
    <n v="3.95"/>
    <n v="3.95"/>
    <n v="3.85"/>
    <n v="3.86"/>
  </r>
  <r>
    <x v="3"/>
    <x v="2"/>
    <x v="13"/>
    <x v="3"/>
    <x v="4"/>
    <x v="0"/>
    <n v="115.1"/>
    <n v="115.1"/>
    <n v="45.99"/>
    <n v="111.23"/>
  </r>
  <r>
    <x v="3"/>
    <x v="2"/>
    <x v="13"/>
    <x v="3"/>
    <x v="1"/>
    <x v="0"/>
    <n v="16.59"/>
    <n v="16.59"/>
    <n v="5.82"/>
    <n v="16.57"/>
  </r>
  <r>
    <x v="3"/>
    <x v="2"/>
    <x v="13"/>
    <x v="4"/>
    <x v="0"/>
    <x v="0"/>
    <n v="0.64"/>
    <n v="0.64"/>
    <n v="0.09"/>
    <n v="0.6"/>
  </r>
  <r>
    <x v="3"/>
    <x v="2"/>
    <x v="13"/>
    <x v="4"/>
    <x v="4"/>
    <x v="0"/>
    <n v="335.47"/>
    <n v="335.47"/>
    <n v="42.51"/>
    <n v="312.54000000000002"/>
  </r>
  <r>
    <x v="3"/>
    <x v="2"/>
    <x v="13"/>
    <x v="4"/>
    <x v="1"/>
    <x v="0"/>
    <n v="51.76"/>
    <n v="51.76"/>
    <n v="2.73"/>
    <n v="47.79"/>
  </r>
  <r>
    <x v="3"/>
    <x v="2"/>
    <x v="13"/>
    <x v="0"/>
    <x v="0"/>
    <x v="0"/>
    <n v="48"/>
    <n v="48"/>
    <n v="27.98"/>
    <n v="44.04"/>
  </r>
  <r>
    <x v="3"/>
    <x v="2"/>
    <x v="13"/>
    <x v="0"/>
    <x v="4"/>
    <x v="0"/>
    <n v="94"/>
    <n v="94"/>
    <n v="25.49"/>
    <n v="87.17"/>
  </r>
  <r>
    <x v="3"/>
    <x v="2"/>
    <x v="13"/>
    <x v="4"/>
    <x v="0"/>
    <x v="1"/>
    <n v="2.71"/>
    <n v="2.71"/>
    <n v="0.26"/>
    <n v="2.6"/>
  </r>
  <r>
    <x v="3"/>
    <x v="2"/>
    <x v="13"/>
    <x v="0"/>
    <x v="0"/>
    <x v="1"/>
    <n v="10.28"/>
    <n v="10.28"/>
    <n v="0.63"/>
    <n v="9.33"/>
  </r>
  <r>
    <x v="3"/>
    <x v="2"/>
    <x v="13"/>
    <x v="4"/>
    <x v="1"/>
    <x v="1"/>
    <n v="1.66"/>
    <n v="1.66"/>
    <n v="0.03"/>
    <n v="1.52"/>
  </r>
  <r>
    <x v="3"/>
    <x v="2"/>
    <x v="13"/>
    <x v="4"/>
    <x v="4"/>
    <x v="1"/>
    <n v="2.96"/>
    <n v="2.96"/>
    <n v="0.12"/>
    <n v="2.69"/>
  </r>
  <r>
    <x v="3"/>
    <x v="2"/>
    <x v="13"/>
    <x v="1"/>
    <x v="3"/>
    <x v="1"/>
    <n v="2.9"/>
    <n v="2.9"/>
    <n v="0.03"/>
    <n v="2.9"/>
  </r>
  <r>
    <x v="3"/>
    <x v="2"/>
    <x v="14"/>
    <x v="4"/>
    <x v="0"/>
    <x v="1"/>
    <n v="0.04"/>
    <n v="0.04"/>
    <n v="0"/>
    <n v="0.04"/>
  </r>
  <r>
    <x v="3"/>
    <x v="2"/>
    <x v="14"/>
    <x v="1"/>
    <x v="4"/>
    <x v="2"/>
    <n v="0.13"/>
    <n v="0.13"/>
    <n v="0.01"/>
    <n v="0.12"/>
  </r>
  <r>
    <x v="3"/>
    <x v="2"/>
    <x v="14"/>
    <x v="3"/>
    <x v="4"/>
    <x v="0"/>
    <n v="0.9"/>
    <n v="0.9"/>
    <n v="0.24"/>
    <n v="0.85"/>
  </r>
  <r>
    <x v="3"/>
    <x v="2"/>
    <x v="14"/>
    <x v="2"/>
    <x v="4"/>
    <x v="0"/>
    <n v="1.1399999999999999"/>
    <n v="1.1399999999999999"/>
    <n v="0.27"/>
    <n v="1.0900000000000001"/>
  </r>
  <r>
    <x v="3"/>
    <x v="2"/>
    <x v="14"/>
    <x v="2"/>
    <x v="0"/>
    <x v="0"/>
    <n v="1.52"/>
    <n v="1.52"/>
    <n v="0.9"/>
    <n v="1.45"/>
  </r>
  <r>
    <x v="3"/>
    <x v="2"/>
    <x v="14"/>
    <x v="1"/>
    <x v="2"/>
    <x v="0"/>
    <n v="0.35"/>
    <n v="0.35"/>
    <n v="0"/>
    <n v="0.31"/>
  </r>
  <r>
    <x v="3"/>
    <x v="2"/>
    <x v="14"/>
    <x v="1"/>
    <x v="1"/>
    <x v="0"/>
    <n v="3.59"/>
    <n v="3.59"/>
    <n v="0.26"/>
    <n v="3.37"/>
  </r>
  <r>
    <x v="3"/>
    <x v="2"/>
    <x v="14"/>
    <x v="1"/>
    <x v="4"/>
    <x v="0"/>
    <n v="24.09"/>
    <n v="24.09"/>
    <n v="5.44"/>
    <n v="22.34"/>
  </r>
  <r>
    <x v="3"/>
    <x v="2"/>
    <x v="14"/>
    <x v="1"/>
    <x v="0"/>
    <x v="0"/>
    <n v="2.12"/>
    <n v="2.12"/>
    <n v="1.37"/>
    <n v="2.0299999999999998"/>
  </r>
  <r>
    <x v="3"/>
    <x v="2"/>
    <x v="14"/>
    <x v="0"/>
    <x v="4"/>
    <x v="0"/>
    <n v="3.49"/>
    <n v="3.49"/>
    <n v="0.97"/>
    <n v="3.29"/>
  </r>
  <r>
    <x v="3"/>
    <x v="2"/>
    <x v="14"/>
    <x v="0"/>
    <x v="0"/>
    <x v="0"/>
    <n v="1.4"/>
    <n v="1.4"/>
    <n v="1.1299999999999999"/>
    <n v="1.28"/>
  </r>
  <r>
    <x v="3"/>
    <x v="2"/>
    <x v="14"/>
    <x v="4"/>
    <x v="1"/>
    <x v="0"/>
    <n v="1.07"/>
    <n v="1.07"/>
    <n v="0.05"/>
    <n v="0.98"/>
  </r>
  <r>
    <x v="3"/>
    <x v="2"/>
    <x v="14"/>
    <x v="4"/>
    <x v="4"/>
    <x v="0"/>
    <n v="8.5399999999999991"/>
    <n v="8.5399999999999991"/>
    <n v="1.33"/>
    <n v="7.95"/>
  </r>
  <r>
    <x v="3"/>
    <x v="2"/>
    <x v="14"/>
    <x v="2"/>
    <x v="2"/>
    <x v="3"/>
    <n v="0.14000000000000001"/>
    <n v="0.14000000000000001"/>
    <n v="0"/>
    <n v="0.14000000000000001"/>
  </r>
  <r>
    <x v="3"/>
    <x v="2"/>
    <x v="14"/>
    <x v="3"/>
    <x v="1"/>
    <x v="0"/>
    <n v="0.01"/>
    <n v="0.01"/>
    <n v="0"/>
    <n v="0.01"/>
  </r>
  <r>
    <x v="3"/>
    <x v="2"/>
    <x v="14"/>
    <x v="2"/>
    <x v="3"/>
    <x v="2"/>
    <n v="2.2799999999999998"/>
    <n v="2.2799999999999998"/>
    <n v="0.01"/>
    <n v="2.0299999999999998"/>
  </r>
  <r>
    <x v="3"/>
    <x v="2"/>
    <x v="14"/>
    <x v="3"/>
    <x v="0"/>
    <x v="0"/>
    <n v="0.19"/>
    <n v="0.19"/>
    <n v="0.18"/>
    <n v="0.19"/>
  </r>
  <r>
    <x v="3"/>
    <x v="2"/>
    <x v="14"/>
    <x v="2"/>
    <x v="3"/>
    <x v="1"/>
    <n v="0.47"/>
    <n v="0.47"/>
    <n v="0"/>
    <n v="0.43"/>
  </r>
  <r>
    <x v="3"/>
    <x v="2"/>
    <x v="14"/>
    <x v="1"/>
    <x v="2"/>
    <x v="1"/>
    <n v="2.11"/>
    <n v="2.11"/>
    <n v="0.01"/>
    <n v="1.9"/>
  </r>
  <r>
    <x v="3"/>
    <x v="2"/>
    <x v="14"/>
    <x v="1"/>
    <x v="1"/>
    <x v="1"/>
    <n v="0.65"/>
    <n v="0.65"/>
    <n v="0.01"/>
    <n v="0.61"/>
  </r>
  <r>
    <x v="3"/>
    <x v="2"/>
    <x v="14"/>
    <x v="1"/>
    <x v="4"/>
    <x v="1"/>
    <n v="0.34"/>
    <n v="0.34"/>
    <n v="0.01"/>
    <n v="0.34"/>
  </r>
  <r>
    <x v="3"/>
    <x v="2"/>
    <x v="14"/>
    <x v="1"/>
    <x v="0"/>
    <x v="1"/>
    <n v="0.1"/>
    <n v="0.1"/>
    <n v="0.01"/>
    <n v="0.09"/>
  </r>
  <r>
    <x v="3"/>
    <x v="2"/>
    <x v="14"/>
    <x v="0"/>
    <x v="4"/>
    <x v="1"/>
    <n v="0.31"/>
    <n v="0.31"/>
    <n v="0.01"/>
    <n v="0.28000000000000003"/>
  </r>
  <r>
    <x v="3"/>
    <x v="2"/>
    <x v="14"/>
    <x v="4"/>
    <x v="1"/>
    <x v="1"/>
    <n v="0.08"/>
    <n v="0.08"/>
    <n v="0"/>
    <n v="7.0000000000000007E-2"/>
  </r>
  <r>
    <x v="3"/>
    <x v="2"/>
    <x v="14"/>
    <x v="4"/>
    <x v="4"/>
    <x v="1"/>
    <n v="0.14000000000000001"/>
    <n v="0.14000000000000001"/>
    <n v="0"/>
    <n v="0.13"/>
  </r>
  <r>
    <x v="3"/>
    <x v="2"/>
    <x v="14"/>
    <x v="2"/>
    <x v="3"/>
    <x v="3"/>
    <n v="5.98"/>
    <n v="5.98"/>
    <n v="0"/>
    <n v="5.98"/>
  </r>
  <r>
    <x v="3"/>
    <x v="2"/>
    <x v="14"/>
    <x v="4"/>
    <x v="0"/>
    <x v="0"/>
    <n v="0.01"/>
    <n v="0.01"/>
    <n v="0"/>
    <n v="0.01"/>
  </r>
  <r>
    <x v="3"/>
    <x v="2"/>
    <x v="14"/>
    <x v="0"/>
    <x v="0"/>
    <x v="1"/>
    <n v="0.38"/>
    <n v="0.38"/>
    <n v="0.02"/>
    <n v="0.34"/>
  </r>
  <r>
    <x v="3"/>
    <x v="4"/>
    <x v="15"/>
    <x v="4"/>
    <x v="4"/>
    <x v="1"/>
    <n v="1.47"/>
    <n v="1.47"/>
    <n v="0.04"/>
    <n v="1.24"/>
  </r>
  <r>
    <x v="3"/>
    <x v="4"/>
    <x v="15"/>
    <x v="1"/>
    <x v="2"/>
    <x v="1"/>
    <n v="29.27"/>
    <n v="29.27"/>
    <n v="0.08"/>
    <n v="24.64"/>
  </r>
  <r>
    <x v="3"/>
    <x v="4"/>
    <x v="15"/>
    <x v="1"/>
    <x v="1"/>
    <x v="1"/>
    <n v="11.12"/>
    <n v="11.12"/>
    <n v="0.08"/>
    <n v="9.42"/>
  </r>
  <r>
    <x v="3"/>
    <x v="4"/>
    <x v="15"/>
    <x v="1"/>
    <x v="4"/>
    <x v="1"/>
    <n v="1.2"/>
    <n v="1.2"/>
    <n v="0.03"/>
    <n v="1.03"/>
  </r>
  <r>
    <x v="3"/>
    <x v="4"/>
    <x v="15"/>
    <x v="1"/>
    <x v="0"/>
    <x v="1"/>
    <n v="3.89"/>
    <n v="3.89"/>
    <n v="0.11"/>
    <n v="3.34"/>
  </r>
  <r>
    <x v="3"/>
    <x v="4"/>
    <x v="15"/>
    <x v="0"/>
    <x v="1"/>
    <x v="1"/>
    <n v="0.27"/>
    <n v="0.27"/>
    <n v="0.01"/>
    <n v="0.27"/>
  </r>
  <r>
    <x v="3"/>
    <x v="4"/>
    <x v="15"/>
    <x v="0"/>
    <x v="4"/>
    <x v="1"/>
    <n v="2.99"/>
    <n v="2.99"/>
    <n v="0.05"/>
    <n v="2.5099999999999998"/>
  </r>
  <r>
    <x v="3"/>
    <x v="4"/>
    <x v="15"/>
    <x v="1"/>
    <x v="3"/>
    <x v="1"/>
    <n v="0.45"/>
    <n v="0.45"/>
    <n v="0"/>
    <n v="0.39"/>
  </r>
  <r>
    <x v="3"/>
    <x v="4"/>
    <x v="15"/>
    <x v="4"/>
    <x v="1"/>
    <x v="1"/>
    <n v="3.16"/>
    <n v="3.16"/>
    <n v="0.1"/>
    <n v="2.66"/>
  </r>
  <r>
    <x v="3"/>
    <x v="4"/>
    <x v="15"/>
    <x v="2"/>
    <x v="3"/>
    <x v="2"/>
    <n v="0.84"/>
    <n v="0.84"/>
    <n v="0"/>
    <n v="0.69"/>
  </r>
  <r>
    <x v="3"/>
    <x v="4"/>
    <x v="15"/>
    <x v="4"/>
    <x v="0"/>
    <x v="1"/>
    <n v="0.78"/>
    <n v="0.78"/>
    <n v="0.04"/>
    <n v="0.65"/>
  </r>
  <r>
    <x v="3"/>
    <x v="4"/>
    <x v="15"/>
    <x v="2"/>
    <x v="3"/>
    <x v="3"/>
    <n v="29.36"/>
    <n v="29.36"/>
    <n v="0.02"/>
    <n v="27.4"/>
  </r>
  <r>
    <x v="3"/>
    <x v="4"/>
    <x v="15"/>
    <x v="2"/>
    <x v="2"/>
    <x v="3"/>
    <n v="2.14"/>
    <n v="2.14"/>
    <n v="0"/>
    <n v="2.14"/>
  </r>
  <r>
    <x v="3"/>
    <x v="4"/>
    <x v="15"/>
    <x v="4"/>
    <x v="2"/>
    <x v="2"/>
    <n v="0.34"/>
    <n v="0.34"/>
    <n v="0.01"/>
    <n v="0.27"/>
  </r>
  <r>
    <x v="3"/>
    <x v="4"/>
    <x v="15"/>
    <x v="1"/>
    <x v="1"/>
    <x v="2"/>
    <n v="1.4"/>
    <n v="1.4"/>
    <n v="0.03"/>
    <n v="1.1399999999999999"/>
  </r>
  <r>
    <x v="3"/>
    <x v="4"/>
    <x v="15"/>
    <x v="4"/>
    <x v="4"/>
    <x v="2"/>
    <n v="1.3"/>
    <n v="1.3"/>
    <n v="0.06"/>
    <n v="1.05"/>
  </r>
  <r>
    <x v="3"/>
    <x v="4"/>
    <x v="15"/>
    <x v="0"/>
    <x v="0"/>
    <x v="1"/>
    <n v="0.77"/>
    <n v="0.77"/>
    <n v="0.03"/>
    <n v="0.65"/>
  </r>
  <r>
    <x v="3"/>
    <x v="4"/>
    <x v="15"/>
    <x v="0"/>
    <x v="0"/>
    <x v="0"/>
    <n v="1.6"/>
    <n v="1.6"/>
    <n v="1.1499999999999999"/>
    <n v="1.42"/>
  </r>
  <r>
    <x v="3"/>
    <x v="4"/>
    <x v="15"/>
    <x v="2"/>
    <x v="0"/>
    <x v="0"/>
    <n v="9.08"/>
    <n v="9.08"/>
    <n v="7.84"/>
    <n v="8.34"/>
  </r>
  <r>
    <x v="3"/>
    <x v="4"/>
    <x v="15"/>
    <x v="1"/>
    <x v="4"/>
    <x v="2"/>
    <n v="0.49"/>
    <n v="0.49"/>
    <n v="0.02"/>
    <n v="0.4"/>
  </r>
  <r>
    <x v="3"/>
    <x v="4"/>
    <x v="15"/>
    <x v="2"/>
    <x v="4"/>
    <x v="0"/>
    <n v="5.53"/>
    <n v="5.53"/>
    <n v="2.11"/>
    <n v="5.44"/>
  </r>
  <r>
    <x v="3"/>
    <x v="4"/>
    <x v="15"/>
    <x v="1"/>
    <x v="1"/>
    <x v="0"/>
    <n v="19.100000000000001"/>
    <n v="19.100000000000001"/>
    <n v="1.44"/>
    <n v="17.18"/>
  </r>
  <r>
    <x v="3"/>
    <x v="4"/>
    <x v="15"/>
    <x v="1"/>
    <x v="4"/>
    <x v="0"/>
    <n v="209.64"/>
    <n v="209.64"/>
    <n v="51.44"/>
    <n v="195.63"/>
  </r>
  <r>
    <x v="3"/>
    <x v="4"/>
    <x v="15"/>
    <x v="2"/>
    <x v="4"/>
    <x v="1"/>
    <n v="0.49"/>
    <n v="0.49"/>
    <n v="0"/>
    <n v="0.4"/>
  </r>
  <r>
    <x v="3"/>
    <x v="4"/>
    <x v="15"/>
    <x v="0"/>
    <x v="4"/>
    <x v="0"/>
    <n v="4.91"/>
    <n v="4.91"/>
    <n v="1.21"/>
    <n v="4.83"/>
  </r>
  <r>
    <x v="3"/>
    <x v="4"/>
    <x v="15"/>
    <x v="1"/>
    <x v="2"/>
    <x v="0"/>
    <n v="4.46"/>
    <n v="4.46"/>
    <n v="0.04"/>
    <n v="3.82"/>
  </r>
  <r>
    <x v="3"/>
    <x v="4"/>
    <x v="15"/>
    <x v="4"/>
    <x v="1"/>
    <x v="0"/>
    <n v="11.24"/>
    <n v="11.24"/>
    <n v="0.89"/>
    <n v="9.81"/>
  </r>
  <r>
    <x v="3"/>
    <x v="4"/>
    <x v="15"/>
    <x v="4"/>
    <x v="4"/>
    <x v="0"/>
    <n v="41.7"/>
    <n v="41.7"/>
    <n v="6.43"/>
    <n v="37.270000000000003"/>
  </r>
  <r>
    <x v="3"/>
    <x v="4"/>
    <x v="15"/>
    <x v="4"/>
    <x v="0"/>
    <x v="0"/>
    <n v="0.11"/>
    <n v="0.11"/>
    <n v="0.01"/>
    <n v="0.09"/>
  </r>
  <r>
    <x v="3"/>
    <x v="4"/>
    <x v="15"/>
    <x v="3"/>
    <x v="4"/>
    <x v="0"/>
    <n v="31.93"/>
    <n v="31.93"/>
    <n v="11.44"/>
    <n v="30.42"/>
  </r>
  <r>
    <x v="3"/>
    <x v="4"/>
    <x v="15"/>
    <x v="3"/>
    <x v="0"/>
    <x v="0"/>
    <n v="5.95"/>
    <n v="5.95"/>
    <n v="4.55"/>
    <n v="5.95"/>
  </r>
  <r>
    <x v="3"/>
    <x v="4"/>
    <x v="15"/>
    <x v="2"/>
    <x v="3"/>
    <x v="1"/>
    <n v="13.21"/>
    <n v="13.21"/>
    <n v="0.01"/>
    <n v="11.46"/>
  </r>
  <r>
    <x v="3"/>
    <x v="4"/>
    <x v="15"/>
    <x v="1"/>
    <x v="0"/>
    <x v="0"/>
    <n v="10"/>
    <n v="10"/>
    <n v="6.54"/>
    <n v="9.07"/>
  </r>
  <r>
    <x v="3"/>
    <x v="5"/>
    <x v="16"/>
    <x v="4"/>
    <x v="0"/>
    <x v="0"/>
    <n v="0.01"/>
    <n v="0.01"/>
    <n v="0"/>
    <n v="0.01"/>
  </r>
  <r>
    <x v="3"/>
    <x v="5"/>
    <x v="16"/>
    <x v="4"/>
    <x v="4"/>
    <x v="0"/>
    <n v="12.09"/>
    <n v="12.09"/>
    <n v="1.57"/>
    <n v="11.29"/>
  </r>
  <r>
    <x v="3"/>
    <x v="5"/>
    <x v="16"/>
    <x v="3"/>
    <x v="1"/>
    <x v="0"/>
    <n v="0.01"/>
    <n v="0.01"/>
    <n v="0"/>
    <n v="0.01"/>
  </r>
  <r>
    <x v="3"/>
    <x v="5"/>
    <x v="16"/>
    <x v="3"/>
    <x v="4"/>
    <x v="0"/>
    <n v="1.23"/>
    <n v="1.23"/>
    <n v="0.32"/>
    <n v="1.1599999999999999"/>
  </r>
  <r>
    <x v="3"/>
    <x v="5"/>
    <x v="16"/>
    <x v="3"/>
    <x v="0"/>
    <x v="0"/>
    <n v="0.23"/>
    <n v="0.23"/>
    <n v="0.24"/>
    <n v="0.22"/>
  </r>
  <r>
    <x v="3"/>
    <x v="5"/>
    <x v="16"/>
    <x v="2"/>
    <x v="3"/>
    <x v="1"/>
    <n v="1.18"/>
    <n v="1.18"/>
    <n v="0"/>
    <n v="1.0900000000000001"/>
  </r>
  <r>
    <x v="3"/>
    <x v="5"/>
    <x v="16"/>
    <x v="1"/>
    <x v="2"/>
    <x v="1"/>
    <n v="3.26"/>
    <n v="3.26"/>
    <n v="0.02"/>
    <n v="3.02"/>
  </r>
  <r>
    <x v="3"/>
    <x v="5"/>
    <x v="16"/>
    <x v="1"/>
    <x v="1"/>
    <x v="1"/>
    <n v="0.87"/>
    <n v="0.87"/>
    <n v="0.02"/>
    <n v="0.82"/>
  </r>
  <r>
    <x v="3"/>
    <x v="5"/>
    <x v="16"/>
    <x v="1"/>
    <x v="4"/>
    <x v="1"/>
    <n v="0.55000000000000004"/>
    <n v="0.55000000000000004"/>
    <n v="0.02"/>
    <n v="0.54"/>
  </r>
  <r>
    <x v="3"/>
    <x v="5"/>
    <x v="16"/>
    <x v="4"/>
    <x v="1"/>
    <x v="0"/>
    <n v="1.92"/>
    <n v="1.92"/>
    <n v="0.11"/>
    <n v="1.8"/>
  </r>
  <r>
    <x v="3"/>
    <x v="5"/>
    <x v="16"/>
    <x v="0"/>
    <x v="4"/>
    <x v="1"/>
    <n v="0.44"/>
    <n v="0.44"/>
    <n v="0.02"/>
    <n v="0.41"/>
  </r>
  <r>
    <x v="3"/>
    <x v="5"/>
    <x v="16"/>
    <x v="0"/>
    <x v="0"/>
    <x v="1"/>
    <n v="0.49"/>
    <n v="0.49"/>
    <n v="0.04"/>
    <n v="0.45"/>
  </r>
  <r>
    <x v="3"/>
    <x v="5"/>
    <x v="16"/>
    <x v="4"/>
    <x v="1"/>
    <x v="1"/>
    <n v="0.21"/>
    <n v="0.21"/>
    <n v="0"/>
    <n v="0.2"/>
  </r>
  <r>
    <x v="3"/>
    <x v="5"/>
    <x v="16"/>
    <x v="1"/>
    <x v="0"/>
    <x v="1"/>
    <n v="1.28"/>
    <n v="1.28"/>
    <n v="0.05"/>
    <n v="1.27"/>
  </r>
  <r>
    <x v="3"/>
    <x v="5"/>
    <x v="16"/>
    <x v="4"/>
    <x v="0"/>
    <x v="1"/>
    <n v="0.08"/>
    <n v="0.08"/>
    <n v="0.01"/>
    <n v="7.0000000000000007E-2"/>
  </r>
  <r>
    <x v="3"/>
    <x v="5"/>
    <x v="16"/>
    <x v="1"/>
    <x v="4"/>
    <x v="2"/>
    <n v="0.67"/>
    <n v="0.67"/>
    <n v="0"/>
    <n v="0.6"/>
  </r>
  <r>
    <x v="3"/>
    <x v="5"/>
    <x v="16"/>
    <x v="4"/>
    <x v="1"/>
    <x v="2"/>
    <n v="0.21"/>
    <n v="0.21"/>
    <n v="0"/>
    <n v="0.18"/>
  </r>
  <r>
    <x v="3"/>
    <x v="5"/>
    <x v="16"/>
    <x v="4"/>
    <x v="4"/>
    <x v="1"/>
    <n v="0.22"/>
    <n v="0.22"/>
    <n v="0.01"/>
    <n v="0.2"/>
  </r>
  <r>
    <x v="3"/>
    <x v="5"/>
    <x v="16"/>
    <x v="2"/>
    <x v="3"/>
    <x v="2"/>
    <n v="1.04"/>
    <n v="1.04"/>
    <n v="0"/>
    <n v="0.93"/>
  </r>
  <r>
    <x v="3"/>
    <x v="5"/>
    <x v="16"/>
    <x v="2"/>
    <x v="2"/>
    <x v="3"/>
    <n v="0"/>
    <n v="0"/>
    <n v="0"/>
    <n v="0"/>
  </r>
  <r>
    <x v="3"/>
    <x v="5"/>
    <x v="16"/>
    <x v="2"/>
    <x v="0"/>
    <x v="0"/>
    <n v="2.48"/>
    <n v="2.48"/>
    <n v="1.27"/>
    <n v="2.34"/>
  </r>
  <r>
    <x v="3"/>
    <x v="5"/>
    <x v="16"/>
    <x v="2"/>
    <x v="3"/>
    <x v="3"/>
    <n v="0.26"/>
    <n v="0.26"/>
    <n v="0"/>
    <n v="0.26"/>
  </r>
  <r>
    <x v="3"/>
    <x v="5"/>
    <x v="16"/>
    <x v="0"/>
    <x v="0"/>
    <x v="0"/>
    <n v="1.45"/>
    <n v="1.45"/>
    <n v="1.31"/>
    <n v="1.32"/>
  </r>
  <r>
    <x v="3"/>
    <x v="5"/>
    <x v="16"/>
    <x v="2"/>
    <x v="4"/>
    <x v="0"/>
    <n v="2.19"/>
    <n v="2.19"/>
    <n v="0.48"/>
    <n v="2.09"/>
  </r>
  <r>
    <x v="3"/>
    <x v="5"/>
    <x v="16"/>
    <x v="1"/>
    <x v="2"/>
    <x v="0"/>
    <n v="0.14000000000000001"/>
    <n v="0.14000000000000001"/>
    <n v="0"/>
    <n v="0.12"/>
  </r>
  <r>
    <x v="3"/>
    <x v="5"/>
    <x v="16"/>
    <x v="1"/>
    <x v="1"/>
    <x v="0"/>
    <n v="6.95"/>
    <n v="6.95"/>
    <n v="0.63"/>
    <n v="6.4"/>
  </r>
  <r>
    <x v="3"/>
    <x v="5"/>
    <x v="16"/>
    <x v="1"/>
    <x v="4"/>
    <x v="0"/>
    <n v="46.1"/>
    <n v="46.1"/>
    <n v="11.61"/>
    <n v="42.47"/>
  </r>
  <r>
    <x v="3"/>
    <x v="5"/>
    <x v="16"/>
    <x v="1"/>
    <x v="0"/>
    <x v="0"/>
    <n v="2.83"/>
    <n v="2.83"/>
    <n v="1.82"/>
    <n v="2.66"/>
  </r>
  <r>
    <x v="3"/>
    <x v="5"/>
    <x v="16"/>
    <x v="0"/>
    <x v="4"/>
    <x v="0"/>
    <n v="5.65"/>
    <n v="5.65"/>
    <n v="1.44"/>
    <n v="5.31"/>
  </r>
  <r>
    <x v="3"/>
    <x v="5"/>
    <x v="16"/>
    <x v="4"/>
    <x v="4"/>
    <x v="2"/>
    <n v="0.38"/>
    <n v="0.38"/>
    <n v="0.02"/>
    <n v="0.33"/>
  </r>
  <r>
    <x v="3"/>
    <x v="6"/>
    <x v="17"/>
    <x v="4"/>
    <x v="0"/>
    <x v="1"/>
    <n v="4.63"/>
    <n v="4.63"/>
    <n v="0.28000000000000003"/>
    <n v="3.99"/>
  </r>
  <r>
    <x v="3"/>
    <x v="6"/>
    <x v="17"/>
    <x v="1"/>
    <x v="4"/>
    <x v="1"/>
    <n v="6.41"/>
    <n v="6.41"/>
    <n v="0.2"/>
    <n v="5.56"/>
  </r>
  <r>
    <x v="3"/>
    <x v="6"/>
    <x v="17"/>
    <x v="1"/>
    <x v="0"/>
    <x v="1"/>
    <n v="19.13"/>
    <n v="19.13"/>
    <n v="0.3"/>
    <n v="16.510000000000002"/>
  </r>
  <r>
    <x v="3"/>
    <x v="6"/>
    <x v="17"/>
    <x v="4"/>
    <x v="4"/>
    <x v="2"/>
    <n v="4.83"/>
    <n v="4.83"/>
    <n v="0.22"/>
    <n v="4.2"/>
  </r>
  <r>
    <x v="3"/>
    <x v="6"/>
    <x v="17"/>
    <x v="0"/>
    <x v="4"/>
    <x v="1"/>
    <n v="8.52"/>
    <n v="8.52"/>
    <n v="0.14000000000000001"/>
    <n v="7.28"/>
  </r>
  <r>
    <x v="3"/>
    <x v="6"/>
    <x v="17"/>
    <x v="0"/>
    <x v="0"/>
    <x v="1"/>
    <n v="0.61"/>
    <n v="0.61"/>
    <n v="0.03"/>
    <n v="0.52"/>
  </r>
  <r>
    <x v="3"/>
    <x v="6"/>
    <x v="17"/>
    <x v="1"/>
    <x v="2"/>
    <x v="1"/>
    <n v="32.54"/>
    <n v="32.54"/>
    <n v="0.1"/>
    <n v="27.87"/>
  </r>
  <r>
    <x v="3"/>
    <x v="6"/>
    <x v="17"/>
    <x v="4"/>
    <x v="4"/>
    <x v="1"/>
    <n v="1.52"/>
    <n v="1.52"/>
    <n v="0.04"/>
    <n v="1.3"/>
  </r>
  <r>
    <x v="3"/>
    <x v="6"/>
    <x v="17"/>
    <x v="1"/>
    <x v="3"/>
    <x v="1"/>
    <n v="1.1299999999999999"/>
    <n v="1.1299999999999999"/>
    <n v="0.01"/>
    <n v="0.99"/>
  </r>
  <r>
    <x v="3"/>
    <x v="6"/>
    <x v="17"/>
    <x v="2"/>
    <x v="3"/>
    <x v="3"/>
    <n v="3.21"/>
    <n v="3.21"/>
    <n v="0"/>
    <n v="2.61"/>
  </r>
  <r>
    <x v="3"/>
    <x v="6"/>
    <x v="17"/>
    <x v="2"/>
    <x v="3"/>
    <x v="2"/>
    <n v="24.53"/>
    <n v="24.53"/>
    <n v="0.04"/>
    <n v="24.53"/>
  </r>
  <r>
    <x v="3"/>
    <x v="6"/>
    <x v="17"/>
    <x v="1"/>
    <x v="1"/>
    <x v="2"/>
    <n v="3.84"/>
    <n v="3.84"/>
    <n v="0.06"/>
    <n v="3.61"/>
  </r>
  <r>
    <x v="3"/>
    <x v="6"/>
    <x v="17"/>
    <x v="1"/>
    <x v="4"/>
    <x v="2"/>
    <n v="4.7300000000000004"/>
    <n v="4.7300000000000004"/>
    <n v="0.2"/>
    <n v="4.1100000000000003"/>
  </r>
  <r>
    <x v="3"/>
    <x v="6"/>
    <x v="17"/>
    <x v="4"/>
    <x v="2"/>
    <x v="2"/>
    <n v="2.2799999999999998"/>
    <n v="2.2799999999999998"/>
    <n v="0.06"/>
    <n v="1.99"/>
  </r>
  <r>
    <x v="3"/>
    <x v="6"/>
    <x v="17"/>
    <x v="4"/>
    <x v="1"/>
    <x v="2"/>
    <n v="0.63"/>
    <n v="0.63"/>
    <n v="0.02"/>
    <n v="0.55000000000000004"/>
  </r>
  <r>
    <x v="3"/>
    <x v="6"/>
    <x v="17"/>
    <x v="4"/>
    <x v="1"/>
    <x v="1"/>
    <n v="3.56"/>
    <n v="3.56"/>
    <n v="0.12"/>
    <n v="3.07"/>
  </r>
  <r>
    <x v="3"/>
    <x v="6"/>
    <x v="17"/>
    <x v="4"/>
    <x v="1"/>
    <x v="0"/>
    <n v="34.520000000000003"/>
    <n v="34.520000000000003"/>
    <n v="2.2200000000000002"/>
    <n v="30.25"/>
  </r>
  <r>
    <x v="3"/>
    <x v="6"/>
    <x v="17"/>
    <x v="2"/>
    <x v="4"/>
    <x v="0"/>
    <n v="15.38"/>
    <n v="15.38"/>
    <n v="5.75"/>
    <n v="14"/>
  </r>
  <r>
    <x v="3"/>
    <x v="6"/>
    <x v="17"/>
    <x v="2"/>
    <x v="0"/>
    <x v="0"/>
    <n v="10.039999999999999"/>
    <n v="10.039999999999999"/>
    <n v="8.24"/>
    <n v="9.2200000000000006"/>
  </r>
  <r>
    <x v="3"/>
    <x v="6"/>
    <x v="17"/>
    <x v="1"/>
    <x v="2"/>
    <x v="0"/>
    <n v="16.440000000000001"/>
    <n v="16.440000000000001"/>
    <n v="0.18"/>
    <n v="14.23"/>
  </r>
  <r>
    <x v="3"/>
    <x v="6"/>
    <x v="17"/>
    <x v="1"/>
    <x v="1"/>
    <x v="0"/>
    <n v="35.44"/>
    <n v="35.44"/>
    <n v="2.19"/>
    <n v="31.53"/>
  </r>
  <r>
    <x v="3"/>
    <x v="6"/>
    <x v="17"/>
    <x v="1"/>
    <x v="4"/>
    <x v="0"/>
    <n v="196.01"/>
    <n v="196.01"/>
    <n v="49.9"/>
    <n v="179.93"/>
  </r>
  <r>
    <x v="3"/>
    <x v="6"/>
    <x v="17"/>
    <x v="1"/>
    <x v="0"/>
    <x v="0"/>
    <n v="4.1100000000000003"/>
    <n v="4.1100000000000003"/>
    <n v="2.77"/>
    <n v="3.89"/>
  </r>
  <r>
    <x v="3"/>
    <x v="6"/>
    <x v="17"/>
    <x v="1"/>
    <x v="1"/>
    <x v="1"/>
    <n v="21.63"/>
    <n v="21.63"/>
    <n v="0.13"/>
    <n v="18.57"/>
  </r>
  <r>
    <x v="3"/>
    <x v="6"/>
    <x v="17"/>
    <x v="0"/>
    <x v="0"/>
    <x v="0"/>
    <n v="11.81"/>
    <n v="11.81"/>
    <n v="9.9700000000000006"/>
    <n v="10.75"/>
  </r>
  <r>
    <x v="3"/>
    <x v="6"/>
    <x v="17"/>
    <x v="4"/>
    <x v="4"/>
    <x v="0"/>
    <n v="119.79"/>
    <n v="119.79"/>
    <n v="18.43"/>
    <n v="105.84"/>
  </r>
  <r>
    <x v="3"/>
    <x v="6"/>
    <x v="17"/>
    <x v="4"/>
    <x v="0"/>
    <x v="0"/>
    <n v="2.75"/>
    <n v="2.75"/>
    <n v="2.79"/>
    <n v="2.73"/>
  </r>
  <r>
    <x v="3"/>
    <x v="6"/>
    <x v="17"/>
    <x v="3"/>
    <x v="4"/>
    <x v="0"/>
    <n v="20.2"/>
    <n v="20.2"/>
    <n v="5.26"/>
    <n v="18.05"/>
  </r>
  <r>
    <x v="3"/>
    <x v="6"/>
    <x v="17"/>
    <x v="3"/>
    <x v="0"/>
    <x v="0"/>
    <n v="0"/>
    <n v="0"/>
    <n v="0"/>
    <n v="0"/>
  </r>
  <r>
    <x v="3"/>
    <x v="6"/>
    <x v="17"/>
    <x v="2"/>
    <x v="3"/>
    <x v="1"/>
    <n v="6.68"/>
    <n v="6.68"/>
    <n v="0.01"/>
    <n v="5.97"/>
  </r>
  <r>
    <x v="3"/>
    <x v="6"/>
    <x v="17"/>
    <x v="2"/>
    <x v="4"/>
    <x v="1"/>
    <n v="3.21"/>
    <n v="3.21"/>
    <n v="0.01"/>
    <n v="3.21"/>
  </r>
  <r>
    <x v="3"/>
    <x v="6"/>
    <x v="17"/>
    <x v="0"/>
    <x v="4"/>
    <x v="0"/>
    <n v="49.48"/>
    <n v="49.48"/>
    <n v="14.37"/>
    <n v="48.5"/>
  </r>
  <r>
    <x v="3"/>
    <x v="6"/>
    <x v="18"/>
    <x v="4"/>
    <x v="1"/>
    <x v="0"/>
    <n v="4.9800000000000004"/>
    <n v="4.9800000000000004"/>
    <n v="0.33"/>
    <n v="4.1900000000000004"/>
  </r>
  <r>
    <x v="3"/>
    <x v="6"/>
    <x v="18"/>
    <x v="2"/>
    <x v="3"/>
    <x v="3"/>
    <n v="2.36"/>
    <n v="2.36"/>
    <n v="0"/>
    <n v="1.89"/>
  </r>
  <r>
    <x v="3"/>
    <x v="6"/>
    <x v="18"/>
    <x v="1"/>
    <x v="3"/>
    <x v="1"/>
    <n v="0.31"/>
    <n v="0.31"/>
    <n v="0"/>
    <n v="0.26"/>
  </r>
  <r>
    <x v="3"/>
    <x v="6"/>
    <x v="18"/>
    <x v="1"/>
    <x v="2"/>
    <x v="1"/>
    <n v="21.18"/>
    <n v="21.18"/>
    <n v="7.0000000000000007E-2"/>
    <n v="18.34"/>
  </r>
  <r>
    <x v="3"/>
    <x v="6"/>
    <x v="18"/>
    <x v="2"/>
    <x v="4"/>
    <x v="0"/>
    <n v="4.93"/>
    <n v="4.93"/>
    <n v="2.2400000000000002"/>
    <n v="4.62"/>
  </r>
  <r>
    <x v="3"/>
    <x v="6"/>
    <x v="18"/>
    <x v="1"/>
    <x v="4"/>
    <x v="1"/>
    <n v="0.4"/>
    <n v="0.4"/>
    <n v="0.01"/>
    <n v="0.33"/>
  </r>
  <r>
    <x v="3"/>
    <x v="6"/>
    <x v="18"/>
    <x v="0"/>
    <x v="4"/>
    <x v="0"/>
    <n v="11.09"/>
    <n v="11.09"/>
    <n v="2.62"/>
    <n v="9.6999999999999993"/>
  </r>
  <r>
    <x v="3"/>
    <x v="6"/>
    <x v="18"/>
    <x v="0"/>
    <x v="4"/>
    <x v="1"/>
    <n v="2.96"/>
    <n v="2.96"/>
    <n v="0.05"/>
    <n v="2.57"/>
  </r>
  <r>
    <x v="3"/>
    <x v="6"/>
    <x v="18"/>
    <x v="0"/>
    <x v="0"/>
    <x v="1"/>
    <n v="1.78"/>
    <n v="1.78"/>
    <n v="7.0000000000000007E-2"/>
    <n v="1.54"/>
  </r>
  <r>
    <x v="3"/>
    <x v="6"/>
    <x v="18"/>
    <x v="4"/>
    <x v="1"/>
    <x v="1"/>
    <n v="0.9"/>
    <n v="0.9"/>
    <n v="0.03"/>
    <n v="0.77"/>
  </r>
  <r>
    <x v="3"/>
    <x v="6"/>
    <x v="18"/>
    <x v="2"/>
    <x v="4"/>
    <x v="1"/>
    <n v="1.85"/>
    <n v="1.85"/>
    <n v="0"/>
    <n v="1.85"/>
  </r>
  <r>
    <x v="3"/>
    <x v="6"/>
    <x v="18"/>
    <x v="4"/>
    <x v="0"/>
    <x v="1"/>
    <n v="1.1100000000000001"/>
    <n v="1.1100000000000001"/>
    <n v="0.09"/>
    <n v="0.92"/>
  </r>
  <r>
    <x v="3"/>
    <x v="6"/>
    <x v="18"/>
    <x v="1"/>
    <x v="1"/>
    <x v="1"/>
    <n v="6.23"/>
    <n v="6.23"/>
    <n v="0.05"/>
    <n v="5.38"/>
  </r>
  <r>
    <x v="3"/>
    <x v="6"/>
    <x v="18"/>
    <x v="2"/>
    <x v="2"/>
    <x v="3"/>
    <n v="2.5099999999999998"/>
    <n v="2.5099999999999998"/>
    <n v="0"/>
    <n v="2.0099999999999998"/>
  </r>
  <r>
    <x v="3"/>
    <x v="6"/>
    <x v="18"/>
    <x v="2"/>
    <x v="3"/>
    <x v="2"/>
    <n v="5.41"/>
    <n v="5.41"/>
    <n v="0.01"/>
    <n v="4.51"/>
  </r>
  <r>
    <x v="3"/>
    <x v="6"/>
    <x v="18"/>
    <x v="1"/>
    <x v="2"/>
    <x v="2"/>
    <n v="0.8"/>
    <n v="0.8"/>
    <n v="0"/>
    <n v="0.67"/>
  </r>
  <r>
    <x v="3"/>
    <x v="6"/>
    <x v="18"/>
    <x v="1"/>
    <x v="1"/>
    <x v="2"/>
    <n v="0.98"/>
    <n v="0.98"/>
    <n v="0.02"/>
    <n v="0.82"/>
  </r>
  <r>
    <x v="3"/>
    <x v="6"/>
    <x v="18"/>
    <x v="1"/>
    <x v="4"/>
    <x v="2"/>
    <n v="0.32"/>
    <n v="0.32"/>
    <n v="0.01"/>
    <n v="0.27"/>
  </r>
  <r>
    <x v="3"/>
    <x v="6"/>
    <x v="18"/>
    <x v="4"/>
    <x v="2"/>
    <x v="2"/>
    <n v="2.14"/>
    <n v="2.14"/>
    <n v="0.04"/>
    <n v="1.78"/>
  </r>
  <r>
    <x v="3"/>
    <x v="6"/>
    <x v="18"/>
    <x v="4"/>
    <x v="1"/>
    <x v="2"/>
    <n v="2.21"/>
    <n v="2.21"/>
    <n v="0.04"/>
    <n v="1.84"/>
  </r>
  <r>
    <x v="3"/>
    <x v="6"/>
    <x v="18"/>
    <x v="4"/>
    <x v="4"/>
    <x v="2"/>
    <n v="1.3"/>
    <n v="1.3"/>
    <n v="0.04"/>
    <n v="1.0900000000000001"/>
  </r>
  <r>
    <x v="3"/>
    <x v="6"/>
    <x v="18"/>
    <x v="4"/>
    <x v="4"/>
    <x v="1"/>
    <n v="0.61"/>
    <n v="0.61"/>
    <n v="0.03"/>
    <n v="0.53"/>
  </r>
  <r>
    <x v="3"/>
    <x v="6"/>
    <x v="18"/>
    <x v="0"/>
    <x v="2"/>
    <x v="0"/>
    <n v="0.87"/>
    <n v="0.87"/>
    <n v="0.01"/>
    <n v="0.87"/>
  </r>
  <r>
    <x v="3"/>
    <x v="6"/>
    <x v="18"/>
    <x v="2"/>
    <x v="0"/>
    <x v="0"/>
    <n v="9.7799999999999994"/>
    <n v="9.7799999999999994"/>
    <n v="6.53"/>
    <n v="8.3000000000000007"/>
  </r>
  <r>
    <x v="3"/>
    <x v="6"/>
    <x v="18"/>
    <x v="1"/>
    <x v="2"/>
    <x v="0"/>
    <n v="4.49"/>
    <n v="4.49"/>
    <n v="7.0000000000000007E-2"/>
    <n v="3.71"/>
  </r>
  <r>
    <x v="3"/>
    <x v="6"/>
    <x v="18"/>
    <x v="1"/>
    <x v="1"/>
    <x v="0"/>
    <n v="20.309999999999999"/>
    <n v="20.309999999999999"/>
    <n v="1.1200000000000001"/>
    <n v="16.93"/>
  </r>
  <r>
    <x v="3"/>
    <x v="6"/>
    <x v="18"/>
    <x v="1"/>
    <x v="0"/>
    <x v="1"/>
    <n v="1.47"/>
    <n v="1.47"/>
    <n v="7.0000000000000007E-2"/>
    <n v="1.22"/>
  </r>
  <r>
    <x v="3"/>
    <x v="6"/>
    <x v="18"/>
    <x v="1"/>
    <x v="0"/>
    <x v="0"/>
    <n v="4.28"/>
    <n v="4.28"/>
    <n v="2.4"/>
    <n v="3.6"/>
  </r>
  <r>
    <x v="3"/>
    <x v="6"/>
    <x v="18"/>
    <x v="2"/>
    <x v="3"/>
    <x v="1"/>
    <n v="1.06"/>
    <n v="1.06"/>
    <n v="0"/>
    <n v="0.86"/>
  </r>
  <r>
    <x v="3"/>
    <x v="6"/>
    <x v="18"/>
    <x v="0"/>
    <x v="0"/>
    <x v="0"/>
    <n v="4.4400000000000004"/>
    <n v="4.4400000000000004"/>
    <n v="3.93"/>
    <n v="3.73"/>
  </r>
  <r>
    <x v="3"/>
    <x v="6"/>
    <x v="18"/>
    <x v="4"/>
    <x v="4"/>
    <x v="0"/>
    <n v="24.34"/>
    <n v="24.34"/>
    <n v="4.05"/>
    <n v="20.81"/>
  </r>
  <r>
    <x v="3"/>
    <x v="6"/>
    <x v="18"/>
    <x v="3"/>
    <x v="4"/>
    <x v="0"/>
    <n v="1.19"/>
    <n v="1.19"/>
    <n v="0.32"/>
    <n v="0.99"/>
  </r>
  <r>
    <x v="3"/>
    <x v="6"/>
    <x v="18"/>
    <x v="3"/>
    <x v="0"/>
    <x v="0"/>
    <n v="0.12"/>
    <n v="0.12"/>
    <n v="0.11"/>
    <n v="0.12"/>
  </r>
  <r>
    <x v="3"/>
    <x v="6"/>
    <x v="18"/>
    <x v="4"/>
    <x v="0"/>
    <x v="0"/>
    <n v="0.12"/>
    <n v="0.12"/>
    <n v="0.01"/>
    <n v="0.1"/>
  </r>
  <r>
    <x v="3"/>
    <x v="6"/>
    <x v="18"/>
    <x v="1"/>
    <x v="4"/>
    <x v="0"/>
    <n v="67.77"/>
    <n v="67.77"/>
    <n v="17.829999999999998"/>
    <n v="58.25"/>
  </r>
  <r>
    <x v="3"/>
    <x v="2"/>
    <x v="19"/>
    <x v="0"/>
    <x v="0"/>
    <x v="0"/>
    <n v="5.0999999999999996"/>
    <n v="5.0999999999999996"/>
    <n v="5.12"/>
    <n v="4.62"/>
  </r>
  <r>
    <x v="3"/>
    <x v="2"/>
    <x v="19"/>
    <x v="4"/>
    <x v="1"/>
    <x v="0"/>
    <n v="5.0999999999999996"/>
    <n v="5.0999999999999996"/>
    <n v="0.26"/>
    <n v="4.72"/>
  </r>
  <r>
    <x v="3"/>
    <x v="2"/>
    <x v="19"/>
    <x v="3"/>
    <x v="1"/>
    <x v="0"/>
    <n v="1.08"/>
    <n v="1.08"/>
    <n v="0.16"/>
    <n v="1.06"/>
  </r>
  <r>
    <x v="3"/>
    <x v="2"/>
    <x v="19"/>
    <x v="1"/>
    <x v="1"/>
    <x v="0"/>
    <n v="21.89"/>
    <n v="21.89"/>
    <n v="1.35"/>
    <n v="20.78"/>
  </r>
  <r>
    <x v="3"/>
    <x v="2"/>
    <x v="19"/>
    <x v="3"/>
    <x v="4"/>
    <x v="0"/>
    <n v="14.66"/>
    <n v="14.66"/>
    <n v="3.62"/>
    <n v="14.29"/>
  </r>
  <r>
    <x v="3"/>
    <x v="2"/>
    <x v="19"/>
    <x v="3"/>
    <x v="0"/>
    <x v="0"/>
    <n v="4"/>
    <n v="4"/>
    <n v="4.7300000000000004"/>
    <n v="3.91"/>
  </r>
  <r>
    <x v="3"/>
    <x v="2"/>
    <x v="19"/>
    <x v="4"/>
    <x v="4"/>
    <x v="0"/>
    <n v="36.020000000000003"/>
    <n v="36.020000000000003"/>
    <n v="5.3"/>
    <n v="33.49"/>
  </r>
  <r>
    <x v="3"/>
    <x v="2"/>
    <x v="19"/>
    <x v="0"/>
    <x v="4"/>
    <x v="0"/>
    <n v="27.4"/>
    <n v="27.4"/>
    <n v="6.55"/>
    <n v="26.11"/>
  </r>
  <r>
    <x v="3"/>
    <x v="2"/>
    <x v="19"/>
    <x v="1"/>
    <x v="4"/>
    <x v="0"/>
    <n v="148.75"/>
    <n v="148.75"/>
    <n v="27.96"/>
    <n v="141.29"/>
  </r>
  <r>
    <x v="3"/>
    <x v="2"/>
    <x v="19"/>
    <x v="2"/>
    <x v="4"/>
    <x v="0"/>
    <n v="12.03"/>
    <n v="12.03"/>
    <n v="2.77"/>
    <n v="11.75"/>
  </r>
  <r>
    <x v="3"/>
    <x v="2"/>
    <x v="19"/>
    <x v="1"/>
    <x v="2"/>
    <x v="0"/>
    <n v="0.5"/>
    <n v="0.5"/>
    <n v="0.01"/>
    <n v="0.44"/>
  </r>
  <r>
    <x v="3"/>
    <x v="2"/>
    <x v="19"/>
    <x v="2"/>
    <x v="0"/>
    <x v="0"/>
    <n v="5.64"/>
    <n v="5.64"/>
    <n v="4.03"/>
    <n v="5.47"/>
  </r>
  <r>
    <x v="3"/>
    <x v="2"/>
    <x v="19"/>
    <x v="2"/>
    <x v="3"/>
    <x v="1"/>
    <n v="0.73"/>
    <n v="0.73"/>
    <n v="0"/>
    <n v="0.66"/>
  </r>
  <r>
    <x v="3"/>
    <x v="2"/>
    <x v="19"/>
    <x v="4"/>
    <x v="1"/>
    <x v="2"/>
    <n v="1.04"/>
    <n v="1.04"/>
    <n v="0.05"/>
    <n v="0.9"/>
  </r>
  <r>
    <x v="3"/>
    <x v="2"/>
    <x v="19"/>
    <x v="1"/>
    <x v="0"/>
    <x v="0"/>
    <n v="11.26"/>
    <n v="11.26"/>
    <n v="6.9"/>
    <n v="10.88"/>
  </r>
  <r>
    <x v="3"/>
    <x v="2"/>
    <x v="19"/>
    <x v="2"/>
    <x v="3"/>
    <x v="3"/>
    <n v="0.1"/>
    <n v="0.1"/>
    <n v="0"/>
    <n v="0.1"/>
  </r>
  <r>
    <x v="3"/>
    <x v="2"/>
    <x v="19"/>
    <x v="1"/>
    <x v="2"/>
    <x v="1"/>
    <n v="2.19"/>
    <n v="2.19"/>
    <n v="0.02"/>
    <n v="2.02"/>
  </r>
  <r>
    <x v="3"/>
    <x v="2"/>
    <x v="19"/>
    <x v="1"/>
    <x v="4"/>
    <x v="2"/>
    <n v="0.21"/>
    <n v="0.21"/>
    <n v="0"/>
    <n v="0.19"/>
  </r>
  <r>
    <x v="3"/>
    <x v="2"/>
    <x v="19"/>
    <x v="4"/>
    <x v="4"/>
    <x v="2"/>
    <n v="1.58"/>
    <n v="1.58"/>
    <n v="0.16"/>
    <n v="1.4"/>
  </r>
  <r>
    <x v="3"/>
    <x v="2"/>
    <x v="19"/>
    <x v="2"/>
    <x v="2"/>
    <x v="3"/>
    <n v="0"/>
    <n v="0"/>
    <n v="0"/>
    <n v="0"/>
  </r>
  <r>
    <x v="3"/>
    <x v="2"/>
    <x v="19"/>
    <x v="4"/>
    <x v="0"/>
    <x v="1"/>
    <n v="0.03"/>
    <n v="0.03"/>
    <n v="0"/>
    <n v="0.03"/>
  </r>
  <r>
    <x v="3"/>
    <x v="2"/>
    <x v="19"/>
    <x v="4"/>
    <x v="4"/>
    <x v="1"/>
    <n v="0.06"/>
    <n v="0.06"/>
    <n v="0"/>
    <n v="0.06"/>
  </r>
  <r>
    <x v="3"/>
    <x v="2"/>
    <x v="19"/>
    <x v="4"/>
    <x v="1"/>
    <x v="1"/>
    <n v="0.04"/>
    <n v="0.04"/>
    <n v="0"/>
    <n v="0.03"/>
  </r>
  <r>
    <x v="3"/>
    <x v="2"/>
    <x v="19"/>
    <x v="0"/>
    <x v="0"/>
    <x v="1"/>
    <n v="0.63"/>
    <n v="0.63"/>
    <n v="0.03"/>
    <n v="0.6"/>
  </r>
  <r>
    <x v="3"/>
    <x v="2"/>
    <x v="19"/>
    <x v="0"/>
    <x v="4"/>
    <x v="1"/>
    <n v="0.25"/>
    <n v="0.25"/>
    <n v="0.01"/>
    <n v="0.23"/>
  </r>
  <r>
    <x v="3"/>
    <x v="2"/>
    <x v="19"/>
    <x v="0"/>
    <x v="1"/>
    <x v="1"/>
    <n v="0.26"/>
    <n v="0.26"/>
    <n v="0.01"/>
    <n v="0.26"/>
  </r>
  <r>
    <x v="3"/>
    <x v="2"/>
    <x v="19"/>
    <x v="1"/>
    <x v="0"/>
    <x v="1"/>
    <n v="0.13"/>
    <n v="0.13"/>
    <n v="0.01"/>
    <n v="0.12"/>
  </r>
  <r>
    <x v="3"/>
    <x v="2"/>
    <x v="19"/>
    <x v="1"/>
    <x v="4"/>
    <x v="1"/>
    <n v="0.38"/>
    <n v="0.38"/>
    <n v="0.01"/>
    <n v="0.38"/>
  </r>
  <r>
    <x v="3"/>
    <x v="2"/>
    <x v="19"/>
    <x v="1"/>
    <x v="1"/>
    <x v="1"/>
    <n v="0.37"/>
    <n v="0.37"/>
    <n v="0.01"/>
    <n v="0.34"/>
  </r>
  <r>
    <x v="3"/>
    <x v="2"/>
    <x v="19"/>
    <x v="4"/>
    <x v="2"/>
    <x v="2"/>
    <n v="1.39"/>
    <n v="1.39"/>
    <n v="0.02"/>
    <n v="1.21"/>
  </r>
  <r>
    <x v="3"/>
    <x v="7"/>
    <x v="20"/>
    <x v="0"/>
    <x v="4"/>
    <x v="0"/>
    <n v="8.6199999999999992"/>
    <n v="8.6199999999999992"/>
    <n v="2.33"/>
    <n v="8.0500000000000007"/>
  </r>
  <r>
    <x v="3"/>
    <x v="7"/>
    <x v="20"/>
    <x v="1"/>
    <x v="1"/>
    <x v="1"/>
    <n v="0.48"/>
    <n v="0.48"/>
    <n v="0.01"/>
    <n v="0.46"/>
  </r>
  <r>
    <x v="3"/>
    <x v="7"/>
    <x v="20"/>
    <x v="1"/>
    <x v="2"/>
    <x v="1"/>
    <n v="2.27"/>
    <n v="2.27"/>
    <n v="0.03"/>
    <n v="2.12"/>
  </r>
  <r>
    <x v="3"/>
    <x v="7"/>
    <x v="20"/>
    <x v="2"/>
    <x v="3"/>
    <x v="1"/>
    <n v="0.59"/>
    <n v="0.59"/>
    <n v="0"/>
    <n v="0.54"/>
  </r>
  <r>
    <x v="3"/>
    <x v="7"/>
    <x v="20"/>
    <x v="3"/>
    <x v="0"/>
    <x v="0"/>
    <n v="0.99"/>
    <n v="0.99"/>
    <n v="0.99"/>
    <n v="0.97"/>
  </r>
  <r>
    <x v="3"/>
    <x v="7"/>
    <x v="20"/>
    <x v="3"/>
    <x v="4"/>
    <x v="0"/>
    <n v="7.06"/>
    <n v="7.06"/>
    <n v="1.84"/>
    <n v="6.66"/>
  </r>
  <r>
    <x v="3"/>
    <x v="7"/>
    <x v="20"/>
    <x v="3"/>
    <x v="1"/>
    <x v="0"/>
    <n v="0.16"/>
    <n v="0.16"/>
    <n v="0.03"/>
    <n v="0.16"/>
  </r>
  <r>
    <x v="3"/>
    <x v="7"/>
    <x v="20"/>
    <x v="4"/>
    <x v="0"/>
    <x v="0"/>
    <n v="0.14000000000000001"/>
    <n v="0.14000000000000001"/>
    <n v="0.02"/>
    <n v="0.13"/>
  </r>
  <r>
    <x v="3"/>
    <x v="7"/>
    <x v="20"/>
    <x v="4"/>
    <x v="4"/>
    <x v="0"/>
    <n v="75.400000000000006"/>
    <n v="75.400000000000006"/>
    <n v="9.67"/>
    <n v="69.52"/>
  </r>
  <r>
    <x v="3"/>
    <x v="7"/>
    <x v="20"/>
    <x v="0"/>
    <x v="0"/>
    <x v="0"/>
    <n v="2"/>
    <n v="2"/>
    <n v="1.95"/>
    <n v="1.81"/>
  </r>
  <r>
    <x v="3"/>
    <x v="7"/>
    <x v="20"/>
    <x v="1"/>
    <x v="0"/>
    <x v="0"/>
    <n v="5.49"/>
    <n v="5.49"/>
    <n v="3.42"/>
    <n v="5.19"/>
  </r>
  <r>
    <x v="3"/>
    <x v="7"/>
    <x v="20"/>
    <x v="1"/>
    <x v="4"/>
    <x v="0"/>
    <n v="111.28"/>
    <n v="111.28"/>
    <n v="21.78"/>
    <n v="103.05"/>
  </r>
  <r>
    <x v="3"/>
    <x v="7"/>
    <x v="20"/>
    <x v="1"/>
    <x v="1"/>
    <x v="0"/>
    <n v="22.5"/>
    <n v="22.5"/>
    <n v="1.47"/>
    <n v="20.83"/>
  </r>
  <r>
    <x v="3"/>
    <x v="7"/>
    <x v="20"/>
    <x v="2"/>
    <x v="0"/>
    <x v="0"/>
    <n v="3.09"/>
    <n v="3.09"/>
    <n v="2.1"/>
    <n v="2.92"/>
  </r>
  <r>
    <x v="3"/>
    <x v="7"/>
    <x v="20"/>
    <x v="1"/>
    <x v="4"/>
    <x v="1"/>
    <n v="0.74"/>
    <n v="0.74"/>
    <n v="0.02"/>
    <n v="0.68"/>
  </r>
  <r>
    <x v="3"/>
    <x v="7"/>
    <x v="20"/>
    <x v="1"/>
    <x v="2"/>
    <x v="0"/>
    <n v="0.41"/>
    <n v="0.41"/>
    <n v="0.01"/>
    <n v="0.36"/>
  </r>
  <r>
    <x v="3"/>
    <x v="7"/>
    <x v="20"/>
    <x v="4"/>
    <x v="1"/>
    <x v="0"/>
    <n v="12.09"/>
    <n v="12.09"/>
    <n v="0.73"/>
    <n v="11.13"/>
  </r>
  <r>
    <x v="3"/>
    <x v="7"/>
    <x v="20"/>
    <x v="1"/>
    <x v="4"/>
    <x v="2"/>
    <n v="0.59"/>
    <n v="0.59"/>
    <n v="0.02"/>
    <n v="0.52"/>
  </r>
  <r>
    <x v="3"/>
    <x v="7"/>
    <x v="20"/>
    <x v="1"/>
    <x v="0"/>
    <x v="1"/>
    <n v="1.25"/>
    <n v="1.25"/>
    <n v="0.04"/>
    <n v="1.24"/>
  </r>
  <r>
    <x v="3"/>
    <x v="7"/>
    <x v="20"/>
    <x v="2"/>
    <x v="4"/>
    <x v="0"/>
    <n v="6.42"/>
    <n v="6.42"/>
    <n v="1.45"/>
    <n v="6.03"/>
  </r>
  <r>
    <x v="3"/>
    <x v="7"/>
    <x v="20"/>
    <x v="4"/>
    <x v="4"/>
    <x v="2"/>
    <n v="0.22"/>
    <n v="0.22"/>
    <n v="0.01"/>
    <n v="0.19"/>
  </r>
  <r>
    <x v="3"/>
    <x v="7"/>
    <x v="20"/>
    <x v="2"/>
    <x v="2"/>
    <x v="3"/>
    <n v="7.0000000000000007E-2"/>
    <n v="7.0000000000000007E-2"/>
    <n v="0"/>
    <n v="7.0000000000000007E-2"/>
  </r>
  <r>
    <x v="3"/>
    <x v="7"/>
    <x v="20"/>
    <x v="2"/>
    <x v="3"/>
    <x v="3"/>
    <n v="5.23"/>
    <n v="5.23"/>
    <n v="0"/>
    <n v="5.23"/>
  </r>
  <r>
    <x v="3"/>
    <x v="7"/>
    <x v="20"/>
    <x v="4"/>
    <x v="0"/>
    <x v="1"/>
    <n v="0.03"/>
    <n v="0.03"/>
    <n v="0"/>
    <n v="0.03"/>
  </r>
  <r>
    <x v="3"/>
    <x v="7"/>
    <x v="20"/>
    <x v="4"/>
    <x v="4"/>
    <x v="1"/>
    <n v="0.14000000000000001"/>
    <n v="0.14000000000000001"/>
    <n v="0.01"/>
    <n v="0.13"/>
  </r>
  <r>
    <x v="3"/>
    <x v="7"/>
    <x v="20"/>
    <x v="4"/>
    <x v="1"/>
    <x v="1"/>
    <n v="0.1"/>
    <n v="0.1"/>
    <n v="0"/>
    <n v="0.09"/>
  </r>
  <r>
    <x v="3"/>
    <x v="7"/>
    <x v="20"/>
    <x v="0"/>
    <x v="0"/>
    <x v="1"/>
    <n v="0.31"/>
    <n v="0.31"/>
    <n v="0.02"/>
    <n v="0.28999999999999998"/>
  </r>
  <r>
    <x v="3"/>
    <x v="7"/>
    <x v="20"/>
    <x v="0"/>
    <x v="4"/>
    <x v="1"/>
    <n v="0.27"/>
    <n v="0.27"/>
    <n v="0.01"/>
    <n v="0.25"/>
  </r>
  <r>
    <x v="3"/>
    <x v="2"/>
    <x v="21"/>
    <x v="2"/>
    <x v="4"/>
    <x v="0"/>
    <n v="18.38"/>
    <n v="18.38"/>
    <n v="4.29"/>
    <n v="17.190000000000001"/>
  </r>
  <r>
    <x v="3"/>
    <x v="2"/>
    <x v="21"/>
    <x v="0"/>
    <x v="0"/>
    <x v="0"/>
    <n v="10.75"/>
    <n v="10.75"/>
    <n v="8.34"/>
    <n v="9.7899999999999991"/>
  </r>
  <r>
    <x v="3"/>
    <x v="2"/>
    <x v="21"/>
    <x v="3"/>
    <x v="4"/>
    <x v="0"/>
    <n v="16.88"/>
    <n v="16.88"/>
    <n v="4.25"/>
    <n v="15.85"/>
  </r>
  <r>
    <x v="3"/>
    <x v="2"/>
    <x v="21"/>
    <x v="3"/>
    <x v="1"/>
    <x v="0"/>
    <n v="0.27"/>
    <n v="0.27"/>
    <n v="0.04"/>
    <n v="0.26"/>
  </r>
  <r>
    <x v="3"/>
    <x v="2"/>
    <x v="21"/>
    <x v="4"/>
    <x v="0"/>
    <x v="0"/>
    <n v="0.16"/>
    <n v="0.16"/>
    <n v="0.02"/>
    <n v="0.15"/>
  </r>
  <r>
    <x v="3"/>
    <x v="2"/>
    <x v="21"/>
    <x v="4"/>
    <x v="4"/>
    <x v="0"/>
    <n v="72.97"/>
    <n v="72.97"/>
    <n v="9.74"/>
    <n v="67.94"/>
  </r>
  <r>
    <x v="3"/>
    <x v="2"/>
    <x v="21"/>
    <x v="4"/>
    <x v="1"/>
    <x v="0"/>
    <n v="10.96"/>
    <n v="10.96"/>
    <n v="0.64"/>
    <n v="10.18"/>
  </r>
  <r>
    <x v="3"/>
    <x v="2"/>
    <x v="21"/>
    <x v="0"/>
    <x v="4"/>
    <x v="0"/>
    <n v="25.86"/>
    <n v="25.86"/>
    <n v="6.92"/>
    <n v="24.08"/>
  </r>
  <r>
    <x v="3"/>
    <x v="2"/>
    <x v="21"/>
    <x v="0"/>
    <x v="2"/>
    <x v="0"/>
    <n v="1.07"/>
    <n v="1.07"/>
    <n v="0.01"/>
    <n v="1.04"/>
  </r>
  <r>
    <x v="3"/>
    <x v="2"/>
    <x v="21"/>
    <x v="1"/>
    <x v="0"/>
    <x v="0"/>
    <n v="13.56"/>
    <n v="13.56"/>
    <n v="8.31"/>
    <n v="12.64"/>
  </r>
  <r>
    <x v="3"/>
    <x v="2"/>
    <x v="21"/>
    <x v="1"/>
    <x v="4"/>
    <x v="0"/>
    <n v="238.04"/>
    <n v="238.04"/>
    <n v="48.97"/>
    <n v="219.7"/>
  </r>
  <r>
    <x v="3"/>
    <x v="2"/>
    <x v="21"/>
    <x v="1"/>
    <x v="1"/>
    <x v="0"/>
    <n v="39.17"/>
    <n v="39.17"/>
    <n v="2.4700000000000002"/>
    <n v="36.22"/>
  </r>
  <r>
    <x v="3"/>
    <x v="2"/>
    <x v="21"/>
    <x v="3"/>
    <x v="0"/>
    <x v="0"/>
    <n v="1.51"/>
    <n v="1.51"/>
    <n v="1.49"/>
    <n v="1.48"/>
  </r>
  <r>
    <x v="3"/>
    <x v="2"/>
    <x v="21"/>
    <x v="2"/>
    <x v="0"/>
    <x v="0"/>
    <n v="15.09"/>
    <n v="15.09"/>
    <n v="10.09"/>
    <n v="14.08"/>
  </r>
  <r>
    <x v="3"/>
    <x v="2"/>
    <x v="21"/>
    <x v="4"/>
    <x v="4"/>
    <x v="1"/>
    <n v="0.98"/>
    <n v="0.98"/>
    <n v="0.04"/>
    <n v="0.89"/>
  </r>
  <r>
    <x v="3"/>
    <x v="2"/>
    <x v="21"/>
    <x v="1"/>
    <x v="2"/>
    <x v="0"/>
    <n v="1.38"/>
    <n v="1.38"/>
    <n v="0.02"/>
    <n v="1.24"/>
  </r>
  <r>
    <x v="3"/>
    <x v="2"/>
    <x v="21"/>
    <x v="4"/>
    <x v="0"/>
    <x v="1"/>
    <n v="0.67"/>
    <n v="0.67"/>
    <n v="0.09"/>
    <n v="0.61"/>
  </r>
  <r>
    <x v="3"/>
    <x v="2"/>
    <x v="21"/>
    <x v="4"/>
    <x v="4"/>
    <x v="2"/>
    <n v="2.38"/>
    <n v="2.38"/>
    <n v="0.05"/>
    <n v="2.19"/>
  </r>
  <r>
    <x v="3"/>
    <x v="2"/>
    <x v="21"/>
    <x v="4"/>
    <x v="1"/>
    <x v="2"/>
    <n v="1.5"/>
    <n v="1.5"/>
    <n v="0.02"/>
    <n v="1.38"/>
  </r>
  <r>
    <x v="3"/>
    <x v="2"/>
    <x v="21"/>
    <x v="4"/>
    <x v="2"/>
    <x v="2"/>
    <n v="1.68"/>
    <n v="1.68"/>
    <n v="0"/>
    <n v="1.55"/>
  </r>
  <r>
    <x v="3"/>
    <x v="2"/>
    <x v="21"/>
    <x v="1"/>
    <x v="4"/>
    <x v="2"/>
    <n v="1.68"/>
    <n v="1.68"/>
    <n v="0.09"/>
    <n v="1.55"/>
  </r>
  <r>
    <x v="3"/>
    <x v="2"/>
    <x v="21"/>
    <x v="2"/>
    <x v="3"/>
    <x v="2"/>
    <n v="17.55"/>
    <n v="17.55"/>
    <n v="0.02"/>
    <n v="15.66"/>
  </r>
  <r>
    <x v="3"/>
    <x v="2"/>
    <x v="21"/>
    <x v="0"/>
    <x v="0"/>
    <x v="1"/>
    <n v="3.86"/>
    <n v="3.86"/>
    <n v="0.26"/>
    <n v="3.48"/>
  </r>
  <r>
    <x v="3"/>
    <x v="2"/>
    <x v="21"/>
    <x v="2"/>
    <x v="3"/>
    <x v="3"/>
    <n v="65.53"/>
    <n v="65.53"/>
    <n v="0.04"/>
    <n v="65.53"/>
  </r>
  <r>
    <x v="3"/>
    <x v="2"/>
    <x v="21"/>
    <x v="2"/>
    <x v="3"/>
    <x v="1"/>
    <n v="7.43"/>
    <n v="7.43"/>
    <n v="0.03"/>
    <n v="6.73"/>
  </r>
  <r>
    <x v="3"/>
    <x v="2"/>
    <x v="21"/>
    <x v="4"/>
    <x v="1"/>
    <x v="1"/>
    <n v="0.56000000000000005"/>
    <n v="0.56000000000000005"/>
    <n v="0.01"/>
    <n v="0.51"/>
  </r>
  <r>
    <x v="3"/>
    <x v="2"/>
    <x v="21"/>
    <x v="0"/>
    <x v="4"/>
    <x v="1"/>
    <n v="3.37"/>
    <n v="3.37"/>
    <n v="0.13"/>
    <n v="3.04"/>
  </r>
  <r>
    <x v="3"/>
    <x v="2"/>
    <x v="21"/>
    <x v="1"/>
    <x v="0"/>
    <x v="1"/>
    <n v="0.83"/>
    <n v="0.83"/>
    <n v="0.09"/>
    <n v="0.76"/>
  </r>
  <r>
    <x v="3"/>
    <x v="2"/>
    <x v="21"/>
    <x v="1"/>
    <x v="4"/>
    <x v="1"/>
    <n v="0.69"/>
    <n v="0.69"/>
    <n v="0.05"/>
    <n v="0.64"/>
  </r>
  <r>
    <x v="3"/>
    <x v="2"/>
    <x v="21"/>
    <x v="1"/>
    <x v="1"/>
    <x v="1"/>
    <n v="5.31"/>
    <n v="5.31"/>
    <n v="0.09"/>
    <n v="4.82"/>
  </r>
  <r>
    <x v="3"/>
    <x v="2"/>
    <x v="21"/>
    <x v="1"/>
    <x v="2"/>
    <x v="1"/>
    <n v="23.84"/>
    <n v="23.84"/>
    <n v="0.15"/>
    <n v="21.51"/>
  </r>
  <r>
    <x v="3"/>
    <x v="2"/>
    <x v="21"/>
    <x v="2"/>
    <x v="2"/>
    <x v="3"/>
    <n v="1.52"/>
    <n v="1.52"/>
    <n v="0"/>
    <n v="1.52"/>
  </r>
  <r>
    <x v="3"/>
    <x v="8"/>
    <x v="22"/>
    <x v="4"/>
    <x v="4"/>
    <x v="0"/>
    <n v="376.76"/>
    <n v="376.76"/>
    <n v="46.51"/>
    <n v="351.44"/>
  </r>
  <r>
    <x v="3"/>
    <x v="8"/>
    <x v="22"/>
    <x v="2"/>
    <x v="3"/>
    <x v="2"/>
    <n v="110.25"/>
    <n v="110.25"/>
    <n v="0.1"/>
    <n v="109.87"/>
  </r>
  <r>
    <x v="3"/>
    <x v="8"/>
    <x v="22"/>
    <x v="0"/>
    <x v="4"/>
    <x v="1"/>
    <n v="17.05"/>
    <n v="17.05"/>
    <n v="0.27"/>
    <n v="15.39"/>
  </r>
  <r>
    <x v="3"/>
    <x v="8"/>
    <x v="22"/>
    <x v="0"/>
    <x v="0"/>
    <x v="1"/>
    <n v="94.74"/>
    <n v="94.74"/>
    <n v="4.3899999999999997"/>
    <n v="87.39"/>
  </r>
  <r>
    <x v="3"/>
    <x v="8"/>
    <x v="22"/>
    <x v="4"/>
    <x v="1"/>
    <x v="1"/>
    <n v="12.33"/>
    <n v="12.33"/>
    <n v="0.99"/>
    <n v="10.25"/>
  </r>
  <r>
    <x v="3"/>
    <x v="8"/>
    <x v="22"/>
    <x v="4"/>
    <x v="4"/>
    <x v="1"/>
    <n v="3.01"/>
    <n v="3.01"/>
    <n v="0.12"/>
    <n v="2.72"/>
  </r>
  <r>
    <x v="3"/>
    <x v="8"/>
    <x v="22"/>
    <x v="4"/>
    <x v="0"/>
    <x v="1"/>
    <n v="4.0199999999999996"/>
    <n v="4.0199999999999996"/>
    <n v="0.23"/>
    <n v="3.29"/>
  </r>
  <r>
    <x v="3"/>
    <x v="8"/>
    <x v="22"/>
    <x v="2"/>
    <x v="3"/>
    <x v="3"/>
    <n v="385.5"/>
    <n v="385.5"/>
    <n v="0.22"/>
    <n v="368.91"/>
  </r>
  <r>
    <x v="3"/>
    <x v="8"/>
    <x v="22"/>
    <x v="2"/>
    <x v="2"/>
    <x v="3"/>
    <n v="191.45"/>
    <n v="191.45"/>
    <n v="0.06"/>
    <n v="185.58"/>
  </r>
  <r>
    <x v="3"/>
    <x v="8"/>
    <x v="22"/>
    <x v="2"/>
    <x v="1"/>
    <x v="3"/>
    <n v="249.9"/>
    <n v="249.9"/>
    <n v="0.11"/>
    <n v="249.54"/>
  </r>
  <r>
    <x v="3"/>
    <x v="8"/>
    <x v="22"/>
    <x v="0"/>
    <x v="1"/>
    <x v="1"/>
    <n v="12.77"/>
    <n v="12.77"/>
    <n v="0.2"/>
    <n v="12.01"/>
  </r>
  <r>
    <x v="3"/>
    <x v="8"/>
    <x v="22"/>
    <x v="2"/>
    <x v="0"/>
    <x v="3"/>
    <n v="9.92"/>
    <n v="9.92"/>
    <n v="0.03"/>
    <n v="9.92"/>
  </r>
  <r>
    <x v="3"/>
    <x v="8"/>
    <x v="22"/>
    <x v="1"/>
    <x v="2"/>
    <x v="2"/>
    <n v="0.05"/>
    <n v="0.05"/>
    <n v="0"/>
    <n v="0.05"/>
  </r>
  <r>
    <x v="3"/>
    <x v="8"/>
    <x v="22"/>
    <x v="2"/>
    <x v="1"/>
    <x v="2"/>
    <n v="11.8"/>
    <n v="11.8"/>
    <n v="0.03"/>
    <n v="11.8"/>
  </r>
  <r>
    <x v="3"/>
    <x v="8"/>
    <x v="22"/>
    <x v="1"/>
    <x v="3"/>
    <x v="2"/>
    <n v="0.93"/>
    <n v="0.93"/>
    <n v="0"/>
    <n v="0.8"/>
  </r>
  <r>
    <x v="3"/>
    <x v="8"/>
    <x v="22"/>
    <x v="1"/>
    <x v="1"/>
    <x v="2"/>
    <n v="11.53"/>
    <n v="11.53"/>
    <n v="0.13"/>
    <n v="11.5"/>
  </r>
  <r>
    <x v="3"/>
    <x v="8"/>
    <x v="22"/>
    <x v="2"/>
    <x v="1"/>
    <x v="0"/>
    <n v="1.93"/>
    <n v="1.93"/>
    <n v="0"/>
    <n v="1.76"/>
  </r>
  <r>
    <x v="3"/>
    <x v="8"/>
    <x v="22"/>
    <x v="0"/>
    <x v="2"/>
    <x v="2"/>
    <n v="1.47"/>
    <n v="1.47"/>
    <n v="0.01"/>
    <n v="1.47"/>
  </r>
  <r>
    <x v="3"/>
    <x v="8"/>
    <x v="22"/>
    <x v="4"/>
    <x v="2"/>
    <x v="2"/>
    <n v="5.68"/>
    <n v="5.68"/>
    <n v="0.04"/>
    <n v="5.17"/>
  </r>
  <r>
    <x v="3"/>
    <x v="8"/>
    <x v="22"/>
    <x v="4"/>
    <x v="1"/>
    <x v="2"/>
    <n v="4.04"/>
    <n v="4.04"/>
    <n v="0.12"/>
    <n v="3.68"/>
  </r>
  <r>
    <x v="3"/>
    <x v="8"/>
    <x v="22"/>
    <x v="4"/>
    <x v="4"/>
    <x v="2"/>
    <n v="4.7300000000000004"/>
    <n v="4.7300000000000004"/>
    <n v="0.28000000000000003"/>
    <n v="4.34"/>
  </r>
  <r>
    <x v="3"/>
    <x v="8"/>
    <x v="22"/>
    <x v="4"/>
    <x v="2"/>
    <x v="0"/>
    <n v="13.99"/>
    <n v="13.99"/>
    <n v="0.4"/>
    <n v="13.59"/>
  </r>
  <r>
    <x v="3"/>
    <x v="8"/>
    <x v="22"/>
    <x v="2"/>
    <x v="4"/>
    <x v="3"/>
    <n v="61.05"/>
    <n v="61.05"/>
    <n v="0.04"/>
    <n v="61.05"/>
  </r>
  <r>
    <x v="3"/>
    <x v="8"/>
    <x v="22"/>
    <x v="1"/>
    <x v="4"/>
    <x v="0"/>
    <n v="1380.98"/>
    <n v="1380.98"/>
    <n v="201.05"/>
    <n v="1236.24"/>
  </r>
  <r>
    <x v="3"/>
    <x v="8"/>
    <x v="22"/>
    <x v="1"/>
    <x v="4"/>
    <x v="2"/>
    <n v="45.92"/>
    <n v="45.92"/>
    <n v="1.65"/>
    <n v="40.39"/>
  </r>
  <r>
    <x v="3"/>
    <x v="8"/>
    <x v="22"/>
    <x v="0"/>
    <x v="3"/>
    <x v="1"/>
    <n v="13.19"/>
    <n v="13.19"/>
    <n v="0.06"/>
    <n v="12.41"/>
  </r>
  <r>
    <x v="3"/>
    <x v="8"/>
    <x v="22"/>
    <x v="2"/>
    <x v="4"/>
    <x v="0"/>
    <n v="102.23"/>
    <n v="102.23"/>
    <n v="15.25"/>
    <n v="94.01"/>
  </r>
  <r>
    <x v="3"/>
    <x v="8"/>
    <x v="22"/>
    <x v="2"/>
    <x v="0"/>
    <x v="0"/>
    <n v="358.15"/>
    <n v="358.15"/>
    <n v="110.6"/>
    <n v="325.68"/>
  </r>
  <r>
    <x v="3"/>
    <x v="8"/>
    <x v="22"/>
    <x v="1"/>
    <x v="1"/>
    <x v="0"/>
    <n v="73.05"/>
    <n v="73.05"/>
    <n v="2.38"/>
    <n v="68.66"/>
  </r>
  <r>
    <x v="3"/>
    <x v="8"/>
    <x v="22"/>
    <x v="1"/>
    <x v="0"/>
    <x v="0"/>
    <n v="281.42"/>
    <n v="281.42"/>
    <n v="69.48"/>
    <n v="254.26"/>
  </r>
  <r>
    <x v="3"/>
    <x v="8"/>
    <x v="22"/>
    <x v="0"/>
    <x v="2"/>
    <x v="0"/>
    <n v="12.37"/>
    <n v="12.37"/>
    <n v="0.06"/>
    <n v="12.37"/>
  </r>
  <r>
    <x v="3"/>
    <x v="8"/>
    <x v="22"/>
    <x v="0"/>
    <x v="1"/>
    <x v="0"/>
    <n v="35.090000000000003"/>
    <n v="35.090000000000003"/>
    <n v="0.4"/>
    <n v="35.090000000000003"/>
  </r>
  <r>
    <x v="3"/>
    <x v="8"/>
    <x v="22"/>
    <x v="0"/>
    <x v="4"/>
    <x v="0"/>
    <n v="106.68"/>
    <n v="106.68"/>
    <n v="14.78"/>
    <n v="96.69"/>
  </r>
  <r>
    <x v="3"/>
    <x v="8"/>
    <x v="22"/>
    <x v="0"/>
    <x v="0"/>
    <x v="0"/>
    <n v="124.14"/>
    <n v="124.14"/>
    <n v="34.89"/>
    <n v="110.12"/>
  </r>
  <r>
    <x v="3"/>
    <x v="8"/>
    <x v="22"/>
    <x v="1"/>
    <x v="3"/>
    <x v="1"/>
    <n v="42.01"/>
    <n v="42.01"/>
    <n v="0.38"/>
    <n v="41.94"/>
  </r>
  <r>
    <x v="3"/>
    <x v="8"/>
    <x v="22"/>
    <x v="1"/>
    <x v="0"/>
    <x v="1"/>
    <n v="50.22"/>
    <n v="50.22"/>
    <n v="2.81"/>
    <n v="44.31"/>
  </r>
  <r>
    <x v="3"/>
    <x v="8"/>
    <x v="22"/>
    <x v="1"/>
    <x v="4"/>
    <x v="1"/>
    <n v="6.58"/>
    <n v="6.58"/>
    <n v="0.28999999999999998"/>
    <n v="5.47"/>
  </r>
  <r>
    <x v="3"/>
    <x v="8"/>
    <x v="22"/>
    <x v="1"/>
    <x v="2"/>
    <x v="0"/>
    <n v="39.78"/>
    <n v="39.78"/>
    <n v="0.23"/>
    <n v="32.590000000000003"/>
  </r>
  <r>
    <x v="3"/>
    <x v="8"/>
    <x v="22"/>
    <x v="4"/>
    <x v="1"/>
    <x v="0"/>
    <n v="48.07"/>
    <n v="48.07"/>
    <n v="2.78"/>
    <n v="46.75"/>
  </r>
  <r>
    <x v="3"/>
    <x v="8"/>
    <x v="22"/>
    <x v="1"/>
    <x v="1"/>
    <x v="1"/>
    <n v="38.67"/>
    <n v="38.67"/>
    <n v="0.46"/>
    <n v="34.049999999999997"/>
  </r>
  <r>
    <x v="3"/>
    <x v="8"/>
    <x v="22"/>
    <x v="1"/>
    <x v="2"/>
    <x v="1"/>
    <n v="66.22"/>
    <n v="66.22"/>
    <n v="0.27"/>
    <n v="59.91"/>
  </r>
  <r>
    <x v="3"/>
    <x v="8"/>
    <x v="22"/>
    <x v="2"/>
    <x v="3"/>
    <x v="1"/>
    <n v="31.65"/>
    <n v="31.65"/>
    <n v="0.03"/>
    <n v="29.14"/>
  </r>
  <r>
    <x v="3"/>
    <x v="8"/>
    <x v="22"/>
    <x v="3"/>
    <x v="0"/>
    <x v="0"/>
    <n v="6.36"/>
    <n v="6.36"/>
    <n v="5.49"/>
    <n v="5.76"/>
  </r>
  <r>
    <x v="3"/>
    <x v="8"/>
    <x v="22"/>
    <x v="3"/>
    <x v="4"/>
    <x v="0"/>
    <n v="87.27"/>
    <n v="87.27"/>
    <n v="15.67"/>
    <n v="80.739999999999995"/>
  </r>
  <r>
    <x v="3"/>
    <x v="8"/>
    <x v="22"/>
    <x v="3"/>
    <x v="1"/>
    <x v="0"/>
    <n v="0.44"/>
    <n v="0.44"/>
    <n v="0.04"/>
    <n v="0.42"/>
  </r>
  <r>
    <x v="3"/>
    <x v="8"/>
    <x v="22"/>
    <x v="4"/>
    <x v="0"/>
    <x v="0"/>
    <n v="6.58"/>
    <n v="6.58"/>
    <n v="2.15"/>
    <n v="5.93"/>
  </r>
  <r>
    <x v="3"/>
    <x v="6"/>
    <x v="23"/>
    <x v="1"/>
    <x v="2"/>
    <x v="0"/>
    <n v="6.36"/>
    <n v="6.36"/>
    <n v="0.08"/>
    <n v="5.34"/>
  </r>
  <r>
    <x v="3"/>
    <x v="6"/>
    <x v="23"/>
    <x v="3"/>
    <x v="4"/>
    <x v="0"/>
    <n v="5.82"/>
    <n v="5.82"/>
    <n v="1.84"/>
    <n v="5.01"/>
  </r>
  <r>
    <x v="3"/>
    <x v="6"/>
    <x v="23"/>
    <x v="4"/>
    <x v="0"/>
    <x v="0"/>
    <n v="0.12"/>
    <n v="0.12"/>
    <n v="0.01"/>
    <n v="0.12"/>
  </r>
  <r>
    <x v="3"/>
    <x v="6"/>
    <x v="23"/>
    <x v="4"/>
    <x v="4"/>
    <x v="0"/>
    <n v="23.7"/>
    <n v="23.7"/>
    <n v="3.46"/>
    <n v="20.61"/>
  </r>
  <r>
    <x v="3"/>
    <x v="6"/>
    <x v="23"/>
    <x v="4"/>
    <x v="1"/>
    <x v="0"/>
    <n v="5.85"/>
    <n v="5.85"/>
    <n v="0.45"/>
    <n v="5.0199999999999996"/>
  </r>
  <r>
    <x v="3"/>
    <x v="6"/>
    <x v="23"/>
    <x v="0"/>
    <x v="0"/>
    <x v="0"/>
    <n v="2.31"/>
    <n v="2.31"/>
    <n v="1.96"/>
    <n v="1.97"/>
  </r>
  <r>
    <x v="3"/>
    <x v="6"/>
    <x v="23"/>
    <x v="2"/>
    <x v="3"/>
    <x v="1"/>
    <n v="3.54"/>
    <n v="3.54"/>
    <n v="0"/>
    <n v="2.91"/>
  </r>
  <r>
    <x v="3"/>
    <x v="6"/>
    <x v="23"/>
    <x v="0"/>
    <x v="4"/>
    <x v="0"/>
    <n v="5.31"/>
    <n v="5.31"/>
    <n v="1.1499999999999999"/>
    <n v="4.8499999999999996"/>
  </r>
  <r>
    <x v="3"/>
    <x v="6"/>
    <x v="23"/>
    <x v="0"/>
    <x v="2"/>
    <x v="0"/>
    <n v="0.3"/>
    <n v="0.3"/>
    <n v="0.01"/>
    <n v="0.3"/>
  </r>
  <r>
    <x v="3"/>
    <x v="6"/>
    <x v="23"/>
    <x v="1"/>
    <x v="0"/>
    <x v="0"/>
    <n v="3.78"/>
    <n v="3.78"/>
    <n v="1.99"/>
    <n v="3.38"/>
  </r>
  <r>
    <x v="3"/>
    <x v="6"/>
    <x v="23"/>
    <x v="1"/>
    <x v="3"/>
    <x v="1"/>
    <n v="0.4"/>
    <n v="0.4"/>
    <n v="0"/>
    <n v="0.34"/>
  </r>
  <r>
    <x v="3"/>
    <x v="6"/>
    <x v="23"/>
    <x v="1"/>
    <x v="1"/>
    <x v="0"/>
    <n v="26.13"/>
    <n v="26.13"/>
    <n v="1.51"/>
    <n v="22.6"/>
  </r>
  <r>
    <x v="3"/>
    <x v="6"/>
    <x v="23"/>
    <x v="2"/>
    <x v="0"/>
    <x v="0"/>
    <n v="5.29"/>
    <n v="5.29"/>
    <n v="3.61"/>
    <n v="4.79"/>
  </r>
  <r>
    <x v="3"/>
    <x v="6"/>
    <x v="23"/>
    <x v="1"/>
    <x v="4"/>
    <x v="0"/>
    <n v="76.37"/>
    <n v="76.37"/>
    <n v="16.690000000000001"/>
    <n v="68.48"/>
  </r>
  <r>
    <x v="3"/>
    <x v="6"/>
    <x v="23"/>
    <x v="1"/>
    <x v="2"/>
    <x v="1"/>
    <n v="13.37"/>
    <n v="13.37"/>
    <n v="0.05"/>
    <n v="11"/>
  </r>
  <r>
    <x v="3"/>
    <x v="6"/>
    <x v="23"/>
    <x v="1"/>
    <x v="1"/>
    <x v="1"/>
    <n v="3.88"/>
    <n v="3.88"/>
    <n v="0.03"/>
    <n v="3.2"/>
  </r>
  <r>
    <x v="3"/>
    <x v="6"/>
    <x v="23"/>
    <x v="1"/>
    <x v="4"/>
    <x v="1"/>
    <n v="0.73"/>
    <n v="0.73"/>
    <n v="0.03"/>
    <n v="0.62"/>
  </r>
  <r>
    <x v="3"/>
    <x v="6"/>
    <x v="23"/>
    <x v="2"/>
    <x v="4"/>
    <x v="0"/>
    <n v="3.78"/>
    <n v="3.78"/>
    <n v="1.32"/>
    <n v="3.49"/>
  </r>
  <r>
    <x v="3"/>
    <x v="6"/>
    <x v="23"/>
    <x v="0"/>
    <x v="4"/>
    <x v="1"/>
    <n v="4.72"/>
    <n v="4.72"/>
    <n v="7.0000000000000007E-2"/>
    <n v="3.87"/>
  </r>
  <r>
    <x v="3"/>
    <x v="6"/>
    <x v="23"/>
    <x v="0"/>
    <x v="0"/>
    <x v="1"/>
    <n v="0.9"/>
    <n v="0.9"/>
    <n v="0.03"/>
    <n v="0.75"/>
  </r>
  <r>
    <x v="3"/>
    <x v="6"/>
    <x v="23"/>
    <x v="4"/>
    <x v="1"/>
    <x v="1"/>
    <n v="1.04"/>
    <n v="1.04"/>
    <n v="0.03"/>
    <n v="0.86"/>
  </r>
  <r>
    <x v="3"/>
    <x v="6"/>
    <x v="23"/>
    <x v="4"/>
    <x v="0"/>
    <x v="1"/>
    <n v="0.8"/>
    <n v="0.8"/>
    <n v="7.0000000000000007E-2"/>
    <n v="0.76"/>
  </r>
  <r>
    <x v="3"/>
    <x v="6"/>
    <x v="23"/>
    <x v="2"/>
    <x v="3"/>
    <x v="3"/>
    <n v="12.86"/>
    <n v="12.86"/>
    <n v="0.01"/>
    <n v="12.64"/>
  </r>
  <r>
    <x v="3"/>
    <x v="6"/>
    <x v="23"/>
    <x v="2"/>
    <x v="3"/>
    <x v="2"/>
    <n v="0.56000000000000005"/>
    <n v="0.56000000000000005"/>
    <n v="0"/>
    <n v="0.56000000000000005"/>
  </r>
  <r>
    <x v="3"/>
    <x v="6"/>
    <x v="23"/>
    <x v="1"/>
    <x v="1"/>
    <x v="2"/>
    <n v="1.82"/>
    <n v="1.82"/>
    <n v="0.02"/>
    <n v="1.46"/>
  </r>
  <r>
    <x v="3"/>
    <x v="6"/>
    <x v="23"/>
    <x v="4"/>
    <x v="2"/>
    <x v="2"/>
    <n v="0.44"/>
    <n v="0.44"/>
    <n v="0.01"/>
    <n v="0.44"/>
  </r>
  <r>
    <x v="3"/>
    <x v="6"/>
    <x v="23"/>
    <x v="4"/>
    <x v="1"/>
    <x v="2"/>
    <n v="2.39"/>
    <n v="2.39"/>
    <n v="0.05"/>
    <n v="2.39"/>
  </r>
  <r>
    <x v="3"/>
    <x v="6"/>
    <x v="23"/>
    <x v="4"/>
    <x v="4"/>
    <x v="2"/>
    <n v="7.0000000000000007E-2"/>
    <n v="7.0000000000000007E-2"/>
    <n v="0"/>
    <n v="0.06"/>
  </r>
  <r>
    <x v="3"/>
    <x v="6"/>
    <x v="23"/>
    <x v="1"/>
    <x v="0"/>
    <x v="1"/>
    <n v="1.29"/>
    <n v="1.29"/>
    <n v="7.0000000000000007E-2"/>
    <n v="1.1299999999999999"/>
  </r>
  <r>
    <x v="3"/>
    <x v="6"/>
    <x v="23"/>
    <x v="4"/>
    <x v="4"/>
    <x v="1"/>
    <n v="0.25"/>
    <n v="0.25"/>
    <n v="0.02"/>
    <n v="0.2"/>
  </r>
  <r>
    <x v="3"/>
    <x v="0"/>
    <x v="24"/>
    <x v="4"/>
    <x v="1"/>
    <x v="1"/>
    <n v="2.21"/>
    <n v="2.21"/>
    <n v="0.08"/>
    <n v="2.1"/>
  </r>
  <r>
    <x v="3"/>
    <x v="0"/>
    <x v="24"/>
    <x v="4"/>
    <x v="4"/>
    <x v="2"/>
    <n v="0.84"/>
    <n v="0.84"/>
    <n v="0.05"/>
    <n v="0.82"/>
  </r>
  <r>
    <x v="3"/>
    <x v="0"/>
    <x v="24"/>
    <x v="2"/>
    <x v="3"/>
    <x v="2"/>
    <n v="22.94"/>
    <n v="22.94"/>
    <n v="0.01"/>
    <n v="22.29"/>
  </r>
  <r>
    <x v="3"/>
    <x v="0"/>
    <x v="24"/>
    <x v="0"/>
    <x v="0"/>
    <x v="1"/>
    <n v="2.57"/>
    <n v="2.57"/>
    <n v="0.08"/>
    <n v="2.4500000000000002"/>
  </r>
  <r>
    <x v="3"/>
    <x v="0"/>
    <x v="24"/>
    <x v="4"/>
    <x v="0"/>
    <x v="1"/>
    <n v="0.9"/>
    <n v="0.9"/>
    <n v="0.04"/>
    <n v="0.86"/>
  </r>
  <r>
    <x v="3"/>
    <x v="0"/>
    <x v="24"/>
    <x v="2"/>
    <x v="3"/>
    <x v="3"/>
    <n v="56.76"/>
    <n v="56.76"/>
    <n v="0.03"/>
    <n v="55.42"/>
  </r>
  <r>
    <x v="3"/>
    <x v="0"/>
    <x v="24"/>
    <x v="4"/>
    <x v="4"/>
    <x v="1"/>
    <n v="2.4500000000000002"/>
    <n v="2.4500000000000002"/>
    <n v="0.16"/>
    <n v="2.34"/>
  </r>
  <r>
    <x v="3"/>
    <x v="0"/>
    <x v="24"/>
    <x v="2"/>
    <x v="2"/>
    <x v="2"/>
    <n v="0.74"/>
    <n v="0.74"/>
    <n v="0.01"/>
    <n v="0.71"/>
  </r>
  <r>
    <x v="3"/>
    <x v="0"/>
    <x v="24"/>
    <x v="1"/>
    <x v="2"/>
    <x v="2"/>
    <n v="0.15"/>
    <n v="0.15"/>
    <n v="0"/>
    <n v="0.15"/>
  </r>
  <r>
    <x v="3"/>
    <x v="0"/>
    <x v="24"/>
    <x v="1"/>
    <x v="4"/>
    <x v="2"/>
    <n v="0.62"/>
    <n v="0.62"/>
    <n v="0.03"/>
    <n v="0.61"/>
  </r>
  <r>
    <x v="3"/>
    <x v="0"/>
    <x v="24"/>
    <x v="4"/>
    <x v="1"/>
    <x v="2"/>
    <n v="1.04"/>
    <n v="1.04"/>
    <n v="0.03"/>
    <n v="1.02"/>
  </r>
  <r>
    <x v="3"/>
    <x v="0"/>
    <x v="24"/>
    <x v="0"/>
    <x v="4"/>
    <x v="1"/>
    <n v="3.85"/>
    <n v="3.85"/>
    <n v="0.06"/>
    <n v="3.67"/>
  </r>
  <r>
    <x v="3"/>
    <x v="0"/>
    <x v="24"/>
    <x v="0"/>
    <x v="0"/>
    <x v="0"/>
    <n v="4.2"/>
    <n v="4.2"/>
    <n v="10.65"/>
    <n v="4.05"/>
  </r>
  <r>
    <x v="3"/>
    <x v="0"/>
    <x v="24"/>
    <x v="2"/>
    <x v="4"/>
    <x v="0"/>
    <n v="19.25"/>
    <n v="19.25"/>
    <n v="2.91"/>
    <n v="18.97"/>
  </r>
  <r>
    <x v="3"/>
    <x v="0"/>
    <x v="24"/>
    <x v="4"/>
    <x v="2"/>
    <x v="2"/>
    <n v="2.44"/>
    <n v="2.44"/>
    <n v="0.02"/>
    <n v="2.38"/>
  </r>
  <r>
    <x v="3"/>
    <x v="0"/>
    <x v="24"/>
    <x v="1"/>
    <x v="2"/>
    <x v="0"/>
    <n v="22.78"/>
    <n v="22.78"/>
    <n v="0.32"/>
    <n v="21.65"/>
  </r>
  <r>
    <x v="3"/>
    <x v="0"/>
    <x v="24"/>
    <x v="2"/>
    <x v="0"/>
    <x v="0"/>
    <n v="11.58"/>
    <n v="11.58"/>
    <n v="7.61"/>
    <n v="11.04"/>
  </r>
  <r>
    <x v="3"/>
    <x v="0"/>
    <x v="24"/>
    <x v="1"/>
    <x v="1"/>
    <x v="0"/>
    <n v="28.35"/>
    <n v="28.35"/>
    <n v="1.43"/>
    <n v="27.39"/>
  </r>
  <r>
    <x v="3"/>
    <x v="0"/>
    <x v="24"/>
    <x v="1"/>
    <x v="4"/>
    <x v="0"/>
    <n v="104.3"/>
    <n v="104.3"/>
    <n v="22.02"/>
    <n v="100.79"/>
  </r>
  <r>
    <x v="3"/>
    <x v="0"/>
    <x v="24"/>
    <x v="1"/>
    <x v="0"/>
    <x v="0"/>
    <n v="9.16"/>
    <n v="9.16"/>
    <n v="4.59"/>
    <n v="8.8699999999999992"/>
  </r>
  <r>
    <x v="3"/>
    <x v="0"/>
    <x v="24"/>
    <x v="0"/>
    <x v="4"/>
    <x v="0"/>
    <n v="13.31"/>
    <n v="13.31"/>
    <n v="4.2300000000000004"/>
    <n v="12.92"/>
  </r>
  <r>
    <x v="3"/>
    <x v="0"/>
    <x v="24"/>
    <x v="4"/>
    <x v="1"/>
    <x v="0"/>
    <n v="20.13"/>
    <n v="20.13"/>
    <n v="1.24"/>
    <n v="19.440000000000001"/>
  </r>
  <r>
    <x v="3"/>
    <x v="0"/>
    <x v="24"/>
    <x v="4"/>
    <x v="4"/>
    <x v="0"/>
    <n v="54.07"/>
    <n v="54.07"/>
    <n v="7.44"/>
    <n v="51.86"/>
  </r>
  <r>
    <x v="3"/>
    <x v="0"/>
    <x v="24"/>
    <x v="3"/>
    <x v="4"/>
    <x v="0"/>
    <n v="2.61"/>
    <n v="2.61"/>
    <n v="0.73"/>
    <n v="2.5"/>
  </r>
  <r>
    <x v="3"/>
    <x v="0"/>
    <x v="24"/>
    <x v="1"/>
    <x v="0"/>
    <x v="1"/>
    <n v="5.19"/>
    <n v="5.19"/>
    <n v="0.31"/>
    <n v="4.9000000000000004"/>
  </r>
  <r>
    <x v="3"/>
    <x v="0"/>
    <x v="24"/>
    <x v="3"/>
    <x v="0"/>
    <x v="0"/>
    <n v="0.74"/>
    <n v="0.74"/>
    <n v="0.54"/>
    <n v="0.74"/>
  </r>
  <r>
    <x v="3"/>
    <x v="0"/>
    <x v="24"/>
    <x v="2"/>
    <x v="3"/>
    <x v="1"/>
    <n v="16.47"/>
    <n v="16.47"/>
    <n v="0.03"/>
    <n v="15.7"/>
  </r>
  <r>
    <x v="3"/>
    <x v="0"/>
    <x v="24"/>
    <x v="1"/>
    <x v="3"/>
    <x v="1"/>
    <n v="0.26"/>
    <n v="0.26"/>
    <n v="0"/>
    <n v="0.25"/>
  </r>
  <r>
    <x v="3"/>
    <x v="0"/>
    <x v="24"/>
    <x v="1"/>
    <x v="2"/>
    <x v="1"/>
    <n v="24.51"/>
    <n v="24.51"/>
    <n v="0.08"/>
    <n v="23.36"/>
  </r>
  <r>
    <x v="3"/>
    <x v="0"/>
    <x v="24"/>
    <x v="1"/>
    <x v="1"/>
    <x v="1"/>
    <n v="14.22"/>
    <n v="14.22"/>
    <n v="0.34"/>
    <n v="13.48"/>
  </r>
  <r>
    <x v="3"/>
    <x v="0"/>
    <x v="24"/>
    <x v="1"/>
    <x v="4"/>
    <x v="1"/>
    <n v="3.19"/>
    <n v="3.19"/>
    <n v="0.18"/>
    <n v="3.02"/>
  </r>
  <r>
    <x v="3"/>
    <x v="0"/>
    <x v="24"/>
    <x v="4"/>
    <x v="0"/>
    <x v="0"/>
    <n v="0.27"/>
    <n v="0.27"/>
    <n v="0.02"/>
    <n v="0.26"/>
  </r>
  <r>
    <x v="3"/>
    <x v="2"/>
    <x v="25"/>
    <x v="4"/>
    <x v="4"/>
    <x v="1"/>
    <n v="0.54"/>
    <n v="0.54"/>
    <n v="0.02"/>
    <n v="0.49"/>
  </r>
  <r>
    <x v="3"/>
    <x v="2"/>
    <x v="25"/>
    <x v="3"/>
    <x v="0"/>
    <x v="0"/>
    <n v="4.67"/>
    <n v="4.67"/>
    <n v="4.0999999999999996"/>
    <n v="4.5999999999999996"/>
  </r>
  <r>
    <x v="3"/>
    <x v="2"/>
    <x v="25"/>
    <x v="2"/>
    <x v="3"/>
    <x v="1"/>
    <n v="2.91"/>
    <n v="2.91"/>
    <n v="0.01"/>
    <n v="2.63"/>
  </r>
  <r>
    <x v="3"/>
    <x v="2"/>
    <x v="25"/>
    <x v="2"/>
    <x v="2"/>
    <x v="1"/>
    <n v="1.65"/>
    <n v="1.65"/>
    <n v="0"/>
    <n v="1.6"/>
  </r>
  <r>
    <x v="3"/>
    <x v="2"/>
    <x v="25"/>
    <x v="1"/>
    <x v="2"/>
    <x v="1"/>
    <n v="9.82"/>
    <n v="9.82"/>
    <n v="0.06"/>
    <n v="8.9"/>
  </r>
  <r>
    <x v="3"/>
    <x v="2"/>
    <x v="25"/>
    <x v="1"/>
    <x v="4"/>
    <x v="1"/>
    <n v="2.4700000000000002"/>
    <n v="2.4700000000000002"/>
    <n v="0.02"/>
    <n v="2.41"/>
  </r>
  <r>
    <x v="3"/>
    <x v="2"/>
    <x v="25"/>
    <x v="0"/>
    <x v="4"/>
    <x v="1"/>
    <n v="1.34"/>
    <n v="1.34"/>
    <n v="0.05"/>
    <n v="1.2"/>
  </r>
  <r>
    <x v="3"/>
    <x v="2"/>
    <x v="25"/>
    <x v="3"/>
    <x v="4"/>
    <x v="0"/>
    <n v="10.93"/>
    <n v="10.93"/>
    <n v="2.69"/>
    <n v="10.32"/>
  </r>
  <r>
    <x v="3"/>
    <x v="2"/>
    <x v="25"/>
    <x v="4"/>
    <x v="1"/>
    <x v="1"/>
    <n v="0.28000000000000003"/>
    <n v="0.28000000000000003"/>
    <n v="0"/>
    <n v="0.25"/>
  </r>
  <r>
    <x v="3"/>
    <x v="2"/>
    <x v="25"/>
    <x v="1"/>
    <x v="1"/>
    <x v="1"/>
    <n v="2.15"/>
    <n v="2.15"/>
    <n v="0.03"/>
    <n v="1.96"/>
  </r>
  <r>
    <x v="3"/>
    <x v="2"/>
    <x v="25"/>
    <x v="4"/>
    <x v="0"/>
    <x v="1"/>
    <n v="0.16"/>
    <n v="0.16"/>
    <n v="0.02"/>
    <n v="0.15"/>
  </r>
  <r>
    <x v="3"/>
    <x v="2"/>
    <x v="25"/>
    <x v="2"/>
    <x v="3"/>
    <x v="3"/>
    <n v="22.84"/>
    <n v="22.84"/>
    <n v="0.02"/>
    <n v="22.84"/>
  </r>
  <r>
    <x v="3"/>
    <x v="2"/>
    <x v="25"/>
    <x v="2"/>
    <x v="2"/>
    <x v="3"/>
    <n v="0.85"/>
    <n v="0.85"/>
    <n v="0"/>
    <n v="0.85"/>
  </r>
  <r>
    <x v="3"/>
    <x v="2"/>
    <x v="25"/>
    <x v="4"/>
    <x v="4"/>
    <x v="2"/>
    <n v="0.43"/>
    <n v="0.43"/>
    <n v="0.02"/>
    <n v="0.37"/>
  </r>
  <r>
    <x v="3"/>
    <x v="2"/>
    <x v="25"/>
    <x v="4"/>
    <x v="1"/>
    <x v="2"/>
    <n v="0.36"/>
    <n v="0.36"/>
    <n v="0.01"/>
    <n v="0.32"/>
  </r>
  <r>
    <x v="3"/>
    <x v="2"/>
    <x v="25"/>
    <x v="1"/>
    <x v="4"/>
    <x v="2"/>
    <n v="3.71"/>
    <n v="3.71"/>
    <n v="0.02"/>
    <n v="3.22"/>
  </r>
  <r>
    <x v="3"/>
    <x v="2"/>
    <x v="25"/>
    <x v="1"/>
    <x v="1"/>
    <x v="2"/>
    <n v="2.37"/>
    <n v="2.37"/>
    <n v="0.01"/>
    <n v="2.08"/>
  </r>
  <r>
    <x v="3"/>
    <x v="2"/>
    <x v="25"/>
    <x v="0"/>
    <x v="0"/>
    <x v="1"/>
    <n v="1.61"/>
    <n v="1.61"/>
    <n v="0.1"/>
    <n v="1.45"/>
  </r>
  <r>
    <x v="3"/>
    <x v="2"/>
    <x v="25"/>
    <x v="0"/>
    <x v="4"/>
    <x v="0"/>
    <n v="37.11"/>
    <n v="37.11"/>
    <n v="9.27"/>
    <n v="34.54"/>
  </r>
  <r>
    <x v="3"/>
    <x v="2"/>
    <x v="25"/>
    <x v="3"/>
    <x v="1"/>
    <x v="0"/>
    <n v="0.34"/>
    <n v="0.34"/>
    <n v="0.05"/>
    <n v="0.33"/>
  </r>
  <r>
    <x v="3"/>
    <x v="2"/>
    <x v="25"/>
    <x v="2"/>
    <x v="0"/>
    <x v="0"/>
    <n v="7.77"/>
    <n v="7.77"/>
    <n v="5.24"/>
    <n v="7.41"/>
  </r>
  <r>
    <x v="3"/>
    <x v="2"/>
    <x v="25"/>
    <x v="1"/>
    <x v="2"/>
    <x v="0"/>
    <n v="3.03"/>
    <n v="3.03"/>
    <n v="0.04"/>
    <n v="2.68"/>
  </r>
  <r>
    <x v="3"/>
    <x v="2"/>
    <x v="25"/>
    <x v="1"/>
    <x v="1"/>
    <x v="0"/>
    <n v="41.1"/>
    <n v="41.1"/>
    <n v="2.5099999999999998"/>
    <n v="38.21"/>
  </r>
  <r>
    <x v="3"/>
    <x v="2"/>
    <x v="25"/>
    <x v="1"/>
    <x v="4"/>
    <x v="0"/>
    <n v="269.89999999999998"/>
    <n v="269.89999999999998"/>
    <n v="53.41"/>
    <n v="250.35"/>
  </r>
  <r>
    <x v="3"/>
    <x v="2"/>
    <x v="25"/>
    <x v="1"/>
    <x v="0"/>
    <x v="1"/>
    <n v="1.64"/>
    <n v="1.64"/>
    <n v="7.0000000000000007E-2"/>
    <n v="1.61"/>
  </r>
  <r>
    <x v="3"/>
    <x v="2"/>
    <x v="25"/>
    <x v="1"/>
    <x v="0"/>
    <x v="0"/>
    <n v="16.91"/>
    <n v="16.91"/>
    <n v="10.58"/>
    <n v="16.07"/>
  </r>
  <r>
    <x v="3"/>
    <x v="2"/>
    <x v="25"/>
    <x v="2"/>
    <x v="4"/>
    <x v="0"/>
    <n v="10.01"/>
    <n v="10.01"/>
    <n v="2.2200000000000002"/>
    <n v="9.69"/>
  </r>
  <r>
    <x v="3"/>
    <x v="2"/>
    <x v="25"/>
    <x v="0"/>
    <x v="0"/>
    <x v="0"/>
    <n v="11.34"/>
    <n v="11.34"/>
    <n v="9.84"/>
    <n v="10.27"/>
  </r>
  <r>
    <x v="3"/>
    <x v="2"/>
    <x v="25"/>
    <x v="4"/>
    <x v="1"/>
    <x v="0"/>
    <n v="15.51"/>
    <n v="15.51"/>
    <n v="0.81"/>
    <n v="14.31"/>
  </r>
  <r>
    <x v="3"/>
    <x v="2"/>
    <x v="25"/>
    <x v="4"/>
    <x v="4"/>
    <x v="0"/>
    <n v="129.22"/>
    <n v="129.22"/>
    <n v="16.37"/>
    <n v="121.04"/>
  </r>
  <r>
    <x v="3"/>
    <x v="2"/>
    <x v="25"/>
    <x v="4"/>
    <x v="0"/>
    <x v="0"/>
    <n v="0.02"/>
    <n v="0.02"/>
    <n v="0"/>
    <n v="0.02"/>
  </r>
  <r>
    <x v="3"/>
    <x v="2"/>
    <x v="25"/>
    <x v="2"/>
    <x v="3"/>
    <x v="2"/>
    <n v="4.7699999999999996"/>
    <n v="4.7699999999999996"/>
    <n v="0.01"/>
    <n v="4.1399999999999997"/>
  </r>
  <r>
    <x v="3"/>
    <x v="1"/>
    <x v="26"/>
    <x v="2"/>
    <x v="4"/>
    <x v="1"/>
    <n v="1.9"/>
    <n v="1.9"/>
    <n v="0.01"/>
    <n v="1.9"/>
  </r>
  <r>
    <x v="3"/>
    <x v="1"/>
    <x v="26"/>
    <x v="4"/>
    <x v="0"/>
    <x v="1"/>
    <n v="0.42"/>
    <n v="0.42"/>
    <n v="0.02"/>
    <n v="0.36"/>
  </r>
  <r>
    <x v="3"/>
    <x v="1"/>
    <x v="26"/>
    <x v="2"/>
    <x v="3"/>
    <x v="3"/>
    <n v="2.41"/>
    <n v="2.41"/>
    <n v="0"/>
    <n v="2.41"/>
  </r>
  <r>
    <x v="3"/>
    <x v="1"/>
    <x v="26"/>
    <x v="1"/>
    <x v="1"/>
    <x v="2"/>
    <n v="0.48"/>
    <n v="0.48"/>
    <n v="0.01"/>
    <n v="0.39"/>
  </r>
  <r>
    <x v="3"/>
    <x v="1"/>
    <x v="26"/>
    <x v="4"/>
    <x v="2"/>
    <x v="2"/>
    <n v="0.34"/>
    <n v="0.34"/>
    <n v="0.01"/>
    <n v="0.28000000000000003"/>
  </r>
  <r>
    <x v="3"/>
    <x v="1"/>
    <x v="26"/>
    <x v="4"/>
    <x v="1"/>
    <x v="2"/>
    <n v="0.74"/>
    <n v="0.74"/>
    <n v="0.01"/>
    <n v="0.67"/>
  </r>
  <r>
    <x v="3"/>
    <x v="1"/>
    <x v="26"/>
    <x v="4"/>
    <x v="1"/>
    <x v="1"/>
    <n v="0.65"/>
    <n v="0.65"/>
    <n v="0.02"/>
    <n v="0.55000000000000004"/>
  </r>
  <r>
    <x v="3"/>
    <x v="1"/>
    <x v="26"/>
    <x v="0"/>
    <x v="4"/>
    <x v="1"/>
    <n v="0.28000000000000003"/>
    <n v="0.28000000000000003"/>
    <n v="0.01"/>
    <n v="0.24"/>
  </r>
  <r>
    <x v="3"/>
    <x v="1"/>
    <x v="26"/>
    <x v="1"/>
    <x v="0"/>
    <x v="1"/>
    <n v="0.54"/>
    <n v="0.54"/>
    <n v="0.02"/>
    <n v="0.47"/>
  </r>
  <r>
    <x v="3"/>
    <x v="1"/>
    <x v="26"/>
    <x v="1"/>
    <x v="4"/>
    <x v="1"/>
    <n v="0.21"/>
    <n v="0.21"/>
    <n v="0.01"/>
    <n v="0.18"/>
  </r>
  <r>
    <x v="3"/>
    <x v="1"/>
    <x v="26"/>
    <x v="1"/>
    <x v="1"/>
    <x v="1"/>
    <n v="0.47"/>
    <n v="0.47"/>
    <n v="0.01"/>
    <n v="0.41"/>
  </r>
  <r>
    <x v="3"/>
    <x v="1"/>
    <x v="26"/>
    <x v="4"/>
    <x v="4"/>
    <x v="1"/>
    <n v="0.04"/>
    <n v="0.04"/>
    <n v="0"/>
    <n v="0.04"/>
  </r>
  <r>
    <x v="3"/>
    <x v="1"/>
    <x v="26"/>
    <x v="1"/>
    <x v="3"/>
    <x v="1"/>
    <n v="0.64"/>
    <n v="0.64"/>
    <n v="0.01"/>
    <n v="0.55000000000000004"/>
  </r>
  <r>
    <x v="3"/>
    <x v="1"/>
    <x v="26"/>
    <x v="4"/>
    <x v="4"/>
    <x v="0"/>
    <n v="13.55"/>
    <n v="13.55"/>
    <n v="1.99"/>
    <n v="11.78"/>
  </r>
  <r>
    <x v="3"/>
    <x v="1"/>
    <x v="26"/>
    <x v="2"/>
    <x v="3"/>
    <x v="1"/>
    <n v="0.16"/>
    <n v="0.16"/>
    <n v="0"/>
    <n v="0.14000000000000001"/>
  </r>
  <r>
    <x v="3"/>
    <x v="1"/>
    <x v="26"/>
    <x v="3"/>
    <x v="4"/>
    <x v="0"/>
    <n v="1.21"/>
    <n v="1.21"/>
    <n v="0.24"/>
    <n v="1.03"/>
  </r>
  <r>
    <x v="3"/>
    <x v="1"/>
    <x v="26"/>
    <x v="2"/>
    <x v="4"/>
    <x v="0"/>
    <n v="3.21"/>
    <n v="3.21"/>
    <n v="1.2"/>
    <n v="2.78"/>
  </r>
  <r>
    <x v="3"/>
    <x v="1"/>
    <x v="26"/>
    <x v="4"/>
    <x v="1"/>
    <x v="0"/>
    <n v="0.67"/>
    <n v="0.67"/>
    <n v="0.05"/>
    <n v="0.56999999999999995"/>
  </r>
  <r>
    <x v="3"/>
    <x v="1"/>
    <x v="26"/>
    <x v="0"/>
    <x v="0"/>
    <x v="0"/>
    <n v="0.16"/>
    <n v="0.16"/>
    <n v="7.0000000000000007E-2"/>
    <n v="0.14000000000000001"/>
  </r>
  <r>
    <x v="3"/>
    <x v="1"/>
    <x v="26"/>
    <x v="0"/>
    <x v="4"/>
    <x v="0"/>
    <n v="9.59"/>
    <n v="9.59"/>
    <n v="2.38"/>
    <n v="8.23"/>
  </r>
  <r>
    <x v="3"/>
    <x v="1"/>
    <x v="26"/>
    <x v="1"/>
    <x v="0"/>
    <x v="0"/>
    <n v="3.91"/>
    <n v="3.91"/>
    <n v="1.52"/>
    <n v="3.37"/>
  </r>
  <r>
    <x v="3"/>
    <x v="1"/>
    <x v="26"/>
    <x v="1"/>
    <x v="4"/>
    <x v="0"/>
    <n v="25.69"/>
    <n v="25.69"/>
    <n v="3.54"/>
    <n v="22.79"/>
  </r>
  <r>
    <x v="3"/>
    <x v="1"/>
    <x v="26"/>
    <x v="1"/>
    <x v="1"/>
    <x v="0"/>
    <n v="4.7699999999999996"/>
    <n v="4.7699999999999996"/>
    <n v="0.27"/>
    <n v="4.07"/>
  </r>
  <r>
    <x v="3"/>
    <x v="1"/>
    <x v="26"/>
    <x v="1"/>
    <x v="2"/>
    <x v="1"/>
    <n v="2.35"/>
    <n v="2.35"/>
    <n v="0.02"/>
    <n v="2"/>
  </r>
  <r>
    <x v="3"/>
    <x v="1"/>
    <x v="26"/>
    <x v="1"/>
    <x v="2"/>
    <x v="0"/>
    <n v="0.54"/>
    <n v="0.54"/>
    <n v="0"/>
    <n v="0.47"/>
  </r>
  <r>
    <x v="3"/>
    <x v="1"/>
    <x v="26"/>
    <x v="2"/>
    <x v="0"/>
    <x v="0"/>
    <n v="1.3"/>
    <n v="1.3"/>
    <n v="0.91"/>
    <n v="1.1599999999999999"/>
  </r>
  <r>
    <x v="3"/>
    <x v="2"/>
    <x v="27"/>
    <x v="1"/>
    <x v="4"/>
    <x v="2"/>
    <n v="0.95"/>
    <n v="0.95"/>
    <n v="0.01"/>
    <n v="0.82"/>
  </r>
  <r>
    <x v="3"/>
    <x v="2"/>
    <x v="27"/>
    <x v="4"/>
    <x v="2"/>
    <x v="2"/>
    <n v="0.53"/>
    <n v="0.53"/>
    <n v="0"/>
    <n v="0.46"/>
  </r>
  <r>
    <x v="3"/>
    <x v="2"/>
    <x v="27"/>
    <x v="4"/>
    <x v="4"/>
    <x v="2"/>
    <n v="0.64"/>
    <n v="0.64"/>
    <n v="0.03"/>
    <n v="0.56000000000000005"/>
  </r>
  <r>
    <x v="3"/>
    <x v="2"/>
    <x v="27"/>
    <x v="4"/>
    <x v="1"/>
    <x v="2"/>
    <n v="0.39"/>
    <n v="0.39"/>
    <n v="0.01"/>
    <n v="0.34"/>
  </r>
  <r>
    <x v="3"/>
    <x v="2"/>
    <x v="27"/>
    <x v="1"/>
    <x v="0"/>
    <x v="0"/>
    <n v="3.1"/>
    <n v="3.1"/>
    <n v="1.91"/>
    <n v="2.95"/>
  </r>
  <r>
    <x v="3"/>
    <x v="2"/>
    <x v="27"/>
    <x v="2"/>
    <x v="4"/>
    <x v="0"/>
    <n v="2.5499999999999998"/>
    <n v="2.5499999999999998"/>
    <n v="0.55000000000000004"/>
    <n v="2.4300000000000002"/>
  </r>
  <r>
    <x v="3"/>
    <x v="2"/>
    <x v="27"/>
    <x v="2"/>
    <x v="0"/>
    <x v="0"/>
    <n v="2.69"/>
    <n v="2.69"/>
    <n v="1.52"/>
    <n v="2.5299999999999998"/>
  </r>
  <r>
    <x v="3"/>
    <x v="2"/>
    <x v="27"/>
    <x v="1"/>
    <x v="4"/>
    <x v="0"/>
    <n v="45.95"/>
    <n v="45.95"/>
    <n v="9.74"/>
    <n v="42.76"/>
  </r>
  <r>
    <x v="3"/>
    <x v="2"/>
    <x v="27"/>
    <x v="0"/>
    <x v="4"/>
    <x v="0"/>
    <n v="6.96"/>
    <n v="6.96"/>
    <n v="1.8"/>
    <n v="6.48"/>
  </r>
  <r>
    <x v="3"/>
    <x v="2"/>
    <x v="27"/>
    <x v="0"/>
    <x v="0"/>
    <x v="0"/>
    <n v="2.21"/>
    <n v="2.21"/>
    <n v="1.76"/>
    <n v="2.0099999999999998"/>
  </r>
  <r>
    <x v="3"/>
    <x v="2"/>
    <x v="27"/>
    <x v="2"/>
    <x v="2"/>
    <x v="3"/>
    <n v="7.0000000000000007E-2"/>
    <n v="7.0000000000000007E-2"/>
    <n v="0"/>
    <n v="7.0000000000000007E-2"/>
  </r>
  <r>
    <x v="3"/>
    <x v="2"/>
    <x v="27"/>
    <x v="4"/>
    <x v="1"/>
    <x v="0"/>
    <n v="6.84"/>
    <n v="6.84"/>
    <n v="0.35"/>
    <n v="6.28"/>
  </r>
  <r>
    <x v="3"/>
    <x v="2"/>
    <x v="27"/>
    <x v="4"/>
    <x v="4"/>
    <x v="0"/>
    <n v="46.11"/>
    <n v="46.11"/>
    <n v="6.45"/>
    <n v="42.45"/>
  </r>
  <r>
    <x v="3"/>
    <x v="2"/>
    <x v="27"/>
    <x v="4"/>
    <x v="0"/>
    <x v="0"/>
    <n v="0.03"/>
    <n v="0.03"/>
    <n v="0"/>
    <n v="0.02"/>
  </r>
  <r>
    <x v="3"/>
    <x v="2"/>
    <x v="27"/>
    <x v="3"/>
    <x v="1"/>
    <x v="0"/>
    <n v="0.06"/>
    <n v="0.06"/>
    <n v="0.01"/>
    <n v="0.06"/>
  </r>
  <r>
    <x v="3"/>
    <x v="2"/>
    <x v="27"/>
    <x v="4"/>
    <x v="1"/>
    <x v="1"/>
    <n v="7.0000000000000007E-2"/>
    <n v="7.0000000000000007E-2"/>
    <n v="0"/>
    <n v="0.06"/>
  </r>
  <r>
    <x v="3"/>
    <x v="2"/>
    <x v="27"/>
    <x v="1"/>
    <x v="1"/>
    <x v="0"/>
    <n v="7.3"/>
    <n v="7.3"/>
    <n v="0.55000000000000004"/>
    <n v="6.77"/>
  </r>
  <r>
    <x v="3"/>
    <x v="2"/>
    <x v="27"/>
    <x v="3"/>
    <x v="4"/>
    <x v="0"/>
    <n v="1.66"/>
    <n v="1.66"/>
    <n v="0.46"/>
    <n v="1.59"/>
  </r>
  <r>
    <x v="3"/>
    <x v="2"/>
    <x v="27"/>
    <x v="2"/>
    <x v="3"/>
    <x v="3"/>
    <n v="2.48"/>
    <n v="2.48"/>
    <n v="0"/>
    <n v="2.48"/>
  </r>
  <r>
    <x v="3"/>
    <x v="2"/>
    <x v="27"/>
    <x v="4"/>
    <x v="4"/>
    <x v="1"/>
    <n v="0.11"/>
    <n v="0.11"/>
    <n v="0.01"/>
    <n v="0.1"/>
  </r>
  <r>
    <x v="3"/>
    <x v="2"/>
    <x v="27"/>
    <x v="0"/>
    <x v="0"/>
    <x v="1"/>
    <n v="0.41"/>
    <n v="0.41"/>
    <n v="0.03"/>
    <n v="0.37"/>
  </r>
  <r>
    <x v="3"/>
    <x v="2"/>
    <x v="27"/>
    <x v="0"/>
    <x v="4"/>
    <x v="1"/>
    <n v="0.38"/>
    <n v="0.38"/>
    <n v="0.02"/>
    <n v="0.34"/>
  </r>
  <r>
    <x v="3"/>
    <x v="2"/>
    <x v="27"/>
    <x v="1"/>
    <x v="0"/>
    <x v="1"/>
    <n v="0.13"/>
    <n v="0.13"/>
    <n v="0.01"/>
    <n v="0.12"/>
  </r>
  <r>
    <x v="3"/>
    <x v="2"/>
    <x v="27"/>
    <x v="1"/>
    <x v="4"/>
    <x v="1"/>
    <n v="2.17"/>
    <n v="2.17"/>
    <n v="0.01"/>
    <n v="2.09"/>
  </r>
  <r>
    <x v="3"/>
    <x v="2"/>
    <x v="27"/>
    <x v="1"/>
    <x v="1"/>
    <x v="1"/>
    <n v="0.53"/>
    <n v="0.53"/>
    <n v="0.01"/>
    <n v="0.48"/>
  </r>
  <r>
    <x v="3"/>
    <x v="2"/>
    <x v="27"/>
    <x v="1"/>
    <x v="2"/>
    <x v="1"/>
    <n v="2.71"/>
    <n v="2.71"/>
    <n v="0.02"/>
    <n v="2.44"/>
  </r>
  <r>
    <x v="3"/>
    <x v="2"/>
    <x v="27"/>
    <x v="2"/>
    <x v="3"/>
    <x v="1"/>
    <n v="0.96"/>
    <n v="0.96"/>
    <n v="0"/>
    <n v="0.86"/>
  </r>
  <r>
    <x v="3"/>
    <x v="2"/>
    <x v="27"/>
    <x v="3"/>
    <x v="0"/>
    <x v="0"/>
    <n v="0.54"/>
    <n v="0.54"/>
    <n v="0.51"/>
    <n v="0.52"/>
  </r>
  <r>
    <x v="3"/>
    <x v="2"/>
    <x v="27"/>
    <x v="4"/>
    <x v="0"/>
    <x v="1"/>
    <n v="0.05"/>
    <n v="0.05"/>
    <n v="0.01"/>
    <n v="0.05"/>
  </r>
  <r>
    <x v="3"/>
    <x v="5"/>
    <x v="28"/>
    <x v="0"/>
    <x v="4"/>
    <x v="1"/>
    <n v="1.61"/>
    <n v="1.61"/>
    <n v="0.06"/>
    <n v="1.5"/>
  </r>
  <r>
    <x v="3"/>
    <x v="5"/>
    <x v="28"/>
    <x v="1"/>
    <x v="0"/>
    <x v="1"/>
    <n v="1.56"/>
    <n v="1.56"/>
    <n v="0.08"/>
    <n v="1.53"/>
  </r>
  <r>
    <x v="3"/>
    <x v="5"/>
    <x v="28"/>
    <x v="4"/>
    <x v="4"/>
    <x v="2"/>
    <n v="1.1599999999999999"/>
    <n v="1.1599999999999999"/>
    <n v="7.0000000000000007E-2"/>
    <n v="1.01"/>
  </r>
  <r>
    <x v="3"/>
    <x v="5"/>
    <x v="28"/>
    <x v="4"/>
    <x v="1"/>
    <x v="2"/>
    <n v="0.78"/>
    <n v="0.78"/>
    <n v="0.02"/>
    <n v="0.68"/>
  </r>
  <r>
    <x v="3"/>
    <x v="5"/>
    <x v="28"/>
    <x v="4"/>
    <x v="2"/>
    <x v="2"/>
    <n v="1.44"/>
    <n v="1.44"/>
    <n v="0.01"/>
    <n v="1.25"/>
  </r>
  <r>
    <x v="3"/>
    <x v="5"/>
    <x v="28"/>
    <x v="1"/>
    <x v="4"/>
    <x v="2"/>
    <n v="0.3"/>
    <n v="0.3"/>
    <n v="0.02"/>
    <n v="0.27"/>
  </r>
  <r>
    <x v="3"/>
    <x v="5"/>
    <x v="28"/>
    <x v="1"/>
    <x v="3"/>
    <x v="2"/>
    <n v="0.33"/>
    <n v="0.33"/>
    <n v="0"/>
    <n v="0.28999999999999998"/>
  </r>
  <r>
    <x v="3"/>
    <x v="5"/>
    <x v="28"/>
    <x v="2"/>
    <x v="3"/>
    <x v="2"/>
    <n v="14.44"/>
    <n v="14.44"/>
    <n v="0.02"/>
    <n v="12.84"/>
  </r>
  <r>
    <x v="3"/>
    <x v="5"/>
    <x v="28"/>
    <x v="2"/>
    <x v="2"/>
    <x v="3"/>
    <n v="0.26"/>
    <n v="0.26"/>
    <n v="0"/>
    <n v="0.26"/>
  </r>
  <r>
    <x v="3"/>
    <x v="5"/>
    <x v="28"/>
    <x v="2"/>
    <x v="3"/>
    <x v="3"/>
    <n v="13.01"/>
    <n v="13.01"/>
    <n v="0.01"/>
    <n v="13.01"/>
  </r>
  <r>
    <x v="3"/>
    <x v="5"/>
    <x v="28"/>
    <x v="4"/>
    <x v="0"/>
    <x v="1"/>
    <n v="0.25"/>
    <n v="0.25"/>
    <n v="0.02"/>
    <n v="0.23"/>
  </r>
  <r>
    <x v="3"/>
    <x v="5"/>
    <x v="28"/>
    <x v="4"/>
    <x v="4"/>
    <x v="1"/>
    <n v="0.86"/>
    <n v="0.86"/>
    <n v="0.03"/>
    <n v="0.8"/>
  </r>
  <r>
    <x v="3"/>
    <x v="5"/>
    <x v="28"/>
    <x v="4"/>
    <x v="1"/>
    <x v="1"/>
    <n v="0.7"/>
    <n v="0.7"/>
    <n v="0.01"/>
    <n v="0.65"/>
  </r>
  <r>
    <x v="3"/>
    <x v="5"/>
    <x v="28"/>
    <x v="1"/>
    <x v="1"/>
    <x v="0"/>
    <n v="17.87"/>
    <n v="17.87"/>
    <n v="1.74"/>
    <n v="16.579999999999998"/>
  </r>
  <r>
    <x v="3"/>
    <x v="5"/>
    <x v="28"/>
    <x v="0"/>
    <x v="0"/>
    <x v="1"/>
    <n v="1.9"/>
    <n v="1.9"/>
    <n v="0.13"/>
    <n v="1.77"/>
  </r>
  <r>
    <x v="3"/>
    <x v="5"/>
    <x v="28"/>
    <x v="2"/>
    <x v="4"/>
    <x v="0"/>
    <n v="6.36"/>
    <n v="6.36"/>
    <n v="1.39"/>
    <n v="6.03"/>
  </r>
  <r>
    <x v="3"/>
    <x v="5"/>
    <x v="28"/>
    <x v="1"/>
    <x v="2"/>
    <x v="0"/>
    <n v="0.37"/>
    <n v="0.37"/>
    <n v="0.01"/>
    <n v="0.33"/>
  </r>
  <r>
    <x v="3"/>
    <x v="5"/>
    <x v="28"/>
    <x v="1"/>
    <x v="4"/>
    <x v="0"/>
    <n v="117.61"/>
    <n v="117.61"/>
    <n v="31.7"/>
    <n v="109.62"/>
  </r>
  <r>
    <x v="3"/>
    <x v="5"/>
    <x v="28"/>
    <x v="1"/>
    <x v="0"/>
    <x v="0"/>
    <n v="11.26"/>
    <n v="11.26"/>
    <n v="6.66"/>
    <n v="10.66"/>
  </r>
  <r>
    <x v="3"/>
    <x v="5"/>
    <x v="28"/>
    <x v="0"/>
    <x v="4"/>
    <x v="0"/>
    <n v="15.3"/>
    <n v="15.3"/>
    <n v="4.29"/>
    <n v="14.38"/>
  </r>
  <r>
    <x v="3"/>
    <x v="5"/>
    <x v="28"/>
    <x v="0"/>
    <x v="0"/>
    <x v="0"/>
    <n v="4.95"/>
    <n v="4.95"/>
    <n v="4.49"/>
    <n v="4.54"/>
  </r>
  <r>
    <x v="3"/>
    <x v="5"/>
    <x v="28"/>
    <x v="4"/>
    <x v="1"/>
    <x v="0"/>
    <n v="5.89"/>
    <n v="5.89"/>
    <n v="0.31"/>
    <n v="5.47"/>
  </r>
  <r>
    <x v="3"/>
    <x v="5"/>
    <x v="28"/>
    <x v="4"/>
    <x v="4"/>
    <x v="0"/>
    <n v="44.34"/>
    <n v="44.34"/>
    <n v="6.75"/>
    <n v="41.45"/>
  </r>
  <r>
    <x v="3"/>
    <x v="5"/>
    <x v="28"/>
    <x v="1"/>
    <x v="1"/>
    <x v="1"/>
    <n v="2.66"/>
    <n v="2.66"/>
    <n v="0.04"/>
    <n v="2.48"/>
  </r>
  <r>
    <x v="3"/>
    <x v="5"/>
    <x v="28"/>
    <x v="3"/>
    <x v="1"/>
    <x v="0"/>
    <n v="0.03"/>
    <n v="0.03"/>
    <n v="0.01"/>
    <n v="0.03"/>
  </r>
  <r>
    <x v="3"/>
    <x v="5"/>
    <x v="28"/>
    <x v="3"/>
    <x v="4"/>
    <x v="0"/>
    <n v="4.92"/>
    <n v="4.92"/>
    <n v="1.2"/>
    <n v="4.6100000000000003"/>
  </r>
  <r>
    <x v="3"/>
    <x v="5"/>
    <x v="28"/>
    <x v="3"/>
    <x v="0"/>
    <x v="0"/>
    <n v="0.61"/>
    <n v="0.61"/>
    <n v="0.57999999999999996"/>
    <n v="0.6"/>
  </r>
  <r>
    <x v="3"/>
    <x v="5"/>
    <x v="28"/>
    <x v="2"/>
    <x v="3"/>
    <x v="1"/>
    <n v="3.31"/>
    <n v="3.31"/>
    <n v="0.01"/>
    <n v="3.06"/>
  </r>
  <r>
    <x v="3"/>
    <x v="5"/>
    <x v="28"/>
    <x v="1"/>
    <x v="2"/>
    <x v="1"/>
    <n v="11.45"/>
    <n v="11.45"/>
    <n v="7.0000000000000007E-2"/>
    <n v="10.59"/>
  </r>
  <r>
    <x v="3"/>
    <x v="5"/>
    <x v="28"/>
    <x v="2"/>
    <x v="0"/>
    <x v="0"/>
    <n v="7.48"/>
    <n v="7.48"/>
    <n v="4.37"/>
    <n v="7.06"/>
  </r>
  <r>
    <x v="3"/>
    <x v="5"/>
    <x v="28"/>
    <x v="1"/>
    <x v="4"/>
    <x v="1"/>
    <n v="0.43"/>
    <n v="0.43"/>
    <n v="0.03"/>
    <n v="0.41"/>
  </r>
  <r>
    <x v="3"/>
    <x v="5"/>
    <x v="28"/>
    <x v="4"/>
    <x v="0"/>
    <x v="0"/>
    <n v="0.06"/>
    <n v="0.06"/>
    <n v="0.01"/>
    <n v="0.06"/>
  </r>
  <r>
    <x v="3"/>
    <x v="2"/>
    <x v="29"/>
    <x v="1"/>
    <x v="2"/>
    <x v="1"/>
    <n v="1.95"/>
    <n v="1.95"/>
    <n v="0.02"/>
    <n v="1.79"/>
  </r>
  <r>
    <x v="3"/>
    <x v="2"/>
    <x v="29"/>
    <x v="4"/>
    <x v="1"/>
    <x v="2"/>
    <n v="0.24"/>
    <n v="0.24"/>
    <n v="0.01"/>
    <n v="0.21"/>
  </r>
  <r>
    <x v="3"/>
    <x v="2"/>
    <x v="29"/>
    <x v="1"/>
    <x v="1"/>
    <x v="1"/>
    <n v="0.47"/>
    <n v="0.47"/>
    <n v="0.01"/>
    <n v="0.44"/>
  </r>
  <r>
    <x v="3"/>
    <x v="2"/>
    <x v="29"/>
    <x v="1"/>
    <x v="4"/>
    <x v="1"/>
    <n v="0.27"/>
    <n v="0.27"/>
    <n v="0.01"/>
    <n v="0.27"/>
  </r>
  <r>
    <x v="3"/>
    <x v="2"/>
    <x v="29"/>
    <x v="1"/>
    <x v="0"/>
    <x v="1"/>
    <n v="1.1599999999999999"/>
    <n v="1.1599999999999999"/>
    <n v="0.03"/>
    <n v="1.1599999999999999"/>
  </r>
  <r>
    <x v="3"/>
    <x v="2"/>
    <x v="29"/>
    <x v="0"/>
    <x v="4"/>
    <x v="1"/>
    <n v="0.25"/>
    <n v="0.25"/>
    <n v="0.01"/>
    <n v="0.23"/>
  </r>
  <r>
    <x v="3"/>
    <x v="2"/>
    <x v="29"/>
    <x v="0"/>
    <x v="0"/>
    <x v="1"/>
    <n v="0.28000000000000003"/>
    <n v="0.28000000000000003"/>
    <n v="0.02"/>
    <n v="0.25"/>
  </r>
  <r>
    <x v="3"/>
    <x v="2"/>
    <x v="29"/>
    <x v="4"/>
    <x v="1"/>
    <x v="1"/>
    <n v="0.04"/>
    <n v="0.04"/>
    <n v="0"/>
    <n v="0.04"/>
  </r>
  <r>
    <x v="3"/>
    <x v="2"/>
    <x v="29"/>
    <x v="4"/>
    <x v="4"/>
    <x v="1"/>
    <n v="0.06"/>
    <n v="0.06"/>
    <n v="0"/>
    <n v="0.06"/>
  </r>
  <r>
    <x v="3"/>
    <x v="2"/>
    <x v="29"/>
    <x v="4"/>
    <x v="0"/>
    <x v="1"/>
    <n v="0.05"/>
    <n v="0.05"/>
    <n v="0.01"/>
    <n v="0.05"/>
  </r>
  <r>
    <x v="3"/>
    <x v="2"/>
    <x v="29"/>
    <x v="2"/>
    <x v="3"/>
    <x v="3"/>
    <n v="3.16"/>
    <n v="3.16"/>
    <n v="0"/>
    <n v="3.16"/>
  </r>
  <r>
    <x v="3"/>
    <x v="2"/>
    <x v="29"/>
    <x v="2"/>
    <x v="2"/>
    <x v="3"/>
    <n v="0.17"/>
    <n v="0.17"/>
    <n v="0"/>
    <n v="0.17"/>
  </r>
  <r>
    <x v="3"/>
    <x v="2"/>
    <x v="29"/>
    <x v="2"/>
    <x v="3"/>
    <x v="2"/>
    <n v="0.13"/>
    <n v="0.13"/>
    <n v="0"/>
    <n v="0.13"/>
  </r>
  <r>
    <x v="3"/>
    <x v="2"/>
    <x v="29"/>
    <x v="4"/>
    <x v="2"/>
    <x v="2"/>
    <n v="0.46"/>
    <n v="0.46"/>
    <n v="0"/>
    <n v="0.4"/>
  </r>
  <r>
    <x v="3"/>
    <x v="2"/>
    <x v="29"/>
    <x v="4"/>
    <x v="4"/>
    <x v="2"/>
    <n v="0.35"/>
    <n v="0.35"/>
    <n v="0.02"/>
    <n v="0.31"/>
  </r>
  <r>
    <x v="3"/>
    <x v="2"/>
    <x v="29"/>
    <x v="3"/>
    <x v="4"/>
    <x v="0"/>
    <n v="0.73"/>
    <n v="0.73"/>
    <n v="0.17"/>
    <n v="0.69"/>
  </r>
  <r>
    <x v="3"/>
    <x v="2"/>
    <x v="29"/>
    <x v="1"/>
    <x v="4"/>
    <x v="2"/>
    <n v="0.65"/>
    <n v="0.65"/>
    <n v="0.01"/>
    <n v="0.56000000000000005"/>
  </r>
  <r>
    <x v="3"/>
    <x v="2"/>
    <x v="29"/>
    <x v="0"/>
    <x v="0"/>
    <x v="0"/>
    <n v="2.68"/>
    <n v="2.68"/>
    <n v="2.23"/>
    <n v="2.44"/>
  </r>
  <r>
    <x v="3"/>
    <x v="2"/>
    <x v="29"/>
    <x v="2"/>
    <x v="3"/>
    <x v="1"/>
    <n v="0.44"/>
    <n v="0.44"/>
    <n v="0"/>
    <n v="0.39"/>
  </r>
  <r>
    <x v="3"/>
    <x v="2"/>
    <x v="29"/>
    <x v="3"/>
    <x v="1"/>
    <x v="0"/>
    <n v="0.01"/>
    <n v="0.01"/>
    <n v="0"/>
    <n v="0.01"/>
  </r>
  <r>
    <x v="3"/>
    <x v="2"/>
    <x v="29"/>
    <x v="4"/>
    <x v="0"/>
    <x v="0"/>
    <n v="0.01"/>
    <n v="0.01"/>
    <n v="0"/>
    <n v="0.01"/>
  </r>
  <r>
    <x v="3"/>
    <x v="2"/>
    <x v="29"/>
    <x v="4"/>
    <x v="4"/>
    <x v="0"/>
    <n v="13.32"/>
    <n v="13.32"/>
    <n v="1.82"/>
    <n v="12.35"/>
  </r>
  <r>
    <x v="3"/>
    <x v="2"/>
    <x v="29"/>
    <x v="4"/>
    <x v="1"/>
    <x v="0"/>
    <n v="0.76"/>
    <n v="0.76"/>
    <n v="0.05"/>
    <n v="0.73"/>
  </r>
  <r>
    <x v="3"/>
    <x v="2"/>
    <x v="29"/>
    <x v="2"/>
    <x v="0"/>
    <x v="0"/>
    <n v="2.02"/>
    <n v="2.02"/>
    <n v="1.45"/>
    <n v="1.89"/>
  </r>
  <r>
    <x v="3"/>
    <x v="2"/>
    <x v="29"/>
    <x v="3"/>
    <x v="0"/>
    <x v="0"/>
    <n v="0.14000000000000001"/>
    <n v="0.14000000000000001"/>
    <n v="0.14000000000000001"/>
    <n v="0.13"/>
  </r>
  <r>
    <x v="3"/>
    <x v="2"/>
    <x v="29"/>
    <x v="1"/>
    <x v="2"/>
    <x v="0"/>
    <n v="0.3"/>
    <n v="0.3"/>
    <n v="0"/>
    <n v="0.26"/>
  </r>
  <r>
    <x v="3"/>
    <x v="2"/>
    <x v="29"/>
    <x v="1"/>
    <x v="1"/>
    <x v="0"/>
    <n v="1.66"/>
    <n v="1.66"/>
    <n v="0.21"/>
    <n v="1.55"/>
  </r>
  <r>
    <x v="3"/>
    <x v="2"/>
    <x v="29"/>
    <x v="1"/>
    <x v="4"/>
    <x v="0"/>
    <n v="31.1"/>
    <n v="31.1"/>
    <n v="6.95"/>
    <n v="28.49"/>
  </r>
  <r>
    <x v="3"/>
    <x v="2"/>
    <x v="29"/>
    <x v="1"/>
    <x v="0"/>
    <x v="0"/>
    <n v="2.2400000000000002"/>
    <n v="2.2400000000000002"/>
    <n v="1.52"/>
    <n v="2.08"/>
  </r>
  <r>
    <x v="3"/>
    <x v="2"/>
    <x v="29"/>
    <x v="2"/>
    <x v="4"/>
    <x v="0"/>
    <n v="1.1100000000000001"/>
    <n v="1.1100000000000001"/>
    <n v="0.24"/>
    <n v="1.07"/>
  </r>
  <r>
    <x v="3"/>
    <x v="2"/>
    <x v="29"/>
    <x v="0"/>
    <x v="4"/>
    <x v="0"/>
    <n v="3.9"/>
    <n v="3.9"/>
    <n v="1.07"/>
    <n v="3.61"/>
  </r>
  <r>
    <x v="3"/>
    <x v="5"/>
    <x v="30"/>
    <x v="4"/>
    <x v="1"/>
    <x v="0"/>
    <n v="6.74"/>
    <n v="6.74"/>
    <n v="0.36"/>
    <n v="6.2"/>
  </r>
  <r>
    <x v="3"/>
    <x v="5"/>
    <x v="30"/>
    <x v="4"/>
    <x v="4"/>
    <x v="0"/>
    <n v="57.69"/>
    <n v="57.69"/>
    <n v="8.32"/>
    <n v="53.3"/>
  </r>
  <r>
    <x v="3"/>
    <x v="5"/>
    <x v="30"/>
    <x v="4"/>
    <x v="0"/>
    <x v="0"/>
    <n v="7.0000000000000007E-2"/>
    <n v="7.0000000000000007E-2"/>
    <n v="0.01"/>
    <n v="0.06"/>
  </r>
  <r>
    <x v="3"/>
    <x v="5"/>
    <x v="30"/>
    <x v="3"/>
    <x v="1"/>
    <x v="0"/>
    <n v="0.02"/>
    <n v="0.02"/>
    <n v="0"/>
    <n v="0.02"/>
  </r>
  <r>
    <x v="3"/>
    <x v="5"/>
    <x v="30"/>
    <x v="3"/>
    <x v="0"/>
    <x v="0"/>
    <n v="0.42"/>
    <n v="0.42"/>
    <n v="0.42"/>
    <n v="0.42"/>
  </r>
  <r>
    <x v="3"/>
    <x v="5"/>
    <x v="30"/>
    <x v="1"/>
    <x v="1"/>
    <x v="0"/>
    <n v="23.69"/>
    <n v="23.69"/>
    <n v="3.27"/>
    <n v="21.79"/>
  </r>
  <r>
    <x v="3"/>
    <x v="5"/>
    <x v="30"/>
    <x v="2"/>
    <x v="3"/>
    <x v="1"/>
    <n v="2.91"/>
    <n v="2.91"/>
    <n v="0.01"/>
    <n v="2.68"/>
  </r>
  <r>
    <x v="3"/>
    <x v="5"/>
    <x v="30"/>
    <x v="3"/>
    <x v="4"/>
    <x v="0"/>
    <n v="5.51"/>
    <n v="5.51"/>
    <n v="1.43"/>
    <n v="5.14"/>
  </r>
  <r>
    <x v="3"/>
    <x v="5"/>
    <x v="30"/>
    <x v="0"/>
    <x v="0"/>
    <x v="0"/>
    <n v="6.16"/>
    <n v="6.16"/>
    <n v="5.47"/>
    <n v="5.61"/>
  </r>
  <r>
    <x v="3"/>
    <x v="5"/>
    <x v="30"/>
    <x v="0"/>
    <x v="4"/>
    <x v="0"/>
    <n v="20.83"/>
    <n v="20.83"/>
    <n v="6.43"/>
    <n v="19.32"/>
  </r>
  <r>
    <x v="3"/>
    <x v="5"/>
    <x v="30"/>
    <x v="1"/>
    <x v="4"/>
    <x v="0"/>
    <n v="160.06"/>
    <n v="160.06"/>
    <n v="54.55"/>
    <n v="147.25"/>
  </r>
  <r>
    <x v="3"/>
    <x v="5"/>
    <x v="30"/>
    <x v="1"/>
    <x v="2"/>
    <x v="0"/>
    <n v="2.56"/>
    <n v="2.56"/>
    <n v="0.03"/>
    <n v="2.27"/>
  </r>
  <r>
    <x v="3"/>
    <x v="5"/>
    <x v="30"/>
    <x v="2"/>
    <x v="0"/>
    <x v="0"/>
    <n v="7.62"/>
    <n v="7.62"/>
    <n v="4.8499999999999996"/>
    <n v="7.17"/>
  </r>
  <r>
    <x v="3"/>
    <x v="5"/>
    <x v="30"/>
    <x v="1"/>
    <x v="2"/>
    <x v="1"/>
    <n v="11.39"/>
    <n v="11.39"/>
    <n v="0.08"/>
    <n v="10.55"/>
  </r>
  <r>
    <x v="3"/>
    <x v="5"/>
    <x v="30"/>
    <x v="2"/>
    <x v="3"/>
    <x v="2"/>
    <n v="15.49"/>
    <n v="15.49"/>
    <n v="0.02"/>
    <n v="13.84"/>
  </r>
  <r>
    <x v="3"/>
    <x v="5"/>
    <x v="30"/>
    <x v="1"/>
    <x v="0"/>
    <x v="0"/>
    <n v="11.81"/>
    <n v="11.81"/>
    <n v="8.17"/>
    <n v="11.08"/>
  </r>
  <r>
    <x v="3"/>
    <x v="5"/>
    <x v="30"/>
    <x v="4"/>
    <x v="0"/>
    <x v="1"/>
    <n v="0.28999999999999998"/>
    <n v="0.28999999999999998"/>
    <n v="0.03"/>
    <n v="0.27"/>
  </r>
  <r>
    <x v="3"/>
    <x v="5"/>
    <x v="30"/>
    <x v="2"/>
    <x v="4"/>
    <x v="0"/>
    <n v="7.64"/>
    <n v="7.64"/>
    <n v="1.73"/>
    <n v="7.19"/>
  </r>
  <r>
    <x v="3"/>
    <x v="5"/>
    <x v="30"/>
    <x v="4"/>
    <x v="4"/>
    <x v="2"/>
    <n v="0.92"/>
    <n v="0.92"/>
    <n v="0.05"/>
    <n v="0.8"/>
  </r>
  <r>
    <x v="3"/>
    <x v="5"/>
    <x v="30"/>
    <x v="4"/>
    <x v="1"/>
    <x v="2"/>
    <n v="0.56999999999999995"/>
    <n v="0.56999999999999995"/>
    <n v="0.02"/>
    <n v="0.5"/>
  </r>
  <r>
    <x v="3"/>
    <x v="5"/>
    <x v="30"/>
    <x v="4"/>
    <x v="2"/>
    <x v="2"/>
    <n v="0.91"/>
    <n v="0.91"/>
    <n v="0.01"/>
    <n v="0.79"/>
  </r>
  <r>
    <x v="3"/>
    <x v="5"/>
    <x v="30"/>
    <x v="1"/>
    <x v="4"/>
    <x v="2"/>
    <n v="0.23"/>
    <n v="0.23"/>
    <n v="0.01"/>
    <n v="0.21"/>
  </r>
  <r>
    <x v="3"/>
    <x v="5"/>
    <x v="30"/>
    <x v="2"/>
    <x v="3"/>
    <x v="3"/>
    <n v="9.35"/>
    <n v="9.35"/>
    <n v="0.01"/>
    <n v="9.35"/>
  </r>
  <r>
    <x v="3"/>
    <x v="5"/>
    <x v="30"/>
    <x v="2"/>
    <x v="2"/>
    <x v="3"/>
    <n v="0.35"/>
    <n v="0.35"/>
    <n v="0"/>
    <n v="0.35"/>
  </r>
  <r>
    <x v="3"/>
    <x v="5"/>
    <x v="30"/>
    <x v="1"/>
    <x v="1"/>
    <x v="1"/>
    <n v="2.46"/>
    <n v="2.46"/>
    <n v="0.05"/>
    <n v="2.2999999999999998"/>
  </r>
  <r>
    <x v="3"/>
    <x v="5"/>
    <x v="30"/>
    <x v="4"/>
    <x v="4"/>
    <x v="1"/>
    <n v="0.7"/>
    <n v="0.7"/>
    <n v="0.03"/>
    <n v="0.65"/>
  </r>
  <r>
    <x v="3"/>
    <x v="5"/>
    <x v="30"/>
    <x v="4"/>
    <x v="1"/>
    <x v="1"/>
    <n v="0.67"/>
    <n v="0.67"/>
    <n v="0.01"/>
    <n v="0.62"/>
  </r>
  <r>
    <x v="3"/>
    <x v="5"/>
    <x v="30"/>
    <x v="0"/>
    <x v="0"/>
    <x v="1"/>
    <n v="1.73"/>
    <n v="1.73"/>
    <n v="0.13"/>
    <n v="1.6"/>
  </r>
  <r>
    <x v="3"/>
    <x v="5"/>
    <x v="30"/>
    <x v="0"/>
    <x v="4"/>
    <x v="1"/>
    <n v="1.57"/>
    <n v="1.57"/>
    <n v="7.0000000000000007E-2"/>
    <n v="1.45"/>
  </r>
  <r>
    <x v="3"/>
    <x v="5"/>
    <x v="30"/>
    <x v="1"/>
    <x v="0"/>
    <x v="1"/>
    <n v="1.3"/>
    <n v="1.3"/>
    <n v="7.0000000000000007E-2"/>
    <n v="1.27"/>
  </r>
  <r>
    <x v="3"/>
    <x v="5"/>
    <x v="30"/>
    <x v="1"/>
    <x v="4"/>
    <x v="1"/>
    <n v="0.64"/>
    <n v="0.64"/>
    <n v="0.03"/>
    <n v="0.62"/>
  </r>
  <r>
    <x v="3"/>
    <x v="6"/>
    <x v="31"/>
    <x v="4"/>
    <x v="1"/>
    <x v="1"/>
    <n v="2.48"/>
    <n v="2.48"/>
    <n v="0.09"/>
    <n v="2.04"/>
  </r>
  <r>
    <x v="3"/>
    <x v="6"/>
    <x v="31"/>
    <x v="0"/>
    <x v="0"/>
    <x v="0"/>
    <n v="2.04"/>
    <n v="2.04"/>
    <n v="1.93"/>
    <n v="1.75"/>
  </r>
  <r>
    <x v="3"/>
    <x v="6"/>
    <x v="31"/>
    <x v="1"/>
    <x v="3"/>
    <x v="1"/>
    <n v="0.32"/>
    <n v="0.32"/>
    <n v="0"/>
    <n v="0.27"/>
  </r>
  <r>
    <x v="3"/>
    <x v="6"/>
    <x v="31"/>
    <x v="0"/>
    <x v="4"/>
    <x v="0"/>
    <n v="7.79"/>
    <n v="7.79"/>
    <n v="2.54"/>
    <n v="6.94"/>
  </r>
  <r>
    <x v="3"/>
    <x v="6"/>
    <x v="31"/>
    <x v="1"/>
    <x v="0"/>
    <x v="0"/>
    <n v="7.59"/>
    <n v="7.59"/>
    <n v="4.76"/>
    <n v="6.57"/>
  </r>
  <r>
    <x v="3"/>
    <x v="6"/>
    <x v="31"/>
    <x v="1"/>
    <x v="4"/>
    <x v="0"/>
    <n v="112.22"/>
    <n v="112.22"/>
    <n v="28.89"/>
    <n v="101.67"/>
  </r>
  <r>
    <x v="3"/>
    <x v="6"/>
    <x v="31"/>
    <x v="1"/>
    <x v="1"/>
    <x v="0"/>
    <n v="20.87"/>
    <n v="20.87"/>
    <n v="1.21"/>
    <n v="17.84"/>
  </r>
  <r>
    <x v="3"/>
    <x v="6"/>
    <x v="31"/>
    <x v="2"/>
    <x v="4"/>
    <x v="0"/>
    <n v="12.03"/>
    <n v="12.03"/>
    <n v="5.44"/>
    <n v="10.88"/>
  </r>
  <r>
    <x v="3"/>
    <x v="6"/>
    <x v="31"/>
    <x v="2"/>
    <x v="0"/>
    <x v="0"/>
    <n v="9.1300000000000008"/>
    <n v="9.1300000000000008"/>
    <n v="6.82"/>
    <n v="8.34"/>
  </r>
  <r>
    <x v="3"/>
    <x v="6"/>
    <x v="31"/>
    <x v="4"/>
    <x v="1"/>
    <x v="0"/>
    <n v="5.45"/>
    <n v="5.45"/>
    <n v="0.37"/>
    <n v="4.57"/>
  </r>
  <r>
    <x v="3"/>
    <x v="6"/>
    <x v="31"/>
    <x v="1"/>
    <x v="1"/>
    <x v="1"/>
    <n v="4.18"/>
    <n v="4.18"/>
    <n v="0.05"/>
    <n v="3.53"/>
  </r>
  <r>
    <x v="3"/>
    <x v="6"/>
    <x v="31"/>
    <x v="1"/>
    <x v="2"/>
    <x v="0"/>
    <n v="5.13"/>
    <n v="5.13"/>
    <n v="0.06"/>
    <n v="4.3"/>
  </r>
  <r>
    <x v="3"/>
    <x v="6"/>
    <x v="31"/>
    <x v="1"/>
    <x v="4"/>
    <x v="1"/>
    <n v="4.21"/>
    <n v="4.21"/>
    <n v="0.14000000000000001"/>
    <n v="3.39"/>
  </r>
  <r>
    <x v="3"/>
    <x v="6"/>
    <x v="31"/>
    <x v="1"/>
    <x v="0"/>
    <x v="1"/>
    <n v="1.8"/>
    <n v="1.8"/>
    <n v="0.11"/>
    <n v="1.52"/>
  </r>
  <r>
    <x v="3"/>
    <x v="6"/>
    <x v="31"/>
    <x v="0"/>
    <x v="0"/>
    <x v="1"/>
    <n v="2.0699999999999998"/>
    <n v="2.0699999999999998"/>
    <n v="0.08"/>
    <n v="1.66"/>
  </r>
  <r>
    <x v="3"/>
    <x v="6"/>
    <x v="31"/>
    <x v="4"/>
    <x v="4"/>
    <x v="1"/>
    <n v="0.1"/>
    <n v="0.1"/>
    <n v="0.01"/>
    <n v="0.08"/>
  </r>
  <r>
    <x v="3"/>
    <x v="6"/>
    <x v="31"/>
    <x v="4"/>
    <x v="0"/>
    <x v="1"/>
    <n v="0.53"/>
    <n v="0.53"/>
    <n v="0.05"/>
    <n v="0.45"/>
  </r>
  <r>
    <x v="3"/>
    <x v="6"/>
    <x v="31"/>
    <x v="4"/>
    <x v="0"/>
    <x v="0"/>
    <n v="0.1"/>
    <n v="0.1"/>
    <n v="0.01"/>
    <n v="0.09"/>
  </r>
  <r>
    <x v="3"/>
    <x v="6"/>
    <x v="31"/>
    <x v="2"/>
    <x v="3"/>
    <x v="2"/>
    <n v="0.25"/>
    <n v="0.25"/>
    <n v="0"/>
    <n v="0.21"/>
  </r>
  <r>
    <x v="3"/>
    <x v="6"/>
    <x v="31"/>
    <x v="4"/>
    <x v="4"/>
    <x v="0"/>
    <n v="40.33"/>
    <n v="40.33"/>
    <n v="8.16"/>
    <n v="35.299999999999997"/>
  </r>
  <r>
    <x v="3"/>
    <x v="6"/>
    <x v="31"/>
    <x v="1"/>
    <x v="1"/>
    <x v="2"/>
    <n v="1.21"/>
    <n v="1.21"/>
    <n v="0.01"/>
    <n v="0.97"/>
  </r>
  <r>
    <x v="3"/>
    <x v="6"/>
    <x v="31"/>
    <x v="1"/>
    <x v="4"/>
    <x v="2"/>
    <n v="0.46"/>
    <n v="0.46"/>
    <n v="0.01"/>
    <n v="0.38"/>
  </r>
  <r>
    <x v="3"/>
    <x v="6"/>
    <x v="31"/>
    <x v="4"/>
    <x v="2"/>
    <x v="2"/>
    <n v="0.41"/>
    <n v="0.41"/>
    <n v="0.01"/>
    <n v="0.33"/>
  </r>
  <r>
    <x v="3"/>
    <x v="6"/>
    <x v="31"/>
    <x v="4"/>
    <x v="1"/>
    <x v="2"/>
    <n v="3.79"/>
    <n v="3.79"/>
    <n v="0.05"/>
    <n v="3.08"/>
  </r>
  <r>
    <x v="3"/>
    <x v="6"/>
    <x v="31"/>
    <x v="4"/>
    <x v="4"/>
    <x v="2"/>
    <n v="0.19"/>
    <n v="0.19"/>
    <n v="0.01"/>
    <n v="0.16"/>
  </r>
  <r>
    <x v="3"/>
    <x v="6"/>
    <x v="31"/>
    <x v="1"/>
    <x v="2"/>
    <x v="1"/>
    <n v="8.26"/>
    <n v="8.26"/>
    <n v="0.04"/>
    <n v="6.81"/>
  </r>
  <r>
    <x v="3"/>
    <x v="6"/>
    <x v="31"/>
    <x v="3"/>
    <x v="4"/>
    <x v="0"/>
    <n v="0.13"/>
    <n v="0.13"/>
    <n v="0.05"/>
    <n v="0.11"/>
  </r>
  <r>
    <x v="3"/>
    <x v="6"/>
    <x v="31"/>
    <x v="2"/>
    <x v="3"/>
    <x v="3"/>
    <n v="13.11"/>
    <n v="13.11"/>
    <n v="0.01"/>
    <n v="11.24"/>
  </r>
  <r>
    <x v="3"/>
    <x v="6"/>
    <x v="31"/>
    <x v="0"/>
    <x v="4"/>
    <x v="1"/>
    <n v="3.2"/>
    <n v="3.2"/>
    <n v="0.06"/>
    <n v="2.63"/>
  </r>
  <r>
    <x v="3"/>
    <x v="9"/>
    <x v="32"/>
    <x v="0"/>
    <x v="0"/>
    <x v="0"/>
    <n v="1.64"/>
    <n v="1.64"/>
    <n v="1.45"/>
    <n v="1.49"/>
  </r>
  <r>
    <x v="3"/>
    <x v="9"/>
    <x v="32"/>
    <x v="2"/>
    <x v="3"/>
    <x v="1"/>
    <n v="0.77"/>
    <n v="0.77"/>
    <n v="0"/>
    <n v="0.71"/>
  </r>
  <r>
    <x v="3"/>
    <x v="9"/>
    <x v="32"/>
    <x v="3"/>
    <x v="0"/>
    <x v="0"/>
    <n v="0.11"/>
    <n v="0.11"/>
    <n v="0.11"/>
    <n v="0.11"/>
  </r>
  <r>
    <x v="3"/>
    <x v="9"/>
    <x v="32"/>
    <x v="3"/>
    <x v="4"/>
    <x v="0"/>
    <n v="1.46"/>
    <n v="1.46"/>
    <n v="0.38"/>
    <n v="1.37"/>
  </r>
  <r>
    <x v="3"/>
    <x v="9"/>
    <x v="32"/>
    <x v="3"/>
    <x v="1"/>
    <x v="0"/>
    <n v="0.01"/>
    <n v="0.01"/>
    <n v="0"/>
    <n v="0.01"/>
  </r>
  <r>
    <x v="3"/>
    <x v="9"/>
    <x v="32"/>
    <x v="4"/>
    <x v="0"/>
    <x v="0"/>
    <n v="0.02"/>
    <n v="0.02"/>
    <n v="0"/>
    <n v="0.02"/>
  </r>
  <r>
    <x v="3"/>
    <x v="9"/>
    <x v="32"/>
    <x v="1"/>
    <x v="2"/>
    <x v="1"/>
    <n v="3.03"/>
    <n v="3.03"/>
    <n v="0.02"/>
    <n v="2.8"/>
  </r>
  <r>
    <x v="3"/>
    <x v="9"/>
    <x v="32"/>
    <x v="4"/>
    <x v="1"/>
    <x v="0"/>
    <n v="1.79"/>
    <n v="1.79"/>
    <n v="0.1"/>
    <n v="1.65"/>
  </r>
  <r>
    <x v="3"/>
    <x v="9"/>
    <x v="32"/>
    <x v="1"/>
    <x v="2"/>
    <x v="0"/>
    <n v="0.68"/>
    <n v="0.68"/>
    <n v="0.01"/>
    <n v="0.6"/>
  </r>
  <r>
    <x v="3"/>
    <x v="9"/>
    <x v="32"/>
    <x v="0"/>
    <x v="4"/>
    <x v="0"/>
    <n v="5.54"/>
    <n v="5.54"/>
    <n v="1.71"/>
    <n v="5.14"/>
  </r>
  <r>
    <x v="3"/>
    <x v="9"/>
    <x v="32"/>
    <x v="1"/>
    <x v="0"/>
    <x v="0"/>
    <n v="3.14"/>
    <n v="3.14"/>
    <n v="2.17"/>
    <n v="2.94"/>
  </r>
  <r>
    <x v="3"/>
    <x v="9"/>
    <x v="32"/>
    <x v="1"/>
    <x v="4"/>
    <x v="0"/>
    <n v="42.55"/>
    <n v="42.55"/>
    <n v="14.5"/>
    <n v="39.14"/>
  </r>
  <r>
    <x v="3"/>
    <x v="9"/>
    <x v="32"/>
    <x v="1"/>
    <x v="1"/>
    <x v="0"/>
    <n v="6.3"/>
    <n v="6.3"/>
    <n v="0.87"/>
    <n v="5.79"/>
  </r>
  <r>
    <x v="3"/>
    <x v="9"/>
    <x v="32"/>
    <x v="2"/>
    <x v="0"/>
    <x v="0"/>
    <n v="2.02"/>
    <n v="2.02"/>
    <n v="1.29"/>
    <n v="1.9"/>
  </r>
  <r>
    <x v="3"/>
    <x v="9"/>
    <x v="32"/>
    <x v="4"/>
    <x v="4"/>
    <x v="0"/>
    <n v="15.33"/>
    <n v="15.33"/>
    <n v="2.21"/>
    <n v="14.17"/>
  </r>
  <r>
    <x v="3"/>
    <x v="9"/>
    <x v="32"/>
    <x v="2"/>
    <x v="3"/>
    <x v="2"/>
    <n v="4.12"/>
    <n v="4.12"/>
    <n v="0.01"/>
    <n v="3.68"/>
  </r>
  <r>
    <x v="3"/>
    <x v="9"/>
    <x v="32"/>
    <x v="2"/>
    <x v="4"/>
    <x v="0"/>
    <n v="2.0299999999999998"/>
    <n v="2.0299999999999998"/>
    <n v="0.46"/>
    <n v="1.91"/>
  </r>
  <r>
    <x v="3"/>
    <x v="9"/>
    <x v="32"/>
    <x v="4"/>
    <x v="1"/>
    <x v="2"/>
    <n v="0.15"/>
    <n v="0.15"/>
    <n v="0"/>
    <n v="0.13"/>
  </r>
  <r>
    <x v="3"/>
    <x v="9"/>
    <x v="32"/>
    <x v="1"/>
    <x v="1"/>
    <x v="1"/>
    <n v="0.65"/>
    <n v="0.65"/>
    <n v="0.01"/>
    <n v="0.61"/>
  </r>
  <r>
    <x v="3"/>
    <x v="9"/>
    <x v="32"/>
    <x v="1"/>
    <x v="4"/>
    <x v="2"/>
    <n v="0.06"/>
    <n v="0.06"/>
    <n v="0"/>
    <n v="0.05"/>
  </r>
  <r>
    <x v="3"/>
    <x v="9"/>
    <x v="32"/>
    <x v="4"/>
    <x v="4"/>
    <x v="2"/>
    <n v="0.24"/>
    <n v="0.24"/>
    <n v="0.01"/>
    <n v="0.21"/>
  </r>
  <r>
    <x v="3"/>
    <x v="9"/>
    <x v="32"/>
    <x v="2"/>
    <x v="2"/>
    <x v="3"/>
    <n v="0.09"/>
    <n v="0.09"/>
    <n v="0"/>
    <n v="0.09"/>
  </r>
  <r>
    <x v="3"/>
    <x v="9"/>
    <x v="32"/>
    <x v="2"/>
    <x v="3"/>
    <x v="3"/>
    <n v="2.4900000000000002"/>
    <n v="2.4900000000000002"/>
    <n v="0"/>
    <n v="2.4900000000000002"/>
  </r>
  <r>
    <x v="3"/>
    <x v="9"/>
    <x v="32"/>
    <x v="4"/>
    <x v="0"/>
    <x v="1"/>
    <n v="0.08"/>
    <n v="0.08"/>
    <n v="0.01"/>
    <n v="7.0000000000000007E-2"/>
  </r>
  <r>
    <x v="3"/>
    <x v="9"/>
    <x v="32"/>
    <x v="4"/>
    <x v="4"/>
    <x v="1"/>
    <n v="0.19"/>
    <n v="0.19"/>
    <n v="0.01"/>
    <n v="0.17"/>
  </r>
  <r>
    <x v="3"/>
    <x v="9"/>
    <x v="32"/>
    <x v="4"/>
    <x v="1"/>
    <x v="1"/>
    <n v="0.18"/>
    <n v="0.18"/>
    <n v="0"/>
    <n v="0.16"/>
  </r>
  <r>
    <x v="3"/>
    <x v="9"/>
    <x v="32"/>
    <x v="0"/>
    <x v="0"/>
    <x v="1"/>
    <n v="0.46"/>
    <n v="0.46"/>
    <n v="0.03"/>
    <n v="0.42"/>
  </r>
  <r>
    <x v="3"/>
    <x v="9"/>
    <x v="32"/>
    <x v="0"/>
    <x v="4"/>
    <x v="1"/>
    <n v="0.42"/>
    <n v="0.42"/>
    <n v="0.02"/>
    <n v="0.39"/>
  </r>
  <r>
    <x v="3"/>
    <x v="9"/>
    <x v="32"/>
    <x v="1"/>
    <x v="0"/>
    <x v="1"/>
    <n v="0.35"/>
    <n v="0.35"/>
    <n v="0.02"/>
    <n v="0.34"/>
  </r>
  <r>
    <x v="3"/>
    <x v="9"/>
    <x v="32"/>
    <x v="1"/>
    <x v="4"/>
    <x v="1"/>
    <n v="0.17"/>
    <n v="0.17"/>
    <n v="0.01"/>
    <n v="0.17"/>
  </r>
  <r>
    <x v="3"/>
    <x v="9"/>
    <x v="32"/>
    <x v="4"/>
    <x v="2"/>
    <x v="2"/>
    <n v="0.24"/>
    <n v="0.24"/>
    <n v="0"/>
    <n v="0.21"/>
  </r>
  <r>
    <x v="3"/>
    <x v="0"/>
    <x v="33"/>
    <x v="1"/>
    <x v="1"/>
    <x v="1"/>
    <n v="7.97"/>
    <n v="7.97"/>
    <n v="0.09"/>
    <n v="7.6"/>
  </r>
  <r>
    <x v="3"/>
    <x v="0"/>
    <x v="33"/>
    <x v="2"/>
    <x v="3"/>
    <x v="3"/>
    <n v="24.44"/>
    <n v="24.44"/>
    <n v="0.01"/>
    <n v="23.24"/>
  </r>
  <r>
    <x v="3"/>
    <x v="0"/>
    <x v="33"/>
    <x v="3"/>
    <x v="0"/>
    <x v="0"/>
    <n v="0.44"/>
    <n v="0.44"/>
    <n v="0.27"/>
    <n v="0.44"/>
  </r>
  <r>
    <x v="3"/>
    <x v="0"/>
    <x v="33"/>
    <x v="2"/>
    <x v="3"/>
    <x v="1"/>
    <n v="17.14"/>
    <n v="17.14"/>
    <n v="0.03"/>
    <n v="16.350000000000001"/>
  </r>
  <r>
    <x v="3"/>
    <x v="0"/>
    <x v="33"/>
    <x v="1"/>
    <x v="2"/>
    <x v="1"/>
    <n v="27.34"/>
    <n v="27.34"/>
    <n v="0.08"/>
    <n v="26.08"/>
  </r>
  <r>
    <x v="3"/>
    <x v="0"/>
    <x v="33"/>
    <x v="1"/>
    <x v="4"/>
    <x v="1"/>
    <n v="1.05"/>
    <n v="1.05"/>
    <n v="0.09"/>
    <n v="1"/>
  </r>
  <r>
    <x v="3"/>
    <x v="0"/>
    <x v="33"/>
    <x v="1"/>
    <x v="0"/>
    <x v="1"/>
    <n v="1.5"/>
    <n v="1.5"/>
    <n v="7.0000000000000007E-2"/>
    <n v="1.43"/>
  </r>
  <r>
    <x v="3"/>
    <x v="0"/>
    <x v="33"/>
    <x v="0"/>
    <x v="4"/>
    <x v="1"/>
    <n v="3.91"/>
    <n v="3.91"/>
    <n v="0.06"/>
    <n v="3.74"/>
  </r>
  <r>
    <x v="3"/>
    <x v="0"/>
    <x v="33"/>
    <x v="0"/>
    <x v="0"/>
    <x v="1"/>
    <n v="2.75"/>
    <n v="2.75"/>
    <n v="0.08"/>
    <n v="2.63"/>
  </r>
  <r>
    <x v="3"/>
    <x v="0"/>
    <x v="33"/>
    <x v="3"/>
    <x v="4"/>
    <x v="0"/>
    <n v="2.4"/>
    <n v="2.4"/>
    <n v="0.41"/>
    <n v="2.2599999999999998"/>
  </r>
  <r>
    <x v="3"/>
    <x v="0"/>
    <x v="33"/>
    <x v="4"/>
    <x v="4"/>
    <x v="1"/>
    <n v="3.08"/>
    <n v="3.08"/>
    <n v="0.19"/>
    <n v="2.94"/>
  </r>
  <r>
    <x v="3"/>
    <x v="0"/>
    <x v="33"/>
    <x v="4"/>
    <x v="0"/>
    <x v="1"/>
    <n v="0.92"/>
    <n v="0.92"/>
    <n v="0.04"/>
    <n v="0.88"/>
  </r>
  <r>
    <x v="3"/>
    <x v="0"/>
    <x v="33"/>
    <x v="1"/>
    <x v="3"/>
    <x v="1"/>
    <n v="0.04"/>
    <n v="0.04"/>
    <n v="0"/>
    <n v="0.04"/>
  </r>
  <r>
    <x v="3"/>
    <x v="0"/>
    <x v="33"/>
    <x v="2"/>
    <x v="2"/>
    <x v="2"/>
    <n v="1.22"/>
    <n v="1.22"/>
    <n v="0.01"/>
    <n v="1.17"/>
  </r>
  <r>
    <x v="3"/>
    <x v="0"/>
    <x v="33"/>
    <x v="1"/>
    <x v="2"/>
    <x v="2"/>
    <n v="0.17"/>
    <n v="0.17"/>
    <n v="0"/>
    <n v="0.16"/>
  </r>
  <r>
    <x v="3"/>
    <x v="0"/>
    <x v="33"/>
    <x v="1"/>
    <x v="4"/>
    <x v="2"/>
    <n v="0.87"/>
    <n v="0.87"/>
    <n v="0.04"/>
    <n v="0.85"/>
  </r>
  <r>
    <x v="3"/>
    <x v="0"/>
    <x v="33"/>
    <x v="4"/>
    <x v="2"/>
    <x v="2"/>
    <n v="2.66"/>
    <n v="2.66"/>
    <n v="0.03"/>
    <n v="2.57"/>
  </r>
  <r>
    <x v="3"/>
    <x v="0"/>
    <x v="33"/>
    <x v="4"/>
    <x v="1"/>
    <x v="2"/>
    <n v="1.26"/>
    <n v="1.26"/>
    <n v="0.04"/>
    <n v="1.22"/>
  </r>
  <r>
    <x v="3"/>
    <x v="0"/>
    <x v="33"/>
    <x v="4"/>
    <x v="4"/>
    <x v="2"/>
    <n v="1.02"/>
    <n v="1.02"/>
    <n v="0.06"/>
    <n v="0.99"/>
  </r>
  <r>
    <x v="3"/>
    <x v="0"/>
    <x v="33"/>
    <x v="4"/>
    <x v="1"/>
    <x v="1"/>
    <n v="1.65"/>
    <n v="1.65"/>
    <n v="0.06"/>
    <n v="1.58"/>
  </r>
  <r>
    <x v="3"/>
    <x v="0"/>
    <x v="33"/>
    <x v="1"/>
    <x v="1"/>
    <x v="0"/>
    <n v="22.13"/>
    <n v="22.13"/>
    <n v="1.35"/>
    <n v="20.92"/>
  </r>
  <r>
    <x v="3"/>
    <x v="0"/>
    <x v="33"/>
    <x v="4"/>
    <x v="0"/>
    <x v="0"/>
    <n v="0.35"/>
    <n v="0.35"/>
    <n v="0.03"/>
    <n v="0.33"/>
  </r>
  <r>
    <x v="3"/>
    <x v="0"/>
    <x v="33"/>
    <x v="2"/>
    <x v="3"/>
    <x v="2"/>
    <n v="7.27"/>
    <n v="7.27"/>
    <n v="0.01"/>
    <n v="6.98"/>
  </r>
  <r>
    <x v="3"/>
    <x v="0"/>
    <x v="33"/>
    <x v="2"/>
    <x v="4"/>
    <x v="0"/>
    <n v="11.43"/>
    <n v="11.43"/>
    <n v="3.03"/>
    <n v="10.84"/>
  </r>
  <r>
    <x v="3"/>
    <x v="0"/>
    <x v="33"/>
    <x v="1"/>
    <x v="2"/>
    <x v="0"/>
    <n v="3.63"/>
    <n v="3.63"/>
    <n v="0.06"/>
    <n v="3.41"/>
  </r>
  <r>
    <x v="3"/>
    <x v="0"/>
    <x v="33"/>
    <x v="1"/>
    <x v="4"/>
    <x v="0"/>
    <n v="78.069999999999993"/>
    <n v="78.069999999999993"/>
    <n v="24.53"/>
    <n v="74.08"/>
  </r>
  <r>
    <x v="3"/>
    <x v="0"/>
    <x v="33"/>
    <x v="1"/>
    <x v="0"/>
    <x v="0"/>
    <n v="9.84"/>
    <n v="9.84"/>
    <n v="6.07"/>
    <n v="9.4"/>
  </r>
  <r>
    <x v="3"/>
    <x v="0"/>
    <x v="33"/>
    <x v="0"/>
    <x v="4"/>
    <x v="0"/>
    <n v="15.24"/>
    <n v="15.24"/>
    <n v="4.87"/>
    <n v="14.37"/>
  </r>
  <r>
    <x v="3"/>
    <x v="0"/>
    <x v="33"/>
    <x v="0"/>
    <x v="0"/>
    <x v="0"/>
    <n v="9.98"/>
    <n v="9.98"/>
    <n v="10.62"/>
    <n v="9.23"/>
  </r>
  <r>
    <x v="3"/>
    <x v="0"/>
    <x v="33"/>
    <x v="4"/>
    <x v="1"/>
    <x v="0"/>
    <n v="15.85"/>
    <n v="15.85"/>
    <n v="0.95"/>
    <n v="14.79"/>
  </r>
  <r>
    <x v="3"/>
    <x v="0"/>
    <x v="33"/>
    <x v="4"/>
    <x v="4"/>
    <x v="0"/>
    <n v="59.69"/>
    <n v="59.69"/>
    <n v="8.44"/>
    <n v="56"/>
  </r>
  <r>
    <x v="3"/>
    <x v="0"/>
    <x v="33"/>
    <x v="2"/>
    <x v="0"/>
    <x v="0"/>
    <n v="10.74"/>
    <n v="10.74"/>
    <n v="7.54"/>
    <n v="10.210000000000001"/>
  </r>
  <r>
    <x v="3"/>
    <x v="7"/>
    <x v="34"/>
    <x v="2"/>
    <x v="3"/>
    <x v="1"/>
    <n v="8.41"/>
    <n v="8.41"/>
    <n v="0.03"/>
    <n v="7.77"/>
  </r>
  <r>
    <x v="3"/>
    <x v="7"/>
    <x v="34"/>
    <x v="1"/>
    <x v="4"/>
    <x v="0"/>
    <n v="175.29"/>
    <n v="175.29"/>
    <n v="38.08"/>
    <n v="162.51"/>
  </r>
  <r>
    <x v="3"/>
    <x v="7"/>
    <x v="34"/>
    <x v="3"/>
    <x v="4"/>
    <x v="0"/>
    <n v="14.5"/>
    <n v="14.5"/>
    <n v="3.57"/>
    <n v="13.64"/>
  </r>
  <r>
    <x v="3"/>
    <x v="7"/>
    <x v="34"/>
    <x v="4"/>
    <x v="0"/>
    <x v="0"/>
    <n v="0.14000000000000001"/>
    <n v="0.14000000000000001"/>
    <n v="0.02"/>
    <n v="0.13"/>
  </r>
  <r>
    <x v="3"/>
    <x v="7"/>
    <x v="34"/>
    <x v="4"/>
    <x v="4"/>
    <x v="0"/>
    <n v="96.19"/>
    <n v="96.19"/>
    <n v="15"/>
    <n v="89.55"/>
  </r>
  <r>
    <x v="3"/>
    <x v="7"/>
    <x v="34"/>
    <x v="4"/>
    <x v="1"/>
    <x v="0"/>
    <n v="14.82"/>
    <n v="14.82"/>
    <n v="0.77"/>
    <n v="13.62"/>
  </r>
  <r>
    <x v="3"/>
    <x v="7"/>
    <x v="34"/>
    <x v="0"/>
    <x v="0"/>
    <x v="0"/>
    <n v="12.51"/>
    <n v="12.51"/>
    <n v="12.19"/>
    <n v="11.31"/>
  </r>
  <r>
    <x v="3"/>
    <x v="7"/>
    <x v="34"/>
    <x v="0"/>
    <x v="4"/>
    <x v="0"/>
    <n v="34.590000000000003"/>
    <n v="34.590000000000003"/>
    <n v="8.52"/>
    <n v="32.409999999999997"/>
  </r>
  <r>
    <x v="3"/>
    <x v="7"/>
    <x v="34"/>
    <x v="0"/>
    <x v="2"/>
    <x v="0"/>
    <n v="0.57999999999999996"/>
    <n v="0.57999999999999996"/>
    <n v="0.01"/>
    <n v="0.56000000000000005"/>
  </r>
  <r>
    <x v="3"/>
    <x v="7"/>
    <x v="34"/>
    <x v="1"/>
    <x v="0"/>
    <x v="0"/>
    <n v="11.08"/>
    <n v="11.08"/>
    <n v="7.23"/>
    <n v="10.43"/>
  </r>
  <r>
    <x v="3"/>
    <x v="7"/>
    <x v="34"/>
    <x v="1"/>
    <x v="1"/>
    <x v="0"/>
    <n v="29.68"/>
    <n v="29.68"/>
    <n v="2.1"/>
    <n v="27.4"/>
  </r>
  <r>
    <x v="3"/>
    <x v="7"/>
    <x v="34"/>
    <x v="1"/>
    <x v="2"/>
    <x v="1"/>
    <n v="23.66"/>
    <n v="23.66"/>
    <n v="0.16"/>
    <n v="21.92"/>
  </r>
  <r>
    <x v="3"/>
    <x v="7"/>
    <x v="34"/>
    <x v="2"/>
    <x v="0"/>
    <x v="0"/>
    <n v="10.43"/>
    <n v="10.43"/>
    <n v="6.99"/>
    <n v="9.92"/>
  </r>
  <r>
    <x v="3"/>
    <x v="7"/>
    <x v="34"/>
    <x v="2"/>
    <x v="2"/>
    <x v="3"/>
    <n v="0.37"/>
    <n v="0.37"/>
    <n v="0"/>
    <n v="0.37"/>
  </r>
  <r>
    <x v="3"/>
    <x v="7"/>
    <x v="34"/>
    <x v="1"/>
    <x v="2"/>
    <x v="0"/>
    <n v="5.51"/>
    <n v="5.51"/>
    <n v="0.1"/>
    <n v="4.9800000000000004"/>
  </r>
  <r>
    <x v="3"/>
    <x v="7"/>
    <x v="34"/>
    <x v="2"/>
    <x v="3"/>
    <x v="3"/>
    <n v="8.61"/>
    <n v="8.61"/>
    <n v="0.01"/>
    <n v="8.61"/>
  </r>
  <r>
    <x v="3"/>
    <x v="7"/>
    <x v="34"/>
    <x v="3"/>
    <x v="1"/>
    <x v="0"/>
    <n v="0.17"/>
    <n v="0.17"/>
    <n v="0.03"/>
    <n v="0.16"/>
  </r>
  <r>
    <x v="3"/>
    <x v="7"/>
    <x v="34"/>
    <x v="2"/>
    <x v="4"/>
    <x v="0"/>
    <n v="14.14"/>
    <n v="14.14"/>
    <n v="3.25"/>
    <n v="13.52"/>
  </r>
  <r>
    <x v="3"/>
    <x v="7"/>
    <x v="34"/>
    <x v="4"/>
    <x v="4"/>
    <x v="2"/>
    <n v="2.5499999999999998"/>
    <n v="2.5499999999999998"/>
    <n v="0.14000000000000001"/>
    <n v="2.27"/>
  </r>
  <r>
    <x v="3"/>
    <x v="7"/>
    <x v="34"/>
    <x v="4"/>
    <x v="1"/>
    <x v="2"/>
    <n v="1.69"/>
    <n v="1.69"/>
    <n v="0.04"/>
    <n v="1.47"/>
  </r>
  <r>
    <x v="3"/>
    <x v="7"/>
    <x v="34"/>
    <x v="4"/>
    <x v="2"/>
    <x v="2"/>
    <n v="2.27"/>
    <n v="2.27"/>
    <n v="0.01"/>
    <n v="1.98"/>
  </r>
  <r>
    <x v="3"/>
    <x v="7"/>
    <x v="34"/>
    <x v="4"/>
    <x v="0"/>
    <x v="1"/>
    <n v="0.37"/>
    <n v="0.37"/>
    <n v="0.04"/>
    <n v="0.34"/>
  </r>
  <r>
    <x v="3"/>
    <x v="7"/>
    <x v="34"/>
    <x v="2"/>
    <x v="3"/>
    <x v="2"/>
    <n v="15.21"/>
    <n v="15.21"/>
    <n v="0.04"/>
    <n v="13.56"/>
  </r>
  <r>
    <x v="3"/>
    <x v="7"/>
    <x v="34"/>
    <x v="1"/>
    <x v="1"/>
    <x v="1"/>
    <n v="4.95"/>
    <n v="4.95"/>
    <n v="0.09"/>
    <n v="4.6100000000000003"/>
  </r>
  <r>
    <x v="3"/>
    <x v="7"/>
    <x v="34"/>
    <x v="4"/>
    <x v="4"/>
    <x v="1"/>
    <n v="1.82"/>
    <n v="1.82"/>
    <n v="7.0000000000000007E-2"/>
    <n v="1.69"/>
  </r>
  <r>
    <x v="3"/>
    <x v="7"/>
    <x v="34"/>
    <x v="4"/>
    <x v="1"/>
    <x v="1"/>
    <n v="1.34"/>
    <n v="1.34"/>
    <n v="0.03"/>
    <n v="1.25"/>
  </r>
  <r>
    <x v="3"/>
    <x v="7"/>
    <x v="34"/>
    <x v="0"/>
    <x v="0"/>
    <x v="1"/>
    <n v="3.86"/>
    <n v="3.86"/>
    <n v="0.25"/>
    <n v="3.56"/>
  </r>
  <r>
    <x v="3"/>
    <x v="7"/>
    <x v="34"/>
    <x v="0"/>
    <x v="4"/>
    <x v="1"/>
    <n v="3.25"/>
    <n v="3.25"/>
    <n v="0.12"/>
    <n v="3.01"/>
  </r>
  <r>
    <x v="3"/>
    <x v="7"/>
    <x v="34"/>
    <x v="1"/>
    <x v="0"/>
    <x v="1"/>
    <n v="1.3"/>
    <n v="1.3"/>
    <n v="0.1"/>
    <n v="1.25"/>
  </r>
  <r>
    <x v="3"/>
    <x v="7"/>
    <x v="34"/>
    <x v="1"/>
    <x v="4"/>
    <x v="1"/>
    <n v="2.08"/>
    <n v="2.08"/>
    <n v="0.06"/>
    <n v="2.04"/>
  </r>
  <r>
    <x v="3"/>
    <x v="7"/>
    <x v="34"/>
    <x v="1"/>
    <x v="4"/>
    <x v="2"/>
    <n v="1.0900000000000001"/>
    <n v="1.0900000000000001"/>
    <n v="0.08"/>
    <n v="0.97"/>
  </r>
  <r>
    <x v="3"/>
    <x v="7"/>
    <x v="34"/>
    <x v="3"/>
    <x v="0"/>
    <x v="0"/>
    <n v="1.62"/>
    <n v="1.62"/>
    <n v="1.63"/>
    <n v="1.59"/>
  </r>
  <r>
    <x v="3"/>
    <x v="10"/>
    <x v="35"/>
    <x v="1"/>
    <x v="0"/>
    <x v="0"/>
    <n v="3.64"/>
    <n v="3.64"/>
    <n v="2.38"/>
    <n v="3.42"/>
  </r>
  <r>
    <x v="3"/>
    <x v="10"/>
    <x v="35"/>
    <x v="4"/>
    <x v="4"/>
    <x v="2"/>
    <n v="0.84"/>
    <n v="0.84"/>
    <n v="0.05"/>
    <n v="0.75"/>
  </r>
  <r>
    <x v="3"/>
    <x v="10"/>
    <x v="35"/>
    <x v="3"/>
    <x v="1"/>
    <x v="0"/>
    <n v="0.05"/>
    <n v="0.05"/>
    <n v="0.01"/>
    <n v="0.05"/>
  </r>
  <r>
    <x v="3"/>
    <x v="10"/>
    <x v="35"/>
    <x v="4"/>
    <x v="0"/>
    <x v="0"/>
    <n v="0.04"/>
    <n v="0.04"/>
    <n v="0.01"/>
    <n v="0.04"/>
  </r>
  <r>
    <x v="3"/>
    <x v="10"/>
    <x v="35"/>
    <x v="4"/>
    <x v="4"/>
    <x v="0"/>
    <n v="31.58"/>
    <n v="31.58"/>
    <n v="4.93"/>
    <n v="29.4"/>
  </r>
  <r>
    <x v="3"/>
    <x v="10"/>
    <x v="35"/>
    <x v="4"/>
    <x v="1"/>
    <x v="0"/>
    <n v="4.87"/>
    <n v="4.87"/>
    <n v="0.25"/>
    <n v="4.47"/>
  </r>
  <r>
    <x v="3"/>
    <x v="10"/>
    <x v="35"/>
    <x v="0"/>
    <x v="0"/>
    <x v="0"/>
    <n v="4.1100000000000003"/>
    <n v="4.1100000000000003"/>
    <n v="4"/>
    <n v="3.71"/>
  </r>
  <r>
    <x v="3"/>
    <x v="10"/>
    <x v="35"/>
    <x v="3"/>
    <x v="0"/>
    <x v="0"/>
    <n v="0.53"/>
    <n v="0.53"/>
    <n v="0.54"/>
    <n v="0.52"/>
  </r>
  <r>
    <x v="3"/>
    <x v="10"/>
    <x v="35"/>
    <x v="0"/>
    <x v="2"/>
    <x v="0"/>
    <n v="0.19"/>
    <n v="0.19"/>
    <n v="0"/>
    <n v="0.18"/>
  </r>
  <r>
    <x v="3"/>
    <x v="10"/>
    <x v="35"/>
    <x v="2"/>
    <x v="3"/>
    <x v="1"/>
    <n v="2.76"/>
    <n v="2.76"/>
    <n v="0.01"/>
    <n v="2.5499999999999998"/>
  </r>
  <r>
    <x v="3"/>
    <x v="10"/>
    <x v="35"/>
    <x v="1"/>
    <x v="4"/>
    <x v="0"/>
    <n v="57.56"/>
    <n v="57.56"/>
    <n v="12.5"/>
    <n v="53.36"/>
  </r>
  <r>
    <x v="3"/>
    <x v="10"/>
    <x v="35"/>
    <x v="1"/>
    <x v="1"/>
    <x v="0"/>
    <n v="9.75"/>
    <n v="9.75"/>
    <n v="0.69"/>
    <n v="9"/>
  </r>
  <r>
    <x v="3"/>
    <x v="10"/>
    <x v="35"/>
    <x v="1"/>
    <x v="2"/>
    <x v="0"/>
    <n v="1.81"/>
    <n v="1.81"/>
    <n v="0.03"/>
    <n v="1.64"/>
  </r>
  <r>
    <x v="3"/>
    <x v="10"/>
    <x v="35"/>
    <x v="2"/>
    <x v="0"/>
    <x v="0"/>
    <n v="3.43"/>
    <n v="3.43"/>
    <n v="2.2999999999999998"/>
    <n v="3.26"/>
  </r>
  <r>
    <x v="3"/>
    <x v="10"/>
    <x v="35"/>
    <x v="2"/>
    <x v="4"/>
    <x v="0"/>
    <n v="4.6399999999999997"/>
    <n v="4.6399999999999997"/>
    <n v="1.07"/>
    <n v="4.4400000000000004"/>
  </r>
  <r>
    <x v="3"/>
    <x v="10"/>
    <x v="35"/>
    <x v="0"/>
    <x v="4"/>
    <x v="0"/>
    <n v="11.36"/>
    <n v="11.36"/>
    <n v="2.8"/>
    <n v="10.64"/>
  </r>
  <r>
    <x v="3"/>
    <x v="10"/>
    <x v="35"/>
    <x v="4"/>
    <x v="4"/>
    <x v="1"/>
    <n v="0.6"/>
    <n v="0.6"/>
    <n v="0.02"/>
    <n v="0.55000000000000004"/>
  </r>
  <r>
    <x v="3"/>
    <x v="10"/>
    <x v="35"/>
    <x v="4"/>
    <x v="1"/>
    <x v="2"/>
    <n v="0.56000000000000005"/>
    <n v="0.56000000000000005"/>
    <n v="0.01"/>
    <n v="0.48"/>
  </r>
  <r>
    <x v="3"/>
    <x v="10"/>
    <x v="35"/>
    <x v="4"/>
    <x v="2"/>
    <x v="2"/>
    <n v="0.75"/>
    <n v="0.75"/>
    <n v="0"/>
    <n v="0.65"/>
  </r>
  <r>
    <x v="3"/>
    <x v="10"/>
    <x v="35"/>
    <x v="1"/>
    <x v="4"/>
    <x v="2"/>
    <n v="0.36"/>
    <n v="0.36"/>
    <n v="0.03"/>
    <n v="0.32"/>
  </r>
  <r>
    <x v="3"/>
    <x v="10"/>
    <x v="35"/>
    <x v="2"/>
    <x v="3"/>
    <x v="2"/>
    <n v="5"/>
    <n v="5"/>
    <n v="0.01"/>
    <n v="4.45"/>
  </r>
  <r>
    <x v="3"/>
    <x v="10"/>
    <x v="35"/>
    <x v="2"/>
    <x v="2"/>
    <x v="3"/>
    <n v="0.12"/>
    <n v="0.12"/>
    <n v="0"/>
    <n v="0.12"/>
  </r>
  <r>
    <x v="3"/>
    <x v="10"/>
    <x v="35"/>
    <x v="3"/>
    <x v="4"/>
    <x v="0"/>
    <n v="4.76"/>
    <n v="4.76"/>
    <n v="1.17"/>
    <n v="4.4800000000000004"/>
  </r>
  <r>
    <x v="3"/>
    <x v="10"/>
    <x v="35"/>
    <x v="4"/>
    <x v="0"/>
    <x v="1"/>
    <n v="0.12"/>
    <n v="0.12"/>
    <n v="0.01"/>
    <n v="0.11"/>
  </r>
  <r>
    <x v="3"/>
    <x v="10"/>
    <x v="35"/>
    <x v="4"/>
    <x v="1"/>
    <x v="1"/>
    <n v="0.44"/>
    <n v="0.44"/>
    <n v="0.01"/>
    <n v="0.41"/>
  </r>
  <r>
    <x v="3"/>
    <x v="10"/>
    <x v="35"/>
    <x v="0"/>
    <x v="0"/>
    <x v="1"/>
    <n v="1.27"/>
    <n v="1.27"/>
    <n v="0.08"/>
    <n v="1.17"/>
  </r>
  <r>
    <x v="3"/>
    <x v="10"/>
    <x v="35"/>
    <x v="0"/>
    <x v="4"/>
    <x v="1"/>
    <n v="1.07"/>
    <n v="1.07"/>
    <n v="0.04"/>
    <n v="0.99"/>
  </r>
  <r>
    <x v="3"/>
    <x v="10"/>
    <x v="35"/>
    <x v="1"/>
    <x v="0"/>
    <x v="1"/>
    <n v="0.43"/>
    <n v="0.43"/>
    <n v="0.03"/>
    <n v="0.41"/>
  </r>
  <r>
    <x v="3"/>
    <x v="10"/>
    <x v="35"/>
    <x v="1"/>
    <x v="4"/>
    <x v="1"/>
    <n v="0.68"/>
    <n v="0.68"/>
    <n v="0.02"/>
    <n v="0.67"/>
  </r>
  <r>
    <x v="3"/>
    <x v="10"/>
    <x v="35"/>
    <x v="1"/>
    <x v="1"/>
    <x v="1"/>
    <n v="1.63"/>
    <n v="1.63"/>
    <n v="0.03"/>
    <n v="1.51"/>
  </r>
  <r>
    <x v="3"/>
    <x v="10"/>
    <x v="35"/>
    <x v="1"/>
    <x v="2"/>
    <x v="1"/>
    <n v="7.77"/>
    <n v="7.77"/>
    <n v="0.05"/>
    <n v="7.2"/>
  </r>
  <r>
    <x v="3"/>
    <x v="10"/>
    <x v="35"/>
    <x v="2"/>
    <x v="3"/>
    <x v="3"/>
    <n v="2.83"/>
    <n v="2.83"/>
    <n v="0"/>
    <n v="2.83"/>
  </r>
  <r>
    <x v="3"/>
    <x v="2"/>
    <x v="36"/>
    <x v="1"/>
    <x v="4"/>
    <x v="0"/>
    <n v="22.21"/>
    <n v="22.21"/>
    <n v="4.32"/>
    <n v="20.56"/>
  </r>
  <r>
    <x v="3"/>
    <x v="2"/>
    <x v="36"/>
    <x v="2"/>
    <x v="4"/>
    <x v="0"/>
    <n v="0.85"/>
    <n v="0.85"/>
    <n v="0.14000000000000001"/>
    <n v="0.8"/>
  </r>
  <r>
    <x v="3"/>
    <x v="2"/>
    <x v="36"/>
    <x v="2"/>
    <x v="3"/>
    <x v="2"/>
    <n v="3.72"/>
    <n v="3.72"/>
    <n v="0.01"/>
    <n v="3.42"/>
  </r>
  <r>
    <x v="3"/>
    <x v="2"/>
    <x v="36"/>
    <x v="1"/>
    <x v="2"/>
    <x v="0"/>
    <n v="0.31"/>
    <n v="0.31"/>
    <n v="0"/>
    <n v="0.28000000000000003"/>
  </r>
  <r>
    <x v="3"/>
    <x v="2"/>
    <x v="36"/>
    <x v="0"/>
    <x v="4"/>
    <x v="1"/>
    <n v="0.3"/>
    <n v="0.3"/>
    <n v="0.01"/>
    <n v="0.27"/>
  </r>
  <r>
    <x v="3"/>
    <x v="2"/>
    <x v="36"/>
    <x v="0"/>
    <x v="0"/>
    <x v="1"/>
    <n v="0.35"/>
    <n v="0.35"/>
    <n v="0.02"/>
    <n v="0.31"/>
  </r>
  <r>
    <x v="3"/>
    <x v="2"/>
    <x v="36"/>
    <x v="4"/>
    <x v="1"/>
    <x v="1"/>
    <n v="0.06"/>
    <n v="0.06"/>
    <n v="0"/>
    <n v="0.05"/>
  </r>
  <r>
    <x v="3"/>
    <x v="2"/>
    <x v="36"/>
    <x v="4"/>
    <x v="4"/>
    <x v="1"/>
    <n v="0.09"/>
    <n v="0.09"/>
    <n v="0"/>
    <n v="0.09"/>
  </r>
  <r>
    <x v="3"/>
    <x v="2"/>
    <x v="36"/>
    <x v="4"/>
    <x v="0"/>
    <x v="1"/>
    <n v="0.06"/>
    <n v="0.06"/>
    <n v="0.01"/>
    <n v="0.06"/>
  </r>
  <r>
    <x v="3"/>
    <x v="2"/>
    <x v="36"/>
    <x v="1"/>
    <x v="4"/>
    <x v="1"/>
    <n v="0.24"/>
    <n v="0.24"/>
    <n v="0.01"/>
    <n v="0.23"/>
  </r>
  <r>
    <x v="3"/>
    <x v="2"/>
    <x v="36"/>
    <x v="2"/>
    <x v="2"/>
    <x v="3"/>
    <n v="0.06"/>
    <n v="0.06"/>
    <n v="0"/>
    <n v="0.06"/>
  </r>
  <r>
    <x v="3"/>
    <x v="2"/>
    <x v="36"/>
    <x v="1"/>
    <x v="1"/>
    <x v="1"/>
    <n v="0.75"/>
    <n v="0.75"/>
    <n v="0.01"/>
    <n v="0.7"/>
  </r>
  <r>
    <x v="3"/>
    <x v="2"/>
    <x v="36"/>
    <x v="1"/>
    <x v="3"/>
    <x v="2"/>
    <n v="0"/>
    <n v="0"/>
    <n v="0"/>
    <n v="0"/>
  </r>
  <r>
    <x v="3"/>
    <x v="2"/>
    <x v="36"/>
    <x v="1"/>
    <x v="2"/>
    <x v="2"/>
    <n v="0.01"/>
    <n v="0.01"/>
    <n v="0"/>
    <n v="0.01"/>
  </r>
  <r>
    <x v="3"/>
    <x v="2"/>
    <x v="36"/>
    <x v="1"/>
    <x v="1"/>
    <x v="2"/>
    <n v="0.22"/>
    <n v="0.22"/>
    <n v="0"/>
    <n v="0.22"/>
  </r>
  <r>
    <x v="3"/>
    <x v="2"/>
    <x v="36"/>
    <x v="1"/>
    <x v="4"/>
    <x v="2"/>
    <n v="1.64"/>
    <n v="1.64"/>
    <n v="0.02"/>
    <n v="1.42"/>
  </r>
  <r>
    <x v="3"/>
    <x v="2"/>
    <x v="36"/>
    <x v="4"/>
    <x v="2"/>
    <x v="2"/>
    <n v="0.08"/>
    <n v="0.08"/>
    <n v="0"/>
    <n v="7.0000000000000007E-2"/>
  </r>
  <r>
    <x v="3"/>
    <x v="2"/>
    <x v="36"/>
    <x v="4"/>
    <x v="1"/>
    <x v="2"/>
    <n v="7.0000000000000007E-2"/>
    <n v="7.0000000000000007E-2"/>
    <n v="0"/>
    <n v="0.06"/>
  </r>
  <r>
    <x v="3"/>
    <x v="2"/>
    <x v="36"/>
    <x v="4"/>
    <x v="4"/>
    <x v="2"/>
    <n v="0.11"/>
    <n v="0.11"/>
    <n v="0.01"/>
    <n v="0.1"/>
  </r>
  <r>
    <x v="3"/>
    <x v="2"/>
    <x v="36"/>
    <x v="2"/>
    <x v="3"/>
    <x v="3"/>
    <n v="3.61"/>
    <n v="3.61"/>
    <n v="0"/>
    <n v="3.61"/>
  </r>
  <r>
    <x v="3"/>
    <x v="2"/>
    <x v="36"/>
    <x v="3"/>
    <x v="1"/>
    <x v="0"/>
    <n v="0.02"/>
    <n v="0.02"/>
    <n v="0"/>
    <n v="0.02"/>
  </r>
  <r>
    <x v="3"/>
    <x v="2"/>
    <x v="36"/>
    <x v="2"/>
    <x v="2"/>
    <x v="0"/>
    <n v="0.32"/>
    <n v="0.32"/>
    <n v="0"/>
    <n v="0.28999999999999998"/>
  </r>
  <r>
    <x v="3"/>
    <x v="2"/>
    <x v="36"/>
    <x v="1"/>
    <x v="0"/>
    <x v="0"/>
    <n v="1.19"/>
    <n v="1.19"/>
    <n v="0.74"/>
    <n v="1.1200000000000001"/>
  </r>
  <r>
    <x v="3"/>
    <x v="2"/>
    <x v="36"/>
    <x v="0"/>
    <x v="2"/>
    <x v="0"/>
    <n v="0"/>
    <n v="0"/>
    <n v="0"/>
    <n v="0"/>
  </r>
  <r>
    <x v="3"/>
    <x v="2"/>
    <x v="36"/>
    <x v="0"/>
    <x v="4"/>
    <x v="0"/>
    <n v="2.31"/>
    <n v="2.31"/>
    <n v="0.59"/>
    <n v="2.14"/>
  </r>
  <r>
    <x v="3"/>
    <x v="2"/>
    <x v="36"/>
    <x v="0"/>
    <x v="0"/>
    <x v="0"/>
    <n v="1.01"/>
    <n v="1.01"/>
    <n v="0.75"/>
    <n v="0.92"/>
  </r>
  <r>
    <x v="3"/>
    <x v="2"/>
    <x v="36"/>
    <x v="4"/>
    <x v="1"/>
    <x v="0"/>
    <n v="2.0699999999999998"/>
    <n v="2.0699999999999998"/>
    <n v="0.11"/>
    <n v="1.91"/>
  </r>
  <r>
    <x v="3"/>
    <x v="2"/>
    <x v="36"/>
    <x v="1"/>
    <x v="0"/>
    <x v="1"/>
    <n v="0.42"/>
    <n v="0.42"/>
    <n v="0.02"/>
    <n v="0.41"/>
  </r>
  <r>
    <x v="3"/>
    <x v="2"/>
    <x v="36"/>
    <x v="4"/>
    <x v="0"/>
    <x v="0"/>
    <n v="0.01"/>
    <n v="0.01"/>
    <n v="0"/>
    <n v="0.01"/>
  </r>
  <r>
    <x v="3"/>
    <x v="2"/>
    <x v="36"/>
    <x v="1"/>
    <x v="1"/>
    <x v="0"/>
    <n v="4.0599999999999996"/>
    <n v="4.0599999999999996"/>
    <n v="0.24"/>
    <n v="3.78"/>
  </r>
  <r>
    <x v="3"/>
    <x v="2"/>
    <x v="36"/>
    <x v="3"/>
    <x v="4"/>
    <x v="0"/>
    <n v="0.8"/>
    <n v="0.8"/>
    <n v="0.21"/>
    <n v="0.76"/>
  </r>
  <r>
    <x v="3"/>
    <x v="2"/>
    <x v="36"/>
    <x v="3"/>
    <x v="0"/>
    <x v="0"/>
    <n v="0.18"/>
    <n v="0.18"/>
    <n v="0.16"/>
    <n v="0.18"/>
  </r>
  <r>
    <x v="3"/>
    <x v="2"/>
    <x v="36"/>
    <x v="2"/>
    <x v="3"/>
    <x v="1"/>
    <n v="0.66"/>
    <n v="0.66"/>
    <n v="0"/>
    <n v="0.6"/>
  </r>
  <r>
    <x v="3"/>
    <x v="2"/>
    <x v="36"/>
    <x v="2"/>
    <x v="2"/>
    <x v="1"/>
    <n v="0.04"/>
    <n v="0.04"/>
    <n v="0"/>
    <n v="0.04"/>
  </r>
  <r>
    <x v="3"/>
    <x v="2"/>
    <x v="36"/>
    <x v="2"/>
    <x v="1"/>
    <x v="1"/>
    <n v="0"/>
    <n v="0"/>
    <n v="0"/>
    <n v="0"/>
  </r>
  <r>
    <x v="3"/>
    <x v="2"/>
    <x v="36"/>
    <x v="1"/>
    <x v="3"/>
    <x v="1"/>
    <n v="0"/>
    <n v="0"/>
    <n v="0"/>
    <n v="0"/>
  </r>
  <r>
    <x v="3"/>
    <x v="2"/>
    <x v="36"/>
    <x v="1"/>
    <x v="2"/>
    <x v="1"/>
    <n v="2.4300000000000002"/>
    <n v="2.4300000000000002"/>
    <n v="0.02"/>
    <n v="2.23"/>
  </r>
  <r>
    <x v="3"/>
    <x v="2"/>
    <x v="36"/>
    <x v="4"/>
    <x v="4"/>
    <x v="0"/>
    <n v="12.4"/>
    <n v="12.4"/>
    <n v="1.64"/>
    <n v="11.5"/>
  </r>
  <r>
    <x v="3"/>
    <x v="2"/>
    <x v="36"/>
    <x v="2"/>
    <x v="0"/>
    <x v="0"/>
    <n v="0.88"/>
    <n v="0.88"/>
    <n v="0.47"/>
    <n v="0.82"/>
  </r>
  <r>
    <x v="3"/>
    <x v="9"/>
    <x v="37"/>
    <x v="0"/>
    <x v="0"/>
    <x v="0"/>
    <n v="11.92"/>
    <n v="11.92"/>
    <n v="10.5"/>
    <n v="10.81"/>
  </r>
  <r>
    <x v="3"/>
    <x v="9"/>
    <x v="37"/>
    <x v="3"/>
    <x v="0"/>
    <x v="0"/>
    <n v="0.45"/>
    <n v="0.45"/>
    <n v="0.48"/>
    <n v="0.44"/>
  </r>
  <r>
    <x v="3"/>
    <x v="9"/>
    <x v="37"/>
    <x v="3"/>
    <x v="4"/>
    <x v="0"/>
    <n v="19.46"/>
    <n v="19.46"/>
    <n v="7.55"/>
    <n v="18.66"/>
  </r>
  <r>
    <x v="3"/>
    <x v="9"/>
    <x v="37"/>
    <x v="3"/>
    <x v="1"/>
    <x v="0"/>
    <n v="0.02"/>
    <n v="0.02"/>
    <n v="0"/>
    <n v="0.02"/>
  </r>
  <r>
    <x v="3"/>
    <x v="9"/>
    <x v="37"/>
    <x v="4"/>
    <x v="0"/>
    <x v="0"/>
    <n v="0.15"/>
    <n v="0.15"/>
    <n v="0.02"/>
    <n v="0.14000000000000001"/>
  </r>
  <r>
    <x v="3"/>
    <x v="9"/>
    <x v="37"/>
    <x v="2"/>
    <x v="4"/>
    <x v="0"/>
    <n v="7.07"/>
    <n v="7.07"/>
    <n v="1.66"/>
    <n v="6.63"/>
  </r>
  <r>
    <x v="3"/>
    <x v="9"/>
    <x v="37"/>
    <x v="4"/>
    <x v="1"/>
    <x v="0"/>
    <n v="14.64"/>
    <n v="14.64"/>
    <n v="0.89"/>
    <n v="13.56"/>
  </r>
  <r>
    <x v="3"/>
    <x v="9"/>
    <x v="37"/>
    <x v="1"/>
    <x v="1"/>
    <x v="1"/>
    <n v="8.08"/>
    <n v="8.08"/>
    <n v="0.12"/>
    <n v="7.48"/>
  </r>
  <r>
    <x v="3"/>
    <x v="9"/>
    <x v="37"/>
    <x v="0"/>
    <x v="4"/>
    <x v="0"/>
    <n v="59.54"/>
    <n v="59.54"/>
    <n v="18.87"/>
    <n v="54.52"/>
  </r>
  <r>
    <x v="3"/>
    <x v="9"/>
    <x v="37"/>
    <x v="1"/>
    <x v="0"/>
    <x v="0"/>
    <n v="36.590000000000003"/>
    <n v="36.590000000000003"/>
    <n v="16.57"/>
    <n v="36.04"/>
  </r>
  <r>
    <x v="3"/>
    <x v="9"/>
    <x v="37"/>
    <x v="1"/>
    <x v="4"/>
    <x v="0"/>
    <n v="304.83"/>
    <n v="304.83"/>
    <n v="63.13"/>
    <n v="287.29000000000002"/>
  </r>
  <r>
    <x v="3"/>
    <x v="9"/>
    <x v="37"/>
    <x v="1"/>
    <x v="1"/>
    <x v="0"/>
    <n v="33.83"/>
    <n v="33.83"/>
    <n v="2.52"/>
    <n v="31.36"/>
  </r>
  <r>
    <x v="3"/>
    <x v="9"/>
    <x v="37"/>
    <x v="1"/>
    <x v="2"/>
    <x v="0"/>
    <n v="3.34"/>
    <n v="3.34"/>
    <n v="0.06"/>
    <n v="3.03"/>
  </r>
  <r>
    <x v="3"/>
    <x v="9"/>
    <x v="37"/>
    <x v="2"/>
    <x v="0"/>
    <x v="0"/>
    <n v="9.0399999999999991"/>
    <n v="9.0399999999999991"/>
    <n v="5.61"/>
    <n v="8.43"/>
  </r>
  <r>
    <x v="3"/>
    <x v="9"/>
    <x v="37"/>
    <x v="4"/>
    <x v="4"/>
    <x v="0"/>
    <n v="176.6"/>
    <n v="176.6"/>
    <n v="23.38"/>
    <n v="163.05000000000001"/>
  </r>
  <r>
    <x v="3"/>
    <x v="9"/>
    <x v="37"/>
    <x v="2"/>
    <x v="3"/>
    <x v="3"/>
    <n v="12.83"/>
    <n v="12.83"/>
    <n v="0.01"/>
    <n v="12.83"/>
  </r>
  <r>
    <x v="3"/>
    <x v="9"/>
    <x v="37"/>
    <x v="4"/>
    <x v="4"/>
    <x v="2"/>
    <n v="0.95"/>
    <n v="0.95"/>
    <n v="0.05"/>
    <n v="0.83"/>
  </r>
  <r>
    <x v="3"/>
    <x v="9"/>
    <x v="37"/>
    <x v="4"/>
    <x v="1"/>
    <x v="2"/>
    <n v="0.61"/>
    <n v="0.61"/>
    <n v="0.02"/>
    <n v="0.53"/>
  </r>
  <r>
    <x v="3"/>
    <x v="9"/>
    <x v="37"/>
    <x v="4"/>
    <x v="2"/>
    <x v="2"/>
    <n v="0.73"/>
    <n v="0.73"/>
    <n v="0"/>
    <n v="0.64"/>
  </r>
  <r>
    <x v="3"/>
    <x v="9"/>
    <x v="37"/>
    <x v="1"/>
    <x v="4"/>
    <x v="2"/>
    <n v="2.52"/>
    <n v="2.52"/>
    <n v="0.04"/>
    <n v="2.2200000000000002"/>
  </r>
  <r>
    <x v="3"/>
    <x v="9"/>
    <x v="37"/>
    <x v="1"/>
    <x v="1"/>
    <x v="2"/>
    <n v="0.36"/>
    <n v="0.36"/>
    <n v="0.01"/>
    <n v="0.32"/>
  </r>
  <r>
    <x v="3"/>
    <x v="9"/>
    <x v="37"/>
    <x v="2"/>
    <x v="3"/>
    <x v="1"/>
    <n v="12.53"/>
    <n v="12.53"/>
    <n v="0.05"/>
    <n v="11.58"/>
  </r>
  <r>
    <x v="3"/>
    <x v="9"/>
    <x v="37"/>
    <x v="2"/>
    <x v="2"/>
    <x v="3"/>
    <n v="0.42"/>
    <n v="0.42"/>
    <n v="0"/>
    <n v="0.42"/>
  </r>
  <r>
    <x v="3"/>
    <x v="9"/>
    <x v="37"/>
    <x v="1"/>
    <x v="2"/>
    <x v="1"/>
    <n v="36.549999999999997"/>
    <n v="36.549999999999997"/>
    <n v="0.23"/>
    <n v="33.81"/>
  </r>
  <r>
    <x v="3"/>
    <x v="9"/>
    <x v="37"/>
    <x v="4"/>
    <x v="0"/>
    <x v="1"/>
    <n v="0.74"/>
    <n v="0.74"/>
    <n v="7.0000000000000007E-2"/>
    <n v="0.68"/>
  </r>
  <r>
    <x v="3"/>
    <x v="9"/>
    <x v="37"/>
    <x v="4"/>
    <x v="4"/>
    <x v="1"/>
    <n v="2.83"/>
    <n v="2.83"/>
    <n v="0.11"/>
    <n v="2.63"/>
  </r>
  <r>
    <x v="3"/>
    <x v="9"/>
    <x v="37"/>
    <x v="0"/>
    <x v="0"/>
    <x v="1"/>
    <n v="6.13"/>
    <n v="6.13"/>
    <n v="0.4"/>
    <n v="5.66"/>
  </r>
  <r>
    <x v="3"/>
    <x v="9"/>
    <x v="37"/>
    <x v="1"/>
    <x v="0"/>
    <x v="1"/>
    <n v="1.18"/>
    <n v="1.18"/>
    <n v="0.13"/>
    <n v="1.0900000000000001"/>
  </r>
  <r>
    <x v="3"/>
    <x v="9"/>
    <x v="37"/>
    <x v="1"/>
    <x v="4"/>
    <x v="1"/>
    <n v="3.79"/>
    <n v="3.79"/>
    <n v="0.11"/>
    <n v="3.43"/>
  </r>
  <r>
    <x v="3"/>
    <x v="9"/>
    <x v="37"/>
    <x v="0"/>
    <x v="4"/>
    <x v="1"/>
    <n v="5.19"/>
    <n v="5.19"/>
    <n v="0.2"/>
    <n v="4.8"/>
  </r>
  <r>
    <x v="3"/>
    <x v="9"/>
    <x v="37"/>
    <x v="2"/>
    <x v="3"/>
    <x v="2"/>
    <n v="15.69"/>
    <n v="15.69"/>
    <n v="0.01"/>
    <n v="13.95"/>
  </r>
  <r>
    <x v="3"/>
    <x v="9"/>
    <x v="37"/>
    <x v="4"/>
    <x v="1"/>
    <x v="1"/>
    <n v="2.2999999999999998"/>
    <n v="2.2999999999999998"/>
    <n v="0.05"/>
    <n v="2.14"/>
  </r>
  <r>
    <x v="3"/>
    <x v="7"/>
    <x v="38"/>
    <x v="4"/>
    <x v="1"/>
    <x v="0"/>
    <n v="2.4300000000000002"/>
    <n v="2.4300000000000002"/>
    <n v="0.13"/>
    <n v="2.2400000000000002"/>
  </r>
  <r>
    <x v="3"/>
    <x v="7"/>
    <x v="38"/>
    <x v="1"/>
    <x v="1"/>
    <x v="0"/>
    <n v="4.87"/>
    <n v="4.87"/>
    <n v="0.34"/>
    <n v="4.5"/>
  </r>
  <r>
    <x v="3"/>
    <x v="7"/>
    <x v="38"/>
    <x v="1"/>
    <x v="4"/>
    <x v="0"/>
    <n v="28.78"/>
    <n v="28.78"/>
    <n v="6.25"/>
    <n v="26.68"/>
  </r>
  <r>
    <x v="3"/>
    <x v="7"/>
    <x v="38"/>
    <x v="1"/>
    <x v="0"/>
    <x v="0"/>
    <n v="1.82"/>
    <n v="1.82"/>
    <n v="1.19"/>
    <n v="1.71"/>
  </r>
  <r>
    <x v="3"/>
    <x v="7"/>
    <x v="38"/>
    <x v="0"/>
    <x v="2"/>
    <x v="0"/>
    <n v="0.1"/>
    <n v="0.1"/>
    <n v="0"/>
    <n v="0.09"/>
  </r>
  <r>
    <x v="3"/>
    <x v="7"/>
    <x v="38"/>
    <x v="2"/>
    <x v="0"/>
    <x v="0"/>
    <n v="1.71"/>
    <n v="1.71"/>
    <n v="1.1499999999999999"/>
    <n v="1.63"/>
  </r>
  <r>
    <x v="3"/>
    <x v="7"/>
    <x v="38"/>
    <x v="0"/>
    <x v="0"/>
    <x v="0"/>
    <n v="2.0499999999999998"/>
    <n v="2.0499999999999998"/>
    <n v="2"/>
    <n v="1.86"/>
  </r>
  <r>
    <x v="3"/>
    <x v="7"/>
    <x v="38"/>
    <x v="2"/>
    <x v="4"/>
    <x v="0"/>
    <n v="2.3199999999999998"/>
    <n v="2.3199999999999998"/>
    <n v="0.53"/>
    <n v="2.2200000000000002"/>
  </r>
  <r>
    <x v="3"/>
    <x v="7"/>
    <x v="38"/>
    <x v="4"/>
    <x v="4"/>
    <x v="0"/>
    <n v="15.79"/>
    <n v="15.79"/>
    <n v="2.46"/>
    <n v="14.7"/>
  </r>
  <r>
    <x v="3"/>
    <x v="7"/>
    <x v="38"/>
    <x v="4"/>
    <x v="0"/>
    <x v="0"/>
    <n v="0.02"/>
    <n v="0.02"/>
    <n v="0"/>
    <n v="0.02"/>
  </r>
  <r>
    <x v="3"/>
    <x v="7"/>
    <x v="38"/>
    <x v="3"/>
    <x v="1"/>
    <x v="0"/>
    <n v="0.03"/>
    <n v="0.03"/>
    <n v="0"/>
    <n v="0.03"/>
  </r>
  <r>
    <x v="3"/>
    <x v="7"/>
    <x v="38"/>
    <x v="3"/>
    <x v="4"/>
    <x v="0"/>
    <n v="2.38"/>
    <n v="2.38"/>
    <n v="0.59"/>
    <n v="2.2400000000000002"/>
  </r>
  <r>
    <x v="3"/>
    <x v="7"/>
    <x v="38"/>
    <x v="3"/>
    <x v="0"/>
    <x v="0"/>
    <n v="0.27"/>
    <n v="0.27"/>
    <n v="0.27"/>
    <n v="0.26"/>
  </r>
  <r>
    <x v="3"/>
    <x v="7"/>
    <x v="38"/>
    <x v="2"/>
    <x v="3"/>
    <x v="1"/>
    <n v="1.38"/>
    <n v="1.38"/>
    <n v="0.01"/>
    <n v="1.27"/>
  </r>
  <r>
    <x v="3"/>
    <x v="7"/>
    <x v="38"/>
    <x v="0"/>
    <x v="4"/>
    <x v="0"/>
    <n v="5.68"/>
    <n v="5.68"/>
    <n v="1.4"/>
    <n v="5.32"/>
  </r>
  <r>
    <x v="3"/>
    <x v="7"/>
    <x v="38"/>
    <x v="2"/>
    <x v="3"/>
    <x v="3"/>
    <n v="1.41"/>
    <n v="1.41"/>
    <n v="0"/>
    <n v="1.41"/>
  </r>
  <r>
    <x v="3"/>
    <x v="7"/>
    <x v="38"/>
    <x v="4"/>
    <x v="4"/>
    <x v="2"/>
    <n v="0.42"/>
    <n v="0.42"/>
    <n v="0.02"/>
    <n v="0.37"/>
  </r>
  <r>
    <x v="3"/>
    <x v="7"/>
    <x v="38"/>
    <x v="4"/>
    <x v="1"/>
    <x v="2"/>
    <n v="0.28000000000000003"/>
    <n v="0.28000000000000003"/>
    <n v="0.01"/>
    <n v="0.24"/>
  </r>
  <r>
    <x v="3"/>
    <x v="7"/>
    <x v="38"/>
    <x v="4"/>
    <x v="2"/>
    <x v="2"/>
    <n v="0.37"/>
    <n v="0.37"/>
    <n v="0"/>
    <n v="0.32"/>
  </r>
  <r>
    <x v="3"/>
    <x v="7"/>
    <x v="38"/>
    <x v="1"/>
    <x v="2"/>
    <x v="1"/>
    <n v="3.88"/>
    <n v="3.88"/>
    <n v="0.03"/>
    <n v="3.6"/>
  </r>
  <r>
    <x v="3"/>
    <x v="7"/>
    <x v="38"/>
    <x v="1"/>
    <x v="4"/>
    <x v="2"/>
    <n v="0.18"/>
    <n v="0.18"/>
    <n v="0.01"/>
    <n v="0.16"/>
  </r>
  <r>
    <x v="3"/>
    <x v="7"/>
    <x v="38"/>
    <x v="1"/>
    <x v="2"/>
    <x v="0"/>
    <n v="0.9"/>
    <n v="0.9"/>
    <n v="0.02"/>
    <n v="0.82"/>
  </r>
  <r>
    <x v="3"/>
    <x v="7"/>
    <x v="38"/>
    <x v="2"/>
    <x v="2"/>
    <x v="3"/>
    <n v="0.06"/>
    <n v="0.06"/>
    <n v="0"/>
    <n v="0.06"/>
  </r>
  <r>
    <x v="3"/>
    <x v="7"/>
    <x v="38"/>
    <x v="0"/>
    <x v="0"/>
    <x v="1"/>
    <n v="0.63"/>
    <n v="0.63"/>
    <n v="0.04"/>
    <n v="0.59"/>
  </r>
  <r>
    <x v="3"/>
    <x v="7"/>
    <x v="38"/>
    <x v="4"/>
    <x v="0"/>
    <x v="1"/>
    <n v="0.06"/>
    <n v="0.06"/>
    <n v="0.01"/>
    <n v="0.06"/>
  </r>
  <r>
    <x v="3"/>
    <x v="7"/>
    <x v="38"/>
    <x v="4"/>
    <x v="1"/>
    <x v="1"/>
    <n v="0.22"/>
    <n v="0.22"/>
    <n v="0"/>
    <n v="0.2"/>
  </r>
  <r>
    <x v="3"/>
    <x v="7"/>
    <x v="38"/>
    <x v="0"/>
    <x v="4"/>
    <x v="1"/>
    <n v="0.53"/>
    <n v="0.53"/>
    <n v="0.02"/>
    <n v="0.49"/>
  </r>
  <r>
    <x v="3"/>
    <x v="7"/>
    <x v="38"/>
    <x v="1"/>
    <x v="0"/>
    <x v="1"/>
    <n v="0.21"/>
    <n v="0.21"/>
    <n v="0.02"/>
    <n v="0.2"/>
  </r>
  <r>
    <x v="3"/>
    <x v="7"/>
    <x v="38"/>
    <x v="1"/>
    <x v="4"/>
    <x v="1"/>
    <n v="0.34"/>
    <n v="0.34"/>
    <n v="0.01"/>
    <n v="0.34"/>
  </r>
  <r>
    <x v="3"/>
    <x v="7"/>
    <x v="38"/>
    <x v="1"/>
    <x v="1"/>
    <x v="1"/>
    <n v="0.81"/>
    <n v="0.81"/>
    <n v="0.01"/>
    <n v="0.76"/>
  </r>
  <r>
    <x v="3"/>
    <x v="7"/>
    <x v="38"/>
    <x v="2"/>
    <x v="3"/>
    <x v="2"/>
    <n v="2.5"/>
    <n v="2.5"/>
    <n v="0.01"/>
    <n v="2.23"/>
  </r>
  <r>
    <x v="3"/>
    <x v="7"/>
    <x v="38"/>
    <x v="4"/>
    <x v="4"/>
    <x v="1"/>
    <n v="0.3"/>
    <n v="0.3"/>
    <n v="0.01"/>
    <n v="0.28000000000000003"/>
  </r>
  <r>
    <x v="3"/>
    <x v="1"/>
    <x v="39"/>
    <x v="4"/>
    <x v="1"/>
    <x v="2"/>
    <n v="3.77"/>
    <n v="3.77"/>
    <n v="7.0000000000000007E-2"/>
    <n v="3.01"/>
  </r>
  <r>
    <x v="3"/>
    <x v="1"/>
    <x v="39"/>
    <x v="3"/>
    <x v="0"/>
    <x v="0"/>
    <n v="0.17"/>
    <n v="0.17"/>
    <n v="0.16"/>
    <n v="0.17"/>
  </r>
  <r>
    <x v="3"/>
    <x v="1"/>
    <x v="39"/>
    <x v="4"/>
    <x v="4"/>
    <x v="2"/>
    <n v="0.11"/>
    <n v="0.11"/>
    <n v="0"/>
    <n v="0.09"/>
  </r>
  <r>
    <x v="3"/>
    <x v="1"/>
    <x v="39"/>
    <x v="4"/>
    <x v="2"/>
    <x v="2"/>
    <n v="0.75"/>
    <n v="0.75"/>
    <n v="0.02"/>
    <n v="0.6"/>
  </r>
  <r>
    <x v="3"/>
    <x v="1"/>
    <x v="39"/>
    <x v="1"/>
    <x v="1"/>
    <x v="2"/>
    <n v="5.64"/>
    <n v="5.64"/>
    <n v="0.09"/>
    <n v="5.64"/>
  </r>
  <r>
    <x v="3"/>
    <x v="1"/>
    <x v="39"/>
    <x v="2"/>
    <x v="3"/>
    <x v="3"/>
    <n v="3.52"/>
    <n v="3.52"/>
    <n v="0"/>
    <n v="2.71"/>
  </r>
  <r>
    <x v="3"/>
    <x v="1"/>
    <x v="39"/>
    <x v="4"/>
    <x v="0"/>
    <x v="1"/>
    <n v="1.03"/>
    <n v="1.03"/>
    <n v="0.06"/>
    <n v="0.85"/>
  </r>
  <r>
    <x v="3"/>
    <x v="1"/>
    <x v="39"/>
    <x v="4"/>
    <x v="4"/>
    <x v="1"/>
    <n v="0.27"/>
    <n v="0.27"/>
    <n v="0.02"/>
    <n v="0.23"/>
  </r>
  <r>
    <x v="3"/>
    <x v="1"/>
    <x v="39"/>
    <x v="4"/>
    <x v="1"/>
    <x v="1"/>
    <n v="0.94"/>
    <n v="0.94"/>
    <n v="0.03"/>
    <n v="0.78"/>
  </r>
  <r>
    <x v="3"/>
    <x v="1"/>
    <x v="39"/>
    <x v="0"/>
    <x v="0"/>
    <x v="1"/>
    <n v="1.58"/>
    <n v="1.58"/>
    <n v="0.05"/>
    <n v="1.32"/>
  </r>
  <r>
    <x v="3"/>
    <x v="1"/>
    <x v="39"/>
    <x v="0"/>
    <x v="4"/>
    <x v="1"/>
    <n v="4.33"/>
    <n v="4.33"/>
    <n v="0.06"/>
    <n v="3.61"/>
  </r>
  <r>
    <x v="3"/>
    <x v="1"/>
    <x v="39"/>
    <x v="3"/>
    <x v="4"/>
    <x v="0"/>
    <n v="12.98"/>
    <n v="12.98"/>
    <n v="3.68"/>
    <n v="11.13"/>
  </r>
  <r>
    <x v="3"/>
    <x v="1"/>
    <x v="39"/>
    <x v="4"/>
    <x v="0"/>
    <x v="0"/>
    <n v="0.46"/>
    <n v="0.46"/>
    <n v="0.04"/>
    <n v="0.38"/>
  </r>
  <r>
    <x v="3"/>
    <x v="1"/>
    <x v="39"/>
    <x v="1"/>
    <x v="0"/>
    <x v="1"/>
    <n v="4.07"/>
    <n v="4.07"/>
    <n v="0.12"/>
    <n v="3.48"/>
  </r>
  <r>
    <x v="3"/>
    <x v="1"/>
    <x v="39"/>
    <x v="1"/>
    <x v="2"/>
    <x v="1"/>
    <n v="32.32"/>
    <n v="32.32"/>
    <n v="0.1"/>
    <n v="26.97"/>
  </r>
  <r>
    <x v="3"/>
    <x v="1"/>
    <x v="39"/>
    <x v="2"/>
    <x v="3"/>
    <x v="1"/>
    <n v="10.29"/>
    <n v="10.29"/>
    <n v="0.01"/>
    <n v="8.56"/>
  </r>
  <r>
    <x v="3"/>
    <x v="1"/>
    <x v="39"/>
    <x v="4"/>
    <x v="4"/>
    <x v="0"/>
    <n v="54.73"/>
    <n v="54.73"/>
    <n v="7.61"/>
    <n v="47.78"/>
  </r>
  <r>
    <x v="3"/>
    <x v="1"/>
    <x v="39"/>
    <x v="1"/>
    <x v="3"/>
    <x v="1"/>
    <n v="0.47"/>
    <n v="0.47"/>
    <n v="0"/>
    <n v="0.39"/>
  </r>
  <r>
    <x v="3"/>
    <x v="1"/>
    <x v="39"/>
    <x v="2"/>
    <x v="4"/>
    <x v="1"/>
    <n v="3.97"/>
    <n v="3.97"/>
    <n v="0.01"/>
    <n v="3.97"/>
  </r>
  <r>
    <x v="3"/>
    <x v="1"/>
    <x v="39"/>
    <x v="1"/>
    <x v="1"/>
    <x v="1"/>
    <n v="15.94"/>
    <n v="15.94"/>
    <n v="0.15"/>
    <n v="13.37"/>
  </r>
  <r>
    <x v="3"/>
    <x v="1"/>
    <x v="39"/>
    <x v="2"/>
    <x v="4"/>
    <x v="0"/>
    <n v="1.65"/>
    <n v="1.65"/>
    <n v="0.56000000000000005"/>
    <n v="1.52"/>
  </r>
  <r>
    <x v="3"/>
    <x v="1"/>
    <x v="39"/>
    <x v="2"/>
    <x v="0"/>
    <x v="0"/>
    <n v="3.46"/>
    <n v="3.46"/>
    <n v="2.5499999999999998"/>
    <n v="2.97"/>
  </r>
  <r>
    <x v="3"/>
    <x v="1"/>
    <x v="39"/>
    <x v="1"/>
    <x v="1"/>
    <x v="0"/>
    <n v="29.99"/>
    <n v="29.99"/>
    <n v="2.21"/>
    <n v="26.31"/>
  </r>
  <r>
    <x v="3"/>
    <x v="1"/>
    <x v="39"/>
    <x v="1"/>
    <x v="4"/>
    <x v="0"/>
    <n v="156"/>
    <n v="156"/>
    <n v="28.78"/>
    <n v="135.97"/>
  </r>
  <r>
    <x v="3"/>
    <x v="1"/>
    <x v="39"/>
    <x v="1"/>
    <x v="0"/>
    <x v="0"/>
    <n v="8.18"/>
    <n v="8.18"/>
    <n v="4.38"/>
    <n v="7.35"/>
  </r>
  <r>
    <x v="3"/>
    <x v="1"/>
    <x v="39"/>
    <x v="0"/>
    <x v="4"/>
    <x v="0"/>
    <n v="3.65"/>
    <n v="3.65"/>
    <n v="0.82"/>
    <n v="3.3"/>
  </r>
  <r>
    <x v="3"/>
    <x v="1"/>
    <x v="39"/>
    <x v="0"/>
    <x v="0"/>
    <x v="0"/>
    <n v="1.4"/>
    <n v="1.4"/>
    <n v="0.91"/>
    <n v="1.24"/>
  </r>
  <r>
    <x v="3"/>
    <x v="1"/>
    <x v="39"/>
    <x v="1"/>
    <x v="2"/>
    <x v="0"/>
    <n v="6.4"/>
    <n v="6.4"/>
    <n v="7.0000000000000007E-2"/>
    <n v="5.29"/>
  </r>
  <r>
    <x v="3"/>
    <x v="1"/>
    <x v="39"/>
    <x v="1"/>
    <x v="4"/>
    <x v="1"/>
    <n v="1.77"/>
    <n v="1.77"/>
    <n v="0.05"/>
    <n v="1.48"/>
  </r>
  <r>
    <x v="3"/>
    <x v="1"/>
    <x v="39"/>
    <x v="4"/>
    <x v="1"/>
    <x v="0"/>
    <n v="8.58"/>
    <n v="8.58"/>
    <n v="0.66"/>
    <n v="7.49"/>
  </r>
  <r>
    <x v="3"/>
    <x v="10"/>
    <x v="40"/>
    <x v="0"/>
    <x v="4"/>
    <x v="1"/>
    <n v="0.92"/>
    <n v="0.92"/>
    <n v="0.04"/>
    <n v="0.85"/>
  </r>
  <r>
    <x v="3"/>
    <x v="10"/>
    <x v="40"/>
    <x v="2"/>
    <x v="3"/>
    <x v="1"/>
    <n v="1.59"/>
    <n v="1.59"/>
    <n v="0.01"/>
    <n v="1.47"/>
  </r>
  <r>
    <x v="3"/>
    <x v="10"/>
    <x v="40"/>
    <x v="1"/>
    <x v="2"/>
    <x v="1"/>
    <n v="6.63"/>
    <n v="6.63"/>
    <n v="0.05"/>
    <n v="6.15"/>
  </r>
  <r>
    <x v="3"/>
    <x v="10"/>
    <x v="40"/>
    <x v="1"/>
    <x v="1"/>
    <x v="1"/>
    <n v="1.57"/>
    <n v="1.57"/>
    <n v="0.03"/>
    <n v="1.46"/>
  </r>
  <r>
    <x v="3"/>
    <x v="10"/>
    <x v="40"/>
    <x v="1"/>
    <x v="4"/>
    <x v="1"/>
    <n v="0.33"/>
    <n v="0.33"/>
    <n v="0.02"/>
    <n v="0.32"/>
  </r>
  <r>
    <x v="3"/>
    <x v="10"/>
    <x v="40"/>
    <x v="1"/>
    <x v="0"/>
    <x v="1"/>
    <n v="1.36"/>
    <n v="1.36"/>
    <n v="0.05"/>
    <n v="1.34"/>
  </r>
  <r>
    <x v="3"/>
    <x v="10"/>
    <x v="40"/>
    <x v="4"/>
    <x v="1"/>
    <x v="1"/>
    <n v="0.41"/>
    <n v="0.41"/>
    <n v="0.01"/>
    <n v="0.38"/>
  </r>
  <r>
    <x v="3"/>
    <x v="10"/>
    <x v="40"/>
    <x v="0"/>
    <x v="1"/>
    <x v="1"/>
    <n v="0.14000000000000001"/>
    <n v="0.14000000000000001"/>
    <n v="0"/>
    <n v="0.14000000000000001"/>
  </r>
  <r>
    <x v="3"/>
    <x v="10"/>
    <x v="40"/>
    <x v="0"/>
    <x v="0"/>
    <x v="1"/>
    <n v="1.07"/>
    <n v="1.07"/>
    <n v="7.0000000000000007E-2"/>
    <n v="0.99"/>
  </r>
  <r>
    <x v="3"/>
    <x v="10"/>
    <x v="40"/>
    <x v="3"/>
    <x v="0"/>
    <x v="0"/>
    <n v="0.95"/>
    <n v="0.95"/>
    <n v="0.94"/>
    <n v="0.93"/>
  </r>
  <r>
    <x v="3"/>
    <x v="10"/>
    <x v="40"/>
    <x v="4"/>
    <x v="4"/>
    <x v="1"/>
    <n v="0.46"/>
    <n v="0.46"/>
    <n v="0.02"/>
    <n v="0.43"/>
  </r>
  <r>
    <x v="3"/>
    <x v="10"/>
    <x v="40"/>
    <x v="0"/>
    <x v="3"/>
    <x v="1"/>
    <n v="0.28999999999999998"/>
    <n v="0.28999999999999998"/>
    <n v="0"/>
    <n v="0.28000000000000003"/>
  </r>
  <r>
    <x v="3"/>
    <x v="10"/>
    <x v="40"/>
    <x v="3"/>
    <x v="4"/>
    <x v="0"/>
    <n v="2.87"/>
    <n v="2.87"/>
    <n v="0.78"/>
    <n v="2.76"/>
  </r>
  <r>
    <x v="3"/>
    <x v="10"/>
    <x v="40"/>
    <x v="3"/>
    <x v="1"/>
    <x v="0"/>
    <n v="0.13"/>
    <n v="0.13"/>
    <n v="0.02"/>
    <n v="0.12"/>
  </r>
  <r>
    <x v="3"/>
    <x v="10"/>
    <x v="40"/>
    <x v="4"/>
    <x v="0"/>
    <x v="0"/>
    <n v="0.03"/>
    <n v="0.03"/>
    <n v="0"/>
    <n v="0.02"/>
  </r>
  <r>
    <x v="3"/>
    <x v="10"/>
    <x v="40"/>
    <x v="4"/>
    <x v="4"/>
    <x v="0"/>
    <n v="32.19"/>
    <n v="32.19"/>
    <n v="4.46"/>
    <n v="30.11"/>
  </r>
  <r>
    <x v="3"/>
    <x v="10"/>
    <x v="40"/>
    <x v="4"/>
    <x v="1"/>
    <x v="0"/>
    <n v="4.43"/>
    <n v="4.43"/>
    <n v="0.25"/>
    <n v="4.0999999999999996"/>
  </r>
  <r>
    <x v="3"/>
    <x v="10"/>
    <x v="40"/>
    <x v="0"/>
    <x v="0"/>
    <x v="0"/>
    <n v="4.4000000000000004"/>
    <n v="4.4000000000000004"/>
    <n v="4.1500000000000004"/>
    <n v="3.99"/>
  </r>
  <r>
    <x v="3"/>
    <x v="10"/>
    <x v="40"/>
    <x v="1"/>
    <x v="0"/>
    <x v="0"/>
    <n v="5.94"/>
    <n v="5.94"/>
    <n v="4"/>
    <n v="5.62"/>
  </r>
  <r>
    <x v="3"/>
    <x v="10"/>
    <x v="40"/>
    <x v="1"/>
    <x v="4"/>
    <x v="0"/>
    <n v="97.26"/>
    <n v="97.26"/>
    <n v="22.54"/>
    <n v="90.58"/>
  </r>
  <r>
    <x v="3"/>
    <x v="10"/>
    <x v="40"/>
    <x v="1"/>
    <x v="1"/>
    <x v="0"/>
    <n v="17.399999999999999"/>
    <n v="17.399999999999999"/>
    <n v="1.7"/>
    <n v="16.260000000000002"/>
  </r>
  <r>
    <x v="3"/>
    <x v="10"/>
    <x v="40"/>
    <x v="1"/>
    <x v="2"/>
    <x v="0"/>
    <n v="1.59"/>
    <n v="1.59"/>
    <n v="0.02"/>
    <n v="1.48"/>
  </r>
  <r>
    <x v="3"/>
    <x v="10"/>
    <x v="40"/>
    <x v="2"/>
    <x v="0"/>
    <x v="0"/>
    <n v="2.87"/>
    <n v="2.87"/>
    <n v="2.06"/>
    <n v="2.73"/>
  </r>
  <r>
    <x v="3"/>
    <x v="10"/>
    <x v="40"/>
    <x v="2"/>
    <x v="4"/>
    <x v="0"/>
    <n v="5.75"/>
    <n v="5.75"/>
    <n v="1.24"/>
    <n v="5.6"/>
  </r>
  <r>
    <x v="3"/>
    <x v="10"/>
    <x v="40"/>
    <x v="2"/>
    <x v="2"/>
    <x v="3"/>
    <n v="0.81"/>
    <n v="0.81"/>
    <n v="0"/>
    <n v="0.81"/>
  </r>
  <r>
    <x v="3"/>
    <x v="10"/>
    <x v="40"/>
    <x v="0"/>
    <x v="4"/>
    <x v="0"/>
    <n v="14.32"/>
    <n v="14.32"/>
    <n v="3.34"/>
    <n v="13.22"/>
  </r>
  <r>
    <x v="3"/>
    <x v="10"/>
    <x v="40"/>
    <x v="2"/>
    <x v="3"/>
    <x v="2"/>
    <n v="0.39"/>
    <n v="0.39"/>
    <n v="0"/>
    <n v="0.35"/>
  </r>
  <r>
    <x v="3"/>
    <x v="10"/>
    <x v="40"/>
    <x v="1"/>
    <x v="4"/>
    <x v="2"/>
    <n v="3.37"/>
    <n v="3.37"/>
    <n v="0.01"/>
    <n v="2.95"/>
  </r>
  <r>
    <x v="3"/>
    <x v="10"/>
    <x v="40"/>
    <x v="4"/>
    <x v="2"/>
    <x v="2"/>
    <n v="0.4"/>
    <n v="0.4"/>
    <n v="0"/>
    <n v="0.35"/>
  </r>
  <r>
    <x v="3"/>
    <x v="10"/>
    <x v="40"/>
    <x v="4"/>
    <x v="1"/>
    <x v="2"/>
    <n v="0.16"/>
    <n v="0.16"/>
    <n v="0.01"/>
    <n v="0.14000000000000001"/>
  </r>
  <r>
    <x v="3"/>
    <x v="10"/>
    <x v="40"/>
    <x v="4"/>
    <x v="4"/>
    <x v="2"/>
    <n v="0.23"/>
    <n v="0.23"/>
    <n v="0.02"/>
    <n v="0.2"/>
  </r>
  <r>
    <x v="3"/>
    <x v="10"/>
    <x v="40"/>
    <x v="2"/>
    <x v="3"/>
    <x v="3"/>
    <n v="41.22"/>
    <n v="41.22"/>
    <n v="0.02"/>
    <n v="41.22"/>
  </r>
  <r>
    <x v="3"/>
    <x v="10"/>
    <x v="40"/>
    <x v="4"/>
    <x v="0"/>
    <x v="1"/>
    <n v="0.16"/>
    <n v="0.16"/>
    <n v="0.02"/>
    <n v="0.15"/>
  </r>
  <r>
    <x v="3"/>
    <x v="1"/>
    <x v="41"/>
    <x v="4"/>
    <x v="1"/>
    <x v="0"/>
    <n v="25.59"/>
    <n v="25.59"/>
    <n v="1.69"/>
    <n v="22.42"/>
  </r>
  <r>
    <x v="3"/>
    <x v="1"/>
    <x v="41"/>
    <x v="3"/>
    <x v="4"/>
    <x v="0"/>
    <n v="9.5399999999999991"/>
    <n v="9.5399999999999991"/>
    <n v="2.93"/>
    <n v="8.83"/>
  </r>
  <r>
    <x v="3"/>
    <x v="1"/>
    <x v="41"/>
    <x v="0"/>
    <x v="4"/>
    <x v="1"/>
    <n v="10.94"/>
    <n v="10.94"/>
    <n v="0.2"/>
    <n v="9.1199999999999992"/>
  </r>
  <r>
    <x v="3"/>
    <x v="1"/>
    <x v="41"/>
    <x v="1"/>
    <x v="1"/>
    <x v="2"/>
    <n v="5.51"/>
    <n v="5.51"/>
    <n v="0.11"/>
    <n v="4.79"/>
  </r>
  <r>
    <x v="3"/>
    <x v="1"/>
    <x v="41"/>
    <x v="1"/>
    <x v="4"/>
    <x v="2"/>
    <n v="10.92"/>
    <n v="10.92"/>
    <n v="0.52"/>
    <n v="9.5"/>
  </r>
  <r>
    <x v="3"/>
    <x v="1"/>
    <x v="41"/>
    <x v="4"/>
    <x v="2"/>
    <x v="2"/>
    <n v="4.57"/>
    <n v="4.57"/>
    <n v="0.16"/>
    <n v="3.97"/>
  </r>
  <r>
    <x v="3"/>
    <x v="1"/>
    <x v="41"/>
    <x v="4"/>
    <x v="4"/>
    <x v="2"/>
    <n v="11.79"/>
    <n v="11.79"/>
    <n v="0.6"/>
    <n v="10.25"/>
  </r>
  <r>
    <x v="3"/>
    <x v="1"/>
    <x v="41"/>
    <x v="2"/>
    <x v="4"/>
    <x v="0"/>
    <n v="6.66"/>
    <n v="6.66"/>
    <n v="2.4500000000000002"/>
    <n v="6.04"/>
  </r>
  <r>
    <x v="3"/>
    <x v="1"/>
    <x v="41"/>
    <x v="2"/>
    <x v="0"/>
    <x v="0"/>
    <n v="5.6"/>
    <n v="5.6"/>
    <n v="4.6399999999999997"/>
    <n v="5.25"/>
  </r>
  <r>
    <x v="3"/>
    <x v="1"/>
    <x v="41"/>
    <x v="3"/>
    <x v="0"/>
    <x v="0"/>
    <n v="0.53"/>
    <n v="0.53"/>
    <n v="0.5"/>
    <n v="0.53"/>
  </r>
  <r>
    <x v="3"/>
    <x v="1"/>
    <x v="41"/>
    <x v="4"/>
    <x v="4"/>
    <x v="0"/>
    <n v="54.03"/>
    <n v="54.03"/>
    <n v="7.75"/>
    <n v="47.7"/>
  </r>
  <r>
    <x v="3"/>
    <x v="1"/>
    <x v="41"/>
    <x v="1"/>
    <x v="3"/>
    <x v="1"/>
    <n v="1.48"/>
    <n v="1.48"/>
    <n v="0.01"/>
    <n v="1.23"/>
  </r>
  <r>
    <x v="3"/>
    <x v="1"/>
    <x v="41"/>
    <x v="0"/>
    <x v="0"/>
    <x v="0"/>
    <n v="6.76"/>
    <n v="6.76"/>
    <n v="5.61"/>
    <n v="5.95"/>
  </r>
  <r>
    <x v="3"/>
    <x v="1"/>
    <x v="41"/>
    <x v="0"/>
    <x v="4"/>
    <x v="0"/>
    <n v="3.36"/>
    <n v="3.36"/>
    <n v="0.9"/>
    <n v="3.1"/>
  </r>
  <r>
    <x v="3"/>
    <x v="1"/>
    <x v="41"/>
    <x v="1"/>
    <x v="0"/>
    <x v="0"/>
    <n v="14.85"/>
    <n v="14.85"/>
    <n v="8.44"/>
    <n v="13.25"/>
  </r>
  <r>
    <x v="3"/>
    <x v="1"/>
    <x v="41"/>
    <x v="1"/>
    <x v="4"/>
    <x v="0"/>
    <n v="314.69"/>
    <n v="314.69"/>
    <n v="79.47"/>
    <n v="288.49"/>
  </r>
  <r>
    <x v="3"/>
    <x v="1"/>
    <x v="41"/>
    <x v="1"/>
    <x v="1"/>
    <x v="0"/>
    <n v="31.08"/>
    <n v="31.08"/>
    <n v="2.2799999999999998"/>
    <n v="27.66"/>
  </r>
  <r>
    <x v="3"/>
    <x v="1"/>
    <x v="41"/>
    <x v="4"/>
    <x v="0"/>
    <x v="0"/>
    <n v="0.2"/>
    <n v="0.2"/>
    <n v="0.02"/>
    <n v="0.17"/>
  </r>
  <r>
    <x v="3"/>
    <x v="1"/>
    <x v="41"/>
    <x v="0"/>
    <x v="0"/>
    <x v="1"/>
    <n v="9.68"/>
    <n v="9.68"/>
    <n v="0.52"/>
    <n v="8.19"/>
  </r>
  <r>
    <x v="3"/>
    <x v="1"/>
    <x v="41"/>
    <x v="1"/>
    <x v="2"/>
    <x v="2"/>
    <n v="1.1399999999999999"/>
    <n v="1.1399999999999999"/>
    <n v="0.01"/>
    <n v="0.99"/>
  </r>
  <r>
    <x v="3"/>
    <x v="1"/>
    <x v="41"/>
    <x v="0"/>
    <x v="1"/>
    <x v="1"/>
    <n v="1.17"/>
    <n v="1.17"/>
    <n v="0.01"/>
    <n v="1.17"/>
  </r>
  <r>
    <x v="3"/>
    <x v="1"/>
    <x v="41"/>
    <x v="0"/>
    <x v="3"/>
    <x v="1"/>
    <n v="0.34"/>
    <n v="0.34"/>
    <n v="0.02"/>
    <n v="0.34"/>
  </r>
  <r>
    <x v="3"/>
    <x v="1"/>
    <x v="41"/>
    <x v="1"/>
    <x v="0"/>
    <x v="1"/>
    <n v="20.64"/>
    <n v="20.64"/>
    <n v="0.68"/>
    <n v="17.47"/>
  </r>
  <r>
    <x v="3"/>
    <x v="1"/>
    <x v="41"/>
    <x v="1"/>
    <x v="4"/>
    <x v="1"/>
    <n v="9.49"/>
    <n v="9.49"/>
    <n v="0.28999999999999998"/>
    <n v="7.99"/>
  </r>
  <r>
    <x v="3"/>
    <x v="1"/>
    <x v="41"/>
    <x v="1"/>
    <x v="1"/>
    <x v="1"/>
    <n v="37.79"/>
    <n v="37.79"/>
    <n v="0.23"/>
    <n v="31.72"/>
  </r>
  <r>
    <x v="3"/>
    <x v="1"/>
    <x v="41"/>
    <x v="4"/>
    <x v="1"/>
    <x v="1"/>
    <n v="4.96"/>
    <n v="4.96"/>
    <n v="0.15"/>
    <n v="4.13"/>
  </r>
  <r>
    <x v="3"/>
    <x v="1"/>
    <x v="41"/>
    <x v="4"/>
    <x v="4"/>
    <x v="1"/>
    <n v="0.56999999999999995"/>
    <n v="0.56999999999999995"/>
    <n v="0.03"/>
    <n v="0.47"/>
  </r>
  <r>
    <x v="3"/>
    <x v="1"/>
    <x v="41"/>
    <x v="2"/>
    <x v="3"/>
    <x v="1"/>
    <n v="15.01"/>
    <n v="15.01"/>
    <n v="0.02"/>
    <n v="13.41"/>
  </r>
  <r>
    <x v="3"/>
    <x v="1"/>
    <x v="41"/>
    <x v="4"/>
    <x v="0"/>
    <x v="1"/>
    <n v="4.05"/>
    <n v="4.05"/>
    <n v="0.23"/>
    <n v="3.38"/>
  </r>
  <r>
    <x v="3"/>
    <x v="1"/>
    <x v="41"/>
    <x v="1"/>
    <x v="2"/>
    <x v="0"/>
    <n v="17.489999999999998"/>
    <n v="17.489999999999998"/>
    <n v="0.24"/>
    <n v="15.24"/>
  </r>
  <r>
    <x v="3"/>
    <x v="1"/>
    <x v="41"/>
    <x v="2"/>
    <x v="3"/>
    <x v="3"/>
    <n v="36.44"/>
    <n v="36.44"/>
    <n v="0.03"/>
    <n v="36.44"/>
  </r>
  <r>
    <x v="3"/>
    <x v="1"/>
    <x v="41"/>
    <x v="2"/>
    <x v="2"/>
    <x v="3"/>
    <n v="15.02"/>
    <n v="15.02"/>
    <n v="0.01"/>
    <n v="15.02"/>
  </r>
  <r>
    <x v="3"/>
    <x v="1"/>
    <x v="41"/>
    <x v="2"/>
    <x v="3"/>
    <x v="2"/>
    <n v="79.459999999999994"/>
    <n v="79.459999999999994"/>
    <n v="0.21"/>
    <n v="79.459999999999994"/>
  </r>
  <r>
    <x v="3"/>
    <x v="1"/>
    <x v="41"/>
    <x v="1"/>
    <x v="3"/>
    <x v="2"/>
    <n v="0.77"/>
    <n v="0.77"/>
    <n v="0.01"/>
    <n v="0.67"/>
  </r>
  <r>
    <x v="3"/>
    <x v="1"/>
    <x v="41"/>
    <x v="1"/>
    <x v="2"/>
    <x v="1"/>
    <n v="115.68"/>
    <n v="115.68"/>
    <n v="0.35"/>
    <n v="96.56"/>
  </r>
  <r>
    <x v="3"/>
    <x v="1"/>
    <x v="41"/>
    <x v="3"/>
    <x v="1"/>
    <x v="0"/>
    <n v="0.38"/>
    <n v="0.38"/>
    <n v="0.04"/>
    <n v="0.38"/>
  </r>
  <r>
    <x v="3"/>
    <x v="1"/>
    <x v="41"/>
    <x v="2"/>
    <x v="1"/>
    <x v="1"/>
    <n v="0.46"/>
    <n v="0.46"/>
    <n v="0"/>
    <n v="0.4"/>
  </r>
  <r>
    <x v="3"/>
    <x v="2"/>
    <x v="42"/>
    <x v="2"/>
    <x v="2"/>
    <x v="3"/>
    <n v="1.61"/>
    <n v="1.61"/>
    <n v="0"/>
    <n v="1.61"/>
  </r>
  <r>
    <x v="3"/>
    <x v="2"/>
    <x v="42"/>
    <x v="2"/>
    <x v="3"/>
    <x v="2"/>
    <n v="11.58"/>
    <n v="11.58"/>
    <n v="0.02"/>
    <n v="10.3"/>
  </r>
  <r>
    <x v="3"/>
    <x v="2"/>
    <x v="42"/>
    <x v="1"/>
    <x v="0"/>
    <x v="0"/>
    <n v="9.7799999999999994"/>
    <n v="9.7799999999999994"/>
    <n v="6.49"/>
    <n v="9.16"/>
  </r>
  <r>
    <x v="3"/>
    <x v="2"/>
    <x v="42"/>
    <x v="1"/>
    <x v="4"/>
    <x v="2"/>
    <n v="0.49"/>
    <n v="0.49"/>
    <n v="0.05"/>
    <n v="0.43"/>
  </r>
  <r>
    <x v="3"/>
    <x v="2"/>
    <x v="42"/>
    <x v="4"/>
    <x v="2"/>
    <x v="2"/>
    <n v="1.49"/>
    <n v="1.49"/>
    <n v="0.01"/>
    <n v="1.3"/>
  </r>
  <r>
    <x v="3"/>
    <x v="2"/>
    <x v="42"/>
    <x v="4"/>
    <x v="1"/>
    <x v="2"/>
    <n v="0.94"/>
    <n v="0.94"/>
    <n v="0.03"/>
    <n v="0.81"/>
  </r>
  <r>
    <x v="3"/>
    <x v="2"/>
    <x v="42"/>
    <x v="4"/>
    <x v="4"/>
    <x v="2"/>
    <n v="1.47"/>
    <n v="1.47"/>
    <n v="0.08"/>
    <n v="1.35"/>
  </r>
  <r>
    <x v="3"/>
    <x v="2"/>
    <x v="42"/>
    <x v="1"/>
    <x v="4"/>
    <x v="0"/>
    <n v="182.32"/>
    <n v="182.32"/>
    <n v="36.04"/>
    <n v="167.41"/>
  </r>
  <r>
    <x v="3"/>
    <x v="2"/>
    <x v="42"/>
    <x v="1"/>
    <x v="1"/>
    <x v="0"/>
    <n v="31.37"/>
    <n v="31.37"/>
    <n v="1.82"/>
    <n v="28.94"/>
  </r>
  <r>
    <x v="3"/>
    <x v="2"/>
    <x v="42"/>
    <x v="1"/>
    <x v="2"/>
    <x v="0"/>
    <n v="4.9000000000000004"/>
    <n v="4.9000000000000004"/>
    <n v="0.06"/>
    <n v="4.34"/>
  </r>
  <r>
    <x v="3"/>
    <x v="2"/>
    <x v="42"/>
    <x v="2"/>
    <x v="4"/>
    <x v="0"/>
    <n v="3.45"/>
    <n v="3.45"/>
    <n v="0.91"/>
    <n v="3.29"/>
  </r>
  <r>
    <x v="3"/>
    <x v="2"/>
    <x v="42"/>
    <x v="0"/>
    <x v="0"/>
    <x v="1"/>
    <n v="1.93"/>
    <n v="1.93"/>
    <n v="0.14000000000000001"/>
    <n v="1.74"/>
  </r>
  <r>
    <x v="3"/>
    <x v="2"/>
    <x v="42"/>
    <x v="2"/>
    <x v="3"/>
    <x v="3"/>
    <n v="56.4"/>
    <n v="56.4"/>
    <n v="0.04"/>
    <n v="56.4"/>
  </r>
  <r>
    <x v="3"/>
    <x v="2"/>
    <x v="42"/>
    <x v="2"/>
    <x v="0"/>
    <x v="0"/>
    <n v="7.81"/>
    <n v="7.81"/>
    <n v="6.02"/>
    <n v="7.28"/>
  </r>
  <r>
    <x v="3"/>
    <x v="2"/>
    <x v="42"/>
    <x v="1"/>
    <x v="1"/>
    <x v="1"/>
    <n v="3.56"/>
    <n v="3.56"/>
    <n v="7.0000000000000007E-2"/>
    <n v="3.32"/>
  </r>
  <r>
    <x v="3"/>
    <x v="2"/>
    <x v="42"/>
    <x v="0"/>
    <x v="4"/>
    <x v="1"/>
    <n v="1.77"/>
    <n v="1.77"/>
    <n v="7.0000000000000007E-2"/>
    <n v="1.59"/>
  </r>
  <r>
    <x v="3"/>
    <x v="2"/>
    <x v="42"/>
    <x v="1"/>
    <x v="4"/>
    <x v="1"/>
    <n v="5.89"/>
    <n v="5.89"/>
    <n v="0.09"/>
    <n v="5.4"/>
  </r>
  <r>
    <x v="3"/>
    <x v="2"/>
    <x v="42"/>
    <x v="1"/>
    <x v="2"/>
    <x v="1"/>
    <n v="13.53"/>
    <n v="13.53"/>
    <n v="0.1"/>
    <n v="12.39"/>
  </r>
  <r>
    <x v="3"/>
    <x v="2"/>
    <x v="42"/>
    <x v="3"/>
    <x v="0"/>
    <x v="0"/>
    <n v="0.92"/>
    <n v="0.92"/>
    <n v="0.77"/>
    <n v="0.89"/>
  </r>
  <r>
    <x v="3"/>
    <x v="2"/>
    <x v="42"/>
    <x v="3"/>
    <x v="4"/>
    <x v="0"/>
    <n v="11.61"/>
    <n v="11.61"/>
    <n v="2.4900000000000002"/>
    <n v="11.09"/>
  </r>
  <r>
    <x v="3"/>
    <x v="2"/>
    <x v="42"/>
    <x v="3"/>
    <x v="1"/>
    <x v="0"/>
    <n v="0.05"/>
    <n v="0.05"/>
    <n v="0.01"/>
    <n v="0.05"/>
  </r>
  <r>
    <x v="3"/>
    <x v="2"/>
    <x v="42"/>
    <x v="4"/>
    <x v="0"/>
    <x v="0"/>
    <n v="0.05"/>
    <n v="0.05"/>
    <n v="0.01"/>
    <n v="0.05"/>
  </r>
  <r>
    <x v="3"/>
    <x v="2"/>
    <x v="42"/>
    <x v="4"/>
    <x v="4"/>
    <x v="0"/>
    <n v="70.459999999999994"/>
    <n v="70.459999999999994"/>
    <n v="9.48"/>
    <n v="65.44"/>
  </r>
  <r>
    <x v="3"/>
    <x v="2"/>
    <x v="42"/>
    <x v="0"/>
    <x v="4"/>
    <x v="0"/>
    <n v="21.96"/>
    <n v="21.96"/>
    <n v="5.85"/>
    <n v="20.2"/>
  </r>
  <r>
    <x v="3"/>
    <x v="2"/>
    <x v="42"/>
    <x v="0"/>
    <x v="0"/>
    <x v="0"/>
    <n v="10.4"/>
    <n v="10.4"/>
    <n v="9.76"/>
    <n v="9.4499999999999993"/>
  </r>
  <r>
    <x v="3"/>
    <x v="2"/>
    <x v="42"/>
    <x v="2"/>
    <x v="2"/>
    <x v="1"/>
    <n v="5.59"/>
    <n v="5.59"/>
    <n v="0"/>
    <n v="5.43"/>
  </r>
  <r>
    <x v="3"/>
    <x v="2"/>
    <x v="42"/>
    <x v="2"/>
    <x v="3"/>
    <x v="1"/>
    <n v="4.59"/>
    <n v="4.59"/>
    <n v="0.02"/>
    <n v="4.16"/>
  </r>
  <r>
    <x v="3"/>
    <x v="2"/>
    <x v="42"/>
    <x v="4"/>
    <x v="0"/>
    <x v="1"/>
    <n v="0.32"/>
    <n v="0.32"/>
    <n v="0.03"/>
    <n v="0.28999999999999998"/>
  </r>
  <r>
    <x v="3"/>
    <x v="2"/>
    <x v="42"/>
    <x v="4"/>
    <x v="4"/>
    <x v="1"/>
    <n v="0.32"/>
    <n v="0.32"/>
    <n v="0.02"/>
    <n v="0.28999999999999998"/>
  </r>
  <r>
    <x v="3"/>
    <x v="2"/>
    <x v="42"/>
    <x v="1"/>
    <x v="0"/>
    <x v="1"/>
    <n v="2.5499999999999998"/>
    <n v="2.5499999999999998"/>
    <n v="0.12"/>
    <n v="2.48"/>
  </r>
  <r>
    <x v="3"/>
    <x v="2"/>
    <x v="42"/>
    <x v="4"/>
    <x v="1"/>
    <x v="0"/>
    <n v="9.68"/>
    <n v="9.68"/>
    <n v="0.53"/>
    <n v="8.9499999999999993"/>
  </r>
  <r>
    <x v="3"/>
    <x v="2"/>
    <x v="42"/>
    <x v="4"/>
    <x v="1"/>
    <x v="1"/>
    <n v="0.18"/>
    <n v="0.18"/>
    <n v="0"/>
    <n v="0.16"/>
  </r>
  <r>
    <x v="3"/>
    <x v="2"/>
    <x v="43"/>
    <x v="4"/>
    <x v="1"/>
    <x v="0"/>
    <n v="12.46"/>
    <n v="12.46"/>
    <n v="0.62"/>
    <n v="11.41"/>
  </r>
  <r>
    <x v="3"/>
    <x v="2"/>
    <x v="43"/>
    <x v="4"/>
    <x v="0"/>
    <x v="0"/>
    <n v="0.03"/>
    <n v="0.03"/>
    <n v="0"/>
    <n v="0.03"/>
  </r>
  <r>
    <x v="3"/>
    <x v="2"/>
    <x v="43"/>
    <x v="3"/>
    <x v="4"/>
    <x v="0"/>
    <n v="3.13"/>
    <n v="3.13"/>
    <n v="0.84"/>
    <n v="2.98"/>
  </r>
  <r>
    <x v="3"/>
    <x v="2"/>
    <x v="43"/>
    <x v="0"/>
    <x v="0"/>
    <x v="0"/>
    <n v="5.44"/>
    <n v="5.44"/>
    <n v="4.6900000000000004"/>
    <n v="4.9400000000000004"/>
  </r>
  <r>
    <x v="3"/>
    <x v="2"/>
    <x v="43"/>
    <x v="2"/>
    <x v="3"/>
    <x v="1"/>
    <n v="2.2200000000000002"/>
    <n v="2.2200000000000002"/>
    <n v="0.01"/>
    <n v="2.0099999999999998"/>
  </r>
  <r>
    <x v="3"/>
    <x v="2"/>
    <x v="43"/>
    <x v="2"/>
    <x v="0"/>
    <x v="0"/>
    <n v="6.05"/>
    <n v="6.05"/>
    <n v="2.8"/>
    <n v="5.67"/>
  </r>
  <r>
    <x v="3"/>
    <x v="2"/>
    <x v="43"/>
    <x v="1"/>
    <x v="2"/>
    <x v="1"/>
    <n v="6.96"/>
    <n v="6.96"/>
    <n v="0.06"/>
    <n v="6.41"/>
  </r>
  <r>
    <x v="3"/>
    <x v="2"/>
    <x v="43"/>
    <x v="3"/>
    <x v="0"/>
    <x v="0"/>
    <n v="1.04"/>
    <n v="1.04"/>
    <n v="0.99"/>
    <n v="1.02"/>
  </r>
  <r>
    <x v="3"/>
    <x v="2"/>
    <x v="43"/>
    <x v="0"/>
    <x v="4"/>
    <x v="0"/>
    <n v="16.72"/>
    <n v="16.72"/>
    <n v="4.37"/>
    <n v="15.52"/>
  </r>
  <r>
    <x v="3"/>
    <x v="2"/>
    <x v="43"/>
    <x v="1"/>
    <x v="0"/>
    <x v="0"/>
    <n v="6.47"/>
    <n v="6.47"/>
    <n v="4.2300000000000004"/>
    <n v="6.12"/>
  </r>
  <r>
    <x v="3"/>
    <x v="2"/>
    <x v="43"/>
    <x v="1"/>
    <x v="4"/>
    <x v="0"/>
    <n v="122.79"/>
    <n v="122.79"/>
    <n v="24.76"/>
    <n v="113.17"/>
  </r>
  <r>
    <x v="3"/>
    <x v="2"/>
    <x v="43"/>
    <x v="1"/>
    <x v="2"/>
    <x v="0"/>
    <n v="0.36"/>
    <n v="0.36"/>
    <n v="0.01"/>
    <n v="0.31"/>
  </r>
  <r>
    <x v="3"/>
    <x v="2"/>
    <x v="43"/>
    <x v="2"/>
    <x v="4"/>
    <x v="0"/>
    <n v="3.5"/>
    <n v="3.5"/>
    <n v="0.81"/>
    <n v="3.38"/>
  </r>
  <r>
    <x v="3"/>
    <x v="2"/>
    <x v="43"/>
    <x v="1"/>
    <x v="1"/>
    <x v="1"/>
    <n v="2.08"/>
    <n v="2.08"/>
    <n v="0.04"/>
    <n v="1.96"/>
  </r>
  <r>
    <x v="3"/>
    <x v="2"/>
    <x v="43"/>
    <x v="3"/>
    <x v="1"/>
    <x v="0"/>
    <n v="0.11"/>
    <n v="0.11"/>
    <n v="0.02"/>
    <n v="0.1"/>
  </r>
  <r>
    <x v="3"/>
    <x v="2"/>
    <x v="43"/>
    <x v="1"/>
    <x v="0"/>
    <x v="1"/>
    <n v="2.16"/>
    <n v="2.16"/>
    <n v="0.12"/>
    <n v="2.09"/>
  </r>
  <r>
    <x v="3"/>
    <x v="2"/>
    <x v="43"/>
    <x v="1"/>
    <x v="1"/>
    <x v="0"/>
    <n v="20.53"/>
    <n v="20.53"/>
    <n v="1.29"/>
    <n v="19.05"/>
  </r>
  <r>
    <x v="3"/>
    <x v="2"/>
    <x v="43"/>
    <x v="1"/>
    <x v="4"/>
    <x v="2"/>
    <n v="5.38"/>
    <n v="5.38"/>
    <n v="0.02"/>
    <n v="4.68"/>
  </r>
  <r>
    <x v="3"/>
    <x v="2"/>
    <x v="43"/>
    <x v="1"/>
    <x v="4"/>
    <x v="1"/>
    <n v="0.57999999999999996"/>
    <n v="0.57999999999999996"/>
    <n v="0.03"/>
    <n v="0.55000000000000004"/>
  </r>
  <r>
    <x v="3"/>
    <x v="2"/>
    <x v="43"/>
    <x v="0"/>
    <x v="4"/>
    <x v="1"/>
    <n v="0.86"/>
    <n v="0.86"/>
    <n v="0.03"/>
    <n v="0.78"/>
  </r>
  <r>
    <x v="3"/>
    <x v="2"/>
    <x v="43"/>
    <x v="4"/>
    <x v="0"/>
    <x v="1"/>
    <n v="0.19"/>
    <n v="0.19"/>
    <n v="0.04"/>
    <n v="0.17"/>
  </r>
  <r>
    <x v="3"/>
    <x v="2"/>
    <x v="43"/>
    <x v="4"/>
    <x v="4"/>
    <x v="2"/>
    <n v="0.61"/>
    <n v="0.61"/>
    <n v="0.03"/>
    <n v="0.53"/>
  </r>
  <r>
    <x v="3"/>
    <x v="2"/>
    <x v="43"/>
    <x v="0"/>
    <x v="0"/>
    <x v="1"/>
    <n v="0.99"/>
    <n v="0.99"/>
    <n v="7.0000000000000007E-2"/>
    <n v="0.89"/>
  </r>
  <r>
    <x v="3"/>
    <x v="2"/>
    <x v="43"/>
    <x v="4"/>
    <x v="2"/>
    <x v="2"/>
    <n v="0.64"/>
    <n v="0.64"/>
    <n v="0"/>
    <n v="0.56000000000000005"/>
  </r>
  <r>
    <x v="3"/>
    <x v="2"/>
    <x v="43"/>
    <x v="2"/>
    <x v="3"/>
    <x v="2"/>
    <n v="2.36"/>
    <n v="2.36"/>
    <n v="0"/>
    <n v="2.36"/>
  </r>
  <r>
    <x v="3"/>
    <x v="2"/>
    <x v="43"/>
    <x v="4"/>
    <x v="1"/>
    <x v="1"/>
    <n v="0.11"/>
    <n v="0.11"/>
    <n v="0"/>
    <n v="0.1"/>
  </r>
  <r>
    <x v="3"/>
    <x v="2"/>
    <x v="43"/>
    <x v="4"/>
    <x v="4"/>
    <x v="1"/>
    <n v="0.23"/>
    <n v="0.23"/>
    <n v="0.01"/>
    <n v="0.21"/>
  </r>
  <r>
    <x v="3"/>
    <x v="2"/>
    <x v="43"/>
    <x v="4"/>
    <x v="4"/>
    <x v="0"/>
    <n v="82.66"/>
    <n v="82.66"/>
    <n v="11.13"/>
    <n v="75.97"/>
  </r>
  <r>
    <x v="3"/>
    <x v="2"/>
    <x v="43"/>
    <x v="2"/>
    <x v="2"/>
    <x v="3"/>
    <n v="0.39"/>
    <n v="0.39"/>
    <n v="0"/>
    <n v="0.39"/>
  </r>
  <r>
    <x v="3"/>
    <x v="2"/>
    <x v="43"/>
    <x v="2"/>
    <x v="3"/>
    <x v="3"/>
    <n v="16.55"/>
    <n v="16.55"/>
    <n v="0.01"/>
    <n v="16.55"/>
  </r>
  <r>
    <x v="3"/>
    <x v="2"/>
    <x v="43"/>
    <x v="4"/>
    <x v="1"/>
    <x v="2"/>
    <n v="0.38"/>
    <n v="0.38"/>
    <n v="0.01"/>
    <n v="0.33"/>
  </r>
  <r>
    <x v="3"/>
    <x v="2"/>
    <x v="44"/>
    <x v="2"/>
    <x v="0"/>
    <x v="0"/>
    <n v="2.48"/>
    <n v="2.48"/>
    <n v="1.94"/>
    <n v="2.33"/>
  </r>
  <r>
    <x v="3"/>
    <x v="2"/>
    <x v="44"/>
    <x v="1"/>
    <x v="2"/>
    <x v="1"/>
    <n v="37.64"/>
    <n v="37.64"/>
    <n v="0.25"/>
    <n v="34.380000000000003"/>
  </r>
  <r>
    <x v="3"/>
    <x v="2"/>
    <x v="44"/>
    <x v="3"/>
    <x v="4"/>
    <x v="0"/>
    <n v="2.87"/>
    <n v="2.87"/>
    <n v="0.76"/>
    <n v="2.71"/>
  </r>
  <r>
    <x v="3"/>
    <x v="2"/>
    <x v="44"/>
    <x v="4"/>
    <x v="2"/>
    <x v="2"/>
    <n v="0.65"/>
    <n v="0.65"/>
    <n v="0"/>
    <n v="0.56999999999999995"/>
  </r>
  <r>
    <x v="3"/>
    <x v="2"/>
    <x v="44"/>
    <x v="2"/>
    <x v="3"/>
    <x v="1"/>
    <n v="9.8699999999999992"/>
    <n v="9.8699999999999992"/>
    <n v="0.03"/>
    <n v="8.9499999999999993"/>
  </r>
  <r>
    <x v="3"/>
    <x v="2"/>
    <x v="44"/>
    <x v="3"/>
    <x v="0"/>
    <x v="0"/>
    <n v="0.6"/>
    <n v="0.6"/>
    <n v="0.59"/>
    <n v="0.59"/>
  </r>
  <r>
    <x v="3"/>
    <x v="2"/>
    <x v="44"/>
    <x v="2"/>
    <x v="4"/>
    <x v="0"/>
    <n v="2.92"/>
    <n v="2.92"/>
    <n v="0.64"/>
    <n v="2.77"/>
  </r>
  <r>
    <x v="3"/>
    <x v="2"/>
    <x v="44"/>
    <x v="1"/>
    <x v="2"/>
    <x v="0"/>
    <n v="0.87"/>
    <n v="0.87"/>
    <n v="0.02"/>
    <n v="0.77"/>
  </r>
  <r>
    <x v="3"/>
    <x v="2"/>
    <x v="44"/>
    <x v="1"/>
    <x v="1"/>
    <x v="0"/>
    <n v="23.86"/>
    <n v="23.86"/>
    <n v="1.43"/>
    <n v="22.18"/>
  </r>
  <r>
    <x v="3"/>
    <x v="2"/>
    <x v="44"/>
    <x v="1"/>
    <x v="4"/>
    <x v="0"/>
    <n v="127.28"/>
    <n v="127.28"/>
    <n v="25.23"/>
    <n v="117.42"/>
  </r>
  <r>
    <x v="3"/>
    <x v="2"/>
    <x v="44"/>
    <x v="1"/>
    <x v="0"/>
    <x v="0"/>
    <n v="5.76"/>
    <n v="5.76"/>
    <n v="3.74"/>
    <n v="5.4"/>
  </r>
  <r>
    <x v="3"/>
    <x v="2"/>
    <x v="44"/>
    <x v="0"/>
    <x v="4"/>
    <x v="0"/>
    <n v="14.65"/>
    <n v="14.65"/>
    <n v="3.87"/>
    <n v="13.53"/>
  </r>
  <r>
    <x v="3"/>
    <x v="2"/>
    <x v="44"/>
    <x v="0"/>
    <x v="0"/>
    <x v="0"/>
    <n v="6.8"/>
    <n v="6.8"/>
    <n v="5.55"/>
    <n v="6.2"/>
  </r>
  <r>
    <x v="3"/>
    <x v="2"/>
    <x v="44"/>
    <x v="4"/>
    <x v="1"/>
    <x v="0"/>
    <n v="12.06"/>
    <n v="12.06"/>
    <n v="0.7"/>
    <n v="11.28"/>
  </r>
  <r>
    <x v="3"/>
    <x v="2"/>
    <x v="44"/>
    <x v="4"/>
    <x v="0"/>
    <x v="0"/>
    <n v="0.05"/>
    <n v="0.05"/>
    <n v="0.01"/>
    <n v="0.04"/>
  </r>
  <r>
    <x v="3"/>
    <x v="2"/>
    <x v="44"/>
    <x v="0"/>
    <x v="4"/>
    <x v="1"/>
    <n v="5.15"/>
    <n v="5.15"/>
    <n v="0.18"/>
    <n v="4.6399999999999997"/>
  </r>
  <r>
    <x v="3"/>
    <x v="2"/>
    <x v="44"/>
    <x v="4"/>
    <x v="0"/>
    <x v="1"/>
    <n v="0.7"/>
    <n v="0.7"/>
    <n v="7.0000000000000007E-2"/>
    <n v="0.63"/>
  </r>
  <r>
    <x v="3"/>
    <x v="2"/>
    <x v="44"/>
    <x v="2"/>
    <x v="3"/>
    <x v="3"/>
    <n v="26.93"/>
    <n v="26.93"/>
    <n v="0.01"/>
    <n v="26.93"/>
  </r>
  <r>
    <x v="3"/>
    <x v="2"/>
    <x v="44"/>
    <x v="2"/>
    <x v="2"/>
    <x v="3"/>
    <n v="0.3"/>
    <n v="0.3"/>
    <n v="0"/>
    <n v="0.3"/>
  </r>
  <r>
    <x v="3"/>
    <x v="2"/>
    <x v="44"/>
    <x v="2"/>
    <x v="3"/>
    <x v="2"/>
    <n v="5.61"/>
    <n v="5.61"/>
    <n v="0.01"/>
    <n v="5.21"/>
  </r>
  <r>
    <x v="3"/>
    <x v="2"/>
    <x v="44"/>
    <x v="4"/>
    <x v="4"/>
    <x v="1"/>
    <n v="2.0699999999999998"/>
    <n v="2.0699999999999998"/>
    <n v="0.08"/>
    <n v="1.88"/>
  </r>
  <r>
    <x v="3"/>
    <x v="2"/>
    <x v="44"/>
    <x v="4"/>
    <x v="1"/>
    <x v="1"/>
    <n v="1.1000000000000001"/>
    <n v="1.1000000000000001"/>
    <n v="0.02"/>
    <n v="1.01"/>
  </r>
  <r>
    <x v="3"/>
    <x v="2"/>
    <x v="44"/>
    <x v="4"/>
    <x v="1"/>
    <x v="2"/>
    <n v="0.39"/>
    <n v="0.39"/>
    <n v="0.01"/>
    <n v="0.34"/>
  </r>
  <r>
    <x v="3"/>
    <x v="2"/>
    <x v="44"/>
    <x v="3"/>
    <x v="1"/>
    <x v="0"/>
    <n v="7.0000000000000007E-2"/>
    <n v="7.0000000000000007E-2"/>
    <n v="0.01"/>
    <n v="7.0000000000000007E-2"/>
  </r>
  <r>
    <x v="3"/>
    <x v="2"/>
    <x v="44"/>
    <x v="4"/>
    <x v="4"/>
    <x v="0"/>
    <n v="71.790000000000006"/>
    <n v="71.790000000000006"/>
    <n v="9.15"/>
    <n v="66.67"/>
  </r>
  <r>
    <x v="3"/>
    <x v="2"/>
    <x v="44"/>
    <x v="1"/>
    <x v="0"/>
    <x v="1"/>
    <n v="3.1"/>
    <n v="3.1"/>
    <n v="0.21"/>
    <n v="2.99"/>
  </r>
  <r>
    <x v="3"/>
    <x v="2"/>
    <x v="44"/>
    <x v="1"/>
    <x v="4"/>
    <x v="1"/>
    <n v="1.34"/>
    <n v="1.34"/>
    <n v="0.08"/>
    <n v="1.26"/>
  </r>
  <r>
    <x v="3"/>
    <x v="2"/>
    <x v="44"/>
    <x v="1"/>
    <x v="1"/>
    <x v="1"/>
    <n v="8.3699999999999992"/>
    <n v="8.3699999999999992"/>
    <n v="0.12"/>
    <n v="7.63"/>
  </r>
  <r>
    <x v="3"/>
    <x v="2"/>
    <x v="44"/>
    <x v="1"/>
    <x v="4"/>
    <x v="2"/>
    <n v="2.2799999999999998"/>
    <n v="2.2799999999999998"/>
    <n v="0.09"/>
    <n v="1.99"/>
  </r>
  <r>
    <x v="3"/>
    <x v="2"/>
    <x v="44"/>
    <x v="4"/>
    <x v="4"/>
    <x v="2"/>
    <n v="0.68"/>
    <n v="0.68"/>
    <n v="0.03"/>
    <n v="0.59"/>
  </r>
  <r>
    <x v="3"/>
    <x v="2"/>
    <x v="44"/>
    <x v="0"/>
    <x v="0"/>
    <x v="1"/>
    <n v="6.26"/>
    <n v="6.26"/>
    <n v="0.38"/>
    <n v="5.64"/>
  </r>
  <r>
    <x v="3"/>
    <x v="4"/>
    <x v="45"/>
    <x v="1"/>
    <x v="2"/>
    <x v="1"/>
    <n v="33.33"/>
    <n v="33.33"/>
    <n v="0.15"/>
    <n v="29.48"/>
  </r>
  <r>
    <x v="3"/>
    <x v="4"/>
    <x v="45"/>
    <x v="4"/>
    <x v="2"/>
    <x v="2"/>
    <n v="0.4"/>
    <n v="0.4"/>
    <n v="0.01"/>
    <n v="0.34"/>
  </r>
  <r>
    <x v="3"/>
    <x v="4"/>
    <x v="45"/>
    <x v="3"/>
    <x v="4"/>
    <x v="0"/>
    <n v="9.18"/>
    <n v="9.18"/>
    <n v="3.99"/>
    <n v="8.32"/>
  </r>
  <r>
    <x v="3"/>
    <x v="4"/>
    <x v="45"/>
    <x v="1"/>
    <x v="3"/>
    <x v="1"/>
    <n v="0.4"/>
    <n v="0.4"/>
    <n v="0"/>
    <n v="0.33"/>
  </r>
  <r>
    <x v="3"/>
    <x v="4"/>
    <x v="45"/>
    <x v="2"/>
    <x v="4"/>
    <x v="1"/>
    <n v="3.36"/>
    <n v="3.36"/>
    <n v="0.01"/>
    <n v="2.82"/>
  </r>
  <r>
    <x v="3"/>
    <x v="4"/>
    <x v="45"/>
    <x v="2"/>
    <x v="3"/>
    <x v="1"/>
    <n v="3.48"/>
    <n v="3.48"/>
    <n v="0"/>
    <n v="2.92"/>
  </r>
  <r>
    <x v="3"/>
    <x v="4"/>
    <x v="45"/>
    <x v="3"/>
    <x v="0"/>
    <x v="0"/>
    <n v="0.73"/>
    <n v="0.73"/>
    <n v="0.67"/>
    <n v="0.65"/>
  </r>
  <r>
    <x v="3"/>
    <x v="4"/>
    <x v="45"/>
    <x v="3"/>
    <x v="1"/>
    <x v="0"/>
    <n v="0.03"/>
    <n v="0.03"/>
    <n v="0"/>
    <n v="0.03"/>
  </r>
  <r>
    <x v="3"/>
    <x v="4"/>
    <x v="45"/>
    <x v="4"/>
    <x v="0"/>
    <x v="0"/>
    <n v="0.22"/>
    <n v="0.22"/>
    <n v="0.02"/>
    <n v="0.18"/>
  </r>
  <r>
    <x v="3"/>
    <x v="4"/>
    <x v="45"/>
    <x v="4"/>
    <x v="4"/>
    <x v="0"/>
    <n v="33.549999999999997"/>
    <n v="33.549999999999997"/>
    <n v="4.45"/>
    <n v="28.85"/>
  </r>
  <r>
    <x v="3"/>
    <x v="4"/>
    <x v="45"/>
    <x v="1"/>
    <x v="1"/>
    <x v="0"/>
    <n v="22.43"/>
    <n v="22.43"/>
    <n v="1.1299999999999999"/>
    <n v="19.13"/>
  </r>
  <r>
    <x v="3"/>
    <x v="4"/>
    <x v="45"/>
    <x v="1"/>
    <x v="1"/>
    <x v="1"/>
    <n v="5.53"/>
    <n v="5.53"/>
    <n v="0.05"/>
    <n v="4.5599999999999996"/>
  </r>
  <r>
    <x v="3"/>
    <x v="4"/>
    <x v="45"/>
    <x v="2"/>
    <x v="0"/>
    <x v="0"/>
    <n v="9.41"/>
    <n v="9.41"/>
    <n v="6.72"/>
    <n v="8.4700000000000006"/>
  </r>
  <r>
    <x v="3"/>
    <x v="4"/>
    <x v="45"/>
    <x v="4"/>
    <x v="0"/>
    <x v="1"/>
    <n v="0.93"/>
    <n v="0.93"/>
    <n v="0.04"/>
    <n v="0.77"/>
  </r>
  <r>
    <x v="3"/>
    <x v="4"/>
    <x v="45"/>
    <x v="4"/>
    <x v="1"/>
    <x v="2"/>
    <n v="0.81"/>
    <n v="0.81"/>
    <n v="0.03"/>
    <n v="0.68"/>
  </r>
  <r>
    <x v="3"/>
    <x v="4"/>
    <x v="45"/>
    <x v="4"/>
    <x v="4"/>
    <x v="2"/>
    <n v="0.93"/>
    <n v="0.93"/>
    <n v="0.04"/>
    <n v="0.78"/>
  </r>
  <r>
    <x v="3"/>
    <x v="4"/>
    <x v="45"/>
    <x v="4"/>
    <x v="1"/>
    <x v="0"/>
    <n v="7.19"/>
    <n v="7.19"/>
    <n v="0.44"/>
    <n v="6.12"/>
  </r>
  <r>
    <x v="3"/>
    <x v="4"/>
    <x v="45"/>
    <x v="1"/>
    <x v="4"/>
    <x v="2"/>
    <n v="2.2999999999999998"/>
    <n v="2.2999999999999998"/>
    <n v="0.08"/>
    <n v="1.94"/>
  </r>
  <r>
    <x v="3"/>
    <x v="4"/>
    <x v="45"/>
    <x v="1"/>
    <x v="2"/>
    <x v="0"/>
    <n v="4.9800000000000004"/>
    <n v="4.9800000000000004"/>
    <n v="7.0000000000000007E-2"/>
    <n v="4.2300000000000004"/>
  </r>
  <r>
    <x v="3"/>
    <x v="4"/>
    <x v="45"/>
    <x v="0"/>
    <x v="0"/>
    <x v="0"/>
    <n v="0.85"/>
    <n v="0.85"/>
    <n v="0.72"/>
    <n v="0.73"/>
  </r>
  <r>
    <x v="3"/>
    <x v="4"/>
    <x v="45"/>
    <x v="0"/>
    <x v="4"/>
    <x v="0"/>
    <n v="7.38"/>
    <n v="7.38"/>
    <n v="2.4900000000000002"/>
    <n v="6.53"/>
  </r>
  <r>
    <x v="3"/>
    <x v="4"/>
    <x v="45"/>
    <x v="0"/>
    <x v="2"/>
    <x v="0"/>
    <n v="0.05"/>
    <n v="0.05"/>
    <n v="0"/>
    <n v="0.05"/>
  </r>
  <r>
    <x v="3"/>
    <x v="4"/>
    <x v="45"/>
    <x v="1"/>
    <x v="0"/>
    <x v="0"/>
    <n v="10.43"/>
    <n v="10.43"/>
    <n v="6.83"/>
    <n v="9.26"/>
  </r>
  <r>
    <x v="3"/>
    <x v="4"/>
    <x v="45"/>
    <x v="4"/>
    <x v="1"/>
    <x v="1"/>
    <n v="1"/>
    <n v="1"/>
    <n v="0.03"/>
    <n v="0.84"/>
  </r>
  <r>
    <x v="3"/>
    <x v="4"/>
    <x v="45"/>
    <x v="2"/>
    <x v="4"/>
    <x v="0"/>
    <n v="11.04"/>
    <n v="11.04"/>
    <n v="4.2300000000000004"/>
    <n v="9.86"/>
  </r>
  <r>
    <x v="3"/>
    <x v="4"/>
    <x v="45"/>
    <x v="1"/>
    <x v="4"/>
    <x v="1"/>
    <n v="2.23"/>
    <n v="2.23"/>
    <n v="0.06"/>
    <n v="1.86"/>
  </r>
  <r>
    <x v="3"/>
    <x v="4"/>
    <x v="45"/>
    <x v="2"/>
    <x v="3"/>
    <x v="2"/>
    <n v="2.4500000000000002"/>
    <n v="2.4500000000000002"/>
    <n v="0.01"/>
    <n v="2.4500000000000002"/>
  </r>
  <r>
    <x v="3"/>
    <x v="4"/>
    <x v="45"/>
    <x v="2"/>
    <x v="3"/>
    <x v="3"/>
    <n v="11.22"/>
    <n v="11.22"/>
    <n v="0.01"/>
    <n v="11.22"/>
  </r>
  <r>
    <x v="3"/>
    <x v="4"/>
    <x v="45"/>
    <x v="4"/>
    <x v="4"/>
    <x v="1"/>
    <n v="0.43"/>
    <n v="0.43"/>
    <n v="0.02"/>
    <n v="0.36"/>
  </r>
  <r>
    <x v="3"/>
    <x v="4"/>
    <x v="45"/>
    <x v="0"/>
    <x v="0"/>
    <x v="1"/>
    <n v="3.18"/>
    <n v="3.18"/>
    <n v="0.1"/>
    <n v="2.63"/>
  </r>
  <r>
    <x v="3"/>
    <x v="4"/>
    <x v="45"/>
    <x v="0"/>
    <x v="4"/>
    <x v="1"/>
    <n v="2.73"/>
    <n v="2.73"/>
    <n v="0.06"/>
    <n v="2.25"/>
  </r>
  <r>
    <x v="3"/>
    <x v="4"/>
    <x v="45"/>
    <x v="1"/>
    <x v="0"/>
    <x v="1"/>
    <n v="6.64"/>
    <n v="6.64"/>
    <n v="0.28999999999999998"/>
    <n v="6.02"/>
  </r>
  <r>
    <x v="3"/>
    <x v="4"/>
    <x v="45"/>
    <x v="1"/>
    <x v="4"/>
    <x v="0"/>
    <n v="141.5"/>
    <n v="141.5"/>
    <n v="36.880000000000003"/>
    <n v="125.27"/>
  </r>
  <r>
    <x v="3"/>
    <x v="6"/>
    <x v="46"/>
    <x v="4"/>
    <x v="0"/>
    <x v="1"/>
    <n v="0.92"/>
    <n v="0.92"/>
    <n v="0.06"/>
    <n v="0.77"/>
  </r>
  <r>
    <x v="3"/>
    <x v="6"/>
    <x v="46"/>
    <x v="4"/>
    <x v="4"/>
    <x v="1"/>
    <n v="1.04"/>
    <n v="1.04"/>
    <n v="7.0000000000000007E-2"/>
    <n v="0.88"/>
  </r>
  <r>
    <x v="3"/>
    <x v="6"/>
    <x v="46"/>
    <x v="0"/>
    <x v="4"/>
    <x v="1"/>
    <n v="2.44"/>
    <n v="2.44"/>
    <n v="0.04"/>
    <n v="2.0699999999999998"/>
  </r>
  <r>
    <x v="3"/>
    <x v="6"/>
    <x v="46"/>
    <x v="1"/>
    <x v="0"/>
    <x v="1"/>
    <n v="1.43"/>
    <n v="1.43"/>
    <n v="0.06"/>
    <n v="1.2"/>
  </r>
  <r>
    <x v="3"/>
    <x v="6"/>
    <x v="46"/>
    <x v="4"/>
    <x v="1"/>
    <x v="1"/>
    <n v="1.4"/>
    <n v="1.4"/>
    <n v="0.05"/>
    <n v="1.18"/>
  </r>
  <r>
    <x v="3"/>
    <x v="6"/>
    <x v="46"/>
    <x v="0"/>
    <x v="0"/>
    <x v="1"/>
    <n v="0.77"/>
    <n v="0.77"/>
    <n v="0.03"/>
    <n v="0.66"/>
  </r>
  <r>
    <x v="3"/>
    <x v="6"/>
    <x v="46"/>
    <x v="2"/>
    <x v="3"/>
    <x v="3"/>
    <n v="2.19"/>
    <n v="2.19"/>
    <n v="0"/>
    <n v="1.82"/>
  </r>
  <r>
    <x v="3"/>
    <x v="6"/>
    <x v="46"/>
    <x v="2"/>
    <x v="3"/>
    <x v="2"/>
    <n v="1.34"/>
    <n v="1.34"/>
    <n v="0"/>
    <n v="1.1100000000000001"/>
  </r>
  <r>
    <x v="3"/>
    <x v="6"/>
    <x v="46"/>
    <x v="1"/>
    <x v="1"/>
    <x v="2"/>
    <n v="4.54"/>
    <n v="4.54"/>
    <n v="7.0000000000000007E-2"/>
    <n v="3.78"/>
  </r>
  <r>
    <x v="3"/>
    <x v="6"/>
    <x v="46"/>
    <x v="1"/>
    <x v="4"/>
    <x v="2"/>
    <n v="1.26"/>
    <n v="1.26"/>
    <n v="0.04"/>
    <n v="1.05"/>
  </r>
  <r>
    <x v="3"/>
    <x v="6"/>
    <x v="46"/>
    <x v="4"/>
    <x v="2"/>
    <x v="2"/>
    <n v="1.46"/>
    <n v="1.46"/>
    <n v="0.03"/>
    <n v="1.22"/>
  </r>
  <r>
    <x v="3"/>
    <x v="6"/>
    <x v="46"/>
    <x v="4"/>
    <x v="1"/>
    <x v="2"/>
    <n v="0.77"/>
    <n v="0.77"/>
    <n v="0.02"/>
    <n v="0.65"/>
  </r>
  <r>
    <x v="3"/>
    <x v="6"/>
    <x v="46"/>
    <x v="1"/>
    <x v="4"/>
    <x v="1"/>
    <n v="0.93"/>
    <n v="0.93"/>
    <n v="0.03"/>
    <n v="0.78"/>
  </r>
  <r>
    <x v="3"/>
    <x v="6"/>
    <x v="46"/>
    <x v="1"/>
    <x v="2"/>
    <x v="0"/>
    <n v="3.6"/>
    <n v="3.6"/>
    <n v="0.05"/>
    <n v="3.02"/>
  </r>
  <r>
    <x v="3"/>
    <x v="6"/>
    <x v="46"/>
    <x v="4"/>
    <x v="4"/>
    <x v="2"/>
    <n v="0.1"/>
    <n v="0.1"/>
    <n v="0.01"/>
    <n v="0.08"/>
  </r>
  <r>
    <x v="3"/>
    <x v="6"/>
    <x v="46"/>
    <x v="0"/>
    <x v="4"/>
    <x v="0"/>
    <n v="4.8499999999999996"/>
    <n v="4.8499999999999996"/>
    <n v="1.26"/>
    <n v="4.3099999999999996"/>
  </r>
  <r>
    <x v="3"/>
    <x v="6"/>
    <x v="46"/>
    <x v="1"/>
    <x v="4"/>
    <x v="0"/>
    <n v="71.7"/>
    <n v="71.7"/>
    <n v="18.62"/>
    <n v="63.74"/>
  </r>
  <r>
    <x v="3"/>
    <x v="6"/>
    <x v="46"/>
    <x v="2"/>
    <x v="0"/>
    <x v="0"/>
    <n v="8.83"/>
    <n v="8.83"/>
    <n v="5.75"/>
    <n v="7.72"/>
  </r>
  <r>
    <x v="3"/>
    <x v="6"/>
    <x v="46"/>
    <x v="1"/>
    <x v="1"/>
    <x v="1"/>
    <n v="1.65"/>
    <n v="1.65"/>
    <n v="0.02"/>
    <n v="1.39"/>
  </r>
  <r>
    <x v="3"/>
    <x v="6"/>
    <x v="46"/>
    <x v="1"/>
    <x v="0"/>
    <x v="0"/>
    <n v="7.22"/>
    <n v="7.22"/>
    <n v="4.76"/>
    <n v="6.27"/>
  </r>
  <r>
    <x v="3"/>
    <x v="6"/>
    <x v="46"/>
    <x v="2"/>
    <x v="4"/>
    <x v="0"/>
    <n v="6.07"/>
    <n v="6.07"/>
    <n v="2.19"/>
    <n v="5.45"/>
  </r>
  <r>
    <x v="3"/>
    <x v="6"/>
    <x v="46"/>
    <x v="0"/>
    <x v="0"/>
    <x v="0"/>
    <n v="5.26"/>
    <n v="5.26"/>
    <n v="4.54"/>
    <n v="4.47"/>
  </r>
  <r>
    <x v="3"/>
    <x v="6"/>
    <x v="46"/>
    <x v="4"/>
    <x v="1"/>
    <x v="0"/>
    <n v="1.1399999999999999"/>
    <n v="1.1399999999999999"/>
    <n v="7.0000000000000007E-2"/>
    <n v="0.97"/>
  </r>
  <r>
    <x v="3"/>
    <x v="6"/>
    <x v="46"/>
    <x v="4"/>
    <x v="4"/>
    <x v="0"/>
    <n v="20.84"/>
    <n v="20.84"/>
    <n v="3.85"/>
    <n v="18.260000000000002"/>
  </r>
  <r>
    <x v="3"/>
    <x v="6"/>
    <x v="46"/>
    <x v="4"/>
    <x v="0"/>
    <x v="0"/>
    <n v="0.21"/>
    <n v="0.21"/>
    <n v="0.02"/>
    <n v="0.18"/>
  </r>
  <r>
    <x v="3"/>
    <x v="6"/>
    <x v="46"/>
    <x v="3"/>
    <x v="4"/>
    <x v="0"/>
    <n v="3.08"/>
    <n v="3.08"/>
    <n v="0.53"/>
    <n v="2.57"/>
  </r>
  <r>
    <x v="3"/>
    <x v="6"/>
    <x v="46"/>
    <x v="2"/>
    <x v="3"/>
    <x v="1"/>
    <n v="12.9"/>
    <n v="12.9"/>
    <n v="0.01"/>
    <n v="11.27"/>
  </r>
  <r>
    <x v="3"/>
    <x v="6"/>
    <x v="46"/>
    <x v="2"/>
    <x v="4"/>
    <x v="1"/>
    <n v="0.21"/>
    <n v="0.21"/>
    <n v="0"/>
    <n v="0.21"/>
  </r>
  <r>
    <x v="3"/>
    <x v="6"/>
    <x v="46"/>
    <x v="1"/>
    <x v="3"/>
    <x v="1"/>
    <n v="0.94"/>
    <n v="0.94"/>
    <n v="0.01"/>
    <n v="0.79"/>
  </r>
  <r>
    <x v="3"/>
    <x v="6"/>
    <x v="46"/>
    <x v="1"/>
    <x v="2"/>
    <x v="1"/>
    <n v="29.55"/>
    <n v="29.55"/>
    <n v="0.1"/>
    <n v="25.03"/>
  </r>
  <r>
    <x v="3"/>
    <x v="6"/>
    <x v="46"/>
    <x v="1"/>
    <x v="1"/>
    <x v="0"/>
    <n v="21.31"/>
    <n v="21.31"/>
    <n v="1.23"/>
    <n v="17.829999999999998"/>
  </r>
  <r>
    <x v="3"/>
    <x v="7"/>
    <x v="47"/>
    <x v="1"/>
    <x v="2"/>
    <x v="1"/>
    <n v="6.37"/>
    <n v="6.37"/>
    <n v="0.04"/>
    <n v="5.9"/>
  </r>
  <r>
    <x v="3"/>
    <x v="7"/>
    <x v="47"/>
    <x v="2"/>
    <x v="3"/>
    <x v="1"/>
    <n v="2.0699999999999998"/>
    <n v="2.0699999999999998"/>
    <n v="0.01"/>
    <n v="1.92"/>
  </r>
  <r>
    <x v="3"/>
    <x v="7"/>
    <x v="47"/>
    <x v="3"/>
    <x v="0"/>
    <x v="0"/>
    <n v="0.42"/>
    <n v="0.42"/>
    <n v="0.45"/>
    <n v="0.41"/>
  </r>
  <r>
    <x v="3"/>
    <x v="7"/>
    <x v="47"/>
    <x v="1"/>
    <x v="4"/>
    <x v="0"/>
    <n v="76.03"/>
    <n v="76.03"/>
    <n v="15.42"/>
    <n v="70.430000000000007"/>
  </r>
  <r>
    <x v="3"/>
    <x v="7"/>
    <x v="47"/>
    <x v="1"/>
    <x v="0"/>
    <x v="0"/>
    <n v="6.55"/>
    <n v="6.55"/>
    <n v="3.92"/>
    <n v="6.2"/>
  </r>
  <r>
    <x v="3"/>
    <x v="7"/>
    <x v="47"/>
    <x v="0"/>
    <x v="2"/>
    <x v="0"/>
    <n v="0.37"/>
    <n v="0.37"/>
    <n v="0"/>
    <n v="0.36"/>
  </r>
  <r>
    <x v="3"/>
    <x v="7"/>
    <x v="47"/>
    <x v="0"/>
    <x v="4"/>
    <x v="0"/>
    <n v="13.53"/>
    <n v="13.53"/>
    <n v="3.41"/>
    <n v="12.64"/>
  </r>
  <r>
    <x v="3"/>
    <x v="7"/>
    <x v="47"/>
    <x v="0"/>
    <x v="0"/>
    <x v="0"/>
    <n v="6.03"/>
    <n v="6.03"/>
    <n v="5.73"/>
    <n v="5.45"/>
  </r>
  <r>
    <x v="3"/>
    <x v="7"/>
    <x v="47"/>
    <x v="4"/>
    <x v="1"/>
    <x v="0"/>
    <n v="3.49"/>
    <n v="3.49"/>
    <n v="0.18"/>
    <n v="3.21"/>
  </r>
  <r>
    <x v="3"/>
    <x v="7"/>
    <x v="47"/>
    <x v="4"/>
    <x v="4"/>
    <x v="0"/>
    <n v="22.7"/>
    <n v="22.7"/>
    <n v="3.2"/>
    <n v="20.99"/>
  </r>
  <r>
    <x v="3"/>
    <x v="7"/>
    <x v="47"/>
    <x v="4"/>
    <x v="0"/>
    <x v="0"/>
    <n v="7.0000000000000007E-2"/>
    <n v="7.0000000000000007E-2"/>
    <n v="0.01"/>
    <n v="7.0000000000000007E-2"/>
  </r>
  <r>
    <x v="3"/>
    <x v="7"/>
    <x v="47"/>
    <x v="1"/>
    <x v="1"/>
    <x v="1"/>
    <n v="1.47"/>
    <n v="1.47"/>
    <n v="0.03"/>
    <n v="1.38"/>
  </r>
  <r>
    <x v="3"/>
    <x v="7"/>
    <x v="47"/>
    <x v="3"/>
    <x v="4"/>
    <x v="0"/>
    <n v="6.34"/>
    <n v="6.34"/>
    <n v="1.49"/>
    <n v="5.96"/>
  </r>
  <r>
    <x v="3"/>
    <x v="7"/>
    <x v="47"/>
    <x v="2"/>
    <x v="2"/>
    <x v="3"/>
    <n v="0.34"/>
    <n v="0.34"/>
    <n v="0"/>
    <n v="0.34"/>
  </r>
  <r>
    <x v="3"/>
    <x v="7"/>
    <x v="47"/>
    <x v="3"/>
    <x v="1"/>
    <x v="0"/>
    <n v="0.02"/>
    <n v="0.02"/>
    <n v="0"/>
    <n v="0.02"/>
  </r>
  <r>
    <x v="3"/>
    <x v="7"/>
    <x v="47"/>
    <x v="2"/>
    <x v="3"/>
    <x v="2"/>
    <n v="2.35"/>
    <n v="2.35"/>
    <n v="0"/>
    <n v="2.09"/>
  </r>
  <r>
    <x v="3"/>
    <x v="7"/>
    <x v="47"/>
    <x v="1"/>
    <x v="1"/>
    <x v="0"/>
    <n v="14.36"/>
    <n v="14.36"/>
    <n v="0.74"/>
    <n v="13.16"/>
  </r>
  <r>
    <x v="3"/>
    <x v="7"/>
    <x v="47"/>
    <x v="1"/>
    <x v="2"/>
    <x v="0"/>
    <n v="2.94"/>
    <n v="2.94"/>
    <n v="0.04"/>
    <n v="2.74"/>
  </r>
  <r>
    <x v="3"/>
    <x v="7"/>
    <x v="47"/>
    <x v="2"/>
    <x v="0"/>
    <x v="0"/>
    <n v="4.95"/>
    <n v="4.95"/>
    <n v="3.54"/>
    <n v="4.7"/>
  </r>
  <r>
    <x v="3"/>
    <x v="7"/>
    <x v="47"/>
    <x v="2"/>
    <x v="4"/>
    <x v="0"/>
    <n v="7.03"/>
    <n v="7.03"/>
    <n v="1.63"/>
    <n v="6.68"/>
  </r>
  <r>
    <x v="3"/>
    <x v="7"/>
    <x v="47"/>
    <x v="4"/>
    <x v="0"/>
    <x v="1"/>
    <n v="0.13"/>
    <n v="0.13"/>
    <n v="0.01"/>
    <n v="0.12"/>
  </r>
  <r>
    <x v="3"/>
    <x v="7"/>
    <x v="47"/>
    <x v="1"/>
    <x v="4"/>
    <x v="2"/>
    <n v="1.05"/>
    <n v="1.05"/>
    <n v="0.02"/>
    <n v="0.91"/>
  </r>
  <r>
    <x v="3"/>
    <x v="7"/>
    <x v="47"/>
    <x v="1"/>
    <x v="4"/>
    <x v="1"/>
    <n v="0.51"/>
    <n v="0.51"/>
    <n v="0.03"/>
    <n v="0.5"/>
  </r>
  <r>
    <x v="3"/>
    <x v="7"/>
    <x v="47"/>
    <x v="2"/>
    <x v="3"/>
    <x v="3"/>
    <n v="18.16"/>
    <n v="18.16"/>
    <n v="0.01"/>
    <n v="18.16"/>
  </r>
  <r>
    <x v="3"/>
    <x v="7"/>
    <x v="47"/>
    <x v="4"/>
    <x v="4"/>
    <x v="1"/>
    <n v="0.47"/>
    <n v="0.47"/>
    <n v="0.02"/>
    <n v="0.43"/>
  </r>
  <r>
    <x v="3"/>
    <x v="7"/>
    <x v="47"/>
    <x v="4"/>
    <x v="1"/>
    <x v="1"/>
    <n v="0.38"/>
    <n v="0.38"/>
    <n v="0.01"/>
    <n v="0.35"/>
  </r>
  <r>
    <x v="3"/>
    <x v="7"/>
    <x v="47"/>
    <x v="0"/>
    <x v="0"/>
    <x v="1"/>
    <n v="1.03"/>
    <n v="1.03"/>
    <n v="7.0000000000000007E-2"/>
    <n v="0.96"/>
  </r>
  <r>
    <x v="3"/>
    <x v="7"/>
    <x v="47"/>
    <x v="0"/>
    <x v="4"/>
    <x v="1"/>
    <n v="0.89"/>
    <n v="0.89"/>
    <n v="0.03"/>
    <n v="0.83"/>
  </r>
  <r>
    <x v="3"/>
    <x v="7"/>
    <x v="47"/>
    <x v="1"/>
    <x v="0"/>
    <x v="1"/>
    <n v="0.25"/>
    <n v="0.25"/>
    <n v="0.03"/>
    <n v="0.23"/>
  </r>
  <r>
    <x v="3"/>
    <x v="7"/>
    <x v="47"/>
    <x v="4"/>
    <x v="4"/>
    <x v="2"/>
    <n v="0.23"/>
    <n v="0.23"/>
    <n v="0.01"/>
    <n v="0.2"/>
  </r>
  <r>
    <x v="3"/>
    <x v="2"/>
    <x v="48"/>
    <x v="1"/>
    <x v="1"/>
    <x v="1"/>
    <n v="57.81"/>
    <n v="57.81"/>
    <n v="0.82"/>
    <n v="56.54"/>
  </r>
  <r>
    <x v="3"/>
    <x v="2"/>
    <x v="48"/>
    <x v="0"/>
    <x v="4"/>
    <x v="1"/>
    <n v="11.2"/>
    <n v="11.2"/>
    <n v="0.44"/>
    <n v="10.09"/>
  </r>
  <r>
    <x v="3"/>
    <x v="2"/>
    <x v="48"/>
    <x v="4"/>
    <x v="4"/>
    <x v="0"/>
    <n v="359.34"/>
    <n v="359.34"/>
    <n v="46.27"/>
    <n v="337.69"/>
  </r>
  <r>
    <x v="3"/>
    <x v="2"/>
    <x v="48"/>
    <x v="4"/>
    <x v="0"/>
    <x v="0"/>
    <n v="0.18"/>
    <n v="0.18"/>
    <n v="0.02"/>
    <n v="0.16"/>
  </r>
  <r>
    <x v="3"/>
    <x v="2"/>
    <x v="48"/>
    <x v="3"/>
    <x v="4"/>
    <x v="0"/>
    <n v="64.010000000000005"/>
    <n v="64.010000000000005"/>
    <n v="19.28"/>
    <n v="60.58"/>
  </r>
  <r>
    <x v="3"/>
    <x v="2"/>
    <x v="48"/>
    <x v="2"/>
    <x v="3"/>
    <x v="1"/>
    <n v="42.03"/>
    <n v="42.03"/>
    <n v="0.16"/>
    <n v="38.799999999999997"/>
  </r>
  <r>
    <x v="3"/>
    <x v="2"/>
    <x v="48"/>
    <x v="2"/>
    <x v="2"/>
    <x v="1"/>
    <n v="0.87"/>
    <n v="0.87"/>
    <n v="0"/>
    <n v="0.87"/>
  </r>
  <r>
    <x v="3"/>
    <x v="2"/>
    <x v="48"/>
    <x v="2"/>
    <x v="1"/>
    <x v="1"/>
    <n v="0.11"/>
    <n v="0.11"/>
    <n v="0"/>
    <n v="0.11"/>
  </r>
  <r>
    <x v="3"/>
    <x v="2"/>
    <x v="48"/>
    <x v="1"/>
    <x v="3"/>
    <x v="1"/>
    <n v="1.22"/>
    <n v="1.22"/>
    <n v="0.01"/>
    <n v="1.22"/>
  </r>
  <r>
    <x v="3"/>
    <x v="2"/>
    <x v="48"/>
    <x v="4"/>
    <x v="1"/>
    <x v="0"/>
    <n v="73.08"/>
    <n v="73.08"/>
    <n v="3.76"/>
    <n v="68.55"/>
  </r>
  <r>
    <x v="3"/>
    <x v="2"/>
    <x v="48"/>
    <x v="1"/>
    <x v="4"/>
    <x v="1"/>
    <n v="8.56"/>
    <n v="8.56"/>
    <n v="0.46"/>
    <n v="8.3699999999999992"/>
  </r>
  <r>
    <x v="3"/>
    <x v="2"/>
    <x v="48"/>
    <x v="3"/>
    <x v="1"/>
    <x v="0"/>
    <n v="2.06"/>
    <n v="2.06"/>
    <n v="0.33"/>
    <n v="2.02"/>
  </r>
  <r>
    <x v="3"/>
    <x v="2"/>
    <x v="48"/>
    <x v="0"/>
    <x v="0"/>
    <x v="1"/>
    <n v="12.57"/>
    <n v="12.57"/>
    <n v="0.86"/>
    <n v="11.32"/>
  </r>
  <r>
    <x v="3"/>
    <x v="2"/>
    <x v="48"/>
    <x v="4"/>
    <x v="1"/>
    <x v="1"/>
    <n v="2.4"/>
    <n v="2.4"/>
    <n v="7.0000000000000007E-2"/>
    <n v="2.2599999999999998"/>
  </r>
  <r>
    <x v="3"/>
    <x v="2"/>
    <x v="48"/>
    <x v="2"/>
    <x v="3"/>
    <x v="2"/>
    <n v="13.05"/>
    <n v="13.05"/>
    <n v="0.01"/>
    <n v="11.06"/>
  </r>
  <r>
    <x v="3"/>
    <x v="2"/>
    <x v="48"/>
    <x v="2"/>
    <x v="2"/>
    <x v="3"/>
    <n v="2.87"/>
    <n v="2.87"/>
    <n v="0"/>
    <n v="2.87"/>
  </r>
  <r>
    <x v="3"/>
    <x v="2"/>
    <x v="48"/>
    <x v="2"/>
    <x v="3"/>
    <x v="3"/>
    <n v="124.63"/>
    <n v="124.63"/>
    <n v="7.0000000000000007E-2"/>
    <n v="124.63"/>
  </r>
  <r>
    <x v="3"/>
    <x v="2"/>
    <x v="48"/>
    <x v="4"/>
    <x v="0"/>
    <x v="1"/>
    <n v="4.91"/>
    <n v="4.91"/>
    <n v="0.36"/>
    <n v="4.53"/>
  </r>
  <r>
    <x v="3"/>
    <x v="2"/>
    <x v="48"/>
    <x v="4"/>
    <x v="4"/>
    <x v="1"/>
    <n v="3.28"/>
    <n v="3.28"/>
    <n v="0.18"/>
    <n v="2.98"/>
  </r>
  <r>
    <x v="3"/>
    <x v="2"/>
    <x v="48"/>
    <x v="1"/>
    <x v="2"/>
    <x v="1"/>
    <n v="110.68"/>
    <n v="110.68"/>
    <n v="0.87"/>
    <n v="103.36"/>
  </r>
  <r>
    <x v="3"/>
    <x v="2"/>
    <x v="48"/>
    <x v="1"/>
    <x v="1"/>
    <x v="2"/>
    <n v="7.0000000000000007E-2"/>
    <n v="7.0000000000000007E-2"/>
    <n v="0"/>
    <n v="0.06"/>
  </r>
  <r>
    <x v="3"/>
    <x v="2"/>
    <x v="48"/>
    <x v="4"/>
    <x v="4"/>
    <x v="2"/>
    <n v="1.56"/>
    <n v="1.56"/>
    <n v="0.09"/>
    <n v="1.37"/>
  </r>
  <r>
    <x v="3"/>
    <x v="2"/>
    <x v="48"/>
    <x v="4"/>
    <x v="1"/>
    <x v="2"/>
    <n v="0.7"/>
    <n v="0.7"/>
    <n v="0.02"/>
    <n v="0.61"/>
  </r>
  <r>
    <x v="3"/>
    <x v="2"/>
    <x v="48"/>
    <x v="3"/>
    <x v="0"/>
    <x v="0"/>
    <n v="19.47"/>
    <n v="19.47"/>
    <n v="16.5"/>
    <n v="19.21"/>
  </r>
  <r>
    <x v="3"/>
    <x v="2"/>
    <x v="48"/>
    <x v="1"/>
    <x v="4"/>
    <x v="2"/>
    <n v="13.95"/>
    <n v="13.95"/>
    <n v="0.14000000000000001"/>
    <n v="12.13"/>
  </r>
  <r>
    <x v="3"/>
    <x v="2"/>
    <x v="48"/>
    <x v="0"/>
    <x v="0"/>
    <x v="0"/>
    <n v="12.71"/>
    <n v="12.71"/>
    <n v="10.51"/>
    <n v="11.69"/>
  </r>
  <r>
    <x v="3"/>
    <x v="2"/>
    <x v="48"/>
    <x v="1"/>
    <x v="0"/>
    <x v="1"/>
    <n v="25.78"/>
    <n v="25.78"/>
    <n v="1.39"/>
    <n v="25.15"/>
  </r>
  <r>
    <x v="3"/>
    <x v="2"/>
    <x v="48"/>
    <x v="1"/>
    <x v="2"/>
    <x v="2"/>
    <n v="3.31"/>
    <n v="3.31"/>
    <n v="0"/>
    <n v="2.88"/>
  </r>
  <r>
    <x v="3"/>
    <x v="2"/>
    <x v="48"/>
    <x v="2"/>
    <x v="4"/>
    <x v="0"/>
    <n v="18.48"/>
    <n v="18.48"/>
    <n v="3.43"/>
    <n v="17.59"/>
  </r>
  <r>
    <x v="3"/>
    <x v="2"/>
    <x v="48"/>
    <x v="1"/>
    <x v="2"/>
    <x v="0"/>
    <n v="21.5"/>
    <n v="21.5"/>
    <n v="0.23"/>
    <n v="19.440000000000001"/>
  </r>
  <r>
    <x v="3"/>
    <x v="2"/>
    <x v="48"/>
    <x v="1"/>
    <x v="1"/>
    <x v="0"/>
    <n v="134.22999999999999"/>
    <n v="134.22999999999999"/>
    <n v="8.1999999999999993"/>
    <n v="126.12"/>
  </r>
  <r>
    <x v="3"/>
    <x v="2"/>
    <x v="48"/>
    <x v="1"/>
    <x v="4"/>
    <x v="0"/>
    <n v="802.49"/>
    <n v="802.49"/>
    <n v="165.8"/>
    <n v="752.32"/>
  </r>
  <r>
    <x v="3"/>
    <x v="2"/>
    <x v="48"/>
    <x v="1"/>
    <x v="0"/>
    <x v="0"/>
    <n v="31.22"/>
    <n v="31.22"/>
    <n v="20.05"/>
    <n v="29.8"/>
  </r>
  <r>
    <x v="3"/>
    <x v="2"/>
    <x v="48"/>
    <x v="0"/>
    <x v="4"/>
    <x v="0"/>
    <n v="52.32"/>
    <n v="52.32"/>
    <n v="14.36"/>
    <n v="49.08"/>
  </r>
  <r>
    <x v="3"/>
    <x v="2"/>
    <x v="48"/>
    <x v="2"/>
    <x v="0"/>
    <x v="0"/>
    <n v="16.760000000000002"/>
    <n v="16.760000000000002"/>
    <n v="9.07"/>
    <n v="16.11"/>
  </r>
  <r>
    <x v="3"/>
    <x v="2"/>
    <x v="48"/>
    <x v="4"/>
    <x v="2"/>
    <x v="2"/>
    <n v="1.32"/>
    <n v="1.32"/>
    <n v="0.01"/>
    <n v="1.1499999999999999"/>
  </r>
  <r>
    <x v="3"/>
    <x v="3"/>
    <x v="49"/>
    <x v="1"/>
    <x v="2"/>
    <x v="0"/>
    <n v="265.88"/>
    <n v="265.88"/>
    <n v="2.93"/>
    <n v="242.63"/>
  </r>
  <r>
    <x v="3"/>
    <x v="3"/>
    <x v="49"/>
    <x v="4"/>
    <x v="1"/>
    <x v="0"/>
    <n v="636.04"/>
    <n v="636.04"/>
    <n v="34.01"/>
    <n v="601.39"/>
  </r>
  <r>
    <x v="3"/>
    <x v="3"/>
    <x v="49"/>
    <x v="1"/>
    <x v="4"/>
    <x v="0"/>
    <n v="6535.74"/>
    <n v="6535.74"/>
    <n v="1394.44"/>
    <n v="6236.07"/>
  </r>
  <r>
    <x v="3"/>
    <x v="3"/>
    <x v="49"/>
    <x v="1"/>
    <x v="3"/>
    <x v="1"/>
    <n v="7.91"/>
    <n v="7.91"/>
    <n v="0.06"/>
    <n v="6.94"/>
  </r>
  <r>
    <x v="3"/>
    <x v="3"/>
    <x v="49"/>
    <x v="2"/>
    <x v="4"/>
    <x v="1"/>
    <n v="4.3899999999999997"/>
    <n v="4.3899999999999997"/>
    <n v="0.03"/>
    <n v="4.1900000000000004"/>
  </r>
  <r>
    <x v="3"/>
    <x v="3"/>
    <x v="49"/>
    <x v="2"/>
    <x v="3"/>
    <x v="1"/>
    <n v="87.09"/>
    <n v="87.09"/>
    <n v="0.19"/>
    <n v="80.31"/>
  </r>
  <r>
    <x v="3"/>
    <x v="3"/>
    <x v="49"/>
    <x v="3"/>
    <x v="0"/>
    <x v="0"/>
    <n v="193.1"/>
    <n v="193.1"/>
    <n v="219.02"/>
    <n v="188.19"/>
  </r>
  <r>
    <x v="3"/>
    <x v="3"/>
    <x v="49"/>
    <x v="3"/>
    <x v="4"/>
    <x v="0"/>
    <n v="3259.6"/>
    <n v="3259.6"/>
    <n v="1129.23"/>
    <n v="3183.1"/>
  </r>
  <r>
    <x v="3"/>
    <x v="3"/>
    <x v="49"/>
    <x v="3"/>
    <x v="1"/>
    <x v="0"/>
    <n v="39.97"/>
    <n v="39.97"/>
    <n v="5.51"/>
    <n v="39.79"/>
  </r>
  <r>
    <x v="3"/>
    <x v="3"/>
    <x v="49"/>
    <x v="1"/>
    <x v="1"/>
    <x v="1"/>
    <n v="368.97"/>
    <n v="368.97"/>
    <n v="5.48"/>
    <n v="332.31"/>
  </r>
  <r>
    <x v="3"/>
    <x v="3"/>
    <x v="49"/>
    <x v="4"/>
    <x v="4"/>
    <x v="0"/>
    <n v="2730.25"/>
    <n v="2730.25"/>
    <n v="367.6"/>
    <n v="2598.37"/>
  </r>
  <r>
    <x v="3"/>
    <x v="3"/>
    <x v="49"/>
    <x v="1"/>
    <x v="4"/>
    <x v="1"/>
    <n v="49.37"/>
    <n v="49.37"/>
    <n v="1.74"/>
    <n v="44.1"/>
  </r>
  <r>
    <x v="3"/>
    <x v="3"/>
    <x v="49"/>
    <x v="4"/>
    <x v="2"/>
    <x v="0"/>
    <n v="3.66"/>
    <n v="3.66"/>
    <n v="0.1"/>
    <n v="3.45"/>
  </r>
  <r>
    <x v="3"/>
    <x v="3"/>
    <x v="49"/>
    <x v="0"/>
    <x v="0"/>
    <x v="0"/>
    <n v="13.69"/>
    <n v="13.69"/>
    <n v="6.25"/>
    <n v="12.72"/>
  </r>
  <r>
    <x v="3"/>
    <x v="3"/>
    <x v="49"/>
    <x v="0"/>
    <x v="4"/>
    <x v="0"/>
    <n v="512.78"/>
    <n v="512.78"/>
    <n v="174.75"/>
    <n v="497.79"/>
  </r>
  <r>
    <x v="3"/>
    <x v="3"/>
    <x v="49"/>
    <x v="1"/>
    <x v="0"/>
    <x v="0"/>
    <n v="400.95"/>
    <n v="400.95"/>
    <n v="293.83"/>
    <n v="388.07"/>
  </r>
  <r>
    <x v="3"/>
    <x v="3"/>
    <x v="49"/>
    <x v="1"/>
    <x v="1"/>
    <x v="0"/>
    <n v="1285.93"/>
    <n v="1285.93"/>
    <n v="81.430000000000007"/>
    <n v="1221.0999999999999"/>
  </r>
  <r>
    <x v="3"/>
    <x v="3"/>
    <x v="49"/>
    <x v="2"/>
    <x v="0"/>
    <x v="0"/>
    <n v="150.06"/>
    <n v="150.06"/>
    <n v="112.35"/>
    <n v="143.04"/>
  </r>
  <r>
    <x v="3"/>
    <x v="3"/>
    <x v="49"/>
    <x v="2"/>
    <x v="4"/>
    <x v="0"/>
    <n v="393.55"/>
    <n v="393.55"/>
    <n v="97.83"/>
    <n v="384.91"/>
  </r>
  <r>
    <x v="3"/>
    <x v="3"/>
    <x v="49"/>
    <x v="2"/>
    <x v="2"/>
    <x v="0"/>
    <n v="54.63"/>
    <n v="54.63"/>
    <n v="0.08"/>
    <n v="53.82"/>
  </r>
  <r>
    <x v="3"/>
    <x v="3"/>
    <x v="49"/>
    <x v="4"/>
    <x v="0"/>
    <x v="0"/>
    <n v="6.95"/>
    <n v="6.95"/>
    <n v="5.21"/>
    <n v="6.61"/>
  </r>
  <r>
    <x v="3"/>
    <x v="3"/>
    <x v="49"/>
    <x v="2"/>
    <x v="2"/>
    <x v="3"/>
    <n v="12.33"/>
    <n v="12.33"/>
    <n v="0.01"/>
    <n v="12.26"/>
  </r>
  <r>
    <x v="3"/>
    <x v="3"/>
    <x v="49"/>
    <x v="4"/>
    <x v="1"/>
    <x v="2"/>
    <n v="13.35"/>
    <n v="13.35"/>
    <n v="0.25"/>
    <n v="12.1"/>
  </r>
  <r>
    <x v="3"/>
    <x v="3"/>
    <x v="49"/>
    <x v="4"/>
    <x v="2"/>
    <x v="2"/>
    <n v="14.09"/>
    <n v="14.09"/>
    <n v="7.0000000000000007E-2"/>
    <n v="12.76"/>
  </r>
  <r>
    <x v="3"/>
    <x v="3"/>
    <x v="49"/>
    <x v="1"/>
    <x v="4"/>
    <x v="2"/>
    <n v="17.48"/>
    <n v="17.48"/>
    <n v="0.86"/>
    <n v="15.83"/>
  </r>
  <r>
    <x v="3"/>
    <x v="3"/>
    <x v="49"/>
    <x v="1"/>
    <x v="1"/>
    <x v="2"/>
    <n v="1.57"/>
    <n v="1.57"/>
    <n v="0.09"/>
    <n v="1.43"/>
  </r>
  <r>
    <x v="3"/>
    <x v="3"/>
    <x v="49"/>
    <x v="1"/>
    <x v="2"/>
    <x v="2"/>
    <n v="1.84"/>
    <n v="1.84"/>
    <n v="0.01"/>
    <n v="1.67"/>
  </r>
  <r>
    <x v="3"/>
    <x v="3"/>
    <x v="49"/>
    <x v="1"/>
    <x v="3"/>
    <x v="2"/>
    <n v="5.31"/>
    <n v="5.31"/>
    <n v="0.01"/>
    <n v="4.8099999999999996"/>
  </r>
  <r>
    <x v="3"/>
    <x v="3"/>
    <x v="49"/>
    <x v="2"/>
    <x v="1"/>
    <x v="2"/>
    <n v="9.67"/>
    <n v="9.67"/>
    <n v="0.03"/>
    <n v="9.23"/>
  </r>
  <r>
    <x v="3"/>
    <x v="3"/>
    <x v="49"/>
    <x v="1"/>
    <x v="2"/>
    <x v="1"/>
    <n v="486.38"/>
    <n v="486.38"/>
    <n v="3.29"/>
    <n v="442.97"/>
  </r>
  <r>
    <x v="3"/>
    <x v="3"/>
    <x v="49"/>
    <x v="2"/>
    <x v="3"/>
    <x v="2"/>
    <n v="195.39"/>
    <n v="195.39"/>
    <n v="0.12"/>
    <n v="180.38"/>
  </r>
  <r>
    <x v="3"/>
    <x v="3"/>
    <x v="49"/>
    <x v="4"/>
    <x v="4"/>
    <x v="2"/>
    <n v="26.96"/>
    <n v="26.96"/>
    <n v="1.23"/>
    <n v="24.44"/>
  </r>
  <r>
    <x v="3"/>
    <x v="3"/>
    <x v="49"/>
    <x v="2"/>
    <x v="3"/>
    <x v="3"/>
    <n v="1757.33"/>
    <n v="1757.33"/>
    <n v="1.35"/>
    <n v="1740.97"/>
  </r>
  <r>
    <x v="3"/>
    <x v="3"/>
    <x v="49"/>
    <x v="4"/>
    <x v="0"/>
    <x v="1"/>
    <n v="19.309999999999999"/>
    <n v="19.309999999999999"/>
    <n v="2.38"/>
    <n v="17.12"/>
  </r>
  <r>
    <x v="3"/>
    <x v="3"/>
    <x v="49"/>
    <x v="4"/>
    <x v="4"/>
    <x v="1"/>
    <n v="27.04"/>
    <n v="27.04"/>
    <n v="1.73"/>
    <n v="24.8"/>
  </r>
  <r>
    <x v="3"/>
    <x v="3"/>
    <x v="49"/>
    <x v="4"/>
    <x v="1"/>
    <x v="1"/>
    <n v="25.35"/>
    <n v="25.35"/>
    <n v="0.88"/>
    <n v="23.14"/>
  </r>
  <r>
    <x v="3"/>
    <x v="3"/>
    <x v="49"/>
    <x v="0"/>
    <x v="0"/>
    <x v="1"/>
    <n v="65.58"/>
    <n v="65.58"/>
    <n v="4.49"/>
    <n v="60.14"/>
  </r>
  <r>
    <x v="3"/>
    <x v="3"/>
    <x v="49"/>
    <x v="0"/>
    <x v="4"/>
    <x v="1"/>
    <n v="97.88"/>
    <n v="97.88"/>
    <n v="2.95"/>
    <n v="89.81"/>
  </r>
  <r>
    <x v="3"/>
    <x v="3"/>
    <x v="49"/>
    <x v="0"/>
    <x v="1"/>
    <x v="1"/>
    <n v="0.31"/>
    <n v="0.31"/>
    <n v="0.01"/>
    <n v="0.27"/>
  </r>
  <r>
    <x v="3"/>
    <x v="3"/>
    <x v="49"/>
    <x v="1"/>
    <x v="0"/>
    <x v="1"/>
    <n v="186.29"/>
    <n v="186.29"/>
    <n v="9.0399999999999991"/>
    <n v="167.05"/>
  </r>
  <r>
    <x v="3"/>
    <x v="3"/>
    <x v="49"/>
    <x v="2"/>
    <x v="2"/>
    <x v="2"/>
    <n v="5.97"/>
    <n v="5.97"/>
    <n v="0.04"/>
    <n v="5.7"/>
  </r>
  <r>
    <x v="4"/>
    <x v="0"/>
    <x v="0"/>
    <x v="4"/>
    <x v="4"/>
    <x v="2"/>
    <n v="0.11"/>
    <n v="0.16"/>
    <n v="0.01"/>
    <n v="0.1"/>
  </r>
  <r>
    <x v="4"/>
    <x v="0"/>
    <x v="0"/>
    <x v="0"/>
    <x v="0"/>
    <x v="1"/>
    <n v="3.41"/>
    <n v="5.0599999999999996"/>
    <n v="0.08"/>
    <n v="3.26"/>
  </r>
  <r>
    <x v="4"/>
    <x v="0"/>
    <x v="0"/>
    <x v="4"/>
    <x v="1"/>
    <x v="1"/>
    <n v="1.2"/>
    <n v="1.78"/>
    <n v="0.04"/>
    <n v="1.1399999999999999"/>
  </r>
  <r>
    <x v="4"/>
    <x v="0"/>
    <x v="0"/>
    <x v="4"/>
    <x v="4"/>
    <x v="1"/>
    <n v="0.4"/>
    <n v="0.59"/>
    <n v="0.02"/>
    <n v="0.38"/>
  </r>
  <r>
    <x v="4"/>
    <x v="0"/>
    <x v="0"/>
    <x v="4"/>
    <x v="0"/>
    <x v="1"/>
    <n v="0.66"/>
    <n v="0.98"/>
    <n v="0.03"/>
    <n v="0.63"/>
  </r>
  <r>
    <x v="4"/>
    <x v="0"/>
    <x v="0"/>
    <x v="2"/>
    <x v="3"/>
    <x v="3"/>
    <n v="11.65"/>
    <n v="17.29"/>
    <n v="0"/>
    <n v="10.9"/>
  </r>
  <r>
    <x v="4"/>
    <x v="0"/>
    <x v="0"/>
    <x v="2"/>
    <x v="3"/>
    <x v="2"/>
    <n v="1.29"/>
    <n v="1.91"/>
    <n v="0"/>
    <n v="1.21"/>
  </r>
  <r>
    <x v="4"/>
    <x v="0"/>
    <x v="0"/>
    <x v="1"/>
    <x v="4"/>
    <x v="2"/>
    <n v="0.11"/>
    <n v="0.17"/>
    <n v="0.01"/>
    <n v="0.11"/>
  </r>
  <r>
    <x v="4"/>
    <x v="0"/>
    <x v="0"/>
    <x v="4"/>
    <x v="1"/>
    <x v="2"/>
    <n v="0.15"/>
    <n v="0.22"/>
    <n v="0"/>
    <n v="0.14000000000000001"/>
  </r>
  <r>
    <x v="4"/>
    <x v="0"/>
    <x v="0"/>
    <x v="1"/>
    <x v="0"/>
    <x v="0"/>
    <n v="3.97"/>
    <n v="5.88"/>
    <n v="1.51"/>
    <n v="3.78"/>
  </r>
  <r>
    <x v="4"/>
    <x v="0"/>
    <x v="0"/>
    <x v="0"/>
    <x v="4"/>
    <x v="1"/>
    <n v="0.91"/>
    <n v="1.36"/>
    <n v="0.01"/>
    <n v="0.87"/>
  </r>
  <r>
    <x v="4"/>
    <x v="0"/>
    <x v="0"/>
    <x v="2"/>
    <x v="4"/>
    <x v="0"/>
    <n v="2.44"/>
    <n v="3.62"/>
    <n v="0.59"/>
    <n v="2.33"/>
  </r>
  <r>
    <x v="4"/>
    <x v="0"/>
    <x v="0"/>
    <x v="4"/>
    <x v="2"/>
    <x v="2"/>
    <n v="0.26"/>
    <n v="0.39"/>
    <n v="0"/>
    <n v="0.25"/>
  </r>
  <r>
    <x v="4"/>
    <x v="0"/>
    <x v="0"/>
    <x v="4"/>
    <x v="1"/>
    <x v="0"/>
    <n v="11.35"/>
    <n v="16.84"/>
    <n v="0.82"/>
    <n v="10.51"/>
  </r>
  <r>
    <x v="4"/>
    <x v="0"/>
    <x v="0"/>
    <x v="1"/>
    <x v="1"/>
    <x v="0"/>
    <n v="8.09"/>
    <n v="12.01"/>
    <n v="0.26"/>
    <n v="7.7"/>
  </r>
  <r>
    <x v="4"/>
    <x v="0"/>
    <x v="0"/>
    <x v="1"/>
    <x v="2"/>
    <x v="0"/>
    <n v="9.3800000000000008"/>
    <n v="13.91"/>
    <n v="0.1"/>
    <n v="8.84"/>
  </r>
  <r>
    <x v="4"/>
    <x v="0"/>
    <x v="0"/>
    <x v="0"/>
    <x v="0"/>
    <x v="0"/>
    <n v="1.07"/>
    <n v="1.59"/>
    <n v="1.38"/>
    <n v="1.02"/>
  </r>
  <r>
    <x v="4"/>
    <x v="0"/>
    <x v="0"/>
    <x v="2"/>
    <x v="0"/>
    <x v="0"/>
    <n v="3.68"/>
    <n v="5.45"/>
    <n v="2.2799999999999998"/>
    <n v="3.48"/>
  </r>
  <r>
    <x v="4"/>
    <x v="0"/>
    <x v="0"/>
    <x v="1"/>
    <x v="0"/>
    <x v="1"/>
    <n v="2.14"/>
    <n v="3.18"/>
    <n v="0.16"/>
    <n v="2.0299999999999998"/>
  </r>
  <r>
    <x v="4"/>
    <x v="0"/>
    <x v="0"/>
    <x v="0"/>
    <x v="4"/>
    <x v="0"/>
    <n v="3"/>
    <n v="4.46"/>
    <n v="0.83"/>
    <n v="2.92"/>
  </r>
  <r>
    <x v="4"/>
    <x v="0"/>
    <x v="0"/>
    <x v="1"/>
    <x v="4"/>
    <x v="0"/>
    <n v="39.71"/>
    <n v="58.92"/>
    <n v="5.98"/>
    <n v="37.47"/>
  </r>
  <r>
    <x v="4"/>
    <x v="0"/>
    <x v="0"/>
    <x v="4"/>
    <x v="4"/>
    <x v="0"/>
    <n v="13.73"/>
    <n v="20.36"/>
    <n v="2.42"/>
    <n v="13.12"/>
  </r>
  <r>
    <x v="4"/>
    <x v="0"/>
    <x v="0"/>
    <x v="3"/>
    <x v="4"/>
    <x v="0"/>
    <n v="0.48"/>
    <n v="0.71"/>
    <n v="0.1"/>
    <n v="0.45"/>
  </r>
  <r>
    <x v="4"/>
    <x v="0"/>
    <x v="0"/>
    <x v="3"/>
    <x v="0"/>
    <x v="0"/>
    <n v="0.01"/>
    <n v="0.01"/>
    <n v="0.01"/>
    <n v="0.01"/>
  </r>
  <r>
    <x v="4"/>
    <x v="0"/>
    <x v="0"/>
    <x v="2"/>
    <x v="3"/>
    <x v="1"/>
    <n v="3.22"/>
    <n v="4.78"/>
    <n v="0"/>
    <n v="3.08"/>
  </r>
  <r>
    <x v="4"/>
    <x v="0"/>
    <x v="0"/>
    <x v="1"/>
    <x v="2"/>
    <x v="1"/>
    <n v="15.87"/>
    <n v="23.54"/>
    <n v="0.04"/>
    <n v="15.12"/>
  </r>
  <r>
    <x v="4"/>
    <x v="0"/>
    <x v="0"/>
    <x v="1"/>
    <x v="1"/>
    <x v="1"/>
    <n v="2.83"/>
    <n v="4.1900000000000004"/>
    <n v="0.06"/>
    <n v="2.68"/>
  </r>
  <r>
    <x v="4"/>
    <x v="0"/>
    <x v="0"/>
    <x v="1"/>
    <x v="4"/>
    <x v="1"/>
    <n v="1.41"/>
    <n v="2.09"/>
    <n v="0.06"/>
    <n v="1.33"/>
  </r>
  <r>
    <x v="4"/>
    <x v="1"/>
    <x v="1"/>
    <x v="2"/>
    <x v="0"/>
    <x v="0"/>
    <n v="5.16"/>
    <n v="5.53"/>
    <n v="4.05"/>
    <n v="4.99"/>
  </r>
  <r>
    <x v="4"/>
    <x v="1"/>
    <x v="1"/>
    <x v="4"/>
    <x v="1"/>
    <x v="0"/>
    <n v="76.14"/>
    <n v="81.510000000000005"/>
    <n v="5.62"/>
    <n v="64.91"/>
  </r>
  <r>
    <x v="4"/>
    <x v="1"/>
    <x v="1"/>
    <x v="2"/>
    <x v="4"/>
    <x v="0"/>
    <n v="8.17"/>
    <n v="8.75"/>
    <n v="3.04"/>
    <n v="7.92"/>
  </r>
  <r>
    <x v="4"/>
    <x v="1"/>
    <x v="1"/>
    <x v="4"/>
    <x v="4"/>
    <x v="0"/>
    <n v="130.06"/>
    <n v="139.22999999999999"/>
    <n v="18.399999999999999"/>
    <n v="114.2"/>
  </r>
  <r>
    <x v="4"/>
    <x v="1"/>
    <x v="1"/>
    <x v="1"/>
    <x v="2"/>
    <x v="0"/>
    <n v="17.260000000000002"/>
    <n v="18.48"/>
    <n v="0.12"/>
    <n v="14.71"/>
  </r>
  <r>
    <x v="4"/>
    <x v="1"/>
    <x v="1"/>
    <x v="1"/>
    <x v="1"/>
    <x v="0"/>
    <n v="48.97"/>
    <n v="52.42"/>
    <n v="3.82"/>
    <n v="42.72"/>
  </r>
  <r>
    <x v="4"/>
    <x v="1"/>
    <x v="1"/>
    <x v="1"/>
    <x v="4"/>
    <x v="0"/>
    <n v="260.24"/>
    <n v="278.58"/>
    <n v="57.35"/>
    <n v="234.28"/>
  </r>
  <r>
    <x v="4"/>
    <x v="1"/>
    <x v="1"/>
    <x v="1"/>
    <x v="0"/>
    <x v="0"/>
    <n v="3.56"/>
    <n v="3.81"/>
    <n v="2.68"/>
    <n v="3.49"/>
  </r>
  <r>
    <x v="4"/>
    <x v="1"/>
    <x v="1"/>
    <x v="0"/>
    <x v="0"/>
    <x v="0"/>
    <n v="13.27"/>
    <n v="14.2"/>
    <n v="6.96"/>
    <n v="11.4"/>
  </r>
  <r>
    <x v="4"/>
    <x v="1"/>
    <x v="1"/>
    <x v="4"/>
    <x v="0"/>
    <x v="1"/>
    <n v="3.81"/>
    <n v="4.07"/>
    <n v="0.42"/>
    <n v="3.24"/>
  </r>
  <r>
    <x v="4"/>
    <x v="1"/>
    <x v="1"/>
    <x v="3"/>
    <x v="4"/>
    <x v="0"/>
    <n v="21.01"/>
    <n v="22.49"/>
    <n v="5.34"/>
    <n v="18.739999999999998"/>
  </r>
  <r>
    <x v="4"/>
    <x v="1"/>
    <x v="1"/>
    <x v="0"/>
    <x v="4"/>
    <x v="0"/>
    <n v="8.1999999999999993"/>
    <n v="8.7799999999999994"/>
    <n v="2.37"/>
    <n v="7.19"/>
  </r>
  <r>
    <x v="4"/>
    <x v="1"/>
    <x v="1"/>
    <x v="4"/>
    <x v="4"/>
    <x v="1"/>
    <n v="1.87"/>
    <n v="2.0099999999999998"/>
    <n v="7.0000000000000007E-2"/>
    <n v="1.57"/>
  </r>
  <r>
    <x v="4"/>
    <x v="1"/>
    <x v="1"/>
    <x v="4"/>
    <x v="1"/>
    <x v="1"/>
    <n v="4.7699999999999996"/>
    <n v="5.1100000000000003"/>
    <n v="0.15"/>
    <n v="4.04"/>
  </r>
  <r>
    <x v="4"/>
    <x v="1"/>
    <x v="1"/>
    <x v="4"/>
    <x v="2"/>
    <x v="2"/>
    <n v="0.18"/>
    <n v="0.19"/>
    <n v="0.01"/>
    <n v="0.18"/>
  </r>
  <r>
    <x v="4"/>
    <x v="1"/>
    <x v="1"/>
    <x v="1"/>
    <x v="4"/>
    <x v="2"/>
    <n v="0.22"/>
    <n v="0.24"/>
    <n v="0.01"/>
    <n v="0.18"/>
  </r>
  <r>
    <x v="4"/>
    <x v="1"/>
    <x v="1"/>
    <x v="3"/>
    <x v="0"/>
    <x v="0"/>
    <n v="0.11"/>
    <n v="0.12"/>
    <n v="0.13"/>
    <n v="0.11"/>
  </r>
  <r>
    <x v="4"/>
    <x v="1"/>
    <x v="1"/>
    <x v="2"/>
    <x v="3"/>
    <x v="3"/>
    <n v="22.41"/>
    <n v="23.99"/>
    <n v="0.01"/>
    <n v="19.59"/>
  </r>
  <r>
    <x v="4"/>
    <x v="1"/>
    <x v="1"/>
    <x v="4"/>
    <x v="1"/>
    <x v="2"/>
    <n v="0.56000000000000005"/>
    <n v="0.59"/>
    <n v="0.02"/>
    <n v="0.46"/>
  </r>
  <r>
    <x v="4"/>
    <x v="1"/>
    <x v="1"/>
    <x v="0"/>
    <x v="0"/>
    <x v="1"/>
    <n v="0.8"/>
    <n v="0.86"/>
    <n v="0.03"/>
    <n v="0.73"/>
  </r>
  <r>
    <x v="4"/>
    <x v="1"/>
    <x v="1"/>
    <x v="0"/>
    <x v="4"/>
    <x v="1"/>
    <n v="5.28"/>
    <n v="5.66"/>
    <n v="0.08"/>
    <n v="4.4400000000000004"/>
  </r>
  <r>
    <x v="4"/>
    <x v="1"/>
    <x v="1"/>
    <x v="1"/>
    <x v="0"/>
    <x v="1"/>
    <n v="7.8"/>
    <n v="8.35"/>
    <n v="0.3"/>
    <n v="6.66"/>
  </r>
  <r>
    <x v="4"/>
    <x v="1"/>
    <x v="1"/>
    <x v="1"/>
    <x v="4"/>
    <x v="1"/>
    <n v="6.5"/>
    <n v="6.95"/>
    <n v="0.17"/>
    <n v="5.51"/>
  </r>
  <r>
    <x v="4"/>
    <x v="1"/>
    <x v="1"/>
    <x v="1"/>
    <x v="1"/>
    <x v="1"/>
    <n v="15.35"/>
    <n v="16.43"/>
    <n v="0.19"/>
    <n v="13.05"/>
  </r>
  <r>
    <x v="4"/>
    <x v="1"/>
    <x v="1"/>
    <x v="1"/>
    <x v="2"/>
    <x v="1"/>
    <n v="26.43"/>
    <n v="28.29"/>
    <n v="0.13"/>
    <n v="22.93"/>
  </r>
  <r>
    <x v="4"/>
    <x v="1"/>
    <x v="1"/>
    <x v="1"/>
    <x v="3"/>
    <x v="1"/>
    <n v="3.11"/>
    <n v="3.33"/>
    <n v="0.03"/>
    <n v="2.65"/>
  </r>
  <r>
    <x v="4"/>
    <x v="1"/>
    <x v="1"/>
    <x v="2"/>
    <x v="4"/>
    <x v="1"/>
    <n v="2.27"/>
    <n v="2.4300000000000002"/>
    <n v="0.01"/>
    <n v="2.27"/>
  </r>
  <r>
    <x v="4"/>
    <x v="1"/>
    <x v="1"/>
    <x v="0"/>
    <x v="1"/>
    <x v="1"/>
    <n v="0.11"/>
    <n v="0.11"/>
    <n v="0"/>
    <n v="0.11"/>
  </r>
  <r>
    <x v="4"/>
    <x v="1"/>
    <x v="1"/>
    <x v="1"/>
    <x v="1"/>
    <x v="2"/>
    <n v="1.05"/>
    <n v="1.1200000000000001"/>
    <n v="0.01"/>
    <n v="0.86"/>
  </r>
  <r>
    <x v="4"/>
    <x v="1"/>
    <x v="1"/>
    <x v="2"/>
    <x v="3"/>
    <x v="1"/>
    <n v="11.92"/>
    <n v="12.76"/>
    <n v="0.03"/>
    <n v="11.25"/>
  </r>
  <r>
    <x v="4"/>
    <x v="2"/>
    <x v="2"/>
    <x v="3"/>
    <x v="0"/>
    <x v="0"/>
    <n v="0.42"/>
    <n v="0.42"/>
    <n v="0.3"/>
    <n v="0.4"/>
  </r>
  <r>
    <x v="4"/>
    <x v="2"/>
    <x v="2"/>
    <x v="0"/>
    <x v="4"/>
    <x v="0"/>
    <n v="17.399999999999999"/>
    <n v="17.41"/>
    <n v="4.04"/>
    <n v="15.88"/>
  </r>
  <r>
    <x v="4"/>
    <x v="2"/>
    <x v="2"/>
    <x v="0"/>
    <x v="0"/>
    <x v="0"/>
    <n v="5.38"/>
    <n v="5.39"/>
    <n v="2.59"/>
    <n v="4.91"/>
  </r>
  <r>
    <x v="4"/>
    <x v="2"/>
    <x v="2"/>
    <x v="4"/>
    <x v="1"/>
    <x v="0"/>
    <n v="5.22"/>
    <n v="5.23"/>
    <n v="0.36"/>
    <n v="4.88"/>
  </r>
  <r>
    <x v="4"/>
    <x v="2"/>
    <x v="2"/>
    <x v="4"/>
    <x v="4"/>
    <x v="0"/>
    <n v="36.83"/>
    <n v="36.85"/>
    <n v="4.33"/>
    <n v="33.770000000000003"/>
  </r>
  <r>
    <x v="4"/>
    <x v="2"/>
    <x v="2"/>
    <x v="3"/>
    <x v="4"/>
    <x v="0"/>
    <n v="1.05"/>
    <n v="1.05"/>
    <n v="0.25"/>
    <n v="0.98"/>
  </r>
  <r>
    <x v="4"/>
    <x v="2"/>
    <x v="2"/>
    <x v="3"/>
    <x v="1"/>
    <x v="0"/>
    <n v="0.02"/>
    <n v="0.02"/>
    <n v="0"/>
    <n v="0.02"/>
  </r>
  <r>
    <x v="4"/>
    <x v="2"/>
    <x v="2"/>
    <x v="0"/>
    <x v="2"/>
    <x v="0"/>
    <n v="7.0000000000000007E-2"/>
    <n v="7.0000000000000007E-2"/>
    <n v="0"/>
    <n v="7.0000000000000007E-2"/>
  </r>
  <r>
    <x v="4"/>
    <x v="2"/>
    <x v="2"/>
    <x v="1"/>
    <x v="0"/>
    <x v="0"/>
    <n v="4.04"/>
    <n v="4.04"/>
    <n v="1.96"/>
    <n v="3.79"/>
  </r>
  <r>
    <x v="4"/>
    <x v="2"/>
    <x v="2"/>
    <x v="1"/>
    <x v="4"/>
    <x v="0"/>
    <n v="94.24"/>
    <n v="94.29"/>
    <n v="15.03"/>
    <n v="86.17"/>
  </r>
  <r>
    <x v="4"/>
    <x v="2"/>
    <x v="2"/>
    <x v="1"/>
    <x v="1"/>
    <x v="0"/>
    <n v="4.8499999999999996"/>
    <n v="4.8499999999999996"/>
    <n v="0.35"/>
    <n v="4.49"/>
  </r>
  <r>
    <x v="4"/>
    <x v="2"/>
    <x v="2"/>
    <x v="1"/>
    <x v="2"/>
    <x v="0"/>
    <n v="1.22"/>
    <n v="1.22"/>
    <n v="0.02"/>
    <n v="1.08"/>
  </r>
  <r>
    <x v="4"/>
    <x v="2"/>
    <x v="2"/>
    <x v="2"/>
    <x v="3"/>
    <x v="1"/>
    <n v="0.89"/>
    <n v="0.89"/>
    <n v="0"/>
    <n v="0.81"/>
  </r>
  <r>
    <x v="4"/>
    <x v="2"/>
    <x v="2"/>
    <x v="2"/>
    <x v="4"/>
    <x v="0"/>
    <n v="3.17"/>
    <n v="3.17"/>
    <n v="0.98"/>
    <n v="2.95"/>
  </r>
  <r>
    <x v="4"/>
    <x v="2"/>
    <x v="2"/>
    <x v="4"/>
    <x v="4"/>
    <x v="1"/>
    <n v="0.34"/>
    <n v="0.34"/>
    <n v="0.01"/>
    <n v="0.31"/>
  </r>
  <r>
    <x v="4"/>
    <x v="2"/>
    <x v="2"/>
    <x v="2"/>
    <x v="0"/>
    <x v="0"/>
    <n v="4.3099999999999996"/>
    <n v="4.3099999999999996"/>
    <n v="1.9"/>
    <n v="4"/>
  </r>
  <r>
    <x v="4"/>
    <x v="2"/>
    <x v="2"/>
    <x v="4"/>
    <x v="1"/>
    <x v="1"/>
    <n v="0.28000000000000003"/>
    <n v="0.28000000000000003"/>
    <n v="0"/>
    <n v="0.26"/>
  </r>
  <r>
    <x v="4"/>
    <x v="2"/>
    <x v="2"/>
    <x v="4"/>
    <x v="4"/>
    <x v="2"/>
    <n v="0.3"/>
    <n v="0.3"/>
    <n v="0.02"/>
    <n v="0.26"/>
  </r>
  <r>
    <x v="4"/>
    <x v="2"/>
    <x v="2"/>
    <x v="4"/>
    <x v="1"/>
    <x v="2"/>
    <n v="0.14000000000000001"/>
    <n v="0.14000000000000001"/>
    <n v="0.01"/>
    <n v="0.12"/>
  </r>
  <r>
    <x v="4"/>
    <x v="2"/>
    <x v="2"/>
    <x v="4"/>
    <x v="2"/>
    <x v="2"/>
    <n v="0.65"/>
    <n v="0.65"/>
    <n v="0"/>
    <n v="0.56999999999999995"/>
  </r>
  <r>
    <x v="4"/>
    <x v="2"/>
    <x v="2"/>
    <x v="1"/>
    <x v="4"/>
    <x v="2"/>
    <n v="0.94"/>
    <n v="0.94"/>
    <n v="0.01"/>
    <n v="0.81"/>
  </r>
  <r>
    <x v="4"/>
    <x v="2"/>
    <x v="2"/>
    <x v="2"/>
    <x v="2"/>
    <x v="3"/>
    <n v="0"/>
    <n v="0"/>
    <n v="0"/>
    <n v="0"/>
  </r>
  <r>
    <x v="4"/>
    <x v="2"/>
    <x v="2"/>
    <x v="4"/>
    <x v="0"/>
    <x v="1"/>
    <n v="0.04"/>
    <n v="0.04"/>
    <n v="0"/>
    <n v="0.03"/>
  </r>
  <r>
    <x v="4"/>
    <x v="2"/>
    <x v="2"/>
    <x v="1"/>
    <x v="2"/>
    <x v="1"/>
    <n v="6.06"/>
    <n v="6.06"/>
    <n v="0.04"/>
    <n v="5.48"/>
  </r>
  <r>
    <x v="4"/>
    <x v="2"/>
    <x v="2"/>
    <x v="0"/>
    <x v="0"/>
    <x v="1"/>
    <n v="2.19"/>
    <n v="2.19"/>
    <n v="0.08"/>
    <n v="1.99"/>
  </r>
  <r>
    <x v="4"/>
    <x v="2"/>
    <x v="2"/>
    <x v="0"/>
    <x v="4"/>
    <x v="1"/>
    <n v="0.45"/>
    <n v="0.45"/>
    <n v="0.01"/>
    <n v="0.41"/>
  </r>
  <r>
    <x v="4"/>
    <x v="2"/>
    <x v="2"/>
    <x v="0"/>
    <x v="3"/>
    <x v="1"/>
    <n v="0"/>
    <n v="0"/>
    <n v="0"/>
    <n v="0"/>
  </r>
  <r>
    <x v="4"/>
    <x v="2"/>
    <x v="2"/>
    <x v="1"/>
    <x v="0"/>
    <x v="1"/>
    <n v="0.92"/>
    <n v="0.92"/>
    <n v="0.05"/>
    <n v="0.86"/>
  </r>
  <r>
    <x v="4"/>
    <x v="2"/>
    <x v="2"/>
    <x v="1"/>
    <x v="4"/>
    <x v="1"/>
    <n v="0.24"/>
    <n v="0.24"/>
    <n v="0.01"/>
    <n v="0.22"/>
  </r>
  <r>
    <x v="4"/>
    <x v="2"/>
    <x v="2"/>
    <x v="1"/>
    <x v="1"/>
    <x v="1"/>
    <n v="0.68"/>
    <n v="0.68"/>
    <n v="0.01"/>
    <n v="0.62"/>
  </r>
  <r>
    <x v="4"/>
    <x v="2"/>
    <x v="2"/>
    <x v="2"/>
    <x v="3"/>
    <x v="3"/>
    <n v="5.47"/>
    <n v="5.47"/>
    <n v="0"/>
    <n v="5.44"/>
  </r>
  <r>
    <x v="4"/>
    <x v="2"/>
    <x v="3"/>
    <x v="1"/>
    <x v="1"/>
    <x v="0"/>
    <n v="10.96"/>
    <n v="10.97"/>
    <n v="0.57999999999999996"/>
    <n v="10.27"/>
  </r>
  <r>
    <x v="4"/>
    <x v="2"/>
    <x v="3"/>
    <x v="0"/>
    <x v="4"/>
    <x v="0"/>
    <n v="8.9"/>
    <n v="8.9"/>
    <n v="1.98"/>
    <n v="8.24"/>
  </r>
  <r>
    <x v="4"/>
    <x v="2"/>
    <x v="3"/>
    <x v="4"/>
    <x v="1"/>
    <x v="2"/>
    <n v="0.13"/>
    <n v="0.13"/>
    <n v="0.01"/>
    <n v="0.12"/>
  </r>
  <r>
    <x v="4"/>
    <x v="2"/>
    <x v="3"/>
    <x v="4"/>
    <x v="2"/>
    <x v="2"/>
    <n v="0.62"/>
    <n v="0.62"/>
    <n v="0"/>
    <n v="0.54"/>
  </r>
  <r>
    <x v="4"/>
    <x v="2"/>
    <x v="3"/>
    <x v="1"/>
    <x v="4"/>
    <x v="2"/>
    <n v="9.1"/>
    <n v="9.11"/>
    <n v="0.11"/>
    <n v="7.91"/>
  </r>
  <r>
    <x v="4"/>
    <x v="2"/>
    <x v="3"/>
    <x v="2"/>
    <x v="3"/>
    <x v="2"/>
    <n v="22.35"/>
    <n v="22.36"/>
    <n v="0.01"/>
    <n v="20.09"/>
  </r>
  <r>
    <x v="4"/>
    <x v="2"/>
    <x v="3"/>
    <x v="2"/>
    <x v="2"/>
    <x v="3"/>
    <n v="0.01"/>
    <n v="0.01"/>
    <n v="0"/>
    <n v="0.01"/>
  </r>
  <r>
    <x v="4"/>
    <x v="2"/>
    <x v="3"/>
    <x v="2"/>
    <x v="3"/>
    <x v="3"/>
    <n v="25.21"/>
    <n v="25.22"/>
    <n v="0.02"/>
    <n v="25.14"/>
  </r>
  <r>
    <x v="4"/>
    <x v="2"/>
    <x v="3"/>
    <x v="4"/>
    <x v="0"/>
    <x v="1"/>
    <n v="0.12"/>
    <n v="0.12"/>
    <n v="0.01"/>
    <n v="0.1"/>
  </r>
  <r>
    <x v="4"/>
    <x v="2"/>
    <x v="3"/>
    <x v="4"/>
    <x v="4"/>
    <x v="1"/>
    <n v="0.47"/>
    <n v="0.47"/>
    <n v="0.01"/>
    <n v="0.43"/>
  </r>
  <r>
    <x v="4"/>
    <x v="2"/>
    <x v="3"/>
    <x v="4"/>
    <x v="1"/>
    <x v="1"/>
    <n v="0.42"/>
    <n v="0.42"/>
    <n v="0"/>
    <n v="0.39"/>
  </r>
  <r>
    <x v="4"/>
    <x v="2"/>
    <x v="3"/>
    <x v="0"/>
    <x v="0"/>
    <x v="1"/>
    <n v="2.63"/>
    <n v="2.63"/>
    <n v="0.11"/>
    <n v="2.37"/>
  </r>
  <r>
    <x v="4"/>
    <x v="2"/>
    <x v="3"/>
    <x v="2"/>
    <x v="2"/>
    <x v="0"/>
    <n v="3.06"/>
    <n v="3.06"/>
    <n v="0"/>
    <n v="2.8"/>
  </r>
  <r>
    <x v="4"/>
    <x v="2"/>
    <x v="3"/>
    <x v="2"/>
    <x v="4"/>
    <x v="0"/>
    <n v="5.61"/>
    <n v="5.61"/>
    <n v="0.71"/>
    <n v="5.2"/>
  </r>
  <r>
    <x v="4"/>
    <x v="2"/>
    <x v="3"/>
    <x v="2"/>
    <x v="0"/>
    <x v="0"/>
    <n v="4.1100000000000003"/>
    <n v="4.12"/>
    <n v="1.78"/>
    <n v="3.83"/>
  </r>
  <r>
    <x v="4"/>
    <x v="2"/>
    <x v="3"/>
    <x v="4"/>
    <x v="4"/>
    <x v="2"/>
    <n v="0.31"/>
    <n v="0.31"/>
    <n v="0.02"/>
    <n v="0.27"/>
  </r>
  <r>
    <x v="4"/>
    <x v="2"/>
    <x v="3"/>
    <x v="3"/>
    <x v="4"/>
    <x v="0"/>
    <n v="1.8"/>
    <n v="1.8"/>
    <n v="0.36"/>
    <n v="1.7"/>
  </r>
  <r>
    <x v="4"/>
    <x v="2"/>
    <x v="3"/>
    <x v="0"/>
    <x v="4"/>
    <x v="1"/>
    <n v="0.86"/>
    <n v="0.86"/>
    <n v="0.02"/>
    <n v="0.77"/>
  </r>
  <r>
    <x v="4"/>
    <x v="2"/>
    <x v="3"/>
    <x v="1"/>
    <x v="0"/>
    <x v="1"/>
    <n v="1.1299999999999999"/>
    <n v="1.1399999999999999"/>
    <n v="0.06"/>
    <n v="1.05"/>
  </r>
  <r>
    <x v="4"/>
    <x v="2"/>
    <x v="3"/>
    <x v="1"/>
    <x v="4"/>
    <x v="1"/>
    <n v="1.32"/>
    <n v="1.32"/>
    <n v="0.02"/>
    <n v="1.26"/>
  </r>
  <r>
    <x v="4"/>
    <x v="2"/>
    <x v="3"/>
    <x v="1"/>
    <x v="1"/>
    <x v="1"/>
    <n v="2.44"/>
    <n v="2.44"/>
    <n v="0.02"/>
    <n v="2.2999999999999998"/>
  </r>
  <r>
    <x v="4"/>
    <x v="2"/>
    <x v="3"/>
    <x v="1"/>
    <x v="2"/>
    <x v="1"/>
    <n v="10.76"/>
    <n v="10.76"/>
    <n v="7.0000000000000007E-2"/>
    <n v="9.8800000000000008"/>
  </r>
  <r>
    <x v="4"/>
    <x v="2"/>
    <x v="3"/>
    <x v="1"/>
    <x v="2"/>
    <x v="0"/>
    <n v="0.69"/>
    <n v="0.69"/>
    <n v="0.01"/>
    <n v="0.63"/>
  </r>
  <r>
    <x v="4"/>
    <x v="2"/>
    <x v="3"/>
    <x v="3"/>
    <x v="0"/>
    <x v="0"/>
    <n v="0.47"/>
    <n v="0.47"/>
    <n v="0.42"/>
    <n v="0.46"/>
  </r>
  <r>
    <x v="4"/>
    <x v="2"/>
    <x v="3"/>
    <x v="1"/>
    <x v="4"/>
    <x v="0"/>
    <n v="88.19"/>
    <n v="88.23"/>
    <n v="14.15"/>
    <n v="81.7"/>
  </r>
  <r>
    <x v="4"/>
    <x v="2"/>
    <x v="3"/>
    <x v="3"/>
    <x v="1"/>
    <x v="0"/>
    <n v="0.04"/>
    <n v="0.04"/>
    <n v="0"/>
    <n v="0.04"/>
  </r>
  <r>
    <x v="4"/>
    <x v="2"/>
    <x v="3"/>
    <x v="4"/>
    <x v="4"/>
    <x v="0"/>
    <n v="44.77"/>
    <n v="44.8"/>
    <n v="5.22"/>
    <n v="41.31"/>
  </r>
  <r>
    <x v="4"/>
    <x v="2"/>
    <x v="3"/>
    <x v="4"/>
    <x v="1"/>
    <x v="0"/>
    <n v="10.29"/>
    <n v="10.3"/>
    <n v="0.76"/>
    <n v="9.4700000000000006"/>
  </r>
  <r>
    <x v="4"/>
    <x v="2"/>
    <x v="3"/>
    <x v="4"/>
    <x v="2"/>
    <x v="0"/>
    <n v="0.4"/>
    <n v="0.4"/>
    <n v="0"/>
    <n v="0.36"/>
  </r>
  <r>
    <x v="4"/>
    <x v="2"/>
    <x v="3"/>
    <x v="0"/>
    <x v="0"/>
    <x v="0"/>
    <n v="4.4800000000000004"/>
    <n v="4.49"/>
    <n v="2.2799999999999998"/>
    <n v="4.08"/>
  </r>
  <r>
    <x v="4"/>
    <x v="2"/>
    <x v="3"/>
    <x v="1"/>
    <x v="0"/>
    <x v="0"/>
    <n v="6.16"/>
    <n v="6.17"/>
    <n v="3.02"/>
    <n v="5.83"/>
  </r>
  <r>
    <x v="4"/>
    <x v="2"/>
    <x v="3"/>
    <x v="2"/>
    <x v="3"/>
    <x v="1"/>
    <n v="1.42"/>
    <n v="1.42"/>
    <n v="0"/>
    <n v="1.29"/>
  </r>
  <r>
    <x v="4"/>
    <x v="0"/>
    <x v="4"/>
    <x v="1"/>
    <x v="4"/>
    <x v="1"/>
    <n v="4.28"/>
    <n v="4.67"/>
    <n v="0.21"/>
    <n v="4.0599999999999996"/>
  </r>
  <r>
    <x v="4"/>
    <x v="0"/>
    <x v="4"/>
    <x v="4"/>
    <x v="4"/>
    <x v="2"/>
    <n v="0.31"/>
    <n v="0.34"/>
    <n v="0.02"/>
    <n v="0.3"/>
  </r>
  <r>
    <x v="4"/>
    <x v="0"/>
    <x v="4"/>
    <x v="4"/>
    <x v="1"/>
    <x v="2"/>
    <n v="0.49"/>
    <n v="0.53"/>
    <n v="0.01"/>
    <n v="0.47"/>
  </r>
  <r>
    <x v="4"/>
    <x v="0"/>
    <x v="4"/>
    <x v="4"/>
    <x v="2"/>
    <x v="2"/>
    <n v="1.08"/>
    <n v="1.18"/>
    <n v="0.02"/>
    <n v="1.04"/>
  </r>
  <r>
    <x v="4"/>
    <x v="0"/>
    <x v="4"/>
    <x v="1"/>
    <x v="4"/>
    <x v="2"/>
    <n v="0.37"/>
    <n v="0.4"/>
    <n v="0.02"/>
    <n v="0.35"/>
  </r>
  <r>
    <x v="4"/>
    <x v="0"/>
    <x v="4"/>
    <x v="2"/>
    <x v="2"/>
    <x v="2"/>
    <n v="0.5"/>
    <n v="0.55000000000000004"/>
    <n v="0"/>
    <n v="0.5"/>
  </r>
  <r>
    <x v="4"/>
    <x v="0"/>
    <x v="4"/>
    <x v="2"/>
    <x v="3"/>
    <x v="2"/>
    <n v="4.05"/>
    <n v="4.42"/>
    <n v="0"/>
    <n v="3.89"/>
  </r>
  <r>
    <x v="4"/>
    <x v="0"/>
    <x v="4"/>
    <x v="2"/>
    <x v="3"/>
    <x v="3"/>
    <n v="318.45999999999998"/>
    <n v="347.36"/>
    <n v="0.12"/>
    <n v="311"/>
  </r>
  <r>
    <x v="4"/>
    <x v="0"/>
    <x v="4"/>
    <x v="4"/>
    <x v="0"/>
    <x v="1"/>
    <n v="2.16"/>
    <n v="2.36"/>
    <n v="0.08"/>
    <n v="2.0499999999999998"/>
  </r>
  <r>
    <x v="4"/>
    <x v="0"/>
    <x v="4"/>
    <x v="4"/>
    <x v="4"/>
    <x v="1"/>
    <n v="3.98"/>
    <n v="4.34"/>
    <n v="0.15"/>
    <n v="3.78"/>
  </r>
  <r>
    <x v="4"/>
    <x v="0"/>
    <x v="4"/>
    <x v="4"/>
    <x v="1"/>
    <x v="1"/>
    <n v="4.6500000000000004"/>
    <n v="5.07"/>
    <n v="0.15"/>
    <n v="4.42"/>
  </r>
  <r>
    <x v="4"/>
    <x v="0"/>
    <x v="4"/>
    <x v="0"/>
    <x v="0"/>
    <x v="1"/>
    <n v="17.829999999999998"/>
    <n v="19.440000000000001"/>
    <n v="0.45"/>
    <n v="17.010000000000002"/>
  </r>
  <r>
    <x v="4"/>
    <x v="0"/>
    <x v="4"/>
    <x v="1"/>
    <x v="0"/>
    <x v="1"/>
    <n v="6.58"/>
    <n v="7.18"/>
    <n v="0.41"/>
    <n v="6.24"/>
  </r>
  <r>
    <x v="4"/>
    <x v="0"/>
    <x v="4"/>
    <x v="1"/>
    <x v="1"/>
    <x v="1"/>
    <n v="13.65"/>
    <n v="14.89"/>
    <n v="0.17"/>
    <n v="12.99"/>
  </r>
  <r>
    <x v="4"/>
    <x v="0"/>
    <x v="4"/>
    <x v="1"/>
    <x v="2"/>
    <x v="1"/>
    <n v="90.58"/>
    <n v="98.8"/>
    <n v="0.23"/>
    <n v="86.38"/>
  </r>
  <r>
    <x v="4"/>
    <x v="0"/>
    <x v="4"/>
    <x v="0"/>
    <x v="2"/>
    <x v="0"/>
    <n v="7.69"/>
    <n v="8.3800000000000008"/>
    <n v="0.02"/>
    <n v="7.15"/>
  </r>
  <r>
    <x v="4"/>
    <x v="0"/>
    <x v="4"/>
    <x v="2"/>
    <x v="4"/>
    <x v="0"/>
    <n v="30.47"/>
    <n v="33.229999999999997"/>
    <n v="9.2100000000000009"/>
    <n v="29.92"/>
  </r>
  <r>
    <x v="4"/>
    <x v="0"/>
    <x v="4"/>
    <x v="2"/>
    <x v="0"/>
    <x v="0"/>
    <n v="26.4"/>
    <n v="28.8"/>
    <n v="17.75"/>
    <n v="25.52"/>
  </r>
  <r>
    <x v="4"/>
    <x v="0"/>
    <x v="4"/>
    <x v="1"/>
    <x v="2"/>
    <x v="0"/>
    <n v="28.14"/>
    <n v="30.69"/>
    <n v="0.36"/>
    <n v="26.72"/>
  </r>
  <r>
    <x v="4"/>
    <x v="0"/>
    <x v="4"/>
    <x v="1"/>
    <x v="1"/>
    <x v="0"/>
    <n v="42.33"/>
    <n v="46.17"/>
    <n v="2.97"/>
    <n v="40.799999999999997"/>
  </r>
  <r>
    <x v="4"/>
    <x v="0"/>
    <x v="4"/>
    <x v="0"/>
    <x v="4"/>
    <x v="1"/>
    <n v="10.029999999999999"/>
    <n v="10.94"/>
    <n v="0.13"/>
    <n v="9.57"/>
  </r>
  <r>
    <x v="4"/>
    <x v="0"/>
    <x v="4"/>
    <x v="1"/>
    <x v="0"/>
    <x v="0"/>
    <n v="25.29"/>
    <n v="27.58"/>
    <n v="13.91"/>
    <n v="24.65"/>
  </r>
  <r>
    <x v="4"/>
    <x v="0"/>
    <x v="4"/>
    <x v="2"/>
    <x v="3"/>
    <x v="1"/>
    <n v="32.78"/>
    <n v="35.75"/>
    <n v="0.03"/>
    <n v="31.28"/>
  </r>
  <r>
    <x v="4"/>
    <x v="0"/>
    <x v="4"/>
    <x v="0"/>
    <x v="4"/>
    <x v="0"/>
    <n v="32.46"/>
    <n v="35.409999999999997"/>
    <n v="9.26"/>
    <n v="31.76"/>
  </r>
  <r>
    <x v="4"/>
    <x v="0"/>
    <x v="4"/>
    <x v="0"/>
    <x v="0"/>
    <x v="0"/>
    <n v="8.3000000000000007"/>
    <n v="9.06"/>
    <n v="7.87"/>
    <n v="8.0299999999999994"/>
  </r>
  <r>
    <x v="4"/>
    <x v="0"/>
    <x v="4"/>
    <x v="4"/>
    <x v="1"/>
    <x v="0"/>
    <n v="69.14"/>
    <n v="75.41"/>
    <n v="3.53"/>
    <n v="65.400000000000006"/>
  </r>
  <r>
    <x v="4"/>
    <x v="0"/>
    <x v="4"/>
    <x v="4"/>
    <x v="4"/>
    <x v="0"/>
    <n v="122.31"/>
    <n v="133.41"/>
    <n v="13.81"/>
    <n v="118.91"/>
  </r>
  <r>
    <x v="4"/>
    <x v="0"/>
    <x v="4"/>
    <x v="3"/>
    <x v="4"/>
    <x v="0"/>
    <n v="2.48"/>
    <n v="2.7"/>
    <n v="0.97"/>
    <n v="2.4"/>
  </r>
  <r>
    <x v="4"/>
    <x v="0"/>
    <x v="4"/>
    <x v="3"/>
    <x v="0"/>
    <x v="0"/>
    <n v="0.69"/>
    <n v="0.75"/>
    <n v="0.74"/>
    <n v="0.69"/>
  </r>
  <r>
    <x v="4"/>
    <x v="0"/>
    <x v="4"/>
    <x v="1"/>
    <x v="4"/>
    <x v="0"/>
    <n v="190.1"/>
    <n v="207.35"/>
    <n v="58.77"/>
    <n v="184.35"/>
  </r>
  <r>
    <x v="4"/>
    <x v="3"/>
    <x v="5"/>
    <x v="1"/>
    <x v="2"/>
    <x v="2"/>
    <n v="0.41"/>
    <n v="0.43"/>
    <n v="0"/>
    <n v="0.37"/>
  </r>
  <r>
    <x v="4"/>
    <x v="3"/>
    <x v="5"/>
    <x v="2"/>
    <x v="1"/>
    <x v="2"/>
    <n v="0.46"/>
    <n v="0.49"/>
    <n v="0"/>
    <n v="0.44"/>
  </r>
  <r>
    <x v="4"/>
    <x v="3"/>
    <x v="5"/>
    <x v="4"/>
    <x v="1"/>
    <x v="2"/>
    <n v="1.21"/>
    <n v="1.3"/>
    <n v="0.02"/>
    <n v="1.1000000000000001"/>
  </r>
  <r>
    <x v="4"/>
    <x v="3"/>
    <x v="5"/>
    <x v="4"/>
    <x v="2"/>
    <x v="2"/>
    <n v="1.73"/>
    <n v="1.86"/>
    <n v="0.01"/>
    <n v="1.57"/>
  </r>
  <r>
    <x v="4"/>
    <x v="3"/>
    <x v="5"/>
    <x v="1"/>
    <x v="4"/>
    <x v="2"/>
    <n v="0.77"/>
    <n v="0.82"/>
    <n v="0.08"/>
    <n v="0.7"/>
  </r>
  <r>
    <x v="4"/>
    <x v="3"/>
    <x v="5"/>
    <x v="4"/>
    <x v="4"/>
    <x v="2"/>
    <n v="2.54"/>
    <n v="2.73"/>
    <n v="0.12"/>
    <n v="2.2999999999999998"/>
  </r>
  <r>
    <x v="4"/>
    <x v="3"/>
    <x v="5"/>
    <x v="2"/>
    <x v="4"/>
    <x v="0"/>
    <n v="67.06"/>
    <n v="71.900000000000006"/>
    <n v="21"/>
    <n v="65.290000000000006"/>
  </r>
  <r>
    <x v="4"/>
    <x v="3"/>
    <x v="5"/>
    <x v="1"/>
    <x v="1"/>
    <x v="2"/>
    <n v="0.13"/>
    <n v="0.14000000000000001"/>
    <n v="0.01"/>
    <n v="0.12"/>
  </r>
  <r>
    <x v="4"/>
    <x v="3"/>
    <x v="5"/>
    <x v="3"/>
    <x v="0"/>
    <x v="0"/>
    <n v="26.9"/>
    <n v="28.84"/>
    <n v="28.12"/>
    <n v="25.96"/>
  </r>
  <r>
    <x v="4"/>
    <x v="3"/>
    <x v="5"/>
    <x v="3"/>
    <x v="4"/>
    <x v="0"/>
    <n v="46.14"/>
    <n v="49.48"/>
    <n v="20.03"/>
    <n v="43.39"/>
  </r>
  <r>
    <x v="4"/>
    <x v="3"/>
    <x v="5"/>
    <x v="3"/>
    <x v="1"/>
    <x v="0"/>
    <n v="0.24"/>
    <n v="0.26"/>
    <n v="0.02"/>
    <n v="0.24"/>
  </r>
  <r>
    <x v="4"/>
    <x v="3"/>
    <x v="5"/>
    <x v="4"/>
    <x v="0"/>
    <x v="0"/>
    <n v="0.78"/>
    <n v="0.84"/>
    <n v="0.72"/>
    <n v="0.75"/>
  </r>
  <r>
    <x v="4"/>
    <x v="3"/>
    <x v="5"/>
    <x v="4"/>
    <x v="4"/>
    <x v="0"/>
    <n v="196.46"/>
    <n v="210.65"/>
    <n v="24.34"/>
    <n v="188.77"/>
  </r>
  <r>
    <x v="4"/>
    <x v="3"/>
    <x v="5"/>
    <x v="2"/>
    <x v="4"/>
    <x v="1"/>
    <n v="0.35"/>
    <n v="0.38"/>
    <n v="0"/>
    <n v="0.33"/>
  </r>
  <r>
    <x v="4"/>
    <x v="3"/>
    <x v="5"/>
    <x v="4"/>
    <x v="2"/>
    <x v="0"/>
    <n v="0.39"/>
    <n v="0.41"/>
    <n v="0.01"/>
    <n v="0.36"/>
  </r>
  <r>
    <x v="4"/>
    <x v="3"/>
    <x v="5"/>
    <x v="1"/>
    <x v="3"/>
    <x v="1"/>
    <n v="0.12"/>
    <n v="0.13"/>
    <n v="0"/>
    <n v="0.11"/>
  </r>
  <r>
    <x v="4"/>
    <x v="3"/>
    <x v="5"/>
    <x v="2"/>
    <x v="0"/>
    <x v="0"/>
    <n v="26.97"/>
    <n v="28.91"/>
    <n v="14.84"/>
    <n v="25.64"/>
  </r>
  <r>
    <x v="4"/>
    <x v="3"/>
    <x v="5"/>
    <x v="1"/>
    <x v="2"/>
    <x v="0"/>
    <n v="11.81"/>
    <n v="12.66"/>
    <n v="0.14000000000000001"/>
    <n v="10.98"/>
  </r>
  <r>
    <x v="4"/>
    <x v="3"/>
    <x v="5"/>
    <x v="1"/>
    <x v="1"/>
    <x v="0"/>
    <n v="129.99"/>
    <n v="139.38"/>
    <n v="7.23"/>
    <n v="126.48"/>
  </r>
  <r>
    <x v="4"/>
    <x v="3"/>
    <x v="5"/>
    <x v="1"/>
    <x v="4"/>
    <x v="0"/>
    <n v="422.68"/>
    <n v="453.21"/>
    <n v="110.8"/>
    <n v="403.74"/>
  </r>
  <r>
    <x v="4"/>
    <x v="3"/>
    <x v="5"/>
    <x v="1"/>
    <x v="0"/>
    <x v="0"/>
    <n v="50.53"/>
    <n v="54.18"/>
    <n v="34.72"/>
    <n v="48.88"/>
  </r>
  <r>
    <x v="4"/>
    <x v="3"/>
    <x v="5"/>
    <x v="0"/>
    <x v="4"/>
    <x v="0"/>
    <n v="49.33"/>
    <n v="52.9"/>
    <n v="22.78"/>
    <n v="47.82"/>
  </r>
  <r>
    <x v="4"/>
    <x v="3"/>
    <x v="5"/>
    <x v="0"/>
    <x v="0"/>
    <x v="0"/>
    <n v="6.28"/>
    <n v="6.74"/>
    <n v="0.96"/>
    <n v="5.85"/>
  </r>
  <r>
    <x v="4"/>
    <x v="3"/>
    <x v="5"/>
    <x v="4"/>
    <x v="1"/>
    <x v="0"/>
    <n v="38.93"/>
    <n v="41.75"/>
    <n v="1.81"/>
    <n v="37.1"/>
  </r>
  <r>
    <x v="4"/>
    <x v="3"/>
    <x v="5"/>
    <x v="0"/>
    <x v="4"/>
    <x v="1"/>
    <n v="3.79"/>
    <n v="4.07"/>
    <n v="0.09"/>
    <n v="3.48"/>
  </r>
  <r>
    <x v="4"/>
    <x v="3"/>
    <x v="5"/>
    <x v="2"/>
    <x v="2"/>
    <x v="2"/>
    <n v="0.28000000000000003"/>
    <n v="0.3"/>
    <n v="0"/>
    <n v="0.27"/>
  </r>
  <r>
    <x v="4"/>
    <x v="3"/>
    <x v="5"/>
    <x v="2"/>
    <x v="3"/>
    <x v="2"/>
    <n v="17.510000000000002"/>
    <n v="18.77"/>
    <n v="0.02"/>
    <n v="16.18"/>
  </r>
  <r>
    <x v="4"/>
    <x v="3"/>
    <x v="5"/>
    <x v="2"/>
    <x v="2"/>
    <x v="3"/>
    <n v="15.01"/>
    <n v="16.100000000000001"/>
    <n v="0.02"/>
    <n v="14.92"/>
  </r>
  <r>
    <x v="4"/>
    <x v="3"/>
    <x v="5"/>
    <x v="2"/>
    <x v="3"/>
    <x v="3"/>
    <n v="118.05"/>
    <n v="126.58"/>
    <n v="0.06"/>
    <n v="117.3"/>
  </r>
  <r>
    <x v="4"/>
    <x v="3"/>
    <x v="5"/>
    <x v="4"/>
    <x v="0"/>
    <x v="1"/>
    <n v="5.01"/>
    <n v="5.37"/>
    <n v="0.23"/>
    <n v="4.6399999999999997"/>
  </r>
  <r>
    <x v="4"/>
    <x v="3"/>
    <x v="5"/>
    <x v="4"/>
    <x v="4"/>
    <x v="1"/>
    <n v="1.76"/>
    <n v="1.88"/>
    <n v="0.17"/>
    <n v="1.61"/>
  </r>
  <r>
    <x v="4"/>
    <x v="3"/>
    <x v="5"/>
    <x v="2"/>
    <x v="3"/>
    <x v="1"/>
    <n v="13.09"/>
    <n v="14.04"/>
    <n v="0.01"/>
    <n v="12.04"/>
  </r>
  <r>
    <x v="4"/>
    <x v="3"/>
    <x v="5"/>
    <x v="0"/>
    <x v="0"/>
    <x v="1"/>
    <n v="14.95"/>
    <n v="16.03"/>
    <n v="0.61"/>
    <n v="13.71"/>
  </r>
  <r>
    <x v="4"/>
    <x v="3"/>
    <x v="5"/>
    <x v="4"/>
    <x v="3"/>
    <x v="0"/>
    <n v="0.63"/>
    <n v="0.67"/>
    <n v="0.01"/>
    <n v="0.57999999999999996"/>
  </r>
  <r>
    <x v="4"/>
    <x v="3"/>
    <x v="5"/>
    <x v="0"/>
    <x v="1"/>
    <x v="1"/>
    <n v="0.09"/>
    <n v="0.1"/>
    <n v="0"/>
    <n v="0.08"/>
  </r>
  <r>
    <x v="4"/>
    <x v="3"/>
    <x v="5"/>
    <x v="1"/>
    <x v="0"/>
    <x v="1"/>
    <n v="6.17"/>
    <n v="6.61"/>
    <n v="0.61"/>
    <n v="5.72"/>
  </r>
  <r>
    <x v="4"/>
    <x v="3"/>
    <x v="5"/>
    <x v="1"/>
    <x v="4"/>
    <x v="1"/>
    <n v="1.91"/>
    <n v="2.0499999999999998"/>
    <n v="0.11"/>
    <n v="1.76"/>
  </r>
  <r>
    <x v="4"/>
    <x v="3"/>
    <x v="5"/>
    <x v="1"/>
    <x v="1"/>
    <x v="1"/>
    <n v="12.59"/>
    <n v="13.5"/>
    <n v="0.18"/>
    <n v="11.58"/>
  </r>
  <r>
    <x v="4"/>
    <x v="3"/>
    <x v="5"/>
    <x v="1"/>
    <x v="2"/>
    <x v="1"/>
    <n v="46.44"/>
    <n v="49.8"/>
    <n v="0.23"/>
    <n v="42.64"/>
  </r>
  <r>
    <x v="4"/>
    <x v="3"/>
    <x v="5"/>
    <x v="4"/>
    <x v="1"/>
    <x v="1"/>
    <n v="1.43"/>
    <n v="1.53"/>
    <n v="0.09"/>
    <n v="1.31"/>
  </r>
  <r>
    <x v="4"/>
    <x v="0"/>
    <x v="6"/>
    <x v="4"/>
    <x v="1"/>
    <x v="2"/>
    <n v="0.64"/>
    <n v="0.74"/>
    <n v="0.02"/>
    <n v="0.61"/>
  </r>
  <r>
    <x v="4"/>
    <x v="0"/>
    <x v="6"/>
    <x v="1"/>
    <x v="2"/>
    <x v="0"/>
    <n v="23.44"/>
    <n v="27.01"/>
    <n v="0.24"/>
    <n v="22.11"/>
  </r>
  <r>
    <x v="4"/>
    <x v="0"/>
    <x v="6"/>
    <x v="4"/>
    <x v="4"/>
    <x v="2"/>
    <n v="0.44"/>
    <n v="0.5"/>
    <n v="0.02"/>
    <n v="0.41"/>
  </r>
  <r>
    <x v="4"/>
    <x v="0"/>
    <x v="6"/>
    <x v="1"/>
    <x v="0"/>
    <x v="0"/>
    <n v="3.76"/>
    <n v="4.33"/>
    <n v="2.13"/>
    <n v="3.61"/>
  </r>
  <r>
    <x v="4"/>
    <x v="0"/>
    <x v="6"/>
    <x v="1"/>
    <x v="4"/>
    <x v="0"/>
    <n v="32.840000000000003"/>
    <n v="37.840000000000003"/>
    <n v="7.61"/>
    <n v="30.91"/>
  </r>
  <r>
    <x v="4"/>
    <x v="0"/>
    <x v="6"/>
    <x v="4"/>
    <x v="2"/>
    <x v="2"/>
    <n v="1.22"/>
    <n v="1.41"/>
    <n v="0.02"/>
    <n v="1.1499999999999999"/>
  </r>
  <r>
    <x v="4"/>
    <x v="0"/>
    <x v="6"/>
    <x v="2"/>
    <x v="4"/>
    <x v="0"/>
    <n v="4.46"/>
    <n v="5.13"/>
    <n v="0.56000000000000005"/>
    <n v="4.3899999999999997"/>
  </r>
  <r>
    <x v="4"/>
    <x v="0"/>
    <x v="6"/>
    <x v="2"/>
    <x v="0"/>
    <x v="0"/>
    <n v="3.49"/>
    <n v="4.03"/>
    <n v="2.57"/>
    <n v="3.29"/>
  </r>
  <r>
    <x v="4"/>
    <x v="0"/>
    <x v="6"/>
    <x v="1"/>
    <x v="1"/>
    <x v="0"/>
    <n v="5.16"/>
    <n v="5.95"/>
    <n v="0.26"/>
    <n v="4.87"/>
  </r>
  <r>
    <x v="4"/>
    <x v="0"/>
    <x v="6"/>
    <x v="0"/>
    <x v="4"/>
    <x v="0"/>
    <n v="3.54"/>
    <n v="4.08"/>
    <n v="1.01"/>
    <n v="3.39"/>
  </r>
  <r>
    <x v="4"/>
    <x v="0"/>
    <x v="6"/>
    <x v="0"/>
    <x v="0"/>
    <x v="0"/>
    <n v="2.2599999999999998"/>
    <n v="2.61"/>
    <n v="1.99"/>
    <n v="2.11"/>
  </r>
  <r>
    <x v="4"/>
    <x v="0"/>
    <x v="6"/>
    <x v="4"/>
    <x v="1"/>
    <x v="0"/>
    <n v="7.07"/>
    <n v="8.14"/>
    <n v="0.42"/>
    <n v="6.55"/>
  </r>
  <r>
    <x v="4"/>
    <x v="0"/>
    <x v="6"/>
    <x v="4"/>
    <x v="4"/>
    <x v="0"/>
    <n v="10.73"/>
    <n v="12.36"/>
    <n v="1.63"/>
    <n v="10.16"/>
  </r>
  <r>
    <x v="4"/>
    <x v="0"/>
    <x v="6"/>
    <x v="3"/>
    <x v="4"/>
    <x v="0"/>
    <n v="2.96"/>
    <n v="3.42"/>
    <n v="0.57999999999999996"/>
    <n v="2.78"/>
  </r>
  <r>
    <x v="4"/>
    <x v="0"/>
    <x v="6"/>
    <x v="3"/>
    <x v="0"/>
    <x v="0"/>
    <n v="0.05"/>
    <n v="0.06"/>
    <n v="0.05"/>
    <n v="0.05"/>
  </r>
  <r>
    <x v="4"/>
    <x v="0"/>
    <x v="6"/>
    <x v="2"/>
    <x v="3"/>
    <x v="1"/>
    <n v="3.45"/>
    <n v="3.98"/>
    <n v="0"/>
    <n v="3.29"/>
  </r>
  <r>
    <x v="4"/>
    <x v="0"/>
    <x v="6"/>
    <x v="4"/>
    <x v="0"/>
    <x v="1"/>
    <n v="1.52"/>
    <n v="1.75"/>
    <n v="7.0000000000000007E-2"/>
    <n v="1.43"/>
  </r>
  <r>
    <x v="4"/>
    <x v="0"/>
    <x v="6"/>
    <x v="1"/>
    <x v="1"/>
    <x v="1"/>
    <n v="5.21"/>
    <n v="6"/>
    <n v="0.15"/>
    <n v="4.92"/>
  </r>
  <r>
    <x v="4"/>
    <x v="0"/>
    <x v="6"/>
    <x v="1"/>
    <x v="4"/>
    <x v="1"/>
    <n v="3.15"/>
    <n v="3.63"/>
    <n v="0.13"/>
    <n v="2.97"/>
  </r>
  <r>
    <x v="4"/>
    <x v="0"/>
    <x v="6"/>
    <x v="1"/>
    <x v="0"/>
    <x v="1"/>
    <n v="4.8099999999999996"/>
    <n v="5.54"/>
    <n v="0.37"/>
    <n v="4.54"/>
  </r>
  <r>
    <x v="4"/>
    <x v="0"/>
    <x v="6"/>
    <x v="0"/>
    <x v="4"/>
    <x v="1"/>
    <n v="0.74"/>
    <n v="0.85"/>
    <n v="0.01"/>
    <n v="0.71"/>
  </r>
  <r>
    <x v="4"/>
    <x v="0"/>
    <x v="6"/>
    <x v="0"/>
    <x v="0"/>
    <x v="1"/>
    <n v="3.37"/>
    <n v="3.88"/>
    <n v="0.08"/>
    <n v="3.21"/>
  </r>
  <r>
    <x v="4"/>
    <x v="0"/>
    <x v="6"/>
    <x v="4"/>
    <x v="1"/>
    <x v="1"/>
    <n v="2.52"/>
    <n v="2.9"/>
    <n v="0.1"/>
    <n v="2.38"/>
  </r>
  <r>
    <x v="4"/>
    <x v="0"/>
    <x v="6"/>
    <x v="4"/>
    <x v="4"/>
    <x v="1"/>
    <n v="0.36"/>
    <n v="0.41"/>
    <n v="0.01"/>
    <n v="0.34"/>
  </r>
  <r>
    <x v="4"/>
    <x v="0"/>
    <x v="6"/>
    <x v="2"/>
    <x v="3"/>
    <x v="2"/>
    <n v="5.38"/>
    <n v="6.2"/>
    <n v="0.01"/>
    <n v="5.05"/>
  </r>
  <r>
    <x v="4"/>
    <x v="0"/>
    <x v="6"/>
    <x v="1"/>
    <x v="4"/>
    <x v="2"/>
    <n v="0.56999999999999995"/>
    <n v="0.65"/>
    <n v="0.04"/>
    <n v="0.53"/>
  </r>
  <r>
    <x v="4"/>
    <x v="0"/>
    <x v="6"/>
    <x v="2"/>
    <x v="3"/>
    <x v="3"/>
    <n v="28.79"/>
    <n v="33.17"/>
    <n v="0.01"/>
    <n v="28.11"/>
  </r>
  <r>
    <x v="4"/>
    <x v="0"/>
    <x v="6"/>
    <x v="1"/>
    <x v="2"/>
    <x v="1"/>
    <n v="17.940000000000001"/>
    <n v="20.67"/>
    <n v="0.05"/>
    <n v="17.059999999999999"/>
  </r>
  <r>
    <x v="4"/>
    <x v="4"/>
    <x v="7"/>
    <x v="1"/>
    <x v="3"/>
    <x v="2"/>
    <n v="2.89"/>
    <n v="2.9"/>
    <n v="0.01"/>
    <n v="2.89"/>
  </r>
  <r>
    <x v="4"/>
    <x v="4"/>
    <x v="7"/>
    <x v="2"/>
    <x v="3"/>
    <x v="2"/>
    <n v="101.1"/>
    <n v="101.3"/>
    <n v="0.17"/>
    <n v="101.1"/>
  </r>
  <r>
    <x v="4"/>
    <x v="4"/>
    <x v="7"/>
    <x v="0"/>
    <x v="4"/>
    <x v="0"/>
    <n v="292.83999999999997"/>
    <n v="293.43"/>
    <n v="96.5"/>
    <n v="255.92"/>
  </r>
  <r>
    <x v="4"/>
    <x v="4"/>
    <x v="7"/>
    <x v="2"/>
    <x v="2"/>
    <x v="3"/>
    <n v="0.74"/>
    <n v="0.74"/>
    <n v="0"/>
    <n v="0.74"/>
  </r>
  <r>
    <x v="4"/>
    <x v="4"/>
    <x v="7"/>
    <x v="1"/>
    <x v="1"/>
    <x v="2"/>
    <n v="31.41"/>
    <n v="31.47"/>
    <n v="0.25"/>
    <n v="30.85"/>
  </r>
  <r>
    <x v="4"/>
    <x v="4"/>
    <x v="7"/>
    <x v="4"/>
    <x v="0"/>
    <x v="1"/>
    <n v="5.48"/>
    <n v="5.49"/>
    <n v="0.5"/>
    <n v="4.55"/>
  </r>
  <r>
    <x v="4"/>
    <x v="4"/>
    <x v="7"/>
    <x v="4"/>
    <x v="4"/>
    <x v="1"/>
    <n v="27.35"/>
    <n v="27.4"/>
    <n v="1.29"/>
    <n v="22.6"/>
  </r>
  <r>
    <x v="4"/>
    <x v="4"/>
    <x v="7"/>
    <x v="2"/>
    <x v="3"/>
    <x v="3"/>
    <n v="257.12"/>
    <n v="257.63"/>
    <n v="0.17"/>
    <n v="257.12"/>
  </r>
  <r>
    <x v="4"/>
    <x v="4"/>
    <x v="7"/>
    <x v="1"/>
    <x v="4"/>
    <x v="2"/>
    <n v="21.33"/>
    <n v="21.37"/>
    <n v="0.76"/>
    <n v="17.77"/>
  </r>
  <r>
    <x v="4"/>
    <x v="4"/>
    <x v="7"/>
    <x v="0"/>
    <x v="2"/>
    <x v="0"/>
    <n v="0.28999999999999998"/>
    <n v="0.28999999999999998"/>
    <n v="0"/>
    <n v="0.23"/>
  </r>
  <r>
    <x v="4"/>
    <x v="4"/>
    <x v="7"/>
    <x v="4"/>
    <x v="2"/>
    <x v="2"/>
    <n v="15.38"/>
    <n v="15.41"/>
    <n v="0.51"/>
    <n v="12.82"/>
  </r>
  <r>
    <x v="4"/>
    <x v="4"/>
    <x v="7"/>
    <x v="2"/>
    <x v="0"/>
    <x v="0"/>
    <n v="122.54"/>
    <n v="122.79"/>
    <n v="124.32"/>
    <n v="115.28"/>
  </r>
  <r>
    <x v="4"/>
    <x v="4"/>
    <x v="7"/>
    <x v="4"/>
    <x v="1"/>
    <x v="2"/>
    <n v="21.56"/>
    <n v="21.6"/>
    <n v="0.88"/>
    <n v="17.97"/>
  </r>
  <r>
    <x v="4"/>
    <x v="4"/>
    <x v="7"/>
    <x v="1"/>
    <x v="2"/>
    <x v="0"/>
    <n v="166.9"/>
    <n v="167.23"/>
    <n v="3.98"/>
    <n v="153"/>
  </r>
  <r>
    <x v="4"/>
    <x v="4"/>
    <x v="7"/>
    <x v="4"/>
    <x v="1"/>
    <x v="1"/>
    <n v="14.04"/>
    <n v="14.07"/>
    <n v="0.45"/>
    <n v="11.64"/>
  </r>
  <r>
    <x v="4"/>
    <x v="4"/>
    <x v="7"/>
    <x v="4"/>
    <x v="4"/>
    <x v="0"/>
    <n v="546.55999999999995"/>
    <n v="547.66"/>
    <n v="151.91"/>
    <n v="505.44"/>
  </r>
  <r>
    <x v="4"/>
    <x v="4"/>
    <x v="7"/>
    <x v="1"/>
    <x v="4"/>
    <x v="0"/>
    <n v="3459.6"/>
    <n v="3466.54"/>
    <n v="1089.3900000000001"/>
    <n v="3174.97"/>
  </r>
  <r>
    <x v="4"/>
    <x v="4"/>
    <x v="7"/>
    <x v="1"/>
    <x v="3"/>
    <x v="1"/>
    <n v="7.66"/>
    <n v="7.67"/>
    <n v="0.08"/>
    <n v="6.38"/>
  </r>
  <r>
    <x v="4"/>
    <x v="4"/>
    <x v="7"/>
    <x v="2"/>
    <x v="4"/>
    <x v="0"/>
    <n v="137.76"/>
    <n v="138.03"/>
    <n v="61.92"/>
    <n v="127.02"/>
  </r>
  <r>
    <x v="4"/>
    <x v="4"/>
    <x v="7"/>
    <x v="1"/>
    <x v="1"/>
    <x v="0"/>
    <n v="1339.82"/>
    <n v="1342.51"/>
    <n v="136.57"/>
    <n v="1185.3599999999999"/>
  </r>
  <r>
    <x v="4"/>
    <x v="4"/>
    <x v="7"/>
    <x v="0"/>
    <x v="0"/>
    <x v="0"/>
    <n v="21.93"/>
    <n v="21.98"/>
    <n v="17.63"/>
    <n v="19.34"/>
  </r>
  <r>
    <x v="4"/>
    <x v="4"/>
    <x v="7"/>
    <x v="4"/>
    <x v="1"/>
    <x v="0"/>
    <n v="186.51"/>
    <n v="186.89"/>
    <n v="17.37"/>
    <n v="165.37"/>
  </r>
  <r>
    <x v="4"/>
    <x v="4"/>
    <x v="7"/>
    <x v="3"/>
    <x v="1"/>
    <x v="0"/>
    <n v="0.45"/>
    <n v="0.45"/>
    <n v="0.04"/>
    <n v="0.45"/>
  </r>
  <r>
    <x v="4"/>
    <x v="4"/>
    <x v="7"/>
    <x v="3"/>
    <x v="0"/>
    <x v="0"/>
    <n v="39.64"/>
    <n v="39.72"/>
    <n v="30.88"/>
    <n v="39.54"/>
  </r>
  <r>
    <x v="4"/>
    <x v="4"/>
    <x v="7"/>
    <x v="3"/>
    <x v="4"/>
    <x v="0"/>
    <n v="432.8"/>
    <n v="433.67"/>
    <n v="135.49"/>
    <n v="429.9"/>
  </r>
  <r>
    <x v="4"/>
    <x v="4"/>
    <x v="7"/>
    <x v="2"/>
    <x v="4"/>
    <x v="1"/>
    <n v="0.32"/>
    <n v="0.32"/>
    <n v="0"/>
    <n v="0.32"/>
  </r>
  <r>
    <x v="4"/>
    <x v="4"/>
    <x v="7"/>
    <x v="0"/>
    <x v="0"/>
    <x v="1"/>
    <n v="66.27"/>
    <n v="66.41"/>
    <n v="1.91"/>
    <n v="54.75"/>
  </r>
  <r>
    <x v="4"/>
    <x v="4"/>
    <x v="7"/>
    <x v="1"/>
    <x v="2"/>
    <x v="1"/>
    <n v="364.1"/>
    <n v="364.83"/>
    <n v="1.1200000000000001"/>
    <n v="301.12"/>
  </r>
  <r>
    <x v="4"/>
    <x v="4"/>
    <x v="7"/>
    <x v="1"/>
    <x v="1"/>
    <x v="1"/>
    <n v="247.12"/>
    <n v="247.62"/>
    <n v="1.63"/>
    <n v="204.49"/>
  </r>
  <r>
    <x v="4"/>
    <x v="4"/>
    <x v="7"/>
    <x v="1"/>
    <x v="4"/>
    <x v="1"/>
    <n v="22.35"/>
    <n v="22.39"/>
    <n v="0.69"/>
    <n v="18.53"/>
  </r>
  <r>
    <x v="4"/>
    <x v="4"/>
    <x v="7"/>
    <x v="1"/>
    <x v="0"/>
    <x v="1"/>
    <n v="39.200000000000003"/>
    <n v="39.28"/>
    <n v="1.48"/>
    <n v="32.479999999999997"/>
  </r>
  <r>
    <x v="4"/>
    <x v="4"/>
    <x v="7"/>
    <x v="0"/>
    <x v="1"/>
    <x v="1"/>
    <n v="0.09"/>
    <n v="0.09"/>
    <n v="0"/>
    <n v="7.0000000000000007E-2"/>
  </r>
  <r>
    <x v="4"/>
    <x v="4"/>
    <x v="7"/>
    <x v="0"/>
    <x v="4"/>
    <x v="1"/>
    <n v="126.05"/>
    <n v="126.31"/>
    <n v="2.0699999999999998"/>
    <n v="104.18"/>
  </r>
  <r>
    <x v="4"/>
    <x v="4"/>
    <x v="7"/>
    <x v="2"/>
    <x v="3"/>
    <x v="1"/>
    <n v="44.49"/>
    <n v="44.58"/>
    <n v="0.05"/>
    <n v="36.82"/>
  </r>
  <r>
    <x v="4"/>
    <x v="4"/>
    <x v="7"/>
    <x v="1"/>
    <x v="0"/>
    <x v="0"/>
    <n v="97.43"/>
    <n v="97.63"/>
    <n v="75.72"/>
    <n v="89.47"/>
  </r>
  <r>
    <x v="4"/>
    <x v="0"/>
    <x v="8"/>
    <x v="4"/>
    <x v="1"/>
    <x v="1"/>
    <n v="1.41"/>
    <n v="1.51"/>
    <n v="0.05"/>
    <n v="1.33"/>
  </r>
  <r>
    <x v="4"/>
    <x v="0"/>
    <x v="8"/>
    <x v="2"/>
    <x v="3"/>
    <x v="1"/>
    <n v="5.8"/>
    <n v="6.21"/>
    <n v="0"/>
    <n v="5.53"/>
  </r>
  <r>
    <x v="4"/>
    <x v="0"/>
    <x v="8"/>
    <x v="1"/>
    <x v="2"/>
    <x v="1"/>
    <n v="14.49"/>
    <n v="15.53"/>
    <n v="0.03"/>
    <n v="13.8"/>
  </r>
  <r>
    <x v="4"/>
    <x v="0"/>
    <x v="8"/>
    <x v="1"/>
    <x v="1"/>
    <x v="1"/>
    <n v="2.99"/>
    <n v="3.2"/>
    <n v="0.08"/>
    <n v="2.83"/>
  </r>
  <r>
    <x v="4"/>
    <x v="0"/>
    <x v="8"/>
    <x v="1"/>
    <x v="4"/>
    <x v="1"/>
    <n v="1.61"/>
    <n v="1.73"/>
    <n v="7.0000000000000007E-2"/>
    <n v="1.52"/>
  </r>
  <r>
    <x v="4"/>
    <x v="0"/>
    <x v="8"/>
    <x v="1"/>
    <x v="0"/>
    <x v="1"/>
    <n v="2.42"/>
    <n v="2.6"/>
    <n v="0.18"/>
    <n v="2.29"/>
  </r>
  <r>
    <x v="4"/>
    <x v="0"/>
    <x v="8"/>
    <x v="3"/>
    <x v="0"/>
    <x v="0"/>
    <n v="0"/>
    <n v="0"/>
    <n v="0"/>
    <n v="0"/>
  </r>
  <r>
    <x v="4"/>
    <x v="0"/>
    <x v="8"/>
    <x v="0"/>
    <x v="0"/>
    <x v="1"/>
    <n v="2.95"/>
    <n v="3.17"/>
    <n v="0.06"/>
    <n v="2.82"/>
  </r>
  <r>
    <x v="4"/>
    <x v="0"/>
    <x v="8"/>
    <x v="4"/>
    <x v="4"/>
    <x v="1"/>
    <n v="0.44"/>
    <n v="0.47"/>
    <n v="0.01"/>
    <n v="0.42"/>
  </r>
  <r>
    <x v="4"/>
    <x v="0"/>
    <x v="8"/>
    <x v="4"/>
    <x v="0"/>
    <x v="1"/>
    <n v="0.78"/>
    <n v="0.84"/>
    <n v="0.03"/>
    <n v="0.74"/>
  </r>
  <r>
    <x v="4"/>
    <x v="0"/>
    <x v="8"/>
    <x v="1"/>
    <x v="4"/>
    <x v="2"/>
    <n v="0.28000000000000003"/>
    <n v="0.3"/>
    <n v="0.02"/>
    <n v="0.26"/>
  </r>
  <r>
    <x v="4"/>
    <x v="0"/>
    <x v="8"/>
    <x v="4"/>
    <x v="2"/>
    <x v="2"/>
    <n v="0.46"/>
    <n v="0.5"/>
    <n v="0.01"/>
    <n v="0.43"/>
  </r>
  <r>
    <x v="4"/>
    <x v="0"/>
    <x v="8"/>
    <x v="4"/>
    <x v="1"/>
    <x v="2"/>
    <n v="0.32"/>
    <n v="0.35"/>
    <n v="0.01"/>
    <n v="0.3"/>
  </r>
  <r>
    <x v="4"/>
    <x v="0"/>
    <x v="8"/>
    <x v="4"/>
    <x v="4"/>
    <x v="2"/>
    <n v="0.25"/>
    <n v="0.27"/>
    <n v="0.01"/>
    <n v="0.23"/>
  </r>
  <r>
    <x v="4"/>
    <x v="0"/>
    <x v="8"/>
    <x v="0"/>
    <x v="4"/>
    <x v="1"/>
    <n v="0.81"/>
    <n v="0.86"/>
    <n v="0.01"/>
    <n v="0.77"/>
  </r>
  <r>
    <x v="4"/>
    <x v="0"/>
    <x v="8"/>
    <x v="1"/>
    <x v="1"/>
    <x v="0"/>
    <n v="6.78"/>
    <n v="7.27"/>
    <n v="0.32"/>
    <n v="6.33"/>
  </r>
  <r>
    <x v="4"/>
    <x v="0"/>
    <x v="8"/>
    <x v="2"/>
    <x v="3"/>
    <x v="2"/>
    <n v="2.83"/>
    <n v="3.03"/>
    <n v="0"/>
    <n v="2.67"/>
  </r>
  <r>
    <x v="4"/>
    <x v="0"/>
    <x v="8"/>
    <x v="2"/>
    <x v="0"/>
    <x v="0"/>
    <n v="2.89"/>
    <n v="3.1"/>
    <n v="1.86"/>
    <n v="2.73"/>
  </r>
  <r>
    <x v="4"/>
    <x v="0"/>
    <x v="8"/>
    <x v="3"/>
    <x v="4"/>
    <x v="0"/>
    <n v="0.37"/>
    <n v="0.39"/>
    <n v="0.13"/>
    <n v="0.34"/>
  </r>
  <r>
    <x v="4"/>
    <x v="0"/>
    <x v="8"/>
    <x v="1"/>
    <x v="2"/>
    <x v="0"/>
    <n v="11.3"/>
    <n v="12.11"/>
    <n v="0.12"/>
    <n v="10.66"/>
  </r>
  <r>
    <x v="4"/>
    <x v="0"/>
    <x v="8"/>
    <x v="2"/>
    <x v="4"/>
    <x v="0"/>
    <n v="2.0099999999999998"/>
    <n v="2.15"/>
    <n v="0.7"/>
    <n v="1.95"/>
  </r>
  <r>
    <x v="4"/>
    <x v="0"/>
    <x v="8"/>
    <x v="1"/>
    <x v="4"/>
    <x v="0"/>
    <n v="31.69"/>
    <n v="33.950000000000003"/>
    <n v="7.16"/>
    <n v="29.41"/>
  </r>
  <r>
    <x v="4"/>
    <x v="0"/>
    <x v="8"/>
    <x v="1"/>
    <x v="0"/>
    <x v="0"/>
    <n v="3.21"/>
    <n v="3.44"/>
    <n v="1.55"/>
    <n v="3.02"/>
  </r>
  <r>
    <x v="4"/>
    <x v="0"/>
    <x v="8"/>
    <x v="0"/>
    <x v="4"/>
    <x v="0"/>
    <n v="7.15"/>
    <n v="7.67"/>
    <n v="2.09"/>
    <n v="6.61"/>
  </r>
  <r>
    <x v="4"/>
    <x v="0"/>
    <x v="8"/>
    <x v="0"/>
    <x v="0"/>
    <x v="0"/>
    <n v="6.79"/>
    <n v="7.28"/>
    <n v="6.45"/>
    <n v="6.15"/>
  </r>
  <r>
    <x v="4"/>
    <x v="0"/>
    <x v="8"/>
    <x v="4"/>
    <x v="1"/>
    <x v="0"/>
    <n v="14.2"/>
    <n v="15.21"/>
    <n v="0.85"/>
    <n v="13.09"/>
  </r>
  <r>
    <x v="4"/>
    <x v="0"/>
    <x v="8"/>
    <x v="4"/>
    <x v="4"/>
    <x v="0"/>
    <n v="19.64"/>
    <n v="21.05"/>
    <n v="3.31"/>
    <n v="18.149999999999999"/>
  </r>
  <r>
    <x v="4"/>
    <x v="5"/>
    <x v="9"/>
    <x v="0"/>
    <x v="4"/>
    <x v="1"/>
    <n v="0.21"/>
    <n v="0.22"/>
    <n v="0.01"/>
    <n v="0.19"/>
  </r>
  <r>
    <x v="4"/>
    <x v="5"/>
    <x v="9"/>
    <x v="0"/>
    <x v="0"/>
    <x v="1"/>
    <n v="0.49"/>
    <n v="0.52"/>
    <n v="0.02"/>
    <n v="0.45"/>
  </r>
  <r>
    <x v="4"/>
    <x v="5"/>
    <x v="9"/>
    <x v="4"/>
    <x v="1"/>
    <x v="1"/>
    <n v="0.09"/>
    <n v="0.09"/>
    <n v="0"/>
    <n v="0.08"/>
  </r>
  <r>
    <x v="4"/>
    <x v="5"/>
    <x v="9"/>
    <x v="1"/>
    <x v="0"/>
    <x v="1"/>
    <n v="0.19"/>
    <n v="0.2"/>
    <n v="0.01"/>
    <n v="0.18"/>
  </r>
  <r>
    <x v="4"/>
    <x v="5"/>
    <x v="9"/>
    <x v="4"/>
    <x v="4"/>
    <x v="1"/>
    <n v="0.1"/>
    <n v="0.11"/>
    <n v="0"/>
    <n v="0.1"/>
  </r>
  <r>
    <x v="4"/>
    <x v="5"/>
    <x v="9"/>
    <x v="4"/>
    <x v="0"/>
    <x v="1"/>
    <n v="0.03"/>
    <n v="0.03"/>
    <n v="0"/>
    <n v="0.03"/>
  </r>
  <r>
    <x v="4"/>
    <x v="5"/>
    <x v="9"/>
    <x v="2"/>
    <x v="3"/>
    <x v="3"/>
    <n v="1.1100000000000001"/>
    <n v="1.18"/>
    <n v="0"/>
    <n v="1.1100000000000001"/>
  </r>
  <r>
    <x v="4"/>
    <x v="5"/>
    <x v="9"/>
    <x v="1"/>
    <x v="4"/>
    <x v="1"/>
    <n v="0.06"/>
    <n v="7.0000000000000007E-2"/>
    <n v="0"/>
    <n v="0.06"/>
  </r>
  <r>
    <x v="4"/>
    <x v="5"/>
    <x v="9"/>
    <x v="4"/>
    <x v="2"/>
    <x v="2"/>
    <n v="0.8"/>
    <n v="0.84"/>
    <n v="0"/>
    <n v="0.69"/>
  </r>
  <r>
    <x v="4"/>
    <x v="5"/>
    <x v="9"/>
    <x v="1"/>
    <x v="0"/>
    <x v="0"/>
    <n v="6.16"/>
    <n v="6.54"/>
    <n v="3.29"/>
    <n v="5.87"/>
  </r>
  <r>
    <x v="4"/>
    <x v="5"/>
    <x v="9"/>
    <x v="4"/>
    <x v="1"/>
    <x v="2"/>
    <n v="0.28000000000000003"/>
    <n v="0.3"/>
    <n v="0.01"/>
    <n v="0.25"/>
  </r>
  <r>
    <x v="4"/>
    <x v="5"/>
    <x v="9"/>
    <x v="1"/>
    <x v="4"/>
    <x v="2"/>
    <n v="2.34"/>
    <n v="2.48"/>
    <n v="0.01"/>
    <n v="2.08"/>
  </r>
  <r>
    <x v="4"/>
    <x v="5"/>
    <x v="9"/>
    <x v="1"/>
    <x v="2"/>
    <x v="1"/>
    <n v="2.17"/>
    <n v="2.2999999999999998"/>
    <n v="0.02"/>
    <n v="2.0299999999999998"/>
  </r>
  <r>
    <x v="4"/>
    <x v="5"/>
    <x v="9"/>
    <x v="3"/>
    <x v="0"/>
    <x v="0"/>
    <n v="0.28999999999999998"/>
    <n v="0.31"/>
    <n v="0.27"/>
    <n v="0.28999999999999998"/>
  </r>
  <r>
    <x v="4"/>
    <x v="5"/>
    <x v="9"/>
    <x v="3"/>
    <x v="4"/>
    <x v="0"/>
    <n v="0.73"/>
    <n v="0.78"/>
    <n v="0.17"/>
    <n v="0.69"/>
  </r>
  <r>
    <x v="4"/>
    <x v="5"/>
    <x v="9"/>
    <x v="4"/>
    <x v="4"/>
    <x v="0"/>
    <n v="18.48"/>
    <n v="19.61"/>
    <n v="2.37"/>
    <n v="17.22"/>
  </r>
  <r>
    <x v="4"/>
    <x v="5"/>
    <x v="9"/>
    <x v="4"/>
    <x v="1"/>
    <x v="0"/>
    <n v="3.38"/>
    <n v="3.59"/>
    <n v="0.24"/>
    <n v="3.13"/>
  </r>
  <r>
    <x v="4"/>
    <x v="5"/>
    <x v="9"/>
    <x v="0"/>
    <x v="4"/>
    <x v="0"/>
    <n v="8.6"/>
    <n v="9.1300000000000008"/>
    <n v="2.2000000000000002"/>
    <n v="8.14"/>
  </r>
  <r>
    <x v="4"/>
    <x v="5"/>
    <x v="9"/>
    <x v="1"/>
    <x v="4"/>
    <x v="0"/>
    <n v="65.819999999999993"/>
    <n v="69.86"/>
    <n v="14.35"/>
    <n v="61.19"/>
  </r>
  <r>
    <x v="4"/>
    <x v="5"/>
    <x v="9"/>
    <x v="2"/>
    <x v="4"/>
    <x v="0"/>
    <n v="2.44"/>
    <n v="2.59"/>
    <n v="0.62"/>
    <n v="2.31"/>
  </r>
  <r>
    <x v="4"/>
    <x v="5"/>
    <x v="9"/>
    <x v="2"/>
    <x v="0"/>
    <x v="0"/>
    <n v="3.74"/>
    <n v="3.97"/>
    <n v="2.4900000000000002"/>
    <n v="3.55"/>
  </r>
  <r>
    <x v="4"/>
    <x v="5"/>
    <x v="9"/>
    <x v="1"/>
    <x v="1"/>
    <x v="0"/>
    <n v="7.18"/>
    <n v="7.62"/>
    <n v="0.69"/>
    <n v="6.63"/>
  </r>
  <r>
    <x v="4"/>
    <x v="5"/>
    <x v="9"/>
    <x v="4"/>
    <x v="4"/>
    <x v="2"/>
    <n v="0.56999999999999995"/>
    <n v="0.61"/>
    <n v="0.03"/>
    <n v="0.51"/>
  </r>
  <r>
    <x v="4"/>
    <x v="5"/>
    <x v="9"/>
    <x v="1"/>
    <x v="1"/>
    <x v="1"/>
    <n v="0.28999999999999998"/>
    <n v="0.3"/>
    <n v="0"/>
    <n v="0.27"/>
  </r>
  <r>
    <x v="4"/>
    <x v="5"/>
    <x v="9"/>
    <x v="0"/>
    <x v="0"/>
    <x v="0"/>
    <n v="3.56"/>
    <n v="3.78"/>
    <n v="2.2799999999999998"/>
    <n v="3.26"/>
  </r>
  <r>
    <x v="4"/>
    <x v="5"/>
    <x v="9"/>
    <x v="2"/>
    <x v="3"/>
    <x v="1"/>
    <n v="0.3"/>
    <n v="0.32"/>
    <n v="0"/>
    <n v="0.27"/>
  </r>
  <r>
    <x v="4"/>
    <x v="2"/>
    <x v="10"/>
    <x v="1"/>
    <x v="0"/>
    <x v="0"/>
    <n v="3.61"/>
    <n v="3.61"/>
    <n v="1.77"/>
    <n v="3.41"/>
  </r>
  <r>
    <x v="4"/>
    <x v="2"/>
    <x v="10"/>
    <x v="4"/>
    <x v="1"/>
    <x v="2"/>
    <n v="0.26"/>
    <n v="0.26"/>
    <n v="0.01"/>
    <n v="0.23"/>
  </r>
  <r>
    <x v="4"/>
    <x v="2"/>
    <x v="10"/>
    <x v="4"/>
    <x v="4"/>
    <x v="2"/>
    <n v="0.44"/>
    <n v="0.44"/>
    <n v="0.01"/>
    <n v="0.38"/>
  </r>
  <r>
    <x v="4"/>
    <x v="2"/>
    <x v="10"/>
    <x v="2"/>
    <x v="3"/>
    <x v="2"/>
    <n v="8.0299999999999994"/>
    <n v="8.0299999999999994"/>
    <n v="0.03"/>
    <n v="8.0299999999999994"/>
  </r>
  <r>
    <x v="4"/>
    <x v="2"/>
    <x v="10"/>
    <x v="2"/>
    <x v="2"/>
    <x v="3"/>
    <n v="0.02"/>
    <n v="0.02"/>
    <n v="0"/>
    <n v="0.02"/>
  </r>
  <r>
    <x v="4"/>
    <x v="2"/>
    <x v="10"/>
    <x v="2"/>
    <x v="3"/>
    <x v="3"/>
    <n v="12.2"/>
    <n v="12.2"/>
    <n v="0.01"/>
    <n v="12.2"/>
  </r>
  <r>
    <x v="4"/>
    <x v="2"/>
    <x v="10"/>
    <x v="4"/>
    <x v="0"/>
    <x v="1"/>
    <n v="0.06"/>
    <n v="0.06"/>
    <n v="0"/>
    <n v="0.05"/>
  </r>
  <r>
    <x v="4"/>
    <x v="2"/>
    <x v="10"/>
    <x v="2"/>
    <x v="4"/>
    <x v="0"/>
    <n v="1.96"/>
    <n v="1.96"/>
    <n v="0.37"/>
    <n v="1.84"/>
  </r>
  <r>
    <x v="4"/>
    <x v="2"/>
    <x v="10"/>
    <x v="2"/>
    <x v="0"/>
    <x v="0"/>
    <n v="2.95"/>
    <n v="2.95"/>
    <n v="1.24"/>
    <n v="2.75"/>
  </r>
  <r>
    <x v="4"/>
    <x v="2"/>
    <x v="10"/>
    <x v="1"/>
    <x v="2"/>
    <x v="0"/>
    <n v="0.4"/>
    <n v="0.4"/>
    <n v="0"/>
    <n v="0.37"/>
  </r>
  <r>
    <x v="4"/>
    <x v="2"/>
    <x v="10"/>
    <x v="1"/>
    <x v="4"/>
    <x v="2"/>
    <n v="1.49"/>
    <n v="1.49"/>
    <n v="0.03"/>
    <n v="1.3"/>
  </r>
  <r>
    <x v="4"/>
    <x v="2"/>
    <x v="10"/>
    <x v="1"/>
    <x v="4"/>
    <x v="0"/>
    <n v="78.239999999999995"/>
    <n v="78.25"/>
    <n v="12.02"/>
    <n v="72.459999999999994"/>
  </r>
  <r>
    <x v="4"/>
    <x v="2"/>
    <x v="10"/>
    <x v="0"/>
    <x v="4"/>
    <x v="0"/>
    <n v="7.24"/>
    <n v="7.24"/>
    <n v="1.76"/>
    <n v="6.76"/>
  </r>
  <r>
    <x v="4"/>
    <x v="2"/>
    <x v="10"/>
    <x v="0"/>
    <x v="0"/>
    <x v="0"/>
    <n v="4.91"/>
    <n v="4.91"/>
    <n v="2.25"/>
    <n v="4.51"/>
  </r>
  <r>
    <x v="4"/>
    <x v="2"/>
    <x v="10"/>
    <x v="1"/>
    <x v="1"/>
    <x v="1"/>
    <n v="0.91"/>
    <n v="0.91"/>
    <n v="0.01"/>
    <n v="0.83"/>
  </r>
  <r>
    <x v="4"/>
    <x v="2"/>
    <x v="10"/>
    <x v="1"/>
    <x v="4"/>
    <x v="1"/>
    <n v="0.24"/>
    <n v="0.24"/>
    <n v="0.01"/>
    <n v="0.22"/>
  </r>
  <r>
    <x v="4"/>
    <x v="2"/>
    <x v="10"/>
    <x v="0"/>
    <x v="4"/>
    <x v="1"/>
    <n v="0.61"/>
    <n v="0.61"/>
    <n v="0.02"/>
    <n v="0.55000000000000004"/>
  </r>
  <r>
    <x v="4"/>
    <x v="2"/>
    <x v="10"/>
    <x v="0"/>
    <x v="0"/>
    <x v="1"/>
    <n v="1.65"/>
    <n v="1.65"/>
    <n v="7.0000000000000007E-2"/>
    <n v="1.49"/>
  </r>
  <r>
    <x v="4"/>
    <x v="2"/>
    <x v="10"/>
    <x v="1"/>
    <x v="1"/>
    <x v="0"/>
    <n v="8"/>
    <n v="8"/>
    <n v="0.59"/>
    <n v="7.38"/>
  </r>
  <r>
    <x v="4"/>
    <x v="2"/>
    <x v="10"/>
    <x v="4"/>
    <x v="4"/>
    <x v="1"/>
    <n v="0.37"/>
    <n v="0.37"/>
    <n v="0.01"/>
    <n v="0.34"/>
  </r>
  <r>
    <x v="4"/>
    <x v="2"/>
    <x v="10"/>
    <x v="1"/>
    <x v="0"/>
    <x v="1"/>
    <n v="0.54"/>
    <n v="0.54"/>
    <n v="0.04"/>
    <n v="0.49"/>
  </r>
  <r>
    <x v="4"/>
    <x v="2"/>
    <x v="10"/>
    <x v="4"/>
    <x v="1"/>
    <x v="1"/>
    <n v="0.25"/>
    <n v="0.25"/>
    <n v="0"/>
    <n v="0.23"/>
  </r>
  <r>
    <x v="4"/>
    <x v="2"/>
    <x v="10"/>
    <x v="1"/>
    <x v="2"/>
    <x v="1"/>
    <n v="5.43"/>
    <n v="5.43"/>
    <n v="0.03"/>
    <n v="4.8899999999999997"/>
  </r>
  <r>
    <x v="4"/>
    <x v="2"/>
    <x v="10"/>
    <x v="2"/>
    <x v="3"/>
    <x v="1"/>
    <n v="0.71"/>
    <n v="0.71"/>
    <n v="0"/>
    <n v="0.65"/>
  </r>
  <r>
    <x v="4"/>
    <x v="2"/>
    <x v="10"/>
    <x v="3"/>
    <x v="0"/>
    <x v="0"/>
    <n v="0.3"/>
    <n v="0.3"/>
    <n v="0.27"/>
    <n v="0.3"/>
  </r>
  <r>
    <x v="4"/>
    <x v="2"/>
    <x v="10"/>
    <x v="3"/>
    <x v="4"/>
    <x v="0"/>
    <n v="0.89"/>
    <n v="0.89"/>
    <n v="0.18"/>
    <n v="0.84"/>
  </r>
  <r>
    <x v="4"/>
    <x v="2"/>
    <x v="10"/>
    <x v="3"/>
    <x v="1"/>
    <x v="0"/>
    <n v="0.02"/>
    <n v="0.02"/>
    <n v="0"/>
    <n v="0.02"/>
  </r>
  <r>
    <x v="4"/>
    <x v="2"/>
    <x v="10"/>
    <x v="4"/>
    <x v="4"/>
    <x v="0"/>
    <n v="55.32"/>
    <n v="55.32"/>
    <n v="6.27"/>
    <n v="51.19"/>
  </r>
  <r>
    <x v="4"/>
    <x v="2"/>
    <x v="10"/>
    <x v="4"/>
    <x v="1"/>
    <x v="0"/>
    <n v="15.24"/>
    <n v="15.24"/>
    <n v="0.94"/>
    <n v="14.09"/>
  </r>
  <r>
    <x v="4"/>
    <x v="2"/>
    <x v="11"/>
    <x v="3"/>
    <x v="0"/>
    <x v="0"/>
    <n v="0.38"/>
    <n v="0.38"/>
    <n v="0.32"/>
    <n v="0.37"/>
  </r>
  <r>
    <x v="4"/>
    <x v="2"/>
    <x v="11"/>
    <x v="1"/>
    <x v="4"/>
    <x v="1"/>
    <n v="0.12"/>
    <n v="0.12"/>
    <n v="0.01"/>
    <n v="0.11"/>
  </r>
  <r>
    <x v="4"/>
    <x v="2"/>
    <x v="11"/>
    <x v="1"/>
    <x v="1"/>
    <x v="1"/>
    <n v="0.6"/>
    <n v="0.6"/>
    <n v="0.01"/>
    <n v="0.56000000000000005"/>
  </r>
  <r>
    <x v="4"/>
    <x v="2"/>
    <x v="11"/>
    <x v="2"/>
    <x v="3"/>
    <x v="1"/>
    <n v="0.62"/>
    <n v="0.62"/>
    <n v="0"/>
    <n v="0.56000000000000005"/>
  </r>
  <r>
    <x v="4"/>
    <x v="2"/>
    <x v="11"/>
    <x v="3"/>
    <x v="4"/>
    <x v="0"/>
    <n v="1.17"/>
    <n v="1.17"/>
    <n v="0.28000000000000003"/>
    <n v="1.0900000000000001"/>
  </r>
  <r>
    <x v="4"/>
    <x v="2"/>
    <x v="11"/>
    <x v="1"/>
    <x v="2"/>
    <x v="1"/>
    <n v="3.79"/>
    <n v="3.79"/>
    <n v="0.02"/>
    <n v="3.41"/>
  </r>
  <r>
    <x v="4"/>
    <x v="2"/>
    <x v="11"/>
    <x v="1"/>
    <x v="0"/>
    <x v="1"/>
    <n v="0.34"/>
    <n v="0.34"/>
    <n v="0.02"/>
    <n v="0.31"/>
  </r>
  <r>
    <x v="4"/>
    <x v="2"/>
    <x v="11"/>
    <x v="0"/>
    <x v="4"/>
    <x v="1"/>
    <n v="0.38"/>
    <n v="0.38"/>
    <n v="0.01"/>
    <n v="0.34"/>
  </r>
  <r>
    <x v="4"/>
    <x v="2"/>
    <x v="11"/>
    <x v="0"/>
    <x v="0"/>
    <x v="1"/>
    <n v="1.1000000000000001"/>
    <n v="1.1000000000000001"/>
    <n v="0.04"/>
    <n v="0.99"/>
  </r>
  <r>
    <x v="4"/>
    <x v="2"/>
    <x v="11"/>
    <x v="4"/>
    <x v="1"/>
    <x v="1"/>
    <n v="0.18"/>
    <n v="0.18"/>
    <n v="0"/>
    <n v="0.17"/>
  </r>
  <r>
    <x v="4"/>
    <x v="2"/>
    <x v="11"/>
    <x v="4"/>
    <x v="4"/>
    <x v="1"/>
    <n v="0.2"/>
    <n v="0.2"/>
    <n v="0"/>
    <n v="0.18"/>
  </r>
  <r>
    <x v="4"/>
    <x v="2"/>
    <x v="11"/>
    <x v="4"/>
    <x v="0"/>
    <x v="1"/>
    <n v="0.05"/>
    <n v="0.05"/>
    <n v="0"/>
    <n v="0.05"/>
  </r>
  <r>
    <x v="4"/>
    <x v="2"/>
    <x v="11"/>
    <x v="2"/>
    <x v="3"/>
    <x v="3"/>
    <n v="1.64"/>
    <n v="1.64"/>
    <n v="0"/>
    <n v="1.64"/>
  </r>
  <r>
    <x v="4"/>
    <x v="2"/>
    <x v="11"/>
    <x v="1"/>
    <x v="4"/>
    <x v="2"/>
    <n v="2.78"/>
    <n v="2.79"/>
    <n v="0.03"/>
    <n v="2.42"/>
  </r>
  <r>
    <x v="4"/>
    <x v="2"/>
    <x v="11"/>
    <x v="3"/>
    <x v="1"/>
    <x v="0"/>
    <n v="0.02"/>
    <n v="0.02"/>
    <n v="0"/>
    <n v="0.02"/>
  </r>
  <r>
    <x v="4"/>
    <x v="2"/>
    <x v="11"/>
    <x v="4"/>
    <x v="1"/>
    <x v="2"/>
    <n v="0.43"/>
    <n v="0.43"/>
    <n v="0.02"/>
    <n v="0.37"/>
  </r>
  <r>
    <x v="4"/>
    <x v="2"/>
    <x v="11"/>
    <x v="4"/>
    <x v="2"/>
    <x v="2"/>
    <n v="1.1200000000000001"/>
    <n v="1.1200000000000001"/>
    <n v="0.01"/>
    <n v="0.98"/>
  </r>
  <r>
    <x v="4"/>
    <x v="2"/>
    <x v="11"/>
    <x v="4"/>
    <x v="4"/>
    <x v="2"/>
    <n v="0.81"/>
    <n v="0.81"/>
    <n v="0.05"/>
    <n v="0.71"/>
  </r>
  <r>
    <x v="4"/>
    <x v="2"/>
    <x v="11"/>
    <x v="4"/>
    <x v="4"/>
    <x v="0"/>
    <n v="84.47"/>
    <n v="84.52"/>
    <n v="9.5500000000000007"/>
    <n v="77.430000000000007"/>
  </r>
  <r>
    <x v="4"/>
    <x v="2"/>
    <x v="11"/>
    <x v="2"/>
    <x v="4"/>
    <x v="0"/>
    <n v="1.03"/>
    <n v="1.03"/>
    <n v="0.27"/>
    <n v="0.96"/>
  </r>
  <r>
    <x v="4"/>
    <x v="2"/>
    <x v="11"/>
    <x v="2"/>
    <x v="0"/>
    <x v="0"/>
    <n v="3.42"/>
    <n v="3.42"/>
    <n v="1.66"/>
    <n v="3.16"/>
  </r>
  <r>
    <x v="4"/>
    <x v="2"/>
    <x v="11"/>
    <x v="1"/>
    <x v="1"/>
    <x v="0"/>
    <n v="11.25"/>
    <n v="11.26"/>
    <n v="0.79"/>
    <n v="10.29"/>
  </r>
  <r>
    <x v="4"/>
    <x v="2"/>
    <x v="11"/>
    <x v="1"/>
    <x v="4"/>
    <x v="0"/>
    <n v="90.13"/>
    <n v="90.18"/>
    <n v="16.32"/>
    <n v="82.56"/>
  </r>
  <r>
    <x v="4"/>
    <x v="2"/>
    <x v="11"/>
    <x v="1"/>
    <x v="0"/>
    <x v="0"/>
    <n v="5.01"/>
    <n v="5.01"/>
    <n v="2.6"/>
    <n v="4.7300000000000004"/>
  </r>
  <r>
    <x v="4"/>
    <x v="2"/>
    <x v="11"/>
    <x v="0"/>
    <x v="4"/>
    <x v="0"/>
    <n v="11.77"/>
    <n v="11.78"/>
    <n v="2.82"/>
    <n v="10.73"/>
  </r>
  <r>
    <x v="4"/>
    <x v="2"/>
    <x v="11"/>
    <x v="0"/>
    <x v="0"/>
    <x v="0"/>
    <n v="7.24"/>
    <n v="7.25"/>
    <n v="4.0999999999999996"/>
    <n v="6.58"/>
  </r>
  <r>
    <x v="4"/>
    <x v="2"/>
    <x v="11"/>
    <x v="4"/>
    <x v="1"/>
    <x v="0"/>
    <n v="13.21"/>
    <n v="13.21"/>
    <n v="0.7"/>
    <n v="12.05"/>
  </r>
  <r>
    <x v="4"/>
    <x v="2"/>
    <x v="11"/>
    <x v="0"/>
    <x v="2"/>
    <x v="0"/>
    <n v="0.13"/>
    <n v="0.13"/>
    <n v="0"/>
    <n v="0.13"/>
  </r>
  <r>
    <x v="4"/>
    <x v="2"/>
    <x v="12"/>
    <x v="1"/>
    <x v="1"/>
    <x v="0"/>
    <n v="70.06"/>
    <n v="70.099999999999994"/>
    <n v="4.2300000000000004"/>
    <n v="65.59"/>
  </r>
  <r>
    <x v="4"/>
    <x v="2"/>
    <x v="12"/>
    <x v="1"/>
    <x v="2"/>
    <x v="1"/>
    <n v="42.25"/>
    <n v="42.27"/>
    <n v="0.25"/>
    <n v="38.78"/>
  </r>
  <r>
    <x v="4"/>
    <x v="2"/>
    <x v="12"/>
    <x v="1"/>
    <x v="1"/>
    <x v="1"/>
    <n v="40.32"/>
    <n v="40.35"/>
    <n v="0.5"/>
    <n v="39.869999999999997"/>
  </r>
  <r>
    <x v="4"/>
    <x v="2"/>
    <x v="12"/>
    <x v="1"/>
    <x v="4"/>
    <x v="1"/>
    <n v="24.62"/>
    <n v="24.63"/>
    <n v="0.14000000000000001"/>
    <n v="24.06"/>
  </r>
  <r>
    <x v="4"/>
    <x v="2"/>
    <x v="12"/>
    <x v="1"/>
    <x v="0"/>
    <x v="1"/>
    <n v="21.77"/>
    <n v="21.79"/>
    <n v="1.22"/>
    <n v="21.4"/>
  </r>
  <r>
    <x v="4"/>
    <x v="2"/>
    <x v="12"/>
    <x v="0"/>
    <x v="4"/>
    <x v="1"/>
    <n v="3.42"/>
    <n v="3.43"/>
    <n v="0.09"/>
    <n v="3.08"/>
  </r>
  <r>
    <x v="4"/>
    <x v="2"/>
    <x v="12"/>
    <x v="0"/>
    <x v="0"/>
    <x v="1"/>
    <n v="11.29"/>
    <n v="11.3"/>
    <n v="0.45"/>
    <n v="10.17"/>
  </r>
  <r>
    <x v="4"/>
    <x v="2"/>
    <x v="12"/>
    <x v="4"/>
    <x v="1"/>
    <x v="1"/>
    <n v="1.66"/>
    <n v="1.66"/>
    <n v="0.02"/>
    <n v="1.52"/>
  </r>
  <r>
    <x v="4"/>
    <x v="2"/>
    <x v="12"/>
    <x v="4"/>
    <x v="4"/>
    <x v="1"/>
    <n v="2.13"/>
    <n v="2.13"/>
    <n v="0.04"/>
    <n v="1.95"/>
  </r>
  <r>
    <x v="4"/>
    <x v="2"/>
    <x v="12"/>
    <x v="4"/>
    <x v="0"/>
    <x v="1"/>
    <n v="0.36"/>
    <n v="0.36"/>
    <n v="0.03"/>
    <n v="0.33"/>
  </r>
  <r>
    <x v="4"/>
    <x v="2"/>
    <x v="12"/>
    <x v="0"/>
    <x v="2"/>
    <x v="0"/>
    <n v="0.48"/>
    <n v="0.48"/>
    <n v="0.01"/>
    <n v="0.47"/>
  </r>
  <r>
    <x v="4"/>
    <x v="2"/>
    <x v="12"/>
    <x v="2"/>
    <x v="4"/>
    <x v="0"/>
    <n v="21.3"/>
    <n v="21.31"/>
    <n v="4.5"/>
    <n v="20.149999999999999"/>
  </r>
  <r>
    <x v="4"/>
    <x v="2"/>
    <x v="12"/>
    <x v="1"/>
    <x v="4"/>
    <x v="0"/>
    <n v="614.39"/>
    <n v="614.72"/>
    <n v="96.66"/>
    <n v="577"/>
  </r>
  <r>
    <x v="4"/>
    <x v="2"/>
    <x v="12"/>
    <x v="1"/>
    <x v="2"/>
    <x v="0"/>
    <n v="19.32"/>
    <n v="19.329999999999998"/>
    <n v="0.68"/>
    <n v="18.190000000000001"/>
  </r>
  <r>
    <x v="4"/>
    <x v="2"/>
    <x v="12"/>
    <x v="2"/>
    <x v="3"/>
    <x v="1"/>
    <n v="5.79"/>
    <n v="5.79"/>
    <n v="0.01"/>
    <n v="5.31"/>
  </r>
  <r>
    <x v="4"/>
    <x v="2"/>
    <x v="12"/>
    <x v="1"/>
    <x v="1"/>
    <x v="2"/>
    <n v="0.55000000000000004"/>
    <n v="0.55000000000000004"/>
    <n v="0"/>
    <n v="0.55000000000000004"/>
  </r>
  <r>
    <x v="4"/>
    <x v="2"/>
    <x v="12"/>
    <x v="2"/>
    <x v="0"/>
    <x v="0"/>
    <n v="31.3"/>
    <n v="31.32"/>
    <n v="17.71"/>
    <n v="29.64"/>
  </r>
  <r>
    <x v="4"/>
    <x v="2"/>
    <x v="12"/>
    <x v="2"/>
    <x v="3"/>
    <x v="3"/>
    <n v="84.08"/>
    <n v="84.12"/>
    <n v="0.06"/>
    <n v="84.08"/>
  </r>
  <r>
    <x v="4"/>
    <x v="2"/>
    <x v="12"/>
    <x v="2"/>
    <x v="2"/>
    <x v="3"/>
    <n v="0.09"/>
    <n v="0.09"/>
    <n v="0"/>
    <n v="0.09"/>
  </r>
  <r>
    <x v="4"/>
    <x v="2"/>
    <x v="12"/>
    <x v="2"/>
    <x v="3"/>
    <x v="2"/>
    <n v="12.9"/>
    <n v="12.91"/>
    <n v="0.01"/>
    <n v="11.6"/>
  </r>
  <r>
    <x v="4"/>
    <x v="2"/>
    <x v="12"/>
    <x v="1"/>
    <x v="3"/>
    <x v="2"/>
    <n v="1.65"/>
    <n v="1.65"/>
    <n v="0.01"/>
    <n v="1.45"/>
  </r>
  <r>
    <x v="4"/>
    <x v="2"/>
    <x v="12"/>
    <x v="1"/>
    <x v="0"/>
    <x v="0"/>
    <n v="50.03"/>
    <n v="50.06"/>
    <n v="26.61"/>
    <n v="47.78"/>
  </r>
  <r>
    <x v="4"/>
    <x v="2"/>
    <x v="12"/>
    <x v="4"/>
    <x v="1"/>
    <x v="2"/>
    <n v="0.57999999999999996"/>
    <n v="0.57999999999999996"/>
    <n v="0.02"/>
    <n v="0.51"/>
  </r>
  <r>
    <x v="4"/>
    <x v="2"/>
    <x v="12"/>
    <x v="2"/>
    <x v="2"/>
    <x v="0"/>
    <n v="1.53"/>
    <n v="1.53"/>
    <n v="0"/>
    <n v="1.4"/>
  </r>
  <r>
    <x v="4"/>
    <x v="2"/>
    <x v="12"/>
    <x v="3"/>
    <x v="0"/>
    <x v="0"/>
    <n v="8.43"/>
    <n v="8.44"/>
    <n v="6.86"/>
    <n v="8.2899999999999991"/>
  </r>
  <r>
    <x v="4"/>
    <x v="2"/>
    <x v="12"/>
    <x v="4"/>
    <x v="2"/>
    <x v="2"/>
    <n v="1.83"/>
    <n v="1.83"/>
    <n v="0.01"/>
    <n v="1.61"/>
  </r>
  <r>
    <x v="4"/>
    <x v="2"/>
    <x v="12"/>
    <x v="4"/>
    <x v="4"/>
    <x v="2"/>
    <n v="1.21"/>
    <n v="1.21"/>
    <n v="7.0000000000000007E-2"/>
    <n v="1.06"/>
  </r>
  <r>
    <x v="4"/>
    <x v="2"/>
    <x v="12"/>
    <x v="1"/>
    <x v="4"/>
    <x v="2"/>
    <n v="4.71"/>
    <n v="4.71"/>
    <n v="0.11"/>
    <n v="4.13"/>
  </r>
  <r>
    <x v="4"/>
    <x v="2"/>
    <x v="12"/>
    <x v="0"/>
    <x v="4"/>
    <x v="0"/>
    <n v="68.349999999999994"/>
    <n v="68.39"/>
    <n v="16.28"/>
    <n v="64.59"/>
  </r>
  <r>
    <x v="4"/>
    <x v="2"/>
    <x v="12"/>
    <x v="4"/>
    <x v="2"/>
    <x v="0"/>
    <n v="0.44"/>
    <n v="0.44"/>
    <n v="0"/>
    <n v="0.4"/>
  </r>
  <r>
    <x v="4"/>
    <x v="2"/>
    <x v="12"/>
    <x v="4"/>
    <x v="1"/>
    <x v="0"/>
    <n v="39.86"/>
    <n v="39.880000000000003"/>
    <n v="2.86"/>
    <n v="36.950000000000003"/>
  </r>
  <r>
    <x v="4"/>
    <x v="2"/>
    <x v="12"/>
    <x v="4"/>
    <x v="4"/>
    <x v="0"/>
    <n v="290.02"/>
    <n v="290.17"/>
    <n v="26.03"/>
    <n v="278.39999999999998"/>
  </r>
  <r>
    <x v="4"/>
    <x v="2"/>
    <x v="12"/>
    <x v="3"/>
    <x v="1"/>
    <x v="0"/>
    <n v="0.28999999999999998"/>
    <n v="0.28999999999999998"/>
    <n v="0.03"/>
    <n v="0.28000000000000003"/>
  </r>
  <r>
    <x v="4"/>
    <x v="2"/>
    <x v="12"/>
    <x v="0"/>
    <x v="0"/>
    <x v="0"/>
    <n v="25.43"/>
    <n v="25.44"/>
    <n v="14.76"/>
    <n v="23.31"/>
  </r>
  <r>
    <x v="4"/>
    <x v="2"/>
    <x v="12"/>
    <x v="3"/>
    <x v="4"/>
    <x v="0"/>
    <n v="25.34"/>
    <n v="25.35"/>
    <n v="5.94"/>
    <n v="23.57"/>
  </r>
  <r>
    <x v="4"/>
    <x v="2"/>
    <x v="13"/>
    <x v="1"/>
    <x v="3"/>
    <x v="1"/>
    <n v="2.74"/>
    <n v="2.74"/>
    <n v="0.03"/>
    <n v="2.74"/>
  </r>
  <r>
    <x v="4"/>
    <x v="2"/>
    <x v="13"/>
    <x v="4"/>
    <x v="4"/>
    <x v="0"/>
    <n v="374.36"/>
    <n v="374.57"/>
    <n v="42.52"/>
    <n v="346.96"/>
  </r>
  <r>
    <x v="4"/>
    <x v="2"/>
    <x v="13"/>
    <x v="3"/>
    <x v="1"/>
    <x v="0"/>
    <n v="16.72"/>
    <n v="16.73"/>
    <n v="5.88"/>
    <n v="16.71"/>
  </r>
  <r>
    <x v="4"/>
    <x v="2"/>
    <x v="13"/>
    <x v="3"/>
    <x v="4"/>
    <x v="0"/>
    <n v="106.72"/>
    <n v="106.78"/>
    <n v="41.44"/>
    <n v="103.33"/>
  </r>
  <r>
    <x v="4"/>
    <x v="2"/>
    <x v="13"/>
    <x v="3"/>
    <x v="0"/>
    <x v="0"/>
    <n v="5.38"/>
    <n v="5.38"/>
    <n v="4.28"/>
    <n v="5.22"/>
  </r>
  <r>
    <x v="4"/>
    <x v="2"/>
    <x v="13"/>
    <x v="1"/>
    <x v="2"/>
    <x v="1"/>
    <n v="110.24"/>
    <n v="110.3"/>
    <n v="0.94"/>
    <n v="104.9"/>
  </r>
  <r>
    <x v="4"/>
    <x v="2"/>
    <x v="13"/>
    <x v="2"/>
    <x v="2"/>
    <x v="1"/>
    <n v="7.85"/>
    <n v="7.86"/>
    <n v="7.0000000000000007E-2"/>
    <n v="7.85"/>
  </r>
  <r>
    <x v="4"/>
    <x v="2"/>
    <x v="13"/>
    <x v="4"/>
    <x v="1"/>
    <x v="0"/>
    <n v="70.09"/>
    <n v="70.13"/>
    <n v="3.93"/>
    <n v="64.55"/>
  </r>
  <r>
    <x v="4"/>
    <x v="2"/>
    <x v="13"/>
    <x v="1"/>
    <x v="1"/>
    <x v="0"/>
    <n v="113.51"/>
    <n v="113.57"/>
    <n v="7.15"/>
    <n v="105.65"/>
  </r>
  <r>
    <x v="4"/>
    <x v="2"/>
    <x v="13"/>
    <x v="2"/>
    <x v="3"/>
    <x v="1"/>
    <n v="28.58"/>
    <n v="28.6"/>
    <n v="0.09"/>
    <n v="27.87"/>
  </r>
  <r>
    <x v="4"/>
    <x v="2"/>
    <x v="13"/>
    <x v="4"/>
    <x v="2"/>
    <x v="0"/>
    <n v="2.19"/>
    <n v="2.19"/>
    <n v="0.01"/>
    <n v="2.0099999999999998"/>
  </r>
  <r>
    <x v="4"/>
    <x v="2"/>
    <x v="13"/>
    <x v="4"/>
    <x v="3"/>
    <x v="0"/>
    <n v="2.84"/>
    <n v="2.84"/>
    <n v="0"/>
    <n v="2.61"/>
  </r>
  <r>
    <x v="4"/>
    <x v="2"/>
    <x v="13"/>
    <x v="0"/>
    <x v="0"/>
    <x v="0"/>
    <n v="76.94"/>
    <n v="76.98"/>
    <n v="31.06"/>
    <n v="70.62"/>
  </r>
  <r>
    <x v="4"/>
    <x v="2"/>
    <x v="13"/>
    <x v="0"/>
    <x v="4"/>
    <x v="0"/>
    <n v="95.2"/>
    <n v="95.25"/>
    <n v="24.76"/>
    <n v="88.92"/>
  </r>
  <r>
    <x v="4"/>
    <x v="2"/>
    <x v="13"/>
    <x v="0"/>
    <x v="2"/>
    <x v="0"/>
    <n v="9.09"/>
    <n v="9.1"/>
    <n v="0.09"/>
    <n v="8.6999999999999993"/>
  </r>
  <r>
    <x v="4"/>
    <x v="2"/>
    <x v="13"/>
    <x v="1"/>
    <x v="4"/>
    <x v="0"/>
    <n v="960.17"/>
    <n v="960.69"/>
    <n v="161.07"/>
    <n v="890.06"/>
  </r>
  <r>
    <x v="4"/>
    <x v="2"/>
    <x v="13"/>
    <x v="0"/>
    <x v="3"/>
    <x v="1"/>
    <n v="0.49"/>
    <n v="0.49"/>
    <n v="0.01"/>
    <n v="0.47"/>
  </r>
  <r>
    <x v="4"/>
    <x v="2"/>
    <x v="13"/>
    <x v="1"/>
    <x v="2"/>
    <x v="0"/>
    <n v="30.23"/>
    <n v="30.25"/>
    <n v="0.33"/>
    <n v="27.02"/>
  </r>
  <r>
    <x v="4"/>
    <x v="2"/>
    <x v="13"/>
    <x v="2"/>
    <x v="0"/>
    <x v="0"/>
    <n v="61"/>
    <n v="61.03"/>
    <n v="25.7"/>
    <n v="56.71"/>
  </r>
  <r>
    <x v="4"/>
    <x v="2"/>
    <x v="13"/>
    <x v="2"/>
    <x v="4"/>
    <x v="0"/>
    <n v="52.93"/>
    <n v="52.96"/>
    <n v="9.2100000000000009"/>
    <n v="49.28"/>
  </r>
  <r>
    <x v="4"/>
    <x v="2"/>
    <x v="13"/>
    <x v="2"/>
    <x v="2"/>
    <x v="0"/>
    <n v="1.5"/>
    <n v="1.5"/>
    <n v="0"/>
    <n v="1.38"/>
  </r>
  <r>
    <x v="4"/>
    <x v="2"/>
    <x v="13"/>
    <x v="1"/>
    <x v="0"/>
    <x v="0"/>
    <n v="67.62"/>
    <n v="67.650000000000006"/>
    <n v="32.270000000000003"/>
    <n v="63.32"/>
  </r>
  <r>
    <x v="4"/>
    <x v="2"/>
    <x v="13"/>
    <x v="2"/>
    <x v="3"/>
    <x v="2"/>
    <n v="41.3"/>
    <n v="41.33"/>
    <n v="0.02"/>
    <n v="35.43"/>
  </r>
  <r>
    <x v="4"/>
    <x v="2"/>
    <x v="13"/>
    <x v="1"/>
    <x v="4"/>
    <x v="1"/>
    <n v="8.67"/>
    <n v="8.67"/>
    <n v="0.48"/>
    <n v="8.41"/>
  </r>
  <r>
    <x v="4"/>
    <x v="2"/>
    <x v="13"/>
    <x v="1"/>
    <x v="1"/>
    <x v="1"/>
    <n v="54.07"/>
    <n v="54.1"/>
    <n v="1"/>
    <n v="53.32"/>
  </r>
  <r>
    <x v="4"/>
    <x v="2"/>
    <x v="13"/>
    <x v="4"/>
    <x v="4"/>
    <x v="2"/>
    <n v="4.6900000000000004"/>
    <n v="4.6900000000000004"/>
    <n v="0.16"/>
    <n v="4.08"/>
  </r>
  <r>
    <x v="4"/>
    <x v="2"/>
    <x v="13"/>
    <x v="1"/>
    <x v="4"/>
    <x v="2"/>
    <n v="3.56"/>
    <n v="3.56"/>
    <n v="0.06"/>
    <n v="3.09"/>
  </r>
  <r>
    <x v="4"/>
    <x v="2"/>
    <x v="13"/>
    <x v="2"/>
    <x v="1"/>
    <x v="3"/>
    <n v="77.78"/>
    <n v="77.83"/>
    <n v="0.05"/>
    <n v="76.34"/>
  </r>
  <r>
    <x v="4"/>
    <x v="2"/>
    <x v="13"/>
    <x v="2"/>
    <x v="2"/>
    <x v="3"/>
    <n v="0.37"/>
    <n v="0.37"/>
    <n v="0"/>
    <n v="0.37"/>
  </r>
  <r>
    <x v="4"/>
    <x v="2"/>
    <x v="13"/>
    <x v="2"/>
    <x v="3"/>
    <x v="3"/>
    <n v="304.77999999999997"/>
    <n v="304.95"/>
    <n v="0.17"/>
    <n v="303.69"/>
  </r>
  <r>
    <x v="4"/>
    <x v="2"/>
    <x v="13"/>
    <x v="0"/>
    <x v="1"/>
    <x v="1"/>
    <n v="1.58"/>
    <n v="1.59"/>
    <n v="0.03"/>
    <n v="1.54"/>
  </r>
  <r>
    <x v="4"/>
    <x v="2"/>
    <x v="13"/>
    <x v="4"/>
    <x v="1"/>
    <x v="2"/>
    <n v="2.41"/>
    <n v="2.41"/>
    <n v="0.05"/>
    <n v="2.1"/>
  </r>
  <r>
    <x v="4"/>
    <x v="2"/>
    <x v="13"/>
    <x v="1"/>
    <x v="0"/>
    <x v="1"/>
    <n v="21.76"/>
    <n v="21.77"/>
    <n v="1.29"/>
    <n v="21.16"/>
  </r>
  <r>
    <x v="4"/>
    <x v="2"/>
    <x v="13"/>
    <x v="4"/>
    <x v="0"/>
    <x v="1"/>
    <n v="2.9"/>
    <n v="2.9"/>
    <n v="0.27"/>
    <n v="2.85"/>
  </r>
  <r>
    <x v="4"/>
    <x v="2"/>
    <x v="13"/>
    <x v="0"/>
    <x v="4"/>
    <x v="1"/>
    <n v="5.21"/>
    <n v="5.22"/>
    <n v="0.14000000000000001"/>
    <n v="4.7"/>
  </r>
  <r>
    <x v="4"/>
    <x v="2"/>
    <x v="13"/>
    <x v="0"/>
    <x v="0"/>
    <x v="1"/>
    <n v="21.45"/>
    <n v="21.46"/>
    <n v="0.76"/>
    <n v="19.53"/>
  </r>
  <r>
    <x v="4"/>
    <x v="2"/>
    <x v="13"/>
    <x v="4"/>
    <x v="1"/>
    <x v="1"/>
    <n v="2.57"/>
    <n v="2.57"/>
    <n v="0.03"/>
    <n v="2.35"/>
  </r>
  <r>
    <x v="4"/>
    <x v="2"/>
    <x v="13"/>
    <x v="4"/>
    <x v="4"/>
    <x v="1"/>
    <n v="3.43"/>
    <n v="3.43"/>
    <n v="0.06"/>
    <n v="3.13"/>
  </r>
  <r>
    <x v="4"/>
    <x v="2"/>
    <x v="14"/>
    <x v="2"/>
    <x v="4"/>
    <x v="0"/>
    <n v="1.4"/>
    <n v="1.4"/>
    <n v="0.35"/>
    <n v="1.33"/>
  </r>
  <r>
    <x v="4"/>
    <x v="2"/>
    <x v="14"/>
    <x v="4"/>
    <x v="4"/>
    <x v="0"/>
    <n v="15.12"/>
    <n v="15.13"/>
    <n v="1.94"/>
    <n v="14.01"/>
  </r>
  <r>
    <x v="4"/>
    <x v="2"/>
    <x v="14"/>
    <x v="2"/>
    <x v="3"/>
    <x v="1"/>
    <n v="0.16"/>
    <n v="0.16"/>
    <n v="0"/>
    <n v="0.15"/>
  </r>
  <r>
    <x v="4"/>
    <x v="2"/>
    <x v="14"/>
    <x v="3"/>
    <x v="0"/>
    <x v="0"/>
    <n v="0.2"/>
    <n v="0.2"/>
    <n v="0.17"/>
    <n v="0.19"/>
  </r>
  <r>
    <x v="4"/>
    <x v="2"/>
    <x v="14"/>
    <x v="1"/>
    <x v="1"/>
    <x v="1"/>
    <n v="0.1"/>
    <n v="0.1"/>
    <n v="0"/>
    <n v="0.09"/>
  </r>
  <r>
    <x v="4"/>
    <x v="2"/>
    <x v="14"/>
    <x v="3"/>
    <x v="4"/>
    <x v="0"/>
    <n v="0.38"/>
    <n v="0.38"/>
    <n v="0.1"/>
    <n v="0.36"/>
  </r>
  <r>
    <x v="4"/>
    <x v="2"/>
    <x v="14"/>
    <x v="4"/>
    <x v="0"/>
    <x v="1"/>
    <n v="0"/>
    <n v="0"/>
    <n v="0"/>
    <n v="0"/>
  </r>
  <r>
    <x v="4"/>
    <x v="2"/>
    <x v="14"/>
    <x v="1"/>
    <x v="2"/>
    <x v="1"/>
    <n v="1.04"/>
    <n v="1.04"/>
    <n v="0.01"/>
    <n v="0.94"/>
  </r>
  <r>
    <x v="4"/>
    <x v="2"/>
    <x v="14"/>
    <x v="2"/>
    <x v="0"/>
    <x v="0"/>
    <n v="1.87"/>
    <n v="1.87"/>
    <n v="1.19"/>
    <n v="1.78"/>
  </r>
  <r>
    <x v="4"/>
    <x v="2"/>
    <x v="14"/>
    <x v="1"/>
    <x v="2"/>
    <x v="0"/>
    <n v="0.37"/>
    <n v="0.37"/>
    <n v="0"/>
    <n v="0.33"/>
  </r>
  <r>
    <x v="4"/>
    <x v="2"/>
    <x v="14"/>
    <x v="1"/>
    <x v="1"/>
    <x v="0"/>
    <n v="3.09"/>
    <n v="3.09"/>
    <n v="0.27"/>
    <n v="2.9"/>
  </r>
  <r>
    <x v="4"/>
    <x v="2"/>
    <x v="14"/>
    <x v="1"/>
    <x v="4"/>
    <x v="0"/>
    <n v="32.39"/>
    <n v="32.4"/>
    <n v="6.09"/>
    <n v="30.12"/>
  </r>
  <r>
    <x v="4"/>
    <x v="2"/>
    <x v="14"/>
    <x v="1"/>
    <x v="0"/>
    <x v="0"/>
    <n v="3.12"/>
    <n v="3.12"/>
    <n v="1.66"/>
    <n v="2.98"/>
  </r>
  <r>
    <x v="4"/>
    <x v="2"/>
    <x v="14"/>
    <x v="0"/>
    <x v="4"/>
    <x v="0"/>
    <n v="4.68"/>
    <n v="4.6900000000000004"/>
    <n v="1.18"/>
    <n v="4.4400000000000004"/>
  </r>
  <r>
    <x v="4"/>
    <x v="2"/>
    <x v="14"/>
    <x v="4"/>
    <x v="1"/>
    <x v="0"/>
    <n v="2.91"/>
    <n v="2.91"/>
    <n v="0.21"/>
    <n v="2.68"/>
  </r>
  <r>
    <x v="4"/>
    <x v="2"/>
    <x v="14"/>
    <x v="0"/>
    <x v="0"/>
    <x v="0"/>
    <n v="2.48"/>
    <n v="2.48"/>
    <n v="1.37"/>
    <n v="2.27"/>
  </r>
  <r>
    <x v="4"/>
    <x v="2"/>
    <x v="14"/>
    <x v="1"/>
    <x v="4"/>
    <x v="2"/>
    <n v="0.09"/>
    <n v="0.09"/>
    <n v="0.01"/>
    <n v="0.08"/>
  </r>
  <r>
    <x v="4"/>
    <x v="2"/>
    <x v="14"/>
    <x v="2"/>
    <x v="3"/>
    <x v="2"/>
    <n v="2.25"/>
    <n v="2.25"/>
    <n v="0.01"/>
    <n v="2"/>
  </r>
  <r>
    <x v="4"/>
    <x v="2"/>
    <x v="14"/>
    <x v="1"/>
    <x v="4"/>
    <x v="1"/>
    <n v="0.05"/>
    <n v="0.05"/>
    <n v="0"/>
    <n v="0.04"/>
  </r>
  <r>
    <x v="4"/>
    <x v="2"/>
    <x v="14"/>
    <x v="4"/>
    <x v="1"/>
    <x v="1"/>
    <n v="0.05"/>
    <n v="0.05"/>
    <n v="0"/>
    <n v="0.05"/>
  </r>
  <r>
    <x v="4"/>
    <x v="2"/>
    <x v="14"/>
    <x v="0"/>
    <x v="0"/>
    <x v="1"/>
    <n v="0.44"/>
    <n v="0.44"/>
    <n v="0.02"/>
    <n v="0.4"/>
  </r>
  <r>
    <x v="4"/>
    <x v="2"/>
    <x v="14"/>
    <x v="0"/>
    <x v="4"/>
    <x v="1"/>
    <n v="7.0000000000000007E-2"/>
    <n v="7.0000000000000007E-2"/>
    <n v="0"/>
    <n v="0.06"/>
  </r>
  <r>
    <x v="4"/>
    <x v="2"/>
    <x v="14"/>
    <x v="1"/>
    <x v="0"/>
    <x v="1"/>
    <n v="0.15"/>
    <n v="0.15"/>
    <n v="0.01"/>
    <n v="0.13"/>
  </r>
  <r>
    <x v="4"/>
    <x v="2"/>
    <x v="14"/>
    <x v="4"/>
    <x v="4"/>
    <x v="1"/>
    <n v="0.06"/>
    <n v="0.06"/>
    <n v="0"/>
    <n v="0.06"/>
  </r>
  <r>
    <x v="4"/>
    <x v="2"/>
    <x v="14"/>
    <x v="2"/>
    <x v="3"/>
    <x v="3"/>
    <n v="0.3"/>
    <n v="0.3"/>
    <n v="0"/>
    <n v="0.3"/>
  </r>
  <r>
    <x v="4"/>
    <x v="4"/>
    <x v="15"/>
    <x v="1"/>
    <x v="1"/>
    <x v="1"/>
    <n v="12.6"/>
    <n v="12.59"/>
    <n v="0.11"/>
    <n v="10.63"/>
  </r>
  <r>
    <x v="4"/>
    <x v="4"/>
    <x v="15"/>
    <x v="1"/>
    <x v="4"/>
    <x v="1"/>
    <n v="1.41"/>
    <n v="1.4"/>
    <n v="0.04"/>
    <n v="1.2"/>
  </r>
  <r>
    <x v="4"/>
    <x v="4"/>
    <x v="15"/>
    <x v="1"/>
    <x v="0"/>
    <x v="1"/>
    <n v="3.82"/>
    <n v="3.82"/>
    <n v="0.15"/>
    <n v="3.22"/>
  </r>
  <r>
    <x v="4"/>
    <x v="4"/>
    <x v="15"/>
    <x v="0"/>
    <x v="3"/>
    <x v="1"/>
    <n v="0.33"/>
    <n v="0.33"/>
    <n v="0"/>
    <n v="0.33"/>
  </r>
  <r>
    <x v="4"/>
    <x v="4"/>
    <x v="15"/>
    <x v="0"/>
    <x v="1"/>
    <x v="1"/>
    <n v="0.06"/>
    <n v="0.06"/>
    <n v="0"/>
    <n v="0.06"/>
  </r>
  <r>
    <x v="4"/>
    <x v="4"/>
    <x v="15"/>
    <x v="0"/>
    <x v="4"/>
    <x v="1"/>
    <n v="3.88"/>
    <n v="3.88"/>
    <n v="0.08"/>
    <n v="3.26"/>
  </r>
  <r>
    <x v="4"/>
    <x v="4"/>
    <x v="15"/>
    <x v="0"/>
    <x v="0"/>
    <x v="1"/>
    <n v="5.53"/>
    <n v="5.53"/>
    <n v="0.18"/>
    <n v="4.66"/>
  </r>
  <r>
    <x v="4"/>
    <x v="4"/>
    <x v="15"/>
    <x v="4"/>
    <x v="4"/>
    <x v="1"/>
    <n v="0.96"/>
    <n v="0.96"/>
    <n v="0.05"/>
    <n v="0.81"/>
  </r>
  <r>
    <x v="4"/>
    <x v="4"/>
    <x v="15"/>
    <x v="3"/>
    <x v="0"/>
    <x v="0"/>
    <n v="0.1"/>
    <n v="0.1"/>
    <n v="0.12"/>
    <n v="0.1"/>
  </r>
  <r>
    <x v="4"/>
    <x v="4"/>
    <x v="15"/>
    <x v="4"/>
    <x v="0"/>
    <x v="1"/>
    <n v="0.66"/>
    <n v="0.66"/>
    <n v="0.05"/>
    <n v="0.56000000000000005"/>
  </r>
  <r>
    <x v="4"/>
    <x v="4"/>
    <x v="15"/>
    <x v="2"/>
    <x v="3"/>
    <x v="3"/>
    <n v="5.14"/>
    <n v="5.14"/>
    <n v="0"/>
    <n v="4.3099999999999996"/>
  </r>
  <r>
    <x v="4"/>
    <x v="4"/>
    <x v="15"/>
    <x v="4"/>
    <x v="1"/>
    <x v="1"/>
    <n v="1.34"/>
    <n v="1.34"/>
    <n v="0.04"/>
    <n v="1.1299999999999999"/>
  </r>
  <r>
    <x v="4"/>
    <x v="4"/>
    <x v="15"/>
    <x v="4"/>
    <x v="1"/>
    <x v="0"/>
    <n v="9.92"/>
    <n v="9.92"/>
    <n v="0.86"/>
    <n v="8.6300000000000008"/>
  </r>
  <r>
    <x v="4"/>
    <x v="4"/>
    <x v="15"/>
    <x v="2"/>
    <x v="0"/>
    <x v="0"/>
    <n v="4.1100000000000003"/>
    <n v="4.1100000000000003"/>
    <n v="3.33"/>
    <n v="3.67"/>
  </r>
  <r>
    <x v="4"/>
    <x v="4"/>
    <x v="15"/>
    <x v="1"/>
    <x v="1"/>
    <x v="0"/>
    <n v="20.39"/>
    <n v="20.39"/>
    <n v="1.53"/>
    <n v="18.170000000000002"/>
  </r>
  <r>
    <x v="4"/>
    <x v="4"/>
    <x v="15"/>
    <x v="1"/>
    <x v="4"/>
    <x v="0"/>
    <n v="148.96"/>
    <n v="148.91999999999999"/>
    <n v="33.69"/>
    <n v="133.53"/>
  </r>
  <r>
    <x v="4"/>
    <x v="4"/>
    <x v="15"/>
    <x v="1"/>
    <x v="0"/>
    <x v="0"/>
    <n v="6.3"/>
    <n v="6.29"/>
    <n v="4.5199999999999996"/>
    <n v="5.83"/>
  </r>
  <r>
    <x v="4"/>
    <x v="4"/>
    <x v="15"/>
    <x v="0"/>
    <x v="2"/>
    <x v="0"/>
    <n v="0.1"/>
    <n v="0.1"/>
    <n v="0"/>
    <n v="0.1"/>
  </r>
  <r>
    <x v="4"/>
    <x v="4"/>
    <x v="15"/>
    <x v="2"/>
    <x v="4"/>
    <x v="1"/>
    <n v="0.28000000000000003"/>
    <n v="0.28000000000000003"/>
    <n v="0"/>
    <n v="0.23"/>
  </r>
  <r>
    <x v="4"/>
    <x v="4"/>
    <x v="15"/>
    <x v="0"/>
    <x v="0"/>
    <x v="0"/>
    <n v="1.77"/>
    <n v="1.77"/>
    <n v="0.78"/>
    <n v="1.61"/>
  </r>
  <r>
    <x v="4"/>
    <x v="4"/>
    <x v="15"/>
    <x v="1"/>
    <x v="2"/>
    <x v="1"/>
    <n v="19.32"/>
    <n v="19.32"/>
    <n v="0.08"/>
    <n v="16.25"/>
  </r>
  <r>
    <x v="4"/>
    <x v="4"/>
    <x v="15"/>
    <x v="4"/>
    <x v="4"/>
    <x v="0"/>
    <n v="44.6"/>
    <n v="44.59"/>
    <n v="7.49"/>
    <n v="39.799999999999997"/>
  </r>
  <r>
    <x v="4"/>
    <x v="4"/>
    <x v="15"/>
    <x v="3"/>
    <x v="4"/>
    <x v="0"/>
    <n v="8.14"/>
    <n v="8.14"/>
    <n v="1.73"/>
    <n v="7.42"/>
  </r>
  <r>
    <x v="4"/>
    <x v="4"/>
    <x v="15"/>
    <x v="1"/>
    <x v="2"/>
    <x v="0"/>
    <n v="2.46"/>
    <n v="2.46"/>
    <n v="0.02"/>
    <n v="2.11"/>
  </r>
  <r>
    <x v="4"/>
    <x v="4"/>
    <x v="15"/>
    <x v="2"/>
    <x v="3"/>
    <x v="1"/>
    <n v="8.58"/>
    <n v="8.58"/>
    <n v="0"/>
    <n v="7.21"/>
  </r>
  <r>
    <x v="4"/>
    <x v="4"/>
    <x v="15"/>
    <x v="1"/>
    <x v="1"/>
    <x v="2"/>
    <n v="1.23"/>
    <n v="1.23"/>
    <n v="0.02"/>
    <n v="1"/>
  </r>
  <r>
    <x v="4"/>
    <x v="4"/>
    <x v="15"/>
    <x v="1"/>
    <x v="3"/>
    <x v="1"/>
    <n v="0.74"/>
    <n v="0.74"/>
    <n v="0.01"/>
    <n v="0.64"/>
  </r>
  <r>
    <x v="4"/>
    <x v="4"/>
    <x v="15"/>
    <x v="0"/>
    <x v="4"/>
    <x v="0"/>
    <n v="3.08"/>
    <n v="3.08"/>
    <n v="0.63"/>
    <n v="3.01"/>
  </r>
  <r>
    <x v="4"/>
    <x v="4"/>
    <x v="15"/>
    <x v="4"/>
    <x v="2"/>
    <x v="2"/>
    <n v="0.09"/>
    <n v="0.09"/>
    <n v="0"/>
    <n v="7.0000000000000007E-2"/>
  </r>
  <r>
    <x v="4"/>
    <x v="4"/>
    <x v="15"/>
    <x v="4"/>
    <x v="1"/>
    <x v="2"/>
    <n v="0.14000000000000001"/>
    <n v="0.14000000000000001"/>
    <n v="0.01"/>
    <n v="0.11"/>
  </r>
  <r>
    <x v="4"/>
    <x v="4"/>
    <x v="15"/>
    <x v="2"/>
    <x v="4"/>
    <x v="0"/>
    <n v="4.33"/>
    <n v="4.33"/>
    <n v="1.24"/>
    <n v="4.09"/>
  </r>
  <r>
    <x v="4"/>
    <x v="4"/>
    <x v="15"/>
    <x v="1"/>
    <x v="4"/>
    <x v="2"/>
    <n v="0.22"/>
    <n v="0.22"/>
    <n v="0.01"/>
    <n v="0.18"/>
  </r>
  <r>
    <x v="4"/>
    <x v="5"/>
    <x v="16"/>
    <x v="1"/>
    <x v="1"/>
    <x v="0"/>
    <n v="5.56"/>
    <n v="5.79"/>
    <n v="0.56999999999999995"/>
    <n v="5.1100000000000003"/>
  </r>
  <r>
    <x v="4"/>
    <x v="5"/>
    <x v="16"/>
    <x v="3"/>
    <x v="0"/>
    <x v="0"/>
    <n v="0.19"/>
    <n v="0.19"/>
    <n v="0.17"/>
    <n v="0.18"/>
  </r>
  <r>
    <x v="4"/>
    <x v="5"/>
    <x v="16"/>
    <x v="3"/>
    <x v="4"/>
    <x v="0"/>
    <n v="0.41"/>
    <n v="0.43"/>
    <n v="0.1"/>
    <n v="0.39"/>
  </r>
  <r>
    <x v="4"/>
    <x v="5"/>
    <x v="16"/>
    <x v="4"/>
    <x v="4"/>
    <x v="0"/>
    <n v="9.24"/>
    <n v="9.6199999999999992"/>
    <n v="1.08"/>
    <n v="8.5500000000000007"/>
  </r>
  <r>
    <x v="4"/>
    <x v="5"/>
    <x v="16"/>
    <x v="0"/>
    <x v="0"/>
    <x v="0"/>
    <n v="2.12"/>
    <n v="2.21"/>
    <n v="1.33"/>
    <n v="1.94"/>
  </r>
  <r>
    <x v="4"/>
    <x v="5"/>
    <x v="16"/>
    <x v="2"/>
    <x v="3"/>
    <x v="1"/>
    <n v="0.45"/>
    <n v="0.47"/>
    <n v="0"/>
    <n v="0.41"/>
  </r>
  <r>
    <x v="4"/>
    <x v="5"/>
    <x v="16"/>
    <x v="1"/>
    <x v="4"/>
    <x v="0"/>
    <n v="48.86"/>
    <n v="50.87"/>
    <n v="11.68"/>
    <n v="45.23"/>
  </r>
  <r>
    <x v="4"/>
    <x v="5"/>
    <x v="16"/>
    <x v="4"/>
    <x v="1"/>
    <x v="0"/>
    <n v="1.9"/>
    <n v="1.98"/>
    <n v="0.13"/>
    <n v="1.75"/>
  </r>
  <r>
    <x v="4"/>
    <x v="5"/>
    <x v="16"/>
    <x v="1"/>
    <x v="2"/>
    <x v="0"/>
    <n v="0.14000000000000001"/>
    <n v="0.15"/>
    <n v="0"/>
    <n v="0.13"/>
  </r>
  <r>
    <x v="4"/>
    <x v="5"/>
    <x v="16"/>
    <x v="2"/>
    <x v="4"/>
    <x v="0"/>
    <n v="1.48"/>
    <n v="1.54"/>
    <n v="0.37"/>
    <n v="1.4"/>
  </r>
  <r>
    <x v="4"/>
    <x v="5"/>
    <x v="16"/>
    <x v="2"/>
    <x v="0"/>
    <x v="0"/>
    <n v="1.91"/>
    <n v="1.99"/>
    <n v="1.27"/>
    <n v="1.81"/>
  </r>
  <r>
    <x v="4"/>
    <x v="5"/>
    <x v="16"/>
    <x v="1"/>
    <x v="0"/>
    <x v="0"/>
    <n v="2.83"/>
    <n v="2.95"/>
    <n v="1.75"/>
    <n v="2.67"/>
  </r>
  <r>
    <x v="4"/>
    <x v="5"/>
    <x v="16"/>
    <x v="4"/>
    <x v="0"/>
    <x v="1"/>
    <n v="0.04"/>
    <n v="0.04"/>
    <n v="0"/>
    <n v="0.04"/>
  </r>
  <r>
    <x v="4"/>
    <x v="5"/>
    <x v="16"/>
    <x v="4"/>
    <x v="4"/>
    <x v="2"/>
    <n v="0.43"/>
    <n v="0.45"/>
    <n v="0.01"/>
    <n v="0.37"/>
  </r>
  <r>
    <x v="4"/>
    <x v="5"/>
    <x v="16"/>
    <x v="0"/>
    <x v="4"/>
    <x v="0"/>
    <n v="5.72"/>
    <n v="5.95"/>
    <n v="1.51"/>
    <n v="5.37"/>
  </r>
  <r>
    <x v="4"/>
    <x v="5"/>
    <x v="16"/>
    <x v="1"/>
    <x v="2"/>
    <x v="1"/>
    <n v="2.91"/>
    <n v="3.03"/>
    <n v="0.02"/>
    <n v="2.69"/>
  </r>
  <r>
    <x v="4"/>
    <x v="5"/>
    <x v="16"/>
    <x v="1"/>
    <x v="4"/>
    <x v="2"/>
    <n v="0.49"/>
    <n v="0.51"/>
    <n v="0.01"/>
    <n v="0.43"/>
  </r>
  <r>
    <x v="4"/>
    <x v="5"/>
    <x v="16"/>
    <x v="2"/>
    <x v="3"/>
    <x v="3"/>
    <n v="0.17"/>
    <n v="0.18"/>
    <n v="0"/>
    <n v="0.17"/>
  </r>
  <r>
    <x v="4"/>
    <x v="5"/>
    <x v="16"/>
    <x v="4"/>
    <x v="1"/>
    <x v="2"/>
    <n v="0.2"/>
    <n v="0.21"/>
    <n v="0"/>
    <n v="0.17"/>
  </r>
  <r>
    <x v="4"/>
    <x v="5"/>
    <x v="16"/>
    <x v="4"/>
    <x v="4"/>
    <x v="1"/>
    <n v="0.16"/>
    <n v="0.16"/>
    <n v="0"/>
    <n v="0.15"/>
  </r>
  <r>
    <x v="4"/>
    <x v="5"/>
    <x v="16"/>
    <x v="4"/>
    <x v="1"/>
    <x v="1"/>
    <n v="0.14000000000000001"/>
    <n v="0.14000000000000001"/>
    <n v="0"/>
    <n v="0.13"/>
  </r>
  <r>
    <x v="4"/>
    <x v="5"/>
    <x v="16"/>
    <x v="0"/>
    <x v="0"/>
    <x v="1"/>
    <n v="0.78"/>
    <n v="0.81"/>
    <n v="0.03"/>
    <n v="0.72"/>
  </r>
  <r>
    <x v="4"/>
    <x v="5"/>
    <x v="16"/>
    <x v="0"/>
    <x v="4"/>
    <x v="1"/>
    <n v="0.3"/>
    <n v="0.31"/>
    <n v="0.01"/>
    <n v="0.28000000000000003"/>
  </r>
  <r>
    <x v="4"/>
    <x v="5"/>
    <x v="16"/>
    <x v="1"/>
    <x v="0"/>
    <x v="1"/>
    <n v="0.24"/>
    <n v="0.25"/>
    <n v="0.02"/>
    <n v="0.23"/>
  </r>
  <r>
    <x v="4"/>
    <x v="5"/>
    <x v="16"/>
    <x v="1"/>
    <x v="4"/>
    <x v="1"/>
    <n v="0.65"/>
    <n v="0.68"/>
    <n v="0.01"/>
    <n v="0.64"/>
  </r>
  <r>
    <x v="4"/>
    <x v="5"/>
    <x v="16"/>
    <x v="1"/>
    <x v="1"/>
    <x v="1"/>
    <n v="0.4"/>
    <n v="0.41"/>
    <n v="0.01"/>
    <n v="0.37"/>
  </r>
  <r>
    <x v="4"/>
    <x v="6"/>
    <x v="17"/>
    <x v="3"/>
    <x v="0"/>
    <x v="0"/>
    <n v="0"/>
    <n v="0"/>
    <n v="0"/>
    <n v="0"/>
  </r>
  <r>
    <x v="4"/>
    <x v="6"/>
    <x v="17"/>
    <x v="4"/>
    <x v="1"/>
    <x v="0"/>
    <n v="44.59"/>
    <n v="46.48"/>
    <n v="3.75"/>
    <n v="38.979999999999997"/>
  </r>
  <r>
    <x v="4"/>
    <x v="6"/>
    <x v="17"/>
    <x v="3"/>
    <x v="4"/>
    <x v="0"/>
    <n v="11.9"/>
    <n v="12.4"/>
    <n v="2.73"/>
    <n v="11.4"/>
  </r>
  <r>
    <x v="4"/>
    <x v="6"/>
    <x v="17"/>
    <x v="4"/>
    <x v="0"/>
    <x v="0"/>
    <n v="2.61"/>
    <n v="2.72"/>
    <n v="2.75"/>
    <n v="2.61"/>
  </r>
  <r>
    <x v="4"/>
    <x v="6"/>
    <x v="17"/>
    <x v="4"/>
    <x v="4"/>
    <x v="0"/>
    <n v="105.54"/>
    <n v="110"/>
    <n v="17.03"/>
    <n v="94.09"/>
  </r>
  <r>
    <x v="4"/>
    <x v="6"/>
    <x v="17"/>
    <x v="2"/>
    <x v="4"/>
    <x v="0"/>
    <n v="16.66"/>
    <n v="17.37"/>
    <n v="5.59"/>
    <n v="15.37"/>
  </r>
  <r>
    <x v="4"/>
    <x v="6"/>
    <x v="17"/>
    <x v="0"/>
    <x v="0"/>
    <x v="0"/>
    <n v="17.350000000000001"/>
    <n v="18.09"/>
    <n v="11.14"/>
    <n v="15.53"/>
  </r>
  <r>
    <x v="4"/>
    <x v="6"/>
    <x v="17"/>
    <x v="0"/>
    <x v="4"/>
    <x v="0"/>
    <n v="18.68"/>
    <n v="19.47"/>
    <n v="8.92"/>
    <n v="17.920000000000002"/>
  </r>
  <r>
    <x v="4"/>
    <x v="6"/>
    <x v="17"/>
    <x v="0"/>
    <x v="2"/>
    <x v="0"/>
    <n v="0.76"/>
    <n v="0.79"/>
    <n v="0.01"/>
    <n v="0.76"/>
  </r>
  <r>
    <x v="4"/>
    <x v="6"/>
    <x v="17"/>
    <x v="1"/>
    <x v="0"/>
    <x v="0"/>
    <n v="7.11"/>
    <n v="7.41"/>
    <n v="4.53"/>
    <n v="6.6"/>
  </r>
  <r>
    <x v="4"/>
    <x v="6"/>
    <x v="17"/>
    <x v="1"/>
    <x v="1"/>
    <x v="0"/>
    <n v="28.26"/>
    <n v="29.45"/>
    <n v="1.89"/>
    <n v="25.44"/>
  </r>
  <r>
    <x v="4"/>
    <x v="6"/>
    <x v="17"/>
    <x v="1"/>
    <x v="2"/>
    <x v="0"/>
    <n v="16.739999999999998"/>
    <n v="17.440000000000001"/>
    <n v="0.18"/>
    <n v="14.45"/>
  </r>
  <r>
    <x v="4"/>
    <x v="6"/>
    <x v="17"/>
    <x v="4"/>
    <x v="1"/>
    <x v="2"/>
    <n v="2.2799999999999998"/>
    <n v="2.38"/>
    <n v="0.1"/>
    <n v="1.98"/>
  </r>
  <r>
    <x v="4"/>
    <x v="6"/>
    <x v="17"/>
    <x v="1"/>
    <x v="4"/>
    <x v="0"/>
    <n v="262.74"/>
    <n v="273.83999999999997"/>
    <n v="57.33"/>
    <n v="241.12"/>
  </r>
  <r>
    <x v="4"/>
    <x v="6"/>
    <x v="17"/>
    <x v="0"/>
    <x v="0"/>
    <x v="1"/>
    <n v="8.2799999999999994"/>
    <n v="8.6300000000000008"/>
    <n v="0.26"/>
    <n v="7.08"/>
  </r>
  <r>
    <x v="4"/>
    <x v="6"/>
    <x v="17"/>
    <x v="1"/>
    <x v="4"/>
    <x v="2"/>
    <n v="3.2"/>
    <n v="3.34"/>
    <n v="0.13"/>
    <n v="2.79"/>
  </r>
  <r>
    <x v="4"/>
    <x v="6"/>
    <x v="17"/>
    <x v="4"/>
    <x v="2"/>
    <x v="2"/>
    <n v="2.1800000000000002"/>
    <n v="2.2799999999999998"/>
    <n v="7.0000000000000007E-2"/>
    <n v="1.9"/>
  </r>
  <r>
    <x v="4"/>
    <x v="6"/>
    <x v="17"/>
    <x v="1"/>
    <x v="1"/>
    <x v="2"/>
    <n v="5.47"/>
    <n v="5.7"/>
    <n v="0.1"/>
    <n v="5.08"/>
  </r>
  <r>
    <x v="4"/>
    <x v="6"/>
    <x v="17"/>
    <x v="2"/>
    <x v="3"/>
    <x v="2"/>
    <n v="12.42"/>
    <n v="12.94"/>
    <n v="0.02"/>
    <n v="12.42"/>
  </r>
  <r>
    <x v="4"/>
    <x v="6"/>
    <x v="17"/>
    <x v="2"/>
    <x v="0"/>
    <x v="0"/>
    <n v="16.47"/>
    <n v="17.16"/>
    <n v="12.34"/>
    <n v="15.06"/>
  </r>
  <r>
    <x v="4"/>
    <x v="6"/>
    <x v="17"/>
    <x v="4"/>
    <x v="0"/>
    <x v="1"/>
    <n v="3.36"/>
    <n v="3.5"/>
    <n v="0.36"/>
    <n v="2.9"/>
  </r>
  <r>
    <x v="4"/>
    <x v="6"/>
    <x v="17"/>
    <x v="2"/>
    <x v="3"/>
    <x v="3"/>
    <n v="0.33"/>
    <n v="0.34"/>
    <n v="0"/>
    <n v="0.27"/>
  </r>
  <r>
    <x v="4"/>
    <x v="6"/>
    <x v="17"/>
    <x v="4"/>
    <x v="1"/>
    <x v="1"/>
    <n v="3.23"/>
    <n v="3.36"/>
    <n v="0.11"/>
    <n v="2.8"/>
  </r>
  <r>
    <x v="4"/>
    <x v="6"/>
    <x v="17"/>
    <x v="2"/>
    <x v="3"/>
    <x v="1"/>
    <n v="1.78"/>
    <n v="1.85"/>
    <n v="0"/>
    <n v="1.76"/>
  </r>
  <r>
    <x v="4"/>
    <x v="6"/>
    <x v="17"/>
    <x v="0"/>
    <x v="4"/>
    <x v="1"/>
    <n v="3.3"/>
    <n v="3.44"/>
    <n v="0.06"/>
    <n v="2.82"/>
  </r>
  <r>
    <x v="4"/>
    <x v="6"/>
    <x v="17"/>
    <x v="1"/>
    <x v="0"/>
    <x v="1"/>
    <n v="7.06"/>
    <n v="7.36"/>
    <n v="0.26"/>
    <n v="6.11"/>
  </r>
  <r>
    <x v="4"/>
    <x v="6"/>
    <x v="17"/>
    <x v="1"/>
    <x v="4"/>
    <x v="1"/>
    <n v="4.83"/>
    <n v="5.03"/>
    <n v="0.13"/>
    <n v="4.21"/>
  </r>
  <r>
    <x v="4"/>
    <x v="6"/>
    <x v="17"/>
    <x v="1"/>
    <x v="1"/>
    <x v="1"/>
    <n v="23.69"/>
    <n v="24.69"/>
    <n v="0.18"/>
    <n v="20.47"/>
  </r>
  <r>
    <x v="4"/>
    <x v="6"/>
    <x v="17"/>
    <x v="1"/>
    <x v="2"/>
    <x v="1"/>
    <n v="57.33"/>
    <n v="59.76"/>
    <n v="0.15"/>
    <n v="49.18"/>
  </r>
  <r>
    <x v="4"/>
    <x v="6"/>
    <x v="17"/>
    <x v="1"/>
    <x v="3"/>
    <x v="1"/>
    <n v="1.57"/>
    <n v="1.63"/>
    <n v="0.02"/>
    <n v="1.37"/>
  </r>
  <r>
    <x v="4"/>
    <x v="6"/>
    <x v="17"/>
    <x v="2"/>
    <x v="4"/>
    <x v="1"/>
    <n v="2.13"/>
    <n v="2.2200000000000002"/>
    <n v="0.01"/>
    <n v="2.13"/>
  </r>
  <r>
    <x v="4"/>
    <x v="6"/>
    <x v="17"/>
    <x v="4"/>
    <x v="4"/>
    <x v="1"/>
    <n v="1.0900000000000001"/>
    <n v="1.1399999999999999"/>
    <n v="0.04"/>
    <n v="0.93"/>
  </r>
  <r>
    <x v="4"/>
    <x v="6"/>
    <x v="18"/>
    <x v="1"/>
    <x v="1"/>
    <x v="1"/>
    <n v="5.09"/>
    <n v="5.78"/>
    <n v="0.05"/>
    <n v="4.37"/>
  </r>
  <r>
    <x v="4"/>
    <x v="6"/>
    <x v="18"/>
    <x v="2"/>
    <x v="4"/>
    <x v="1"/>
    <n v="0.3"/>
    <n v="0.34"/>
    <n v="0"/>
    <n v="0.3"/>
  </r>
  <r>
    <x v="4"/>
    <x v="6"/>
    <x v="18"/>
    <x v="2"/>
    <x v="4"/>
    <x v="0"/>
    <n v="3.76"/>
    <n v="4.2699999999999996"/>
    <n v="1.73"/>
    <n v="3.56"/>
  </r>
  <r>
    <x v="4"/>
    <x v="6"/>
    <x v="18"/>
    <x v="2"/>
    <x v="0"/>
    <x v="0"/>
    <n v="5.07"/>
    <n v="5.76"/>
    <n v="3.35"/>
    <n v="4.37"/>
  </r>
  <r>
    <x v="4"/>
    <x v="6"/>
    <x v="18"/>
    <x v="1"/>
    <x v="2"/>
    <x v="0"/>
    <n v="1.86"/>
    <n v="2.11"/>
    <n v="0.02"/>
    <n v="1.51"/>
  </r>
  <r>
    <x v="4"/>
    <x v="6"/>
    <x v="18"/>
    <x v="1"/>
    <x v="1"/>
    <x v="0"/>
    <n v="17.64"/>
    <n v="20.03"/>
    <n v="0.98"/>
    <n v="14.77"/>
  </r>
  <r>
    <x v="4"/>
    <x v="6"/>
    <x v="18"/>
    <x v="1"/>
    <x v="4"/>
    <x v="0"/>
    <n v="51.71"/>
    <n v="58.73"/>
    <n v="15.12"/>
    <n v="44.96"/>
  </r>
  <r>
    <x v="4"/>
    <x v="6"/>
    <x v="18"/>
    <x v="1"/>
    <x v="0"/>
    <x v="0"/>
    <n v="5.54"/>
    <n v="6.3"/>
    <n v="3.03"/>
    <n v="4.6900000000000004"/>
  </r>
  <r>
    <x v="4"/>
    <x v="6"/>
    <x v="18"/>
    <x v="0"/>
    <x v="2"/>
    <x v="0"/>
    <n v="0.39"/>
    <n v="0.44"/>
    <n v="0"/>
    <n v="0.39"/>
  </r>
  <r>
    <x v="4"/>
    <x v="6"/>
    <x v="18"/>
    <x v="0"/>
    <x v="4"/>
    <x v="0"/>
    <n v="3.72"/>
    <n v="4.22"/>
    <n v="0.99"/>
    <n v="3.34"/>
  </r>
  <r>
    <x v="4"/>
    <x v="6"/>
    <x v="18"/>
    <x v="0"/>
    <x v="0"/>
    <x v="0"/>
    <n v="4.7300000000000004"/>
    <n v="5.37"/>
    <n v="3.16"/>
    <n v="3.98"/>
  </r>
  <r>
    <x v="4"/>
    <x v="6"/>
    <x v="18"/>
    <x v="4"/>
    <x v="1"/>
    <x v="0"/>
    <n v="4.8099999999999996"/>
    <n v="5.46"/>
    <n v="0.33"/>
    <n v="4.07"/>
  </r>
  <r>
    <x v="4"/>
    <x v="6"/>
    <x v="18"/>
    <x v="4"/>
    <x v="4"/>
    <x v="0"/>
    <n v="17.75"/>
    <n v="20.16"/>
    <n v="4.3"/>
    <n v="15.96"/>
  </r>
  <r>
    <x v="4"/>
    <x v="6"/>
    <x v="18"/>
    <x v="1"/>
    <x v="0"/>
    <x v="1"/>
    <n v="1.1100000000000001"/>
    <n v="1.26"/>
    <n v="0.05"/>
    <n v="0.91"/>
  </r>
  <r>
    <x v="4"/>
    <x v="6"/>
    <x v="18"/>
    <x v="3"/>
    <x v="0"/>
    <x v="0"/>
    <n v="7.0000000000000007E-2"/>
    <n v="0.08"/>
    <n v="0.08"/>
    <n v="7.0000000000000007E-2"/>
  </r>
  <r>
    <x v="4"/>
    <x v="6"/>
    <x v="18"/>
    <x v="4"/>
    <x v="4"/>
    <x v="1"/>
    <n v="0.18"/>
    <n v="0.21"/>
    <n v="0.01"/>
    <n v="0.16"/>
  </r>
  <r>
    <x v="4"/>
    <x v="6"/>
    <x v="18"/>
    <x v="4"/>
    <x v="2"/>
    <x v="2"/>
    <n v="0.43"/>
    <n v="0.49"/>
    <n v="0.01"/>
    <n v="0.36"/>
  </r>
  <r>
    <x v="4"/>
    <x v="6"/>
    <x v="18"/>
    <x v="1"/>
    <x v="4"/>
    <x v="2"/>
    <n v="0.08"/>
    <n v="0.09"/>
    <n v="0"/>
    <n v="7.0000000000000007E-2"/>
  </r>
  <r>
    <x v="4"/>
    <x v="6"/>
    <x v="18"/>
    <x v="1"/>
    <x v="1"/>
    <x v="2"/>
    <n v="0.45"/>
    <n v="0.51"/>
    <n v="0.01"/>
    <n v="0.37"/>
  </r>
  <r>
    <x v="4"/>
    <x v="6"/>
    <x v="18"/>
    <x v="2"/>
    <x v="3"/>
    <x v="2"/>
    <n v="2.4300000000000002"/>
    <n v="2.76"/>
    <n v="0.01"/>
    <n v="2.0299999999999998"/>
  </r>
  <r>
    <x v="4"/>
    <x v="6"/>
    <x v="18"/>
    <x v="3"/>
    <x v="4"/>
    <x v="0"/>
    <n v="6.53"/>
    <n v="7.41"/>
    <n v="1.19"/>
    <n v="5.6"/>
  </r>
  <r>
    <x v="4"/>
    <x v="6"/>
    <x v="18"/>
    <x v="4"/>
    <x v="0"/>
    <x v="1"/>
    <n v="0.61"/>
    <n v="0.7"/>
    <n v="0.06"/>
    <n v="0.5"/>
  </r>
  <r>
    <x v="4"/>
    <x v="6"/>
    <x v="18"/>
    <x v="4"/>
    <x v="1"/>
    <x v="2"/>
    <n v="0.24"/>
    <n v="0.27"/>
    <n v="0.01"/>
    <n v="0.2"/>
  </r>
  <r>
    <x v="4"/>
    <x v="6"/>
    <x v="18"/>
    <x v="4"/>
    <x v="1"/>
    <x v="1"/>
    <n v="0.5"/>
    <n v="0.56999999999999995"/>
    <n v="0.02"/>
    <n v="0.42"/>
  </r>
  <r>
    <x v="4"/>
    <x v="6"/>
    <x v="18"/>
    <x v="0"/>
    <x v="0"/>
    <x v="1"/>
    <n v="1.23"/>
    <n v="1.4"/>
    <n v="0.05"/>
    <n v="1.07"/>
  </r>
  <r>
    <x v="4"/>
    <x v="6"/>
    <x v="18"/>
    <x v="0"/>
    <x v="4"/>
    <x v="1"/>
    <n v="0.56999999999999995"/>
    <n v="0.64"/>
    <n v="0.01"/>
    <n v="0.49"/>
  </r>
  <r>
    <x v="4"/>
    <x v="6"/>
    <x v="18"/>
    <x v="1"/>
    <x v="4"/>
    <x v="1"/>
    <n v="0.73"/>
    <n v="0.83"/>
    <n v="0.02"/>
    <n v="0.6"/>
  </r>
  <r>
    <x v="4"/>
    <x v="6"/>
    <x v="18"/>
    <x v="1"/>
    <x v="2"/>
    <x v="1"/>
    <n v="4.28"/>
    <n v="4.8600000000000003"/>
    <n v="0.02"/>
    <n v="3.7"/>
  </r>
  <r>
    <x v="4"/>
    <x v="6"/>
    <x v="18"/>
    <x v="1"/>
    <x v="3"/>
    <x v="1"/>
    <n v="0.7"/>
    <n v="0.79"/>
    <n v="0.01"/>
    <n v="0.56999999999999995"/>
  </r>
  <r>
    <x v="4"/>
    <x v="6"/>
    <x v="18"/>
    <x v="2"/>
    <x v="3"/>
    <x v="3"/>
    <n v="2.0099999999999998"/>
    <n v="2.29"/>
    <n v="0"/>
    <n v="1.61"/>
  </r>
  <r>
    <x v="4"/>
    <x v="2"/>
    <x v="19"/>
    <x v="2"/>
    <x v="0"/>
    <x v="0"/>
    <n v="4.71"/>
    <n v="4.71"/>
    <n v="3.53"/>
    <n v="4.55"/>
  </r>
  <r>
    <x v="4"/>
    <x v="2"/>
    <x v="19"/>
    <x v="1"/>
    <x v="1"/>
    <x v="1"/>
    <n v="0.28000000000000003"/>
    <n v="0.28000000000000003"/>
    <n v="0"/>
    <n v="0.25"/>
  </r>
  <r>
    <x v="4"/>
    <x v="2"/>
    <x v="19"/>
    <x v="1"/>
    <x v="2"/>
    <x v="0"/>
    <n v="0.43"/>
    <n v="0.43"/>
    <n v="0"/>
    <n v="0.38"/>
  </r>
  <r>
    <x v="4"/>
    <x v="2"/>
    <x v="19"/>
    <x v="1"/>
    <x v="1"/>
    <x v="0"/>
    <n v="14.74"/>
    <n v="14.75"/>
    <n v="0.83"/>
    <n v="14.03"/>
  </r>
  <r>
    <x v="4"/>
    <x v="2"/>
    <x v="19"/>
    <x v="1"/>
    <x v="4"/>
    <x v="0"/>
    <n v="118.47"/>
    <n v="118.54"/>
    <n v="19.09"/>
    <n v="112.18"/>
  </r>
  <r>
    <x v="4"/>
    <x v="2"/>
    <x v="19"/>
    <x v="1"/>
    <x v="0"/>
    <x v="0"/>
    <n v="10.17"/>
    <n v="10.18"/>
    <n v="5.39"/>
    <n v="9.81"/>
  </r>
  <r>
    <x v="4"/>
    <x v="2"/>
    <x v="19"/>
    <x v="0"/>
    <x v="4"/>
    <x v="0"/>
    <n v="24.91"/>
    <n v="24.92"/>
    <n v="5.59"/>
    <n v="23.85"/>
  </r>
  <r>
    <x v="4"/>
    <x v="2"/>
    <x v="19"/>
    <x v="0"/>
    <x v="0"/>
    <x v="0"/>
    <n v="6.26"/>
    <n v="6.26"/>
    <n v="3.89"/>
    <n v="5.68"/>
  </r>
  <r>
    <x v="4"/>
    <x v="2"/>
    <x v="19"/>
    <x v="4"/>
    <x v="1"/>
    <x v="0"/>
    <n v="4.6500000000000004"/>
    <n v="4.66"/>
    <n v="0.27"/>
    <n v="4.3"/>
  </r>
  <r>
    <x v="4"/>
    <x v="2"/>
    <x v="19"/>
    <x v="4"/>
    <x v="4"/>
    <x v="0"/>
    <n v="31.75"/>
    <n v="31.77"/>
    <n v="3.83"/>
    <n v="29.54"/>
  </r>
  <r>
    <x v="4"/>
    <x v="2"/>
    <x v="19"/>
    <x v="3"/>
    <x v="1"/>
    <x v="0"/>
    <n v="0.32"/>
    <n v="0.32"/>
    <n v="0.04"/>
    <n v="0.31"/>
  </r>
  <r>
    <x v="4"/>
    <x v="2"/>
    <x v="19"/>
    <x v="3"/>
    <x v="4"/>
    <x v="0"/>
    <n v="4.13"/>
    <n v="4.13"/>
    <n v="0.87"/>
    <n v="4"/>
  </r>
  <r>
    <x v="4"/>
    <x v="2"/>
    <x v="19"/>
    <x v="3"/>
    <x v="0"/>
    <x v="0"/>
    <n v="2.83"/>
    <n v="2.83"/>
    <n v="2.41"/>
    <n v="2.77"/>
  </r>
  <r>
    <x v="4"/>
    <x v="2"/>
    <x v="19"/>
    <x v="1"/>
    <x v="2"/>
    <x v="1"/>
    <n v="1.66"/>
    <n v="1.66"/>
    <n v="0.02"/>
    <n v="1.51"/>
  </r>
  <r>
    <x v="4"/>
    <x v="2"/>
    <x v="19"/>
    <x v="4"/>
    <x v="4"/>
    <x v="1"/>
    <n v="0.11"/>
    <n v="0.11"/>
    <n v="0"/>
    <n v="0.1"/>
  </r>
  <r>
    <x v="4"/>
    <x v="2"/>
    <x v="19"/>
    <x v="4"/>
    <x v="4"/>
    <x v="2"/>
    <n v="0.97"/>
    <n v="0.97"/>
    <n v="0.15"/>
    <n v="0.86"/>
  </r>
  <r>
    <x v="4"/>
    <x v="2"/>
    <x v="19"/>
    <x v="4"/>
    <x v="1"/>
    <x v="2"/>
    <n v="0.5"/>
    <n v="0.5"/>
    <n v="0.05"/>
    <n v="0.44"/>
  </r>
  <r>
    <x v="4"/>
    <x v="2"/>
    <x v="19"/>
    <x v="4"/>
    <x v="2"/>
    <x v="2"/>
    <n v="0.94"/>
    <n v="0.94"/>
    <n v="0.01"/>
    <n v="0.81"/>
  </r>
  <r>
    <x v="4"/>
    <x v="2"/>
    <x v="19"/>
    <x v="2"/>
    <x v="2"/>
    <x v="3"/>
    <n v="0"/>
    <n v="0"/>
    <n v="0"/>
    <n v="0"/>
  </r>
  <r>
    <x v="4"/>
    <x v="2"/>
    <x v="19"/>
    <x v="2"/>
    <x v="3"/>
    <x v="1"/>
    <n v="0.18"/>
    <n v="0.18"/>
    <n v="0"/>
    <n v="0.16"/>
  </r>
  <r>
    <x v="4"/>
    <x v="2"/>
    <x v="19"/>
    <x v="4"/>
    <x v="0"/>
    <x v="1"/>
    <n v="0.01"/>
    <n v="0.01"/>
    <n v="0"/>
    <n v="0.01"/>
  </r>
  <r>
    <x v="4"/>
    <x v="2"/>
    <x v="19"/>
    <x v="2"/>
    <x v="4"/>
    <x v="0"/>
    <n v="5.36"/>
    <n v="5.36"/>
    <n v="1.2"/>
    <n v="5.21"/>
  </r>
  <r>
    <x v="4"/>
    <x v="2"/>
    <x v="19"/>
    <x v="4"/>
    <x v="1"/>
    <x v="1"/>
    <n v="7.0000000000000007E-2"/>
    <n v="7.0000000000000007E-2"/>
    <n v="0"/>
    <n v="0.06"/>
  </r>
  <r>
    <x v="4"/>
    <x v="2"/>
    <x v="19"/>
    <x v="0"/>
    <x v="0"/>
    <x v="1"/>
    <n v="0.48"/>
    <n v="0.48"/>
    <n v="0.02"/>
    <n v="0.44"/>
  </r>
  <r>
    <x v="4"/>
    <x v="2"/>
    <x v="19"/>
    <x v="0"/>
    <x v="4"/>
    <x v="1"/>
    <n v="0.16"/>
    <n v="0.16"/>
    <n v="0"/>
    <n v="0.14000000000000001"/>
  </r>
  <r>
    <x v="4"/>
    <x v="2"/>
    <x v="19"/>
    <x v="1"/>
    <x v="0"/>
    <x v="1"/>
    <n v="0.17"/>
    <n v="0.17"/>
    <n v="0.01"/>
    <n v="0.16"/>
  </r>
  <r>
    <x v="4"/>
    <x v="2"/>
    <x v="19"/>
    <x v="1"/>
    <x v="4"/>
    <x v="1"/>
    <n v="7.0000000000000007E-2"/>
    <n v="7.0000000000000007E-2"/>
    <n v="0"/>
    <n v="0.06"/>
  </r>
  <r>
    <x v="4"/>
    <x v="2"/>
    <x v="19"/>
    <x v="2"/>
    <x v="3"/>
    <x v="3"/>
    <n v="0.44"/>
    <n v="0.44"/>
    <n v="0"/>
    <n v="0.44"/>
  </r>
  <r>
    <x v="4"/>
    <x v="7"/>
    <x v="20"/>
    <x v="3"/>
    <x v="1"/>
    <x v="0"/>
    <n v="0.08"/>
    <n v="0.08"/>
    <n v="0.01"/>
    <n v="0.08"/>
  </r>
  <r>
    <x v="4"/>
    <x v="7"/>
    <x v="20"/>
    <x v="2"/>
    <x v="0"/>
    <x v="0"/>
    <n v="2.67"/>
    <n v="2.65"/>
    <n v="2.12"/>
    <n v="2.5299999999999998"/>
  </r>
  <r>
    <x v="4"/>
    <x v="7"/>
    <x v="20"/>
    <x v="1"/>
    <x v="2"/>
    <x v="0"/>
    <n v="0.28000000000000003"/>
    <n v="0.28000000000000003"/>
    <n v="0.01"/>
    <n v="0.24"/>
  </r>
  <r>
    <x v="4"/>
    <x v="7"/>
    <x v="20"/>
    <x v="1"/>
    <x v="1"/>
    <x v="0"/>
    <n v="12.43"/>
    <n v="12.32"/>
    <n v="1.06"/>
    <n v="11.47"/>
  </r>
  <r>
    <x v="4"/>
    <x v="7"/>
    <x v="20"/>
    <x v="1"/>
    <x v="4"/>
    <x v="0"/>
    <n v="101.85"/>
    <n v="100.95"/>
    <n v="20.51"/>
    <n v="93.96"/>
  </r>
  <r>
    <x v="4"/>
    <x v="7"/>
    <x v="20"/>
    <x v="1"/>
    <x v="0"/>
    <x v="0"/>
    <n v="4.7699999999999996"/>
    <n v="4.7300000000000004"/>
    <n v="3.46"/>
    <n v="4.5"/>
  </r>
  <r>
    <x v="4"/>
    <x v="7"/>
    <x v="20"/>
    <x v="0"/>
    <x v="4"/>
    <x v="0"/>
    <n v="10.39"/>
    <n v="10.3"/>
    <n v="3.03"/>
    <n v="9.68"/>
  </r>
  <r>
    <x v="4"/>
    <x v="7"/>
    <x v="20"/>
    <x v="4"/>
    <x v="4"/>
    <x v="2"/>
    <n v="0.2"/>
    <n v="0.2"/>
    <n v="0.01"/>
    <n v="0.18"/>
  </r>
  <r>
    <x v="4"/>
    <x v="7"/>
    <x v="20"/>
    <x v="0"/>
    <x v="0"/>
    <x v="0"/>
    <n v="3.39"/>
    <n v="3.36"/>
    <n v="2.1"/>
    <n v="3.07"/>
  </r>
  <r>
    <x v="4"/>
    <x v="7"/>
    <x v="20"/>
    <x v="2"/>
    <x v="4"/>
    <x v="0"/>
    <n v="3.13"/>
    <n v="3.1"/>
    <n v="1"/>
    <n v="2.95"/>
  </r>
  <r>
    <x v="4"/>
    <x v="7"/>
    <x v="20"/>
    <x v="4"/>
    <x v="4"/>
    <x v="0"/>
    <n v="60.24"/>
    <n v="59.71"/>
    <n v="7.14"/>
    <n v="55.17"/>
  </r>
  <r>
    <x v="4"/>
    <x v="7"/>
    <x v="20"/>
    <x v="3"/>
    <x v="4"/>
    <x v="0"/>
    <n v="1.77"/>
    <n v="1.75"/>
    <n v="0.53"/>
    <n v="1.68"/>
  </r>
  <r>
    <x v="4"/>
    <x v="7"/>
    <x v="20"/>
    <x v="3"/>
    <x v="0"/>
    <x v="0"/>
    <n v="0.66"/>
    <n v="0.65"/>
    <n v="0.96"/>
    <n v="0.64"/>
  </r>
  <r>
    <x v="4"/>
    <x v="7"/>
    <x v="20"/>
    <x v="1"/>
    <x v="2"/>
    <x v="1"/>
    <n v="2.39"/>
    <n v="2.37"/>
    <n v="0.02"/>
    <n v="2.23"/>
  </r>
  <r>
    <x v="4"/>
    <x v="7"/>
    <x v="20"/>
    <x v="1"/>
    <x v="1"/>
    <x v="1"/>
    <n v="0.24"/>
    <n v="0.24"/>
    <n v="0.01"/>
    <n v="0.23"/>
  </r>
  <r>
    <x v="4"/>
    <x v="7"/>
    <x v="20"/>
    <x v="1"/>
    <x v="4"/>
    <x v="2"/>
    <n v="0.39"/>
    <n v="0.39"/>
    <n v="0.02"/>
    <n v="0.35"/>
  </r>
  <r>
    <x v="4"/>
    <x v="7"/>
    <x v="20"/>
    <x v="1"/>
    <x v="4"/>
    <x v="1"/>
    <n v="0.08"/>
    <n v="7.0000000000000007E-2"/>
    <n v="0"/>
    <n v="7.0000000000000007E-2"/>
  </r>
  <r>
    <x v="4"/>
    <x v="7"/>
    <x v="20"/>
    <x v="1"/>
    <x v="0"/>
    <x v="1"/>
    <n v="0.32"/>
    <n v="0.32"/>
    <n v="0.02"/>
    <n v="0.3"/>
  </r>
  <r>
    <x v="4"/>
    <x v="7"/>
    <x v="20"/>
    <x v="0"/>
    <x v="4"/>
    <x v="1"/>
    <n v="0.1"/>
    <n v="0.1"/>
    <n v="0"/>
    <n v="0.09"/>
  </r>
  <r>
    <x v="4"/>
    <x v="7"/>
    <x v="20"/>
    <x v="2"/>
    <x v="2"/>
    <x v="3"/>
    <n v="0.01"/>
    <n v="0.01"/>
    <n v="0"/>
    <n v="0.01"/>
  </r>
  <r>
    <x v="4"/>
    <x v="7"/>
    <x v="20"/>
    <x v="0"/>
    <x v="0"/>
    <x v="1"/>
    <n v="0.87"/>
    <n v="0.86"/>
    <n v="0.03"/>
    <n v="0.81"/>
  </r>
  <r>
    <x v="4"/>
    <x v="7"/>
    <x v="20"/>
    <x v="2"/>
    <x v="3"/>
    <x v="3"/>
    <n v="11.09"/>
    <n v="10.99"/>
    <n v="0.01"/>
    <n v="11.09"/>
  </r>
  <r>
    <x v="4"/>
    <x v="7"/>
    <x v="20"/>
    <x v="2"/>
    <x v="3"/>
    <x v="1"/>
    <n v="0.36"/>
    <n v="0.35"/>
    <n v="0"/>
    <n v="0.33"/>
  </r>
  <r>
    <x v="4"/>
    <x v="7"/>
    <x v="20"/>
    <x v="4"/>
    <x v="0"/>
    <x v="1"/>
    <n v="0.01"/>
    <n v="0.01"/>
    <n v="0"/>
    <n v="0.01"/>
  </r>
  <r>
    <x v="4"/>
    <x v="7"/>
    <x v="20"/>
    <x v="4"/>
    <x v="1"/>
    <x v="0"/>
    <n v="17.059999999999999"/>
    <n v="16.91"/>
    <n v="1.1599999999999999"/>
    <n v="15.71"/>
  </r>
  <r>
    <x v="4"/>
    <x v="7"/>
    <x v="20"/>
    <x v="4"/>
    <x v="4"/>
    <x v="1"/>
    <n v="0.1"/>
    <n v="0.1"/>
    <n v="0"/>
    <n v="0.09"/>
  </r>
  <r>
    <x v="4"/>
    <x v="7"/>
    <x v="20"/>
    <x v="4"/>
    <x v="1"/>
    <x v="1"/>
    <n v="0.1"/>
    <n v="0.1"/>
    <n v="0"/>
    <n v="0.09"/>
  </r>
  <r>
    <x v="4"/>
    <x v="2"/>
    <x v="21"/>
    <x v="4"/>
    <x v="2"/>
    <x v="2"/>
    <n v="2.69"/>
    <n v="2.69"/>
    <n v="0"/>
    <n v="2.48"/>
  </r>
  <r>
    <x v="4"/>
    <x v="2"/>
    <x v="21"/>
    <x v="4"/>
    <x v="4"/>
    <x v="2"/>
    <n v="2.66"/>
    <n v="2.67"/>
    <n v="0.04"/>
    <n v="2.4500000000000002"/>
  </r>
  <r>
    <x v="4"/>
    <x v="2"/>
    <x v="21"/>
    <x v="2"/>
    <x v="2"/>
    <x v="1"/>
    <n v="0.28999999999999998"/>
    <n v="0.28999999999999998"/>
    <n v="0"/>
    <n v="0.28000000000000003"/>
  </r>
  <r>
    <x v="4"/>
    <x v="2"/>
    <x v="21"/>
    <x v="2"/>
    <x v="0"/>
    <x v="0"/>
    <n v="22.97"/>
    <n v="22.98"/>
    <n v="12.19"/>
    <n v="21.34"/>
  </r>
  <r>
    <x v="4"/>
    <x v="2"/>
    <x v="21"/>
    <x v="1"/>
    <x v="2"/>
    <x v="0"/>
    <n v="0.99"/>
    <n v="0.99"/>
    <n v="0.01"/>
    <n v="0.89"/>
  </r>
  <r>
    <x v="4"/>
    <x v="2"/>
    <x v="21"/>
    <x v="1"/>
    <x v="1"/>
    <x v="0"/>
    <n v="34.5"/>
    <n v="34.51"/>
    <n v="2.2200000000000002"/>
    <n v="31.93"/>
  </r>
  <r>
    <x v="4"/>
    <x v="2"/>
    <x v="21"/>
    <x v="1"/>
    <x v="4"/>
    <x v="0"/>
    <n v="299.18"/>
    <n v="299.35000000000002"/>
    <n v="54.34"/>
    <n v="276.08"/>
  </r>
  <r>
    <x v="4"/>
    <x v="2"/>
    <x v="21"/>
    <x v="1"/>
    <x v="0"/>
    <x v="0"/>
    <n v="20.66"/>
    <n v="20.67"/>
    <n v="11.05"/>
    <n v="19.25"/>
  </r>
  <r>
    <x v="4"/>
    <x v="2"/>
    <x v="21"/>
    <x v="0"/>
    <x v="4"/>
    <x v="0"/>
    <n v="34.18"/>
    <n v="34.200000000000003"/>
    <n v="8.11"/>
    <n v="31.98"/>
  </r>
  <r>
    <x v="4"/>
    <x v="2"/>
    <x v="21"/>
    <x v="0"/>
    <x v="0"/>
    <x v="0"/>
    <n v="16.41"/>
    <n v="16.420000000000002"/>
    <n v="9.7200000000000006"/>
    <n v="14.96"/>
  </r>
  <r>
    <x v="4"/>
    <x v="2"/>
    <x v="21"/>
    <x v="4"/>
    <x v="1"/>
    <x v="0"/>
    <n v="19.45"/>
    <n v="19.46"/>
    <n v="1.46"/>
    <n v="18"/>
  </r>
  <r>
    <x v="4"/>
    <x v="2"/>
    <x v="21"/>
    <x v="4"/>
    <x v="4"/>
    <x v="0"/>
    <n v="73.900000000000006"/>
    <n v="73.94"/>
    <n v="8.7100000000000009"/>
    <n v="68.61"/>
  </r>
  <r>
    <x v="4"/>
    <x v="2"/>
    <x v="21"/>
    <x v="3"/>
    <x v="1"/>
    <x v="0"/>
    <n v="0.21"/>
    <n v="0.21"/>
    <n v="0.02"/>
    <n v="0.21"/>
  </r>
  <r>
    <x v="4"/>
    <x v="2"/>
    <x v="21"/>
    <x v="3"/>
    <x v="4"/>
    <x v="0"/>
    <n v="11.97"/>
    <n v="11.98"/>
    <n v="2.4500000000000002"/>
    <n v="11.21"/>
  </r>
  <r>
    <x v="4"/>
    <x v="2"/>
    <x v="21"/>
    <x v="4"/>
    <x v="1"/>
    <x v="2"/>
    <n v="1.54"/>
    <n v="1.55"/>
    <n v="0.02"/>
    <n v="1.42"/>
  </r>
  <r>
    <x v="4"/>
    <x v="2"/>
    <x v="21"/>
    <x v="2"/>
    <x v="3"/>
    <x v="1"/>
    <n v="3.69"/>
    <n v="3.69"/>
    <n v="0.01"/>
    <n v="3.35"/>
  </r>
  <r>
    <x v="4"/>
    <x v="2"/>
    <x v="21"/>
    <x v="4"/>
    <x v="1"/>
    <x v="1"/>
    <n v="1.1200000000000001"/>
    <n v="1.1200000000000001"/>
    <n v="0.01"/>
    <n v="1.02"/>
  </r>
  <r>
    <x v="4"/>
    <x v="2"/>
    <x v="21"/>
    <x v="1"/>
    <x v="4"/>
    <x v="2"/>
    <n v="1.1399999999999999"/>
    <n v="1.1399999999999999"/>
    <n v="7.0000000000000007E-2"/>
    <n v="1.05"/>
  </r>
  <r>
    <x v="4"/>
    <x v="2"/>
    <x v="21"/>
    <x v="2"/>
    <x v="3"/>
    <x v="2"/>
    <n v="10.78"/>
    <n v="10.79"/>
    <n v="0.02"/>
    <n v="9.59"/>
  </r>
  <r>
    <x v="4"/>
    <x v="2"/>
    <x v="21"/>
    <x v="2"/>
    <x v="2"/>
    <x v="3"/>
    <n v="0.48"/>
    <n v="0.48"/>
    <n v="0"/>
    <n v="0.48"/>
  </r>
  <r>
    <x v="4"/>
    <x v="2"/>
    <x v="21"/>
    <x v="2"/>
    <x v="3"/>
    <x v="3"/>
    <n v="106.23"/>
    <n v="106.29"/>
    <n v="7.0000000000000007E-2"/>
    <n v="106.23"/>
  </r>
  <r>
    <x v="4"/>
    <x v="2"/>
    <x v="21"/>
    <x v="3"/>
    <x v="0"/>
    <x v="0"/>
    <n v="2.78"/>
    <n v="2.78"/>
    <n v="1.91"/>
    <n v="2.67"/>
  </r>
  <r>
    <x v="4"/>
    <x v="2"/>
    <x v="21"/>
    <x v="4"/>
    <x v="4"/>
    <x v="1"/>
    <n v="1.29"/>
    <n v="1.29"/>
    <n v="0.02"/>
    <n v="1.18"/>
  </r>
  <r>
    <x v="4"/>
    <x v="2"/>
    <x v="21"/>
    <x v="2"/>
    <x v="4"/>
    <x v="0"/>
    <n v="14.07"/>
    <n v="14.08"/>
    <n v="4.32"/>
    <n v="13.19"/>
  </r>
  <r>
    <x v="4"/>
    <x v="2"/>
    <x v="21"/>
    <x v="0"/>
    <x v="0"/>
    <x v="1"/>
    <n v="8.1300000000000008"/>
    <n v="8.1300000000000008"/>
    <n v="0.3"/>
    <n v="7.32"/>
  </r>
  <r>
    <x v="4"/>
    <x v="2"/>
    <x v="21"/>
    <x v="0"/>
    <x v="4"/>
    <x v="1"/>
    <n v="2.0299999999999998"/>
    <n v="2.0299999999999998"/>
    <n v="0.05"/>
    <n v="1.83"/>
  </r>
  <r>
    <x v="4"/>
    <x v="2"/>
    <x v="21"/>
    <x v="1"/>
    <x v="0"/>
    <x v="1"/>
    <n v="2.69"/>
    <n v="2.7"/>
    <n v="0.16"/>
    <n v="2.4300000000000002"/>
  </r>
  <r>
    <x v="4"/>
    <x v="2"/>
    <x v="21"/>
    <x v="1"/>
    <x v="4"/>
    <x v="1"/>
    <n v="1"/>
    <n v="1"/>
    <n v="0.05"/>
    <n v="0.9"/>
  </r>
  <r>
    <x v="4"/>
    <x v="2"/>
    <x v="21"/>
    <x v="1"/>
    <x v="1"/>
    <x v="1"/>
    <n v="2.91"/>
    <n v="2.91"/>
    <n v="0.04"/>
    <n v="2.64"/>
  </r>
  <r>
    <x v="4"/>
    <x v="2"/>
    <x v="21"/>
    <x v="1"/>
    <x v="2"/>
    <x v="1"/>
    <n v="23.19"/>
    <n v="23.21"/>
    <n v="0.14000000000000001"/>
    <n v="20.91"/>
  </r>
  <r>
    <x v="4"/>
    <x v="2"/>
    <x v="21"/>
    <x v="4"/>
    <x v="0"/>
    <x v="1"/>
    <n v="0.3"/>
    <n v="0.3"/>
    <n v="0.06"/>
    <n v="0.27"/>
  </r>
  <r>
    <x v="4"/>
    <x v="8"/>
    <x v="22"/>
    <x v="2"/>
    <x v="1"/>
    <x v="0"/>
    <n v="2.58"/>
    <n v="2.8"/>
    <n v="0"/>
    <n v="2.37"/>
  </r>
  <r>
    <x v="4"/>
    <x v="8"/>
    <x v="22"/>
    <x v="2"/>
    <x v="3"/>
    <x v="2"/>
    <n v="46.87"/>
    <n v="50.84"/>
    <n v="0.03"/>
    <n v="46.87"/>
  </r>
  <r>
    <x v="4"/>
    <x v="8"/>
    <x v="22"/>
    <x v="0"/>
    <x v="4"/>
    <x v="1"/>
    <n v="10.86"/>
    <n v="11.78"/>
    <n v="0.1"/>
    <n v="9.8000000000000007"/>
  </r>
  <r>
    <x v="4"/>
    <x v="8"/>
    <x v="22"/>
    <x v="0"/>
    <x v="0"/>
    <x v="1"/>
    <n v="97.61"/>
    <n v="105.88"/>
    <n v="2.83"/>
    <n v="90.47"/>
  </r>
  <r>
    <x v="4"/>
    <x v="8"/>
    <x v="22"/>
    <x v="4"/>
    <x v="1"/>
    <x v="1"/>
    <n v="9.42"/>
    <n v="10.220000000000001"/>
    <n v="0.95"/>
    <n v="7.99"/>
  </r>
  <r>
    <x v="4"/>
    <x v="8"/>
    <x v="22"/>
    <x v="4"/>
    <x v="4"/>
    <x v="1"/>
    <n v="5.66"/>
    <n v="6.14"/>
    <n v="0.14000000000000001"/>
    <n v="5.24"/>
  </r>
  <r>
    <x v="4"/>
    <x v="8"/>
    <x v="22"/>
    <x v="4"/>
    <x v="0"/>
    <x v="1"/>
    <n v="4.63"/>
    <n v="5.03"/>
    <n v="0.24"/>
    <n v="3.72"/>
  </r>
  <r>
    <x v="4"/>
    <x v="8"/>
    <x v="22"/>
    <x v="2"/>
    <x v="3"/>
    <x v="3"/>
    <n v="341.84"/>
    <n v="370.81"/>
    <n v="0.15"/>
    <n v="330.64"/>
  </r>
  <r>
    <x v="4"/>
    <x v="8"/>
    <x v="22"/>
    <x v="2"/>
    <x v="2"/>
    <x v="3"/>
    <n v="80.72"/>
    <n v="87.56"/>
    <n v="0.03"/>
    <n v="79.44"/>
  </r>
  <r>
    <x v="4"/>
    <x v="8"/>
    <x v="22"/>
    <x v="2"/>
    <x v="1"/>
    <x v="3"/>
    <n v="286.41000000000003"/>
    <n v="310.67"/>
    <n v="0.13"/>
    <n v="286.41000000000003"/>
  </r>
  <r>
    <x v="4"/>
    <x v="8"/>
    <x v="22"/>
    <x v="4"/>
    <x v="4"/>
    <x v="2"/>
    <n v="4.04"/>
    <n v="4.38"/>
    <n v="0.32"/>
    <n v="3.67"/>
  </r>
  <r>
    <x v="4"/>
    <x v="8"/>
    <x v="22"/>
    <x v="2"/>
    <x v="0"/>
    <x v="3"/>
    <n v="1.1399999999999999"/>
    <n v="1.23"/>
    <n v="0"/>
    <n v="1.1399999999999999"/>
  </r>
  <r>
    <x v="4"/>
    <x v="8"/>
    <x v="22"/>
    <x v="1"/>
    <x v="0"/>
    <x v="1"/>
    <n v="21.51"/>
    <n v="23.33"/>
    <n v="1.71"/>
    <n v="18.559999999999999"/>
  </r>
  <r>
    <x v="4"/>
    <x v="8"/>
    <x v="22"/>
    <x v="2"/>
    <x v="2"/>
    <x v="2"/>
    <n v="2.48"/>
    <n v="2.7"/>
    <n v="0.01"/>
    <n v="2.48"/>
  </r>
  <r>
    <x v="4"/>
    <x v="8"/>
    <x v="22"/>
    <x v="2"/>
    <x v="1"/>
    <x v="2"/>
    <n v="6.38"/>
    <n v="6.93"/>
    <n v="0.01"/>
    <n v="6.38"/>
  </r>
  <r>
    <x v="4"/>
    <x v="8"/>
    <x v="22"/>
    <x v="1"/>
    <x v="3"/>
    <x v="2"/>
    <n v="0.76"/>
    <n v="0.83"/>
    <n v="0.05"/>
    <n v="0.66"/>
  </r>
  <r>
    <x v="4"/>
    <x v="8"/>
    <x v="22"/>
    <x v="1"/>
    <x v="1"/>
    <x v="2"/>
    <n v="5.37"/>
    <n v="5.83"/>
    <n v="0.02"/>
    <n v="5.37"/>
  </r>
  <r>
    <x v="4"/>
    <x v="8"/>
    <x v="22"/>
    <x v="1"/>
    <x v="4"/>
    <x v="2"/>
    <n v="44.55"/>
    <n v="48.33"/>
    <n v="1.25"/>
    <n v="39.25"/>
  </r>
  <r>
    <x v="4"/>
    <x v="8"/>
    <x v="22"/>
    <x v="0"/>
    <x v="2"/>
    <x v="2"/>
    <n v="0.35"/>
    <n v="0.38"/>
    <n v="0.01"/>
    <n v="0.35"/>
  </r>
  <r>
    <x v="4"/>
    <x v="8"/>
    <x v="22"/>
    <x v="4"/>
    <x v="2"/>
    <x v="2"/>
    <n v="9.26"/>
    <n v="10.039999999999999"/>
    <n v="7.0000000000000007E-2"/>
    <n v="8.42"/>
  </r>
  <r>
    <x v="4"/>
    <x v="8"/>
    <x v="22"/>
    <x v="4"/>
    <x v="1"/>
    <x v="2"/>
    <n v="3.21"/>
    <n v="3.49"/>
    <n v="0.12"/>
    <n v="2.92"/>
  </r>
  <r>
    <x v="4"/>
    <x v="8"/>
    <x v="22"/>
    <x v="2"/>
    <x v="4"/>
    <x v="3"/>
    <n v="25.78"/>
    <n v="27.97"/>
    <n v="0.02"/>
    <n v="25.78"/>
  </r>
  <r>
    <x v="4"/>
    <x v="8"/>
    <x v="22"/>
    <x v="4"/>
    <x v="2"/>
    <x v="0"/>
    <n v="13.96"/>
    <n v="15.14"/>
    <n v="0.39"/>
    <n v="13.33"/>
  </r>
  <r>
    <x v="4"/>
    <x v="8"/>
    <x v="22"/>
    <x v="2"/>
    <x v="0"/>
    <x v="0"/>
    <n v="425.5"/>
    <n v="461.55"/>
    <n v="131.56"/>
    <n v="393.72"/>
  </r>
  <r>
    <x v="4"/>
    <x v="8"/>
    <x v="22"/>
    <x v="2"/>
    <x v="4"/>
    <x v="0"/>
    <n v="92.38"/>
    <n v="100.21"/>
    <n v="11.95"/>
    <n v="84.69"/>
  </r>
  <r>
    <x v="4"/>
    <x v="8"/>
    <x v="22"/>
    <x v="1"/>
    <x v="2"/>
    <x v="0"/>
    <n v="38.82"/>
    <n v="42.11"/>
    <n v="0.14000000000000001"/>
    <n v="31.34"/>
  </r>
  <r>
    <x v="4"/>
    <x v="8"/>
    <x v="22"/>
    <x v="1"/>
    <x v="1"/>
    <x v="0"/>
    <n v="71.22"/>
    <n v="77.25"/>
    <n v="2.75"/>
    <n v="66.53"/>
  </r>
  <r>
    <x v="4"/>
    <x v="8"/>
    <x v="22"/>
    <x v="1"/>
    <x v="4"/>
    <x v="0"/>
    <n v="1444.89"/>
    <n v="1567.32"/>
    <n v="195.53"/>
    <n v="1290.01"/>
  </r>
  <r>
    <x v="4"/>
    <x v="8"/>
    <x v="22"/>
    <x v="1"/>
    <x v="0"/>
    <x v="0"/>
    <n v="293.36"/>
    <n v="318.20999999999998"/>
    <n v="76.790000000000006"/>
    <n v="263.56"/>
  </r>
  <r>
    <x v="4"/>
    <x v="8"/>
    <x v="22"/>
    <x v="0"/>
    <x v="2"/>
    <x v="0"/>
    <n v="12.76"/>
    <n v="13.84"/>
    <n v="0.04"/>
    <n v="12.76"/>
  </r>
  <r>
    <x v="4"/>
    <x v="8"/>
    <x v="22"/>
    <x v="0"/>
    <x v="1"/>
    <x v="0"/>
    <n v="16.52"/>
    <n v="17.920000000000002"/>
    <n v="0.25"/>
    <n v="16.52"/>
  </r>
  <r>
    <x v="4"/>
    <x v="8"/>
    <x v="22"/>
    <x v="0"/>
    <x v="1"/>
    <x v="1"/>
    <n v="22.48"/>
    <n v="24.39"/>
    <n v="0.3"/>
    <n v="21.11"/>
  </r>
  <r>
    <x v="4"/>
    <x v="8"/>
    <x v="22"/>
    <x v="0"/>
    <x v="0"/>
    <x v="0"/>
    <n v="150.08000000000001"/>
    <n v="162.80000000000001"/>
    <n v="33.6"/>
    <n v="133.16"/>
  </r>
  <r>
    <x v="4"/>
    <x v="8"/>
    <x v="22"/>
    <x v="0"/>
    <x v="3"/>
    <x v="1"/>
    <n v="20.170000000000002"/>
    <n v="21.88"/>
    <n v="0.08"/>
    <n v="18.95"/>
  </r>
  <r>
    <x v="4"/>
    <x v="8"/>
    <x v="22"/>
    <x v="4"/>
    <x v="1"/>
    <x v="0"/>
    <n v="35.4"/>
    <n v="38.4"/>
    <n v="1.6"/>
    <n v="33.85"/>
  </r>
  <r>
    <x v="4"/>
    <x v="8"/>
    <x v="22"/>
    <x v="4"/>
    <x v="0"/>
    <x v="0"/>
    <n v="2.34"/>
    <n v="2.54"/>
    <n v="0.49"/>
    <n v="2.1"/>
  </r>
  <r>
    <x v="4"/>
    <x v="8"/>
    <x v="22"/>
    <x v="3"/>
    <x v="0"/>
    <x v="0"/>
    <n v="5.94"/>
    <n v="6.44"/>
    <n v="3.93"/>
    <n v="5.42"/>
  </r>
  <r>
    <x v="4"/>
    <x v="8"/>
    <x v="22"/>
    <x v="2"/>
    <x v="3"/>
    <x v="1"/>
    <n v="12.88"/>
    <n v="13.97"/>
    <n v="0.01"/>
    <n v="12.24"/>
  </r>
  <r>
    <x v="4"/>
    <x v="8"/>
    <x v="22"/>
    <x v="1"/>
    <x v="3"/>
    <x v="1"/>
    <n v="55.16"/>
    <n v="59.83"/>
    <n v="0.32"/>
    <n v="55.13"/>
  </r>
  <r>
    <x v="4"/>
    <x v="8"/>
    <x v="22"/>
    <x v="1"/>
    <x v="2"/>
    <x v="1"/>
    <n v="54.33"/>
    <n v="58.93"/>
    <n v="0.12"/>
    <n v="49"/>
  </r>
  <r>
    <x v="4"/>
    <x v="8"/>
    <x v="22"/>
    <x v="1"/>
    <x v="1"/>
    <x v="1"/>
    <n v="20.75"/>
    <n v="22.51"/>
    <n v="0.13"/>
    <n v="18.53"/>
  </r>
  <r>
    <x v="4"/>
    <x v="8"/>
    <x v="22"/>
    <x v="1"/>
    <x v="4"/>
    <x v="1"/>
    <n v="9.26"/>
    <n v="10.039999999999999"/>
    <n v="0.43"/>
    <n v="8"/>
  </r>
  <r>
    <x v="4"/>
    <x v="8"/>
    <x v="22"/>
    <x v="3"/>
    <x v="4"/>
    <x v="0"/>
    <n v="99.19"/>
    <n v="107.59"/>
    <n v="20.25"/>
    <n v="91.44"/>
  </r>
  <r>
    <x v="4"/>
    <x v="8"/>
    <x v="22"/>
    <x v="0"/>
    <x v="4"/>
    <x v="0"/>
    <n v="100.34"/>
    <n v="108.84"/>
    <n v="12.3"/>
    <n v="90.75"/>
  </r>
  <r>
    <x v="4"/>
    <x v="8"/>
    <x v="22"/>
    <x v="4"/>
    <x v="4"/>
    <x v="0"/>
    <n v="297.44"/>
    <n v="322.64999999999998"/>
    <n v="35.159999999999997"/>
    <n v="276.24"/>
  </r>
  <r>
    <x v="4"/>
    <x v="6"/>
    <x v="23"/>
    <x v="4"/>
    <x v="1"/>
    <x v="1"/>
    <n v="0.34"/>
    <n v="0.36"/>
    <n v="0.01"/>
    <n v="0.28999999999999998"/>
  </r>
  <r>
    <x v="4"/>
    <x v="6"/>
    <x v="23"/>
    <x v="4"/>
    <x v="4"/>
    <x v="0"/>
    <n v="20.010000000000002"/>
    <n v="20.78"/>
    <n v="3.68"/>
    <n v="17.899999999999999"/>
  </r>
  <r>
    <x v="4"/>
    <x v="6"/>
    <x v="23"/>
    <x v="3"/>
    <x v="4"/>
    <x v="0"/>
    <n v="3.79"/>
    <n v="3.94"/>
    <n v="1.03"/>
    <n v="3.25"/>
  </r>
  <r>
    <x v="4"/>
    <x v="6"/>
    <x v="23"/>
    <x v="2"/>
    <x v="3"/>
    <x v="1"/>
    <n v="2.4300000000000002"/>
    <n v="2.5299999999999998"/>
    <n v="0"/>
    <n v="2.4300000000000002"/>
  </r>
  <r>
    <x v="4"/>
    <x v="6"/>
    <x v="23"/>
    <x v="2"/>
    <x v="4"/>
    <x v="1"/>
    <n v="0.92"/>
    <n v="0.96"/>
    <n v="0"/>
    <n v="0.92"/>
  </r>
  <r>
    <x v="4"/>
    <x v="6"/>
    <x v="23"/>
    <x v="1"/>
    <x v="3"/>
    <x v="1"/>
    <n v="0.75"/>
    <n v="0.78"/>
    <n v="0.01"/>
    <n v="0.64"/>
  </r>
  <r>
    <x v="4"/>
    <x v="6"/>
    <x v="23"/>
    <x v="1"/>
    <x v="2"/>
    <x v="1"/>
    <n v="13.19"/>
    <n v="13.7"/>
    <n v="0.06"/>
    <n v="10.81"/>
  </r>
  <r>
    <x v="4"/>
    <x v="6"/>
    <x v="23"/>
    <x v="1"/>
    <x v="4"/>
    <x v="1"/>
    <n v="1.43"/>
    <n v="1.48"/>
    <n v="0.05"/>
    <n v="1.18"/>
  </r>
  <r>
    <x v="4"/>
    <x v="6"/>
    <x v="23"/>
    <x v="0"/>
    <x v="1"/>
    <x v="1"/>
    <n v="0.05"/>
    <n v="0.05"/>
    <n v="0"/>
    <n v="0.05"/>
  </r>
  <r>
    <x v="4"/>
    <x v="6"/>
    <x v="23"/>
    <x v="4"/>
    <x v="1"/>
    <x v="0"/>
    <n v="6.65"/>
    <n v="6.91"/>
    <n v="0.57999999999999996"/>
    <n v="5.72"/>
  </r>
  <r>
    <x v="4"/>
    <x v="6"/>
    <x v="23"/>
    <x v="0"/>
    <x v="0"/>
    <x v="1"/>
    <n v="0.39"/>
    <n v="0.4"/>
    <n v="0.01"/>
    <n v="0.32"/>
  </r>
  <r>
    <x v="4"/>
    <x v="6"/>
    <x v="23"/>
    <x v="1"/>
    <x v="1"/>
    <x v="1"/>
    <n v="7.91"/>
    <n v="8.2100000000000009"/>
    <n v="7.0000000000000007E-2"/>
    <n v="6.51"/>
  </r>
  <r>
    <x v="4"/>
    <x v="6"/>
    <x v="23"/>
    <x v="4"/>
    <x v="4"/>
    <x v="1"/>
    <n v="0.32"/>
    <n v="0.33"/>
    <n v="0.02"/>
    <n v="0.26"/>
  </r>
  <r>
    <x v="4"/>
    <x v="6"/>
    <x v="23"/>
    <x v="4"/>
    <x v="0"/>
    <x v="1"/>
    <n v="0.38"/>
    <n v="0.4"/>
    <n v="0.04"/>
    <n v="0.35"/>
  </r>
  <r>
    <x v="4"/>
    <x v="6"/>
    <x v="23"/>
    <x v="2"/>
    <x v="3"/>
    <x v="3"/>
    <n v="29.11"/>
    <n v="30.24"/>
    <n v="0.02"/>
    <n v="24.8"/>
  </r>
  <r>
    <x v="4"/>
    <x v="6"/>
    <x v="23"/>
    <x v="2"/>
    <x v="3"/>
    <x v="2"/>
    <n v="0.55000000000000004"/>
    <n v="0.56999999999999995"/>
    <n v="0"/>
    <n v="0.55000000000000004"/>
  </r>
  <r>
    <x v="4"/>
    <x v="6"/>
    <x v="23"/>
    <x v="1"/>
    <x v="1"/>
    <x v="2"/>
    <n v="0.74"/>
    <n v="0.77"/>
    <n v="0.01"/>
    <n v="0.59"/>
  </r>
  <r>
    <x v="4"/>
    <x v="6"/>
    <x v="23"/>
    <x v="4"/>
    <x v="2"/>
    <x v="2"/>
    <n v="1.01"/>
    <n v="1.05"/>
    <n v="0.03"/>
    <n v="1.01"/>
  </r>
  <r>
    <x v="4"/>
    <x v="6"/>
    <x v="23"/>
    <x v="4"/>
    <x v="1"/>
    <x v="2"/>
    <n v="0.25"/>
    <n v="0.26"/>
    <n v="0.02"/>
    <n v="0.25"/>
  </r>
  <r>
    <x v="4"/>
    <x v="6"/>
    <x v="23"/>
    <x v="0"/>
    <x v="4"/>
    <x v="1"/>
    <n v="9.09"/>
    <n v="9.44"/>
    <n v="0.17"/>
    <n v="7.45"/>
  </r>
  <r>
    <x v="4"/>
    <x v="6"/>
    <x v="23"/>
    <x v="2"/>
    <x v="0"/>
    <x v="0"/>
    <n v="6.21"/>
    <n v="6.45"/>
    <n v="4.7"/>
    <n v="5.59"/>
  </r>
  <r>
    <x v="4"/>
    <x v="6"/>
    <x v="23"/>
    <x v="0"/>
    <x v="4"/>
    <x v="0"/>
    <n v="2.9"/>
    <n v="3.01"/>
    <n v="0.71"/>
    <n v="2.58"/>
  </r>
  <r>
    <x v="4"/>
    <x v="6"/>
    <x v="23"/>
    <x v="0"/>
    <x v="2"/>
    <x v="0"/>
    <n v="0.21"/>
    <n v="0.22"/>
    <n v="0"/>
    <n v="0.21"/>
  </r>
  <r>
    <x v="4"/>
    <x v="6"/>
    <x v="23"/>
    <x v="1"/>
    <x v="0"/>
    <x v="0"/>
    <n v="2.72"/>
    <n v="2.82"/>
    <n v="1.27"/>
    <n v="2.41"/>
  </r>
  <r>
    <x v="4"/>
    <x v="6"/>
    <x v="23"/>
    <x v="1"/>
    <x v="4"/>
    <x v="0"/>
    <n v="113.31"/>
    <n v="117.68"/>
    <n v="14.69"/>
    <n v="99.94"/>
  </r>
  <r>
    <x v="4"/>
    <x v="6"/>
    <x v="23"/>
    <x v="1"/>
    <x v="1"/>
    <x v="0"/>
    <n v="22.83"/>
    <n v="23.72"/>
    <n v="1.17"/>
    <n v="19.63"/>
  </r>
  <r>
    <x v="4"/>
    <x v="6"/>
    <x v="23"/>
    <x v="1"/>
    <x v="2"/>
    <x v="0"/>
    <n v="3.56"/>
    <n v="3.7"/>
    <n v="0.03"/>
    <n v="2.98"/>
  </r>
  <r>
    <x v="4"/>
    <x v="6"/>
    <x v="23"/>
    <x v="0"/>
    <x v="0"/>
    <x v="0"/>
    <n v="4"/>
    <n v="4.16"/>
    <n v="2.08"/>
    <n v="3.41"/>
  </r>
  <r>
    <x v="4"/>
    <x v="6"/>
    <x v="23"/>
    <x v="2"/>
    <x v="4"/>
    <x v="0"/>
    <n v="3.9"/>
    <n v="4.05"/>
    <n v="0.97"/>
    <n v="3.52"/>
  </r>
  <r>
    <x v="4"/>
    <x v="6"/>
    <x v="23"/>
    <x v="1"/>
    <x v="0"/>
    <x v="1"/>
    <n v="1.36"/>
    <n v="1.41"/>
    <n v="0.06"/>
    <n v="1.21"/>
  </r>
  <r>
    <x v="4"/>
    <x v="0"/>
    <x v="24"/>
    <x v="0"/>
    <x v="0"/>
    <x v="1"/>
    <n v="5.68"/>
    <n v="5.92"/>
    <n v="0.13"/>
    <n v="5.42"/>
  </r>
  <r>
    <x v="4"/>
    <x v="0"/>
    <x v="24"/>
    <x v="0"/>
    <x v="4"/>
    <x v="1"/>
    <n v="1.5"/>
    <n v="1.56"/>
    <n v="0.02"/>
    <n v="1.43"/>
  </r>
  <r>
    <x v="4"/>
    <x v="0"/>
    <x v="24"/>
    <x v="2"/>
    <x v="4"/>
    <x v="0"/>
    <n v="17.920000000000002"/>
    <n v="18.670000000000002"/>
    <n v="2.2999999999999998"/>
    <n v="17.68"/>
  </r>
  <r>
    <x v="4"/>
    <x v="0"/>
    <x v="24"/>
    <x v="1"/>
    <x v="4"/>
    <x v="1"/>
    <n v="3.55"/>
    <n v="3.7"/>
    <n v="0.14000000000000001"/>
    <n v="3.35"/>
  </r>
  <r>
    <x v="4"/>
    <x v="0"/>
    <x v="24"/>
    <x v="1"/>
    <x v="4"/>
    <x v="2"/>
    <n v="0.55000000000000004"/>
    <n v="0.56999999999999995"/>
    <n v="0.04"/>
    <n v="0.54"/>
  </r>
  <r>
    <x v="4"/>
    <x v="0"/>
    <x v="24"/>
    <x v="1"/>
    <x v="0"/>
    <x v="1"/>
    <n v="5.45"/>
    <n v="5.68"/>
    <n v="0.41"/>
    <n v="5.14"/>
  </r>
  <r>
    <x v="4"/>
    <x v="0"/>
    <x v="24"/>
    <x v="4"/>
    <x v="4"/>
    <x v="1"/>
    <n v="0.63"/>
    <n v="0.65"/>
    <n v="0.03"/>
    <n v="0.6"/>
  </r>
  <r>
    <x v="4"/>
    <x v="0"/>
    <x v="24"/>
    <x v="2"/>
    <x v="3"/>
    <x v="3"/>
    <n v="73.81"/>
    <n v="76.930000000000007"/>
    <n v="0.04"/>
    <n v="72.08"/>
  </r>
  <r>
    <x v="4"/>
    <x v="0"/>
    <x v="24"/>
    <x v="1"/>
    <x v="1"/>
    <x v="1"/>
    <n v="6.44"/>
    <n v="6.71"/>
    <n v="0.17"/>
    <n v="6.09"/>
  </r>
  <r>
    <x v="4"/>
    <x v="0"/>
    <x v="24"/>
    <x v="2"/>
    <x v="2"/>
    <x v="2"/>
    <n v="4.9400000000000004"/>
    <n v="5.15"/>
    <n v="0.02"/>
    <n v="4.75"/>
  </r>
  <r>
    <x v="4"/>
    <x v="0"/>
    <x v="24"/>
    <x v="1"/>
    <x v="1"/>
    <x v="0"/>
    <n v="27.62"/>
    <n v="28.79"/>
    <n v="1.19"/>
    <n v="26.71"/>
  </r>
  <r>
    <x v="4"/>
    <x v="0"/>
    <x v="24"/>
    <x v="4"/>
    <x v="2"/>
    <x v="2"/>
    <n v="1.31"/>
    <n v="1.36"/>
    <n v="0.02"/>
    <n v="1.28"/>
  </r>
  <r>
    <x v="4"/>
    <x v="0"/>
    <x v="24"/>
    <x v="4"/>
    <x v="1"/>
    <x v="2"/>
    <n v="0.65"/>
    <n v="0.68"/>
    <n v="0.02"/>
    <n v="0.64"/>
  </r>
  <r>
    <x v="4"/>
    <x v="0"/>
    <x v="24"/>
    <x v="2"/>
    <x v="3"/>
    <x v="2"/>
    <n v="15.29"/>
    <n v="15.93"/>
    <n v="0.01"/>
    <n v="14.78"/>
  </r>
  <r>
    <x v="4"/>
    <x v="0"/>
    <x v="24"/>
    <x v="1"/>
    <x v="2"/>
    <x v="1"/>
    <n v="29.22"/>
    <n v="30.45"/>
    <n v="0.08"/>
    <n v="27.8"/>
  </r>
  <r>
    <x v="4"/>
    <x v="0"/>
    <x v="24"/>
    <x v="2"/>
    <x v="3"/>
    <x v="1"/>
    <n v="5.49"/>
    <n v="5.73"/>
    <n v="0.01"/>
    <n v="5.25"/>
  </r>
  <r>
    <x v="4"/>
    <x v="0"/>
    <x v="24"/>
    <x v="3"/>
    <x v="0"/>
    <x v="0"/>
    <n v="7.0000000000000007E-2"/>
    <n v="7.0000000000000007E-2"/>
    <n v="7.0000000000000007E-2"/>
    <n v="7.0000000000000007E-2"/>
  </r>
  <r>
    <x v="4"/>
    <x v="0"/>
    <x v="24"/>
    <x v="1"/>
    <x v="2"/>
    <x v="0"/>
    <n v="26.53"/>
    <n v="27.65"/>
    <n v="0.28000000000000003"/>
    <n v="25.07"/>
  </r>
  <r>
    <x v="4"/>
    <x v="0"/>
    <x v="24"/>
    <x v="1"/>
    <x v="4"/>
    <x v="0"/>
    <n v="126.14"/>
    <n v="131.46"/>
    <n v="22.33"/>
    <n v="121.37"/>
  </r>
  <r>
    <x v="4"/>
    <x v="0"/>
    <x v="24"/>
    <x v="1"/>
    <x v="0"/>
    <x v="0"/>
    <n v="10.61"/>
    <n v="11.06"/>
    <n v="5.66"/>
    <n v="10.32"/>
  </r>
  <r>
    <x v="4"/>
    <x v="0"/>
    <x v="24"/>
    <x v="0"/>
    <x v="4"/>
    <x v="0"/>
    <n v="13.98"/>
    <n v="14.57"/>
    <n v="4.2699999999999996"/>
    <n v="13.61"/>
  </r>
  <r>
    <x v="4"/>
    <x v="0"/>
    <x v="24"/>
    <x v="0"/>
    <x v="0"/>
    <x v="0"/>
    <n v="5.22"/>
    <n v="5.43"/>
    <n v="9.4700000000000006"/>
    <n v="5.0199999999999996"/>
  </r>
  <r>
    <x v="4"/>
    <x v="0"/>
    <x v="24"/>
    <x v="4"/>
    <x v="1"/>
    <x v="0"/>
    <n v="28.75"/>
    <n v="29.96"/>
    <n v="1.95"/>
    <n v="27.68"/>
  </r>
  <r>
    <x v="4"/>
    <x v="0"/>
    <x v="24"/>
    <x v="4"/>
    <x v="4"/>
    <x v="0"/>
    <n v="41.26"/>
    <n v="43"/>
    <n v="7.1"/>
    <n v="40.299999999999997"/>
  </r>
  <r>
    <x v="4"/>
    <x v="0"/>
    <x v="24"/>
    <x v="3"/>
    <x v="4"/>
    <x v="0"/>
    <n v="3.54"/>
    <n v="3.69"/>
    <n v="0.81"/>
    <n v="3.23"/>
  </r>
  <r>
    <x v="4"/>
    <x v="0"/>
    <x v="24"/>
    <x v="4"/>
    <x v="4"/>
    <x v="2"/>
    <n v="0.43"/>
    <n v="0.45"/>
    <n v="0.02"/>
    <n v="0.42"/>
  </r>
  <r>
    <x v="4"/>
    <x v="0"/>
    <x v="24"/>
    <x v="4"/>
    <x v="0"/>
    <x v="1"/>
    <n v="1.69"/>
    <n v="1.76"/>
    <n v="0.08"/>
    <n v="1.6"/>
  </r>
  <r>
    <x v="4"/>
    <x v="0"/>
    <x v="24"/>
    <x v="2"/>
    <x v="0"/>
    <x v="0"/>
    <n v="11.56"/>
    <n v="12.05"/>
    <n v="8.4600000000000009"/>
    <n v="10.95"/>
  </r>
  <r>
    <x v="4"/>
    <x v="0"/>
    <x v="24"/>
    <x v="4"/>
    <x v="1"/>
    <x v="1"/>
    <n v="2.9"/>
    <n v="3.02"/>
    <n v="0.11"/>
    <n v="2.74"/>
  </r>
  <r>
    <x v="4"/>
    <x v="2"/>
    <x v="25"/>
    <x v="2"/>
    <x v="2"/>
    <x v="3"/>
    <n v="0"/>
    <n v="0"/>
    <n v="0"/>
    <n v="0"/>
  </r>
  <r>
    <x v="4"/>
    <x v="2"/>
    <x v="25"/>
    <x v="1"/>
    <x v="1"/>
    <x v="1"/>
    <n v="0.85"/>
    <n v="0.85"/>
    <n v="0.01"/>
    <n v="0.77"/>
  </r>
  <r>
    <x v="4"/>
    <x v="2"/>
    <x v="25"/>
    <x v="2"/>
    <x v="3"/>
    <x v="3"/>
    <n v="25.99"/>
    <n v="26"/>
    <n v="0.02"/>
    <n v="25.99"/>
  </r>
  <r>
    <x v="4"/>
    <x v="2"/>
    <x v="25"/>
    <x v="1"/>
    <x v="4"/>
    <x v="1"/>
    <n v="1.48"/>
    <n v="1.48"/>
    <n v="0.01"/>
    <n v="1.43"/>
  </r>
  <r>
    <x v="4"/>
    <x v="2"/>
    <x v="25"/>
    <x v="1"/>
    <x v="0"/>
    <x v="1"/>
    <n v="0.98"/>
    <n v="0.98"/>
    <n v="0.06"/>
    <n v="0.9"/>
  </r>
  <r>
    <x v="4"/>
    <x v="2"/>
    <x v="25"/>
    <x v="2"/>
    <x v="3"/>
    <x v="2"/>
    <n v="1.56"/>
    <n v="1.56"/>
    <n v="0.01"/>
    <n v="1.36"/>
  </r>
  <r>
    <x v="4"/>
    <x v="2"/>
    <x v="25"/>
    <x v="0"/>
    <x v="4"/>
    <x v="1"/>
    <n v="0.56000000000000005"/>
    <n v="0.56000000000000005"/>
    <n v="0.01"/>
    <n v="0.51"/>
  </r>
  <r>
    <x v="4"/>
    <x v="2"/>
    <x v="25"/>
    <x v="1"/>
    <x v="0"/>
    <x v="0"/>
    <n v="17.899999999999999"/>
    <n v="17.91"/>
    <n v="9.77"/>
    <n v="16.989999999999998"/>
  </r>
  <r>
    <x v="4"/>
    <x v="2"/>
    <x v="25"/>
    <x v="4"/>
    <x v="0"/>
    <x v="1"/>
    <n v="0.05"/>
    <n v="0.05"/>
    <n v="0"/>
    <n v="0.05"/>
  </r>
  <r>
    <x v="4"/>
    <x v="2"/>
    <x v="25"/>
    <x v="4"/>
    <x v="1"/>
    <x v="1"/>
    <n v="0.33"/>
    <n v="0.33"/>
    <n v="0"/>
    <n v="0.3"/>
  </r>
  <r>
    <x v="4"/>
    <x v="2"/>
    <x v="25"/>
    <x v="4"/>
    <x v="4"/>
    <x v="1"/>
    <n v="0.39"/>
    <n v="0.39"/>
    <n v="0.01"/>
    <n v="0.36"/>
  </r>
  <r>
    <x v="4"/>
    <x v="2"/>
    <x v="25"/>
    <x v="4"/>
    <x v="4"/>
    <x v="2"/>
    <n v="0.47"/>
    <n v="0.47"/>
    <n v="0.02"/>
    <n v="0.41"/>
  </r>
  <r>
    <x v="4"/>
    <x v="2"/>
    <x v="25"/>
    <x v="4"/>
    <x v="1"/>
    <x v="2"/>
    <n v="0.28000000000000003"/>
    <n v="0.28000000000000003"/>
    <n v="0.01"/>
    <n v="0.25"/>
  </r>
  <r>
    <x v="4"/>
    <x v="2"/>
    <x v="25"/>
    <x v="1"/>
    <x v="4"/>
    <x v="2"/>
    <n v="2.27"/>
    <n v="2.27"/>
    <n v="0.01"/>
    <n v="1.97"/>
  </r>
  <r>
    <x v="4"/>
    <x v="2"/>
    <x v="25"/>
    <x v="1"/>
    <x v="1"/>
    <x v="2"/>
    <n v="2.19"/>
    <n v="2.19"/>
    <n v="0.01"/>
    <n v="1.92"/>
  </r>
  <r>
    <x v="4"/>
    <x v="2"/>
    <x v="25"/>
    <x v="0"/>
    <x v="0"/>
    <x v="1"/>
    <n v="2.5099999999999998"/>
    <n v="2.5099999999999998"/>
    <n v="0.1"/>
    <n v="2.2599999999999998"/>
  </r>
  <r>
    <x v="4"/>
    <x v="2"/>
    <x v="25"/>
    <x v="4"/>
    <x v="1"/>
    <x v="0"/>
    <n v="18.71"/>
    <n v="18.72"/>
    <n v="1.1299999999999999"/>
    <n v="17.22"/>
  </r>
  <r>
    <x v="4"/>
    <x v="2"/>
    <x v="25"/>
    <x v="0"/>
    <x v="4"/>
    <x v="0"/>
    <n v="40.5"/>
    <n v="40.520000000000003"/>
    <n v="9.56"/>
    <n v="37.83"/>
  </r>
  <r>
    <x v="4"/>
    <x v="2"/>
    <x v="25"/>
    <x v="0"/>
    <x v="1"/>
    <x v="1"/>
    <n v="0.05"/>
    <n v="0.05"/>
    <n v="0"/>
    <n v="0.04"/>
  </r>
  <r>
    <x v="4"/>
    <x v="2"/>
    <x v="25"/>
    <x v="0"/>
    <x v="2"/>
    <x v="0"/>
    <n v="0.13"/>
    <n v="0.13"/>
    <n v="0"/>
    <n v="0.13"/>
  </r>
  <r>
    <x v="4"/>
    <x v="2"/>
    <x v="25"/>
    <x v="1"/>
    <x v="2"/>
    <x v="1"/>
    <n v="7.05"/>
    <n v="7.05"/>
    <n v="0.05"/>
    <n v="6.37"/>
  </r>
  <r>
    <x v="4"/>
    <x v="2"/>
    <x v="25"/>
    <x v="2"/>
    <x v="4"/>
    <x v="0"/>
    <n v="6.8"/>
    <n v="6.8"/>
    <n v="1.53"/>
    <n v="6.53"/>
  </r>
  <r>
    <x v="4"/>
    <x v="2"/>
    <x v="25"/>
    <x v="1"/>
    <x v="2"/>
    <x v="0"/>
    <n v="3.29"/>
    <n v="3.3"/>
    <n v="0.04"/>
    <n v="2.93"/>
  </r>
  <r>
    <x v="4"/>
    <x v="2"/>
    <x v="25"/>
    <x v="0"/>
    <x v="0"/>
    <x v="0"/>
    <n v="16.649999999999999"/>
    <n v="16.649999999999999"/>
    <n v="9.98"/>
    <n v="15.07"/>
  </r>
  <r>
    <x v="4"/>
    <x v="2"/>
    <x v="25"/>
    <x v="4"/>
    <x v="4"/>
    <x v="0"/>
    <n v="114.82"/>
    <n v="114.89"/>
    <n v="13.44"/>
    <n v="106.03"/>
  </r>
  <r>
    <x v="4"/>
    <x v="2"/>
    <x v="25"/>
    <x v="3"/>
    <x v="1"/>
    <x v="0"/>
    <n v="0.17"/>
    <n v="0.17"/>
    <n v="0.02"/>
    <n v="0.16"/>
  </r>
  <r>
    <x v="4"/>
    <x v="2"/>
    <x v="25"/>
    <x v="3"/>
    <x v="4"/>
    <x v="0"/>
    <n v="10.65"/>
    <n v="10.66"/>
    <n v="2.33"/>
    <n v="9.8800000000000008"/>
  </r>
  <r>
    <x v="4"/>
    <x v="2"/>
    <x v="25"/>
    <x v="1"/>
    <x v="1"/>
    <x v="0"/>
    <n v="33.31"/>
    <n v="33.32"/>
    <n v="2.09"/>
    <n v="30.95"/>
  </r>
  <r>
    <x v="4"/>
    <x v="2"/>
    <x v="25"/>
    <x v="3"/>
    <x v="0"/>
    <x v="0"/>
    <n v="4.47"/>
    <n v="4.47"/>
    <n v="3.41"/>
    <n v="4.3899999999999997"/>
  </r>
  <r>
    <x v="4"/>
    <x v="2"/>
    <x v="25"/>
    <x v="2"/>
    <x v="3"/>
    <x v="1"/>
    <n v="1.06"/>
    <n v="1.06"/>
    <n v="0"/>
    <n v="0.96"/>
  </r>
  <r>
    <x v="4"/>
    <x v="2"/>
    <x v="25"/>
    <x v="1"/>
    <x v="4"/>
    <x v="0"/>
    <n v="297.63"/>
    <n v="297.79000000000002"/>
    <n v="50.93"/>
    <n v="276.18"/>
  </r>
  <r>
    <x v="4"/>
    <x v="2"/>
    <x v="25"/>
    <x v="2"/>
    <x v="0"/>
    <x v="0"/>
    <n v="7.73"/>
    <n v="7.74"/>
    <n v="5.39"/>
    <n v="7.34"/>
  </r>
  <r>
    <x v="4"/>
    <x v="1"/>
    <x v="26"/>
    <x v="4"/>
    <x v="2"/>
    <x v="2"/>
    <n v="0.03"/>
    <n v="0.03"/>
    <n v="0"/>
    <n v="0.02"/>
  </r>
  <r>
    <x v="4"/>
    <x v="1"/>
    <x v="26"/>
    <x v="4"/>
    <x v="1"/>
    <x v="2"/>
    <n v="0.26"/>
    <n v="0.26"/>
    <n v="0.01"/>
    <n v="0.21"/>
  </r>
  <r>
    <x v="4"/>
    <x v="1"/>
    <x v="26"/>
    <x v="1"/>
    <x v="4"/>
    <x v="2"/>
    <n v="0.05"/>
    <n v="0.05"/>
    <n v="0"/>
    <n v="0.04"/>
  </r>
  <r>
    <x v="4"/>
    <x v="1"/>
    <x v="26"/>
    <x v="1"/>
    <x v="1"/>
    <x v="2"/>
    <n v="0.85"/>
    <n v="0.84"/>
    <n v="0.01"/>
    <n v="0.69"/>
  </r>
  <r>
    <x v="4"/>
    <x v="1"/>
    <x v="26"/>
    <x v="4"/>
    <x v="1"/>
    <x v="1"/>
    <n v="0.12"/>
    <n v="0.12"/>
    <n v="0"/>
    <n v="0.1"/>
  </r>
  <r>
    <x v="4"/>
    <x v="1"/>
    <x v="26"/>
    <x v="0"/>
    <x v="4"/>
    <x v="1"/>
    <n v="0.19"/>
    <n v="0.19"/>
    <n v="0"/>
    <n v="0.16"/>
  </r>
  <r>
    <x v="4"/>
    <x v="1"/>
    <x v="26"/>
    <x v="1"/>
    <x v="0"/>
    <x v="1"/>
    <n v="0.7"/>
    <n v="0.69"/>
    <n v="0.03"/>
    <n v="0.6"/>
  </r>
  <r>
    <x v="4"/>
    <x v="1"/>
    <x v="26"/>
    <x v="1"/>
    <x v="4"/>
    <x v="1"/>
    <n v="0.28999999999999998"/>
    <n v="0.28999999999999998"/>
    <n v="0.01"/>
    <n v="0.25"/>
  </r>
  <r>
    <x v="4"/>
    <x v="1"/>
    <x v="26"/>
    <x v="4"/>
    <x v="0"/>
    <x v="1"/>
    <n v="0.25"/>
    <n v="0.25"/>
    <n v="0.01"/>
    <n v="0.22"/>
  </r>
  <r>
    <x v="4"/>
    <x v="1"/>
    <x v="26"/>
    <x v="1"/>
    <x v="2"/>
    <x v="0"/>
    <n v="0.15"/>
    <n v="0.15"/>
    <n v="0"/>
    <n v="0.13"/>
  </r>
  <r>
    <x v="4"/>
    <x v="1"/>
    <x v="26"/>
    <x v="2"/>
    <x v="3"/>
    <x v="3"/>
    <n v="0.87"/>
    <n v="0.86"/>
    <n v="0"/>
    <n v="0.87"/>
  </r>
  <r>
    <x v="4"/>
    <x v="1"/>
    <x v="26"/>
    <x v="1"/>
    <x v="4"/>
    <x v="0"/>
    <n v="39.69"/>
    <n v="39.229999999999997"/>
    <n v="5.14"/>
    <n v="34.82"/>
  </r>
  <r>
    <x v="4"/>
    <x v="1"/>
    <x v="26"/>
    <x v="1"/>
    <x v="2"/>
    <x v="1"/>
    <n v="1.62"/>
    <n v="1.6"/>
    <n v="0.01"/>
    <n v="1.37"/>
  </r>
  <r>
    <x v="4"/>
    <x v="1"/>
    <x v="26"/>
    <x v="2"/>
    <x v="4"/>
    <x v="0"/>
    <n v="0.54"/>
    <n v="0.54"/>
    <n v="0.23"/>
    <n v="0.51"/>
  </r>
  <r>
    <x v="4"/>
    <x v="1"/>
    <x v="26"/>
    <x v="0"/>
    <x v="0"/>
    <x v="1"/>
    <n v="0.26"/>
    <n v="0.25"/>
    <n v="0.01"/>
    <n v="0.22"/>
  </r>
  <r>
    <x v="4"/>
    <x v="1"/>
    <x v="26"/>
    <x v="1"/>
    <x v="1"/>
    <x v="0"/>
    <n v="5.96"/>
    <n v="5.89"/>
    <n v="0.36"/>
    <n v="5.0999999999999996"/>
  </r>
  <r>
    <x v="4"/>
    <x v="1"/>
    <x v="26"/>
    <x v="1"/>
    <x v="0"/>
    <x v="0"/>
    <n v="3.2"/>
    <n v="3.16"/>
    <n v="1.46"/>
    <n v="2.75"/>
  </r>
  <r>
    <x v="4"/>
    <x v="1"/>
    <x v="26"/>
    <x v="0"/>
    <x v="4"/>
    <x v="0"/>
    <n v="7.49"/>
    <n v="7.4"/>
    <n v="2.16"/>
    <n v="6.45"/>
  </r>
  <r>
    <x v="4"/>
    <x v="1"/>
    <x v="26"/>
    <x v="0"/>
    <x v="0"/>
    <x v="0"/>
    <n v="0.22"/>
    <n v="0.22"/>
    <n v="0.09"/>
    <n v="0.19"/>
  </r>
  <r>
    <x v="4"/>
    <x v="1"/>
    <x v="26"/>
    <x v="4"/>
    <x v="1"/>
    <x v="0"/>
    <n v="2.44"/>
    <n v="2.41"/>
    <n v="0.28999999999999998"/>
    <n v="2.0699999999999998"/>
  </r>
  <r>
    <x v="4"/>
    <x v="1"/>
    <x v="26"/>
    <x v="4"/>
    <x v="4"/>
    <x v="0"/>
    <n v="8.77"/>
    <n v="8.66"/>
    <n v="1.35"/>
    <n v="7.75"/>
  </r>
  <r>
    <x v="4"/>
    <x v="1"/>
    <x v="26"/>
    <x v="1"/>
    <x v="1"/>
    <x v="1"/>
    <n v="1.04"/>
    <n v="1.03"/>
    <n v="0.02"/>
    <n v="0.89"/>
  </r>
  <r>
    <x v="4"/>
    <x v="1"/>
    <x v="26"/>
    <x v="3"/>
    <x v="4"/>
    <x v="0"/>
    <n v="0.13"/>
    <n v="0.13"/>
    <n v="0.04"/>
    <n v="0.11"/>
  </r>
  <r>
    <x v="4"/>
    <x v="1"/>
    <x v="26"/>
    <x v="1"/>
    <x v="3"/>
    <x v="1"/>
    <n v="0.47"/>
    <n v="0.46"/>
    <n v="0.01"/>
    <n v="0.4"/>
  </r>
  <r>
    <x v="4"/>
    <x v="1"/>
    <x v="26"/>
    <x v="2"/>
    <x v="0"/>
    <x v="0"/>
    <n v="2.25"/>
    <n v="2.2200000000000002"/>
    <n v="1.7"/>
    <n v="1.97"/>
  </r>
  <r>
    <x v="4"/>
    <x v="2"/>
    <x v="27"/>
    <x v="0"/>
    <x v="4"/>
    <x v="0"/>
    <n v="8.2799999999999994"/>
    <n v="8.8699999999999992"/>
    <n v="1.94"/>
    <n v="7.73"/>
  </r>
  <r>
    <x v="4"/>
    <x v="2"/>
    <x v="27"/>
    <x v="1"/>
    <x v="2"/>
    <x v="1"/>
    <n v="1.59"/>
    <n v="1.71"/>
    <n v="0.01"/>
    <n v="1.43"/>
  </r>
  <r>
    <x v="4"/>
    <x v="2"/>
    <x v="27"/>
    <x v="2"/>
    <x v="3"/>
    <x v="1"/>
    <n v="0.28000000000000003"/>
    <n v="0.3"/>
    <n v="0"/>
    <n v="0.25"/>
  </r>
  <r>
    <x v="4"/>
    <x v="2"/>
    <x v="27"/>
    <x v="3"/>
    <x v="0"/>
    <x v="0"/>
    <n v="0.45"/>
    <n v="0.49"/>
    <n v="0.41"/>
    <n v="0.44"/>
  </r>
  <r>
    <x v="4"/>
    <x v="2"/>
    <x v="27"/>
    <x v="3"/>
    <x v="4"/>
    <x v="0"/>
    <n v="0.87"/>
    <n v="0.93"/>
    <n v="0.19"/>
    <n v="0.83"/>
  </r>
  <r>
    <x v="4"/>
    <x v="2"/>
    <x v="27"/>
    <x v="3"/>
    <x v="1"/>
    <x v="0"/>
    <n v="0.04"/>
    <n v="0.04"/>
    <n v="0"/>
    <n v="0.03"/>
  </r>
  <r>
    <x v="4"/>
    <x v="2"/>
    <x v="27"/>
    <x v="4"/>
    <x v="4"/>
    <x v="0"/>
    <n v="48.35"/>
    <n v="51.84"/>
    <n v="5.77"/>
    <n v="44.45"/>
  </r>
  <r>
    <x v="4"/>
    <x v="2"/>
    <x v="27"/>
    <x v="4"/>
    <x v="1"/>
    <x v="0"/>
    <n v="8.91"/>
    <n v="9.56"/>
    <n v="0.51"/>
    <n v="8.17"/>
  </r>
  <r>
    <x v="4"/>
    <x v="2"/>
    <x v="27"/>
    <x v="2"/>
    <x v="4"/>
    <x v="0"/>
    <n v="1.78"/>
    <n v="1.91"/>
    <n v="0.36"/>
    <n v="1.69"/>
  </r>
  <r>
    <x v="4"/>
    <x v="2"/>
    <x v="27"/>
    <x v="2"/>
    <x v="0"/>
    <x v="0"/>
    <n v="2.71"/>
    <n v="2.91"/>
    <n v="1.39"/>
    <n v="2.5499999999999998"/>
  </r>
  <r>
    <x v="4"/>
    <x v="2"/>
    <x v="27"/>
    <x v="1"/>
    <x v="1"/>
    <x v="0"/>
    <n v="5.48"/>
    <n v="5.87"/>
    <n v="0.43"/>
    <n v="5.08"/>
  </r>
  <r>
    <x v="4"/>
    <x v="2"/>
    <x v="27"/>
    <x v="1"/>
    <x v="1"/>
    <x v="1"/>
    <n v="0.16"/>
    <n v="0.17"/>
    <n v="0"/>
    <n v="0.14000000000000001"/>
  </r>
  <r>
    <x v="4"/>
    <x v="2"/>
    <x v="27"/>
    <x v="1"/>
    <x v="0"/>
    <x v="0"/>
    <n v="3.06"/>
    <n v="3.28"/>
    <n v="1.68"/>
    <n v="2.92"/>
  </r>
  <r>
    <x v="4"/>
    <x v="2"/>
    <x v="27"/>
    <x v="4"/>
    <x v="0"/>
    <x v="1"/>
    <n v="0.01"/>
    <n v="0.01"/>
    <n v="0"/>
    <n v="0.01"/>
  </r>
  <r>
    <x v="4"/>
    <x v="2"/>
    <x v="27"/>
    <x v="1"/>
    <x v="4"/>
    <x v="0"/>
    <n v="49.5"/>
    <n v="53.07"/>
    <n v="9.14"/>
    <n v="46"/>
  </r>
  <r>
    <x v="4"/>
    <x v="2"/>
    <x v="27"/>
    <x v="2"/>
    <x v="3"/>
    <x v="3"/>
    <n v="6.34"/>
    <n v="6.8"/>
    <n v="0"/>
    <n v="6.34"/>
  </r>
  <r>
    <x v="4"/>
    <x v="2"/>
    <x v="27"/>
    <x v="4"/>
    <x v="4"/>
    <x v="2"/>
    <n v="0.64"/>
    <n v="0.69"/>
    <n v="0.03"/>
    <n v="0.56000000000000005"/>
  </r>
  <r>
    <x v="4"/>
    <x v="2"/>
    <x v="27"/>
    <x v="4"/>
    <x v="1"/>
    <x v="2"/>
    <n v="0.35"/>
    <n v="0.38"/>
    <n v="0.01"/>
    <n v="0.31"/>
  </r>
  <r>
    <x v="4"/>
    <x v="2"/>
    <x v="27"/>
    <x v="4"/>
    <x v="2"/>
    <x v="2"/>
    <n v="0.82"/>
    <n v="0.88"/>
    <n v="0"/>
    <n v="0.71"/>
  </r>
  <r>
    <x v="4"/>
    <x v="2"/>
    <x v="27"/>
    <x v="4"/>
    <x v="1"/>
    <x v="1"/>
    <n v="0.08"/>
    <n v="0.09"/>
    <n v="0"/>
    <n v="7.0000000000000007E-2"/>
  </r>
  <r>
    <x v="4"/>
    <x v="2"/>
    <x v="27"/>
    <x v="2"/>
    <x v="2"/>
    <x v="3"/>
    <n v="0"/>
    <n v="0"/>
    <n v="0"/>
    <n v="0"/>
  </r>
  <r>
    <x v="4"/>
    <x v="2"/>
    <x v="27"/>
    <x v="1"/>
    <x v="4"/>
    <x v="1"/>
    <n v="3.2"/>
    <n v="3.43"/>
    <n v="0"/>
    <n v="3.08"/>
  </r>
  <r>
    <x v="4"/>
    <x v="2"/>
    <x v="27"/>
    <x v="4"/>
    <x v="4"/>
    <x v="1"/>
    <n v="0.08"/>
    <n v="0.08"/>
    <n v="0"/>
    <n v="7.0000000000000007E-2"/>
  </r>
  <r>
    <x v="4"/>
    <x v="2"/>
    <x v="27"/>
    <x v="0"/>
    <x v="0"/>
    <x v="0"/>
    <n v="3.46"/>
    <n v="3.71"/>
    <n v="1.8"/>
    <n v="3.15"/>
  </r>
  <r>
    <x v="4"/>
    <x v="2"/>
    <x v="27"/>
    <x v="0"/>
    <x v="0"/>
    <x v="1"/>
    <n v="0.65"/>
    <n v="0.7"/>
    <n v="0.02"/>
    <n v="0.57999999999999996"/>
  </r>
  <r>
    <x v="4"/>
    <x v="2"/>
    <x v="27"/>
    <x v="0"/>
    <x v="4"/>
    <x v="1"/>
    <n v="0.1"/>
    <n v="0.11"/>
    <n v="0"/>
    <n v="0.09"/>
  </r>
  <r>
    <x v="4"/>
    <x v="2"/>
    <x v="27"/>
    <x v="1"/>
    <x v="0"/>
    <x v="1"/>
    <n v="0.21"/>
    <n v="0.23"/>
    <n v="0.01"/>
    <n v="0.19"/>
  </r>
  <r>
    <x v="4"/>
    <x v="2"/>
    <x v="27"/>
    <x v="1"/>
    <x v="4"/>
    <x v="2"/>
    <n v="0.16"/>
    <n v="0.17"/>
    <n v="0.01"/>
    <n v="0.14000000000000001"/>
  </r>
  <r>
    <x v="4"/>
    <x v="5"/>
    <x v="28"/>
    <x v="0"/>
    <x v="2"/>
    <x v="0"/>
    <n v="0.2"/>
    <n v="0.2"/>
    <n v="0"/>
    <n v="0.19"/>
  </r>
  <r>
    <x v="4"/>
    <x v="5"/>
    <x v="28"/>
    <x v="1"/>
    <x v="2"/>
    <x v="0"/>
    <n v="0.71"/>
    <n v="0.7"/>
    <n v="0.02"/>
    <n v="0.65"/>
  </r>
  <r>
    <x v="4"/>
    <x v="5"/>
    <x v="28"/>
    <x v="2"/>
    <x v="0"/>
    <x v="0"/>
    <n v="9.81"/>
    <n v="9.8000000000000007"/>
    <n v="5.87"/>
    <n v="9.3000000000000007"/>
  </r>
  <r>
    <x v="4"/>
    <x v="5"/>
    <x v="28"/>
    <x v="2"/>
    <x v="4"/>
    <x v="0"/>
    <n v="7.15"/>
    <n v="7.14"/>
    <n v="1.53"/>
    <n v="6.77"/>
  </r>
  <r>
    <x v="4"/>
    <x v="5"/>
    <x v="28"/>
    <x v="1"/>
    <x v="4"/>
    <x v="1"/>
    <n v="0.42"/>
    <n v="0.42"/>
    <n v="0.02"/>
    <n v="0.39"/>
  </r>
  <r>
    <x v="4"/>
    <x v="5"/>
    <x v="28"/>
    <x v="4"/>
    <x v="2"/>
    <x v="2"/>
    <n v="1.0900000000000001"/>
    <n v="1.0900000000000001"/>
    <n v="0.01"/>
    <n v="0.95"/>
  </r>
  <r>
    <x v="4"/>
    <x v="5"/>
    <x v="28"/>
    <x v="1"/>
    <x v="4"/>
    <x v="2"/>
    <n v="0.18"/>
    <n v="0.18"/>
    <n v="0.01"/>
    <n v="0.16"/>
  </r>
  <r>
    <x v="4"/>
    <x v="5"/>
    <x v="28"/>
    <x v="2"/>
    <x v="3"/>
    <x v="2"/>
    <n v="9.0299999999999994"/>
    <n v="9.01"/>
    <n v="0.01"/>
    <n v="8.02"/>
  </r>
  <r>
    <x v="4"/>
    <x v="5"/>
    <x v="28"/>
    <x v="2"/>
    <x v="3"/>
    <x v="3"/>
    <n v="1.49"/>
    <n v="1.49"/>
    <n v="0"/>
    <n v="1.49"/>
  </r>
  <r>
    <x v="4"/>
    <x v="5"/>
    <x v="28"/>
    <x v="4"/>
    <x v="0"/>
    <x v="1"/>
    <n v="0.12"/>
    <n v="0.12"/>
    <n v="0.01"/>
    <n v="0.11"/>
  </r>
  <r>
    <x v="4"/>
    <x v="5"/>
    <x v="28"/>
    <x v="4"/>
    <x v="4"/>
    <x v="1"/>
    <n v="0.57999999999999996"/>
    <n v="0.57999999999999996"/>
    <n v="0.01"/>
    <n v="0.54"/>
  </r>
  <r>
    <x v="4"/>
    <x v="5"/>
    <x v="28"/>
    <x v="4"/>
    <x v="1"/>
    <x v="1"/>
    <n v="0.48"/>
    <n v="0.48"/>
    <n v="0.01"/>
    <n v="0.44"/>
  </r>
  <r>
    <x v="4"/>
    <x v="5"/>
    <x v="28"/>
    <x v="0"/>
    <x v="0"/>
    <x v="1"/>
    <n v="3.13"/>
    <n v="3.12"/>
    <n v="0.12"/>
    <n v="2.91"/>
  </r>
  <r>
    <x v="4"/>
    <x v="5"/>
    <x v="28"/>
    <x v="0"/>
    <x v="4"/>
    <x v="1"/>
    <n v="1"/>
    <n v="1"/>
    <n v="0.03"/>
    <n v="0.93"/>
  </r>
  <r>
    <x v="4"/>
    <x v="5"/>
    <x v="28"/>
    <x v="4"/>
    <x v="1"/>
    <x v="2"/>
    <n v="0.42"/>
    <n v="0.42"/>
    <n v="0.02"/>
    <n v="0.36"/>
  </r>
  <r>
    <x v="4"/>
    <x v="5"/>
    <x v="28"/>
    <x v="1"/>
    <x v="4"/>
    <x v="0"/>
    <n v="129.44"/>
    <n v="129.24"/>
    <n v="30.89"/>
    <n v="121.26"/>
  </r>
  <r>
    <x v="4"/>
    <x v="5"/>
    <x v="28"/>
    <x v="4"/>
    <x v="4"/>
    <x v="2"/>
    <n v="0.72"/>
    <n v="0.72"/>
    <n v="0.04"/>
    <n v="0.63"/>
  </r>
  <r>
    <x v="4"/>
    <x v="5"/>
    <x v="28"/>
    <x v="1"/>
    <x v="1"/>
    <x v="0"/>
    <n v="25.78"/>
    <n v="25.74"/>
    <n v="1.84"/>
    <n v="24.76"/>
  </r>
  <r>
    <x v="4"/>
    <x v="5"/>
    <x v="28"/>
    <x v="1"/>
    <x v="1"/>
    <x v="1"/>
    <n v="1.35"/>
    <n v="1.35"/>
    <n v="0.02"/>
    <n v="1.26"/>
  </r>
  <r>
    <x v="4"/>
    <x v="5"/>
    <x v="28"/>
    <x v="1"/>
    <x v="2"/>
    <x v="1"/>
    <n v="9.99"/>
    <n v="9.9700000000000006"/>
    <n v="0.06"/>
    <n v="9.23"/>
  </r>
  <r>
    <x v="4"/>
    <x v="5"/>
    <x v="28"/>
    <x v="2"/>
    <x v="3"/>
    <x v="1"/>
    <n v="1.53"/>
    <n v="1.53"/>
    <n v="0"/>
    <n v="1.41"/>
  </r>
  <r>
    <x v="4"/>
    <x v="5"/>
    <x v="28"/>
    <x v="3"/>
    <x v="0"/>
    <x v="0"/>
    <n v="0.78"/>
    <n v="0.78"/>
    <n v="0.72"/>
    <n v="0.76"/>
  </r>
  <r>
    <x v="4"/>
    <x v="5"/>
    <x v="28"/>
    <x v="3"/>
    <x v="4"/>
    <x v="0"/>
    <n v="2.29"/>
    <n v="2.29"/>
    <n v="0.47"/>
    <n v="2.19"/>
  </r>
  <r>
    <x v="4"/>
    <x v="5"/>
    <x v="28"/>
    <x v="3"/>
    <x v="1"/>
    <x v="0"/>
    <n v="0.03"/>
    <n v="0.03"/>
    <n v="0"/>
    <n v="0.03"/>
  </r>
  <r>
    <x v="4"/>
    <x v="5"/>
    <x v="28"/>
    <x v="4"/>
    <x v="4"/>
    <x v="0"/>
    <n v="45.5"/>
    <n v="45.43"/>
    <n v="6.53"/>
    <n v="42.73"/>
  </r>
  <r>
    <x v="4"/>
    <x v="5"/>
    <x v="28"/>
    <x v="4"/>
    <x v="1"/>
    <x v="0"/>
    <n v="9.81"/>
    <n v="9.8000000000000007"/>
    <n v="0.75"/>
    <n v="9.09"/>
  </r>
  <r>
    <x v="4"/>
    <x v="5"/>
    <x v="28"/>
    <x v="0"/>
    <x v="0"/>
    <x v="0"/>
    <n v="6.25"/>
    <n v="6.24"/>
    <n v="3.82"/>
    <n v="5.73"/>
  </r>
  <r>
    <x v="4"/>
    <x v="5"/>
    <x v="28"/>
    <x v="0"/>
    <x v="4"/>
    <x v="0"/>
    <n v="17.989999999999998"/>
    <n v="17.96"/>
    <n v="4.7300000000000004"/>
    <n v="17.14"/>
  </r>
  <r>
    <x v="4"/>
    <x v="5"/>
    <x v="28"/>
    <x v="1"/>
    <x v="0"/>
    <x v="0"/>
    <n v="13.99"/>
    <n v="13.97"/>
    <n v="7.36"/>
    <n v="13.35"/>
  </r>
  <r>
    <x v="4"/>
    <x v="5"/>
    <x v="28"/>
    <x v="1"/>
    <x v="0"/>
    <x v="1"/>
    <n v="3.4"/>
    <n v="3.4"/>
    <n v="7.0000000000000007E-2"/>
    <n v="3.33"/>
  </r>
  <r>
    <x v="4"/>
    <x v="2"/>
    <x v="29"/>
    <x v="1"/>
    <x v="1"/>
    <x v="1"/>
    <n v="0.26"/>
    <n v="0.26"/>
    <n v="0"/>
    <n v="0.24"/>
  </r>
  <r>
    <x v="4"/>
    <x v="2"/>
    <x v="29"/>
    <x v="2"/>
    <x v="3"/>
    <x v="1"/>
    <n v="0.23"/>
    <n v="0.23"/>
    <n v="0"/>
    <n v="0.21"/>
  </r>
  <r>
    <x v="4"/>
    <x v="2"/>
    <x v="29"/>
    <x v="3"/>
    <x v="0"/>
    <x v="0"/>
    <n v="0.1"/>
    <n v="0.1"/>
    <n v="0.1"/>
    <n v="0.1"/>
  </r>
  <r>
    <x v="4"/>
    <x v="2"/>
    <x v="29"/>
    <x v="0"/>
    <x v="4"/>
    <x v="0"/>
    <n v="4.63"/>
    <n v="4.63"/>
    <n v="1.1399999999999999"/>
    <n v="4.29"/>
  </r>
  <r>
    <x v="4"/>
    <x v="2"/>
    <x v="29"/>
    <x v="0"/>
    <x v="2"/>
    <x v="0"/>
    <n v="0.41"/>
    <n v="0.41"/>
    <n v="0.01"/>
    <n v="0.4"/>
  </r>
  <r>
    <x v="4"/>
    <x v="2"/>
    <x v="29"/>
    <x v="1"/>
    <x v="0"/>
    <x v="0"/>
    <n v="2.67"/>
    <n v="2.67"/>
    <n v="1.44"/>
    <n v="2.48"/>
  </r>
  <r>
    <x v="4"/>
    <x v="2"/>
    <x v="29"/>
    <x v="1"/>
    <x v="4"/>
    <x v="0"/>
    <n v="36.200000000000003"/>
    <n v="36.22"/>
    <n v="7.11"/>
    <n v="33.07"/>
  </r>
  <r>
    <x v="4"/>
    <x v="2"/>
    <x v="29"/>
    <x v="1"/>
    <x v="1"/>
    <x v="0"/>
    <n v="1.45"/>
    <n v="1.45"/>
    <n v="0.18"/>
    <n v="1.34"/>
  </r>
  <r>
    <x v="4"/>
    <x v="2"/>
    <x v="29"/>
    <x v="1"/>
    <x v="2"/>
    <x v="0"/>
    <n v="0.18"/>
    <n v="0.18"/>
    <n v="0"/>
    <n v="0.16"/>
  </r>
  <r>
    <x v="4"/>
    <x v="2"/>
    <x v="29"/>
    <x v="2"/>
    <x v="0"/>
    <x v="0"/>
    <n v="2.0099999999999998"/>
    <n v="2.0099999999999998"/>
    <n v="1.41"/>
    <n v="1.9"/>
  </r>
  <r>
    <x v="4"/>
    <x v="2"/>
    <x v="29"/>
    <x v="2"/>
    <x v="4"/>
    <x v="0"/>
    <n v="0.88"/>
    <n v="0.88"/>
    <n v="0.2"/>
    <n v="0.84"/>
  </r>
  <r>
    <x v="4"/>
    <x v="2"/>
    <x v="29"/>
    <x v="0"/>
    <x v="0"/>
    <x v="0"/>
    <n v="4.08"/>
    <n v="4.08"/>
    <n v="2.4300000000000002"/>
    <n v="3.7"/>
  </r>
  <r>
    <x v="4"/>
    <x v="2"/>
    <x v="29"/>
    <x v="1"/>
    <x v="0"/>
    <x v="1"/>
    <n v="0.11"/>
    <n v="0.11"/>
    <n v="0.01"/>
    <n v="0.1"/>
  </r>
  <r>
    <x v="4"/>
    <x v="2"/>
    <x v="29"/>
    <x v="3"/>
    <x v="4"/>
    <x v="0"/>
    <n v="1.58"/>
    <n v="1.58"/>
    <n v="0.27"/>
    <n v="1.53"/>
  </r>
  <r>
    <x v="4"/>
    <x v="2"/>
    <x v="29"/>
    <x v="4"/>
    <x v="4"/>
    <x v="2"/>
    <n v="0.35"/>
    <n v="0.35"/>
    <n v="0.02"/>
    <n v="0.31"/>
  </r>
  <r>
    <x v="4"/>
    <x v="2"/>
    <x v="29"/>
    <x v="1"/>
    <x v="2"/>
    <x v="1"/>
    <n v="1.64"/>
    <n v="1.64"/>
    <n v="0.01"/>
    <n v="1.49"/>
  </r>
  <r>
    <x v="4"/>
    <x v="2"/>
    <x v="29"/>
    <x v="1"/>
    <x v="4"/>
    <x v="1"/>
    <n v="0.05"/>
    <n v="0.05"/>
    <n v="0"/>
    <n v="0.05"/>
  </r>
  <r>
    <x v="4"/>
    <x v="2"/>
    <x v="29"/>
    <x v="0"/>
    <x v="4"/>
    <x v="1"/>
    <n v="0.19"/>
    <n v="0.19"/>
    <n v="0.01"/>
    <n v="0.17"/>
  </r>
  <r>
    <x v="4"/>
    <x v="2"/>
    <x v="29"/>
    <x v="0"/>
    <x v="0"/>
    <x v="1"/>
    <n v="0.39"/>
    <n v="0.4"/>
    <n v="0.02"/>
    <n v="0.36"/>
  </r>
  <r>
    <x v="4"/>
    <x v="2"/>
    <x v="29"/>
    <x v="4"/>
    <x v="1"/>
    <x v="1"/>
    <n v="7.0000000000000007E-2"/>
    <n v="7.0000000000000007E-2"/>
    <n v="0"/>
    <n v="7.0000000000000007E-2"/>
  </r>
  <r>
    <x v="4"/>
    <x v="2"/>
    <x v="29"/>
    <x v="4"/>
    <x v="4"/>
    <x v="1"/>
    <n v="0.09"/>
    <n v="0.09"/>
    <n v="0"/>
    <n v="0.09"/>
  </r>
  <r>
    <x v="4"/>
    <x v="2"/>
    <x v="29"/>
    <x v="4"/>
    <x v="0"/>
    <x v="1"/>
    <n v="0.03"/>
    <n v="0.03"/>
    <n v="0"/>
    <n v="0.02"/>
  </r>
  <r>
    <x v="4"/>
    <x v="2"/>
    <x v="29"/>
    <x v="2"/>
    <x v="3"/>
    <x v="3"/>
    <n v="2.3199999999999998"/>
    <n v="2.3199999999999998"/>
    <n v="0"/>
    <n v="2.3199999999999998"/>
  </r>
  <r>
    <x v="4"/>
    <x v="2"/>
    <x v="29"/>
    <x v="1"/>
    <x v="4"/>
    <x v="2"/>
    <n v="0.31"/>
    <n v="0.31"/>
    <n v="0.01"/>
    <n v="0.27"/>
  </r>
  <r>
    <x v="4"/>
    <x v="2"/>
    <x v="29"/>
    <x v="4"/>
    <x v="2"/>
    <x v="2"/>
    <n v="0.7"/>
    <n v="0.7"/>
    <n v="0"/>
    <n v="0.61"/>
  </r>
  <r>
    <x v="4"/>
    <x v="2"/>
    <x v="29"/>
    <x v="4"/>
    <x v="1"/>
    <x v="2"/>
    <n v="0.25"/>
    <n v="0.25"/>
    <n v="0.01"/>
    <n v="0.22"/>
  </r>
  <r>
    <x v="4"/>
    <x v="2"/>
    <x v="29"/>
    <x v="4"/>
    <x v="1"/>
    <x v="0"/>
    <n v="1.23"/>
    <n v="1.23"/>
    <n v="0.09"/>
    <n v="1.1299999999999999"/>
  </r>
  <r>
    <x v="4"/>
    <x v="2"/>
    <x v="29"/>
    <x v="4"/>
    <x v="4"/>
    <x v="0"/>
    <n v="14.75"/>
    <n v="14.76"/>
    <n v="1.65"/>
    <n v="13.55"/>
  </r>
  <r>
    <x v="4"/>
    <x v="5"/>
    <x v="30"/>
    <x v="3"/>
    <x v="0"/>
    <x v="0"/>
    <n v="0.41"/>
    <n v="0.41"/>
    <n v="0.38"/>
    <n v="0.4"/>
  </r>
  <r>
    <x v="4"/>
    <x v="5"/>
    <x v="30"/>
    <x v="2"/>
    <x v="3"/>
    <x v="2"/>
    <n v="14.75"/>
    <n v="14.76"/>
    <n v="0.02"/>
    <n v="13.19"/>
  </r>
  <r>
    <x v="4"/>
    <x v="5"/>
    <x v="30"/>
    <x v="2"/>
    <x v="2"/>
    <x v="3"/>
    <n v="0"/>
    <n v="0"/>
    <n v="0"/>
    <n v="0"/>
  </r>
  <r>
    <x v="4"/>
    <x v="5"/>
    <x v="30"/>
    <x v="2"/>
    <x v="3"/>
    <x v="3"/>
    <n v="0.95"/>
    <n v="0.95"/>
    <n v="0"/>
    <n v="0.95"/>
  </r>
  <r>
    <x v="4"/>
    <x v="5"/>
    <x v="30"/>
    <x v="4"/>
    <x v="0"/>
    <x v="1"/>
    <n v="0.1"/>
    <n v="0.1"/>
    <n v="0.01"/>
    <n v="0.09"/>
  </r>
  <r>
    <x v="4"/>
    <x v="5"/>
    <x v="30"/>
    <x v="4"/>
    <x v="4"/>
    <x v="1"/>
    <n v="0.68"/>
    <n v="0.68"/>
    <n v="0.01"/>
    <n v="0.63"/>
  </r>
  <r>
    <x v="4"/>
    <x v="5"/>
    <x v="30"/>
    <x v="0"/>
    <x v="0"/>
    <x v="1"/>
    <n v="3.22"/>
    <n v="3.22"/>
    <n v="0.14000000000000001"/>
    <n v="2.98"/>
  </r>
  <r>
    <x v="4"/>
    <x v="5"/>
    <x v="30"/>
    <x v="1"/>
    <x v="0"/>
    <x v="1"/>
    <n v="1.03"/>
    <n v="1.04"/>
    <n v="7.0000000000000007E-2"/>
    <n v="0.96"/>
  </r>
  <r>
    <x v="4"/>
    <x v="5"/>
    <x v="30"/>
    <x v="1"/>
    <x v="4"/>
    <x v="1"/>
    <n v="0.42"/>
    <n v="0.42"/>
    <n v="0.02"/>
    <n v="0.38"/>
  </r>
  <r>
    <x v="4"/>
    <x v="5"/>
    <x v="30"/>
    <x v="1"/>
    <x v="1"/>
    <x v="1"/>
    <n v="1.69"/>
    <n v="1.69"/>
    <n v="0.03"/>
    <n v="1.57"/>
  </r>
  <r>
    <x v="4"/>
    <x v="5"/>
    <x v="30"/>
    <x v="4"/>
    <x v="2"/>
    <x v="2"/>
    <n v="0.94"/>
    <n v="0.94"/>
    <n v="0"/>
    <n v="0.82"/>
  </r>
  <r>
    <x v="4"/>
    <x v="5"/>
    <x v="30"/>
    <x v="2"/>
    <x v="3"/>
    <x v="1"/>
    <n v="1.4"/>
    <n v="1.4"/>
    <n v="0"/>
    <n v="1.29"/>
  </r>
  <r>
    <x v="4"/>
    <x v="5"/>
    <x v="30"/>
    <x v="4"/>
    <x v="1"/>
    <x v="1"/>
    <n v="0.48"/>
    <n v="0.48"/>
    <n v="0.01"/>
    <n v="0.45"/>
  </r>
  <r>
    <x v="4"/>
    <x v="5"/>
    <x v="30"/>
    <x v="3"/>
    <x v="4"/>
    <x v="0"/>
    <n v="2.8"/>
    <n v="2.8"/>
    <n v="0.62"/>
    <n v="2.62"/>
  </r>
  <r>
    <x v="4"/>
    <x v="5"/>
    <x v="30"/>
    <x v="3"/>
    <x v="1"/>
    <x v="0"/>
    <n v="0.01"/>
    <n v="0.01"/>
    <n v="0"/>
    <n v="0.01"/>
  </r>
  <r>
    <x v="4"/>
    <x v="5"/>
    <x v="30"/>
    <x v="4"/>
    <x v="4"/>
    <x v="0"/>
    <n v="64.040000000000006"/>
    <n v="64.069999999999993"/>
    <n v="8.68"/>
    <n v="59.15"/>
  </r>
  <r>
    <x v="4"/>
    <x v="5"/>
    <x v="30"/>
    <x v="2"/>
    <x v="4"/>
    <x v="0"/>
    <n v="6.07"/>
    <n v="6.07"/>
    <n v="1.48"/>
    <n v="5.71"/>
  </r>
  <r>
    <x v="4"/>
    <x v="5"/>
    <x v="30"/>
    <x v="0"/>
    <x v="2"/>
    <x v="0"/>
    <n v="0.11"/>
    <n v="0.11"/>
    <n v="0"/>
    <n v="0.1"/>
  </r>
  <r>
    <x v="4"/>
    <x v="5"/>
    <x v="30"/>
    <x v="0"/>
    <x v="4"/>
    <x v="0"/>
    <n v="22.41"/>
    <n v="22.42"/>
    <n v="6.49"/>
    <n v="20.89"/>
  </r>
  <r>
    <x v="4"/>
    <x v="5"/>
    <x v="30"/>
    <x v="0"/>
    <x v="0"/>
    <x v="0"/>
    <n v="9.16"/>
    <n v="9.17"/>
    <n v="5.59"/>
    <n v="8.33"/>
  </r>
  <r>
    <x v="4"/>
    <x v="5"/>
    <x v="30"/>
    <x v="4"/>
    <x v="2"/>
    <x v="0"/>
    <n v="0.35"/>
    <n v="0.35"/>
    <n v="0"/>
    <n v="0.32"/>
  </r>
  <r>
    <x v="4"/>
    <x v="5"/>
    <x v="30"/>
    <x v="4"/>
    <x v="1"/>
    <x v="0"/>
    <n v="12.29"/>
    <n v="12.3"/>
    <n v="0.91"/>
    <n v="11.33"/>
  </r>
  <r>
    <x v="4"/>
    <x v="5"/>
    <x v="30"/>
    <x v="1"/>
    <x v="2"/>
    <x v="1"/>
    <n v="10.39"/>
    <n v="10.39"/>
    <n v="7.0000000000000007E-2"/>
    <n v="9.61"/>
  </r>
  <r>
    <x v="4"/>
    <x v="5"/>
    <x v="30"/>
    <x v="4"/>
    <x v="4"/>
    <x v="2"/>
    <n v="0.79"/>
    <n v="0.79"/>
    <n v="0.04"/>
    <n v="0.69"/>
  </r>
  <r>
    <x v="4"/>
    <x v="5"/>
    <x v="30"/>
    <x v="2"/>
    <x v="0"/>
    <x v="0"/>
    <n v="8"/>
    <n v="8"/>
    <n v="4.9000000000000004"/>
    <n v="7.53"/>
  </r>
  <r>
    <x v="4"/>
    <x v="5"/>
    <x v="30"/>
    <x v="1"/>
    <x v="2"/>
    <x v="0"/>
    <n v="2.31"/>
    <n v="2.31"/>
    <n v="0.03"/>
    <n v="2.0499999999999998"/>
  </r>
  <r>
    <x v="4"/>
    <x v="5"/>
    <x v="30"/>
    <x v="1"/>
    <x v="1"/>
    <x v="0"/>
    <n v="20.93"/>
    <n v="20.94"/>
    <n v="3.09"/>
    <n v="19.260000000000002"/>
  </r>
  <r>
    <x v="4"/>
    <x v="5"/>
    <x v="30"/>
    <x v="1"/>
    <x v="4"/>
    <x v="0"/>
    <n v="169.8"/>
    <n v="169.89"/>
    <n v="52.7"/>
    <n v="156.41"/>
  </r>
  <r>
    <x v="4"/>
    <x v="5"/>
    <x v="30"/>
    <x v="1"/>
    <x v="0"/>
    <x v="0"/>
    <n v="12.92"/>
    <n v="12.93"/>
    <n v="8.09"/>
    <n v="12.16"/>
  </r>
  <r>
    <x v="4"/>
    <x v="5"/>
    <x v="30"/>
    <x v="0"/>
    <x v="4"/>
    <x v="1"/>
    <n v="1.05"/>
    <n v="1.05"/>
    <n v="0.03"/>
    <n v="0.97"/>
  </r>
  <r>
    <x v="4"/>
    <x v="5"/>
    <x v="30"/>
    <x v="4"/>
    <x v="1"/>
    <x v="2"/>
    <n v="0.4"/>
    <n v="0.4"/>
    <n v="0.01"/>
    <n v="0.35"/>
  </r>
  <r>
    <x v="4"/>
    <x v="6"/>
    <x v="31"/>
    <x v="2"/>
    <x v="4"/>
    <x v="0"/>
    <n v="12.82"/>
    <n v="12.82"/>
    <n v="4.8099999999999996"/>
    <n v="11.53"/>
  </r>
  <r>
    <x v="4"/>
    <x v="6"/>
    <x v="31"/>
    <x v="1"/>
    <x v="2"/>
    <x v="0"/>
    <n v="2.36"/>
    <n v="2.36"/>
    <n v="0.02"/>
    <n v="1.97"/>
  </r>
  <r>
    <x v="4"/>
    <x v="6"/>
    <x v="31"/>
    <x v="1"/>
    <x v="4"/>
    <x v="0"/>
    <n v="135.96"/>
    <n v="135.96"/>
    <n v="32.869999999999997"/>
    <n v="122.31"/>
  </r>
  <r>
    <x v="4"/>
    <x v="6"/>
    <x v="31"/>
    <x v="1"/>
    <x v="0"/>
    <x v="0"/>
    <n v="7.37"/>
    <n v="7.37"/>
    <n v="4.74"/>
    <n v="6.41"/>
  </r>
  <r>
    <x v="4"/>
    <x v="6"/>
    <x v="31"/>
    <x v="0"/>
    <x v="4"/>
    <x v="0"/>
    <n v="7.35"/>
    <n v="7.35"/>
    <n v="2.34"/>
    <n v="6.51"/>
  </r>
  <r>
    <x v="4"/>
    <x v="6"/>
    <x v="31"/>
    <x v="0"/>
    <x v="0"/>
    <x v="0"/>
    <n v="2.59"/>
    <n v="2.59"/>
    <n v="1.53"/>
    <n v="2.2200000000000002"/>
  </r>
  <r>
    <x v="4"/>
    <x v="6"/>
    <x v="31"/>
    <x v="2"/>
    <x v="0"/>
    <x v="0"/>
    <n v="7.16"/>
    <n v="7.16"/>
    <n v="6.09"/>
    <n v="6.67"/>
  </r>
  <r>
    <x v="4"/>
    <x v="6"/>
    <x v="31"/>
    <x v="4"/>
    <x v="2"/>
    <x v="2"/>
    <n v="1.05"/>
    <n v="1.05"/>
    <n v="0.03"/>
    <n v="0.86"/>
  </r>
  <r>
    <x v="4"/>
    <x v="6"/>
    <x v="31"/>
    <x v="4"/>
    <x v="1"/>
    <x v="2"/>
    <n v="0.16"/>
    <n v="0.16"/>
    <n v="0.01"/>
    <n v="0.13"/>
  </r>
  <r>
    <x v="4"/>
    <x v="6"/>
    <x v="31"/>
    <x v="4"/>
    <x v="1"/>
    <x v="0"/>
    <n v="2.17"/>
    <n v="2.17"/>
    <n v="0.14000000000000001"/>
    <n v="1.86"/>
  </r>
  <r>
    <x v="4"/>
    <x v="6"/>
    <x v="31"/>
    <x v="1"/>
    <x v="0"/>
    <x v="1"/>
    <n v="0.91"/>
    <n v="0.91"/>
    <n v="0.03"/>
    <n v="0.78"/>
  </r>
  <r>
    <x v="4"/>
    <x v="6"/>
    <x v="31"/>
    <x v="4"/>
    <x v="4"/>
    <x v="0"/>
    <n v="39.57"/>
    <n v="39.57"/>
    <n v="10.77"/>
    <n v="35.81"/>
  </r>
  <r>
    <x v="4"/>
    <x v="6"/>
    <x v="31"/>
    <x v="3"/>
    <x v="4"/>
    <x v="0"/>
    <n v="0.12"/>
    <n v="0.12"/>
    <n v="0.03"/>
    <n v="0.11"/>
  </r>
  <r>
    <x v="4"/>
    <x v="6"/>
    <x v="31"/>
    <x v="1"/>
    <x v="2"/>
    <x v="1"/>
    <n v="7.25"/>
    <n v="7.25"/>
    <n v="0.03"/>
    <n v="6.49"/>
  </r>
  <r>
    <x v="4"/>
    <x v="6"/>
    <x v="31"/>
    <x v="1"/>
    <x v="1"/>
    <x v="1"/>
    <n v="12.83"/>
    <n v="12.83"/>
    <n v="0.09"/>
    <n v="11.02"/>
  </r>
  <r>
    <x v="4"/>
    <x v="6"/>
    <x v="31"/>
    <x v="1"/>
    <x v="1"/>
    <x v="0"/>
    <n v="29.47"/>
    <n v="29.47"/>
    <n v="2.2000000000000002"/>
    <n v="26.42"/>
  </r>
  <r>
    <x v="4"/>
    <x v="6"/>
    <x v="31"/>
    <x v="1"/>
    <x v="4"/>
    <x v="1"/>
    <n v="0.83"/>
    <n v="0.83"/>
    <n v="0.02"/>
    <n v="0.7"/>
  </r>
  <r>
    <x v="4"/>
    <x v="6"/>
    <x v="31"/>
    <x v="1"/>
    <x v="4"/>
    <x v="2"/>
    <n v="0.48"/>
    <n v="0.48"/>
    <n v="0.02"/>
    <n v="0.39"/>
  </r>
  <r>
    <x v="4"/>
    <x v="6"/>
    <x v="31"/>
    <x v="0"/>
    <x v="4"/>
    <x v="1"/>
    <n v="1.95"/>
    <n v="1.95"/>
    <n v="0.04"/>
    <n v="1.66"/>
  </r>
  <r>
    <x v="4"/>
    <x v="6"/>
    <x v="31"/>
    <x v="0"/>
    <x v="0"/>
    <x v="1"/>
    <n v="0.9"/>
    <n v="0.9"/>
    <n v="0.04"/>
    <n v="0.78"/>
  </r>
  <r>
    <x v="4"/>
    <x v="6"/>
    <x v="31"/>
    <x v="4"/>
    <x v="1"/>
    <x v="1"/>
    <n v="0.74"/>
    <n v="0.74"/>
    <n v="0.02"/>
    <n v="0.6"/>
  </r>
  <r>
    <x v="4"/>
    <x v="6"/>
    <x v="31"/>
    <x v="4"/>
    <x v="4"/>
    <x v="1"/>
    <n v="0.35"/>
    <n v="0.35"/>
    <n v="0.02"/>
    <n v="0.3"/>
  </r>
  <r>
    <x v="4"/>
    <x v="6"/>
    <x v="31"/>
    <x v="4"/>
    <x v="0"/>
    <x v="1"/>
    <n v="0.41"/>
    <n v="0.41"/>
    <n v="0.02"/>
    <n v="0.34"/>
  </r>
  <r>
    <x v="4"/>
    <x v="6"/>
    <x v="31"/>
    <x v="2"/>
    <x v="3"/>
    <x v="3"/>
    <n v="3.26"/>
    <n v="3.26"/>
    <n v="0"/>
    <n v="2.9"/>
  </r>
  <r>
    <x v="4"/>
    <x v="6"/>
    <x v="31"/>
    <x v="2"/>
    <x v="3"/>
    <x v="2"/>
    <n v="1.37"/>
    <n v="1.37"/>
    <n v="0"/>
    <n v="1.1399999999999999"/>
  </r>
  <r>
    <x v="4"/>
    <x v="6"/>
    <x v="31"/>
    <x v="1"/>
    <x v="1"/>
    <x v="2"/>
    <n v="0.48"/>
    <n v="0.48"/>
    <n v="0.01"/>
    <n v="0.39"/>
  </r>
  <r>
    <x v="4"/>
    <x v="9"/>
    <x v="32"/>
    <x v="1"/>
    <x v="4"/>
    <x v="1"/>
    <n v="0.11"/>
    <n v="0.13"/>
    <n v="0.01"/>
    <n v="0.1"/>
  </r>
  <r>
    <x v="4"/>
    <x v="9"/>
    <x v="32"/>
    <x v="3"/>
    <x v="0"/>
    <x v="0"/>
    <n v="0.11"/>
    <n v="0.13"/>
    <n v="0.1"/>
    <n v="0.11"/>
  </r>
  <r>
    <x v="4"/>
    <x v="9"/>
    <x v="32"/>
    <x v="2"/>
    <x v="3"/>
    <x v="1"/>
    <n v="0.37"/>
    <n v="0.45"/>
    <n v="0"/>
    <n v="0.34"/>
  </r>
  <r>
    <x v="4"/>
    <x v="9"/>
    <x v="32"/>
    <x v="1"/>
    <x v="1"/>
    <x v="1"/>
    <n v="0.45"/>
    <n v="0.54"/>
    <n v="0.01"/>
    <n v="0.42"/>
  </r>
  <r>
    <x v="4"/>
    <x v="9"/>
    <x v="32"/>
    <x v="1"/>
    <x v="0"/>
    <x v="1"/>
    <n v="0.28000000000000003"/>
    <n v="0.33"/>
    <n v="0.02"/>
    <n v="0.26"/>
  </r>
  <r>
    <x v="4"/>
    <x v="9"/>
    <x v="32"/>
    <x v="0"/>
    <x v="4"/>
    <x v="1"/>
    <n v="0.28000000000000003"/>
    <n v="0.34"/>
    <n v="0.01"/>
    <n v="0.26"/>
  </r>
  <r>
    <x v="4"/>
    <x v="9"/>
    <x v="32"/>
    <x v="1"/>
    <x v="4"/>
    <x v="0"/>
    <n v="45.14"/>
    <n v="54.7"/>
    <n v="14.01"/>
    <n v="41.58"/>
  </r>
  <r>
    <x v="4"/>
    <x v="9"/>
    <x v="32"/>
    <x v="1"/>
    <x v="2"/>
    <x v="1"/>
    <n v="2.76"/>
    <n v="3.35"/>
    <n v="0.02"/>
    <n v="2.5499999999999998"/>
  </r>
  <r>
    <x v="4"/>
    <x v="9"/>
    <x v="32"/>
    <x v="3"/>
    <x v="4"/>
    <x v="0"/>
    <n v="0.75"/>
    <n v="0.9"/>
    <n v="0.17"/>
    <n v="0.7"/>
  </r>
  <r>
    <x v="4"/>
    <x v="9"/>
    <x v="32"/>
    <x v="3"/>
    <x v="1"/>
    <x v="0"/>
    <n v="0"/>
    <n v="0"/>
    <n v="0"/>
    <n v="0"/>
  </r>
  <r>
    <x v="4"/>
    <x v="9"/>
    <x v="32"/>
    <x v="4"/>
    <x v="4"/>
    <x v="0"/>
    <n v="17.02"/>
    <n v="20.63"/>
    <n v="2.31"/>
    <n v="15.72"/>
  </r>
  <r>
    <x v="4"/>
    <x v="9"/>
    <x v="32"/>
    <x v="4"/>
    <x v="1"/>
    <x v="0"/>
    <n v="3.27"/>
    <n v="3.96"/>
    <n v="0.24"/>
    <n v="3.01"/>
  </r>
  <r>
    <x v="4"/>
    <x v="9"/>
    <x v="32"/>
    <x v="4"/>
    <x v="2"/>
    <x v="0"/>
    <n v="0.09"/>
    <n v="0.11"/>
    <n v="0"/>
    <n v="0.08"/>
  </r>
  <r>
    <x v="4"/>
    <x v="9"/>
    <x v="32"/>
    <x v="0"/>
    <x v="0"/>
    <x v="0"/>
    <n v="2.44"/>
    <n v="2.95"/>
    <n v="1.48"/>
    <n v="2.21"/>
  </r>
  <r>
    <x v="4"/>
    <x v="9"/>
    <x v="32"/>
    <x v="0"/>
    <x v="4"/>
    <x v="0"/>
    <n v="5.96"/>
    <n v="7.22"/>
    <n v="1.73"/>
    <n v="5.55"/>
  </r>
  <r>
    <x v="4"/>
    <x v="9"/>
    <x v="32"/>
    <x v="0"/>
    <x v="0"/>
    <x v="1"/>
    <n v="0.86"/>
    <n v="1.04"/>
    <n v="0.04"/>
    <n v="0.79"/>
  </r>
  <r>
    <x v="4"/>
    <x v="9"/>
    <x v="32"/>
    <x v="1"/>
    <x v="0"/>
    <x v="0"/>
    <n v="3.43"/>
    <n v="4.16"/>
    <n v="2.15"/>
    <n v="3.23"/>
  </r>
  <r>
    <x v="4"/>
    <x v="9"/>
    <x v="32"/>
    <x v="2"/>
    <x v="2"/>
    <x v="3"/>
    <n v="0"/>
    <n v="0"/>
    <n v="0"/>
    <n v="0"/>
  </r>
  <r>
    <x v="4"/>
    <x v="9"/>
    <x v="32"/>
    <x v="1"/>
    <x v="1"/>
    <x v="0"/>
    <n v="5.56"/>
    <n v="6.74"/>
    <n v="0.82"/>
    <n v="5.12"/>
  </r>
  <r>
    <x v="4"/>
    <x v="9"/>
    <x v="32"/>
    <x v="1"/>
    <x v="2"/>
    <x v="0"/>
    <n v="0.61"/>
    <n v="0.74"/>
    <n v="0.01"/>
    <n v="0.55000000000000004"/>
  </r>
  <r>
    <x v="4"/>
    <x v="9"/>
    <x v="32"/>
    <x v="2"/>
    <x v="0"/>
    <x v="0"/>
    <n v="2.13"/>
    <n v="2.58"/>
    <n v="1.3"/>
    <n v="2"/>
  </r>
  <r>
    <x v="4"/>
    <x v="9"/>
    <x v="32"/>
    <x v="2"/>
    <x v="4"/>
    <x v="0"/>
    <n v="1.61"/>
    <n v="1.95"/>
    <n v="0.39"/>
    <n v="1.52"/>
  </r>
  <r>
    <x v="4"/>
    <x v="9"/>
    <x v="32"/>
    <x v="0"/>
    <x v="2"/>
    <x v="0"/>
    <n v="0.03"/>
    <n v="0.03"/>
    <n v="0"/>
    <n v="0.03"/>
  </r>
  <r>
    <x v="4"/>
    <x v="9"/>
    <x v="32"/>
    <x v="4"/>
    <x v="4"/>
    <x v="1"/>
    <n v="0.18"/>
    <n v="0.22"/>
    <n v="0"/>
    <n v="0.17"/>
  </r>
  <r>
    <x v="4"/>
    <x v="9"/>
    <x v="32"/>
    <x v="2"/>
    <x v="3"/>
    <x v="3"/>
    <n v="0.25"/>
    <n v="0.31"/>
    <n v="0"/>
    <n v="0.25"/>
  </r>
  <r>
    <x v="4"/>
    <x v="9"/>
    <x v="32"/>
    <x v="2"/>
    <x v="3"/>
    <x v="2"/>
    <n v="3.92"/>
    <n v="4.75"/>
    <n v="0.01"/>
    <n v="3.51"/>
  </r>
  <r>
    <x v="4"/>
    <x v="9"/>
    <x v="32"/>
    <x v="4"/>
    <x v="2"/>
    <x v="2"/>
    <n v="0.25"/>
    <n v="0.3"/>
    <n v="0"/>
    <n v="0.22"/>
  </r>
  <r>
    <x v="4"/>
    <x v="9"/>
    <x v="32"/>
    <x v="4"/>
    <x v="1"/>
    <x v="2"/>
    <n v="0.11"/>
    <n v="0.13"/>
    <n v="0"/>
    <n v="0.09"/>
  </r>
  <r>
    <x v="4"/>
    <x v="9"/>
    <x v="32"/>
    <x v="4"/>
    <x v="4"/>
    <x v="2"/>
    <n v="0.21"/>
    <n v="0.25"/>
    <n v="0.01"/>
    <n v="0.18"/>
  </r>
  <r>
    <x v="4"/>
    <x v="9"/>
    <x v="32"/>
    <x v="4"/>
    <x v="0"/>
    <x v="1"/>
    <n v="0.03"/>
    <n v="0.03"/>
    <n v="0"/>
    <n v="0.02"/>
  </r>
  <r>
    <x v="4"/>
    <x v="9"/>
    <x v="32"/>
    <x v="4"/>
    <x v="1"/>
    <x v="1"/>
    <n v="0.13"/>
    <n v="0.16"/>
    <n v="0"/>
    <n v="0.12"/>
  </r>
  <r>
    <x v="4"/>
    <x v="0"/>
    <x v="33"/>
    <x v="2"/>
    <x v="3"/>
    <x v="2"/>
    <n v="5.08"/>
    <n v="5.08"/>
    <n v="0.01"/>
    <n v="4.88"/>
  </r>
  <r>
    <x v="4"/>
    <x v="0"/>
    <x v="33"/>
    <x v="4"/>
    <x v="4"/>
    <x v="2"/>
    <n v="0.42"/>
    <n v="0.42"/>
    <n v="0.02"/>
    <n v="0.41"/>
  </r>
  <r>
    <x v="4"/>
    <x v="0"/>
    <x v="33"/>
    <x v="4"/>
    <x v="1"/>
    <x v="2"/>
    <n v="0.57999999999999996"/>
    <n v="0.57999999999999996"/>
    <n v="0.02"/>
    <n v="0.55000000000000004"/>
  </r>
  <r>
    <x v="4"/>
    <x v="0"/>
    <x v="33"/>
    <x v="4"/>
    <x v="2"/>
    <x v="2"/>
    <n v="0.96"/>
    <n v="0.96"/>
    <n v="0.02"/>
    <n v="0.92"/>
  </r>
  <r>
    <x v="4"/>
    <x v="0"/>
    <x v="33"/>
    <x v="1"/>
    <x v="4"/>
    <x v="2"/>
    <n v="0.48"/>
    <n v="0.48"/>
    <n v="0.03"/>
    <n v="0.46"/>
  </r>
  <r>
    <x v="4"/>
    <x v="0"/>
    <x v="33"/>
    <x v="2"/>
    <x v="2"/>
    <x v="2"/>
    <n v="3.16"/>
    <n v="3.16"/>
    <n v="0.01"/>
    <n v="3.04"/>
  </r>
  <r>
    <x v="4"/>
    <x v="0"/>
    <x v="33"/>
    <x v="0"/>
    <x v="0"/>
    <x v="0"/>
    <n v="10.94"/>
    <n v="10.94"/>
    <n v="10.66"/>
    <n v="10.1"/>
  </r>
  <r>
    <x v="4"/>
    <x v="0"/>
    <x v="33"/>
    <x v="1"/>
    <x v="4"/>
    <x v="0"/>
    <n v="84.2"/>
    <n v="84.2"/>
    <n v="25.76"/>
    <n v="79.44"/>
  </r>
  <r>
    <x v="4"/>
    <x v="0"/>
    <x v="33"/>
    <x v="2"/>
    <x v="4"/>
    <x v="0"/>
    <n v="6.73"/>
    <n v="6.73"/>
    <n v="2.31"/>
    <n v="6.46"/>
  </r>
  <r>
    <x v="4"/>
    <x v="0"/>
    <x v="33"/>
    <x v="2"/>
    <x v="0"/>
    <x v="0"/>
    <n v="9.1"/>
    <n v="9.1"/>
    <n v="6.21"/>
    <n v="8.6300000000000008"/>
  </r>
  <r>
    <x v="4"/>
    <x v="0"/>
    <x v="33"/>
    <x v="4"/>
    <x v="4"/>
    <x v="0"/>
    <n v="37.619999999999997"/>
    <n v="37.619999999999997"/>
    <n v="7.75"/>
    <n v="35.58"/>
  </r>
  <r>
    <x v="4"/>
    <x v="0"/>
    <x v="33"/>
    <x v="1"/>
    <x v="1"/>
    <x v="0"/>
    <n v="15.49"/>
    <n v="15.49"/>
    <n v="1.17"/>
    <n v="14.67"/>
  </r>
  <r>
    <x v="4"/>
    <x v="0"/>
    <x v="33"/>
    <x v="2"/>
    <x v="3"/>
    <x v="3"/>
    <n v="7.5"/>
    <n v="7.5"/>
    <n v="0"/>
    <n v="7.12"/>
  </r>
  <r>
    <x v="4"/>
    <x v="0"/>
    <x v="33"/>
    <x v="1"/>
    <x v="0"/>
    <x v="0"/>
    <n v="9.0500000000000007"/>
    <n v="9.0500000000000007"/>
    <n v="5.48"/>
    <n v="8.6"/>
  </r>
  <r>
    <x v="4"/>
    <x v="0"/>
    <x v="33"/>
    <x v="0"/>
    <x v="4"/>
    <x v="0"/>
    <n v="14.61"/>
    <n v="14.61"/>
    <n v="4.41"/>
    <n v="13.74"/>
  </r>
  <r>
    <x v="4"/>
    <x v="0"/>
    <x v="33"/>
    <x v="4"/>
    <x v="1"/>
    <x v="0"/>
    <n v="19.48"/>
    <n v="19.48"/>
    <n v="1.23"/>
    <n v="17.98"/>
  </r>
  <r>
    <x v="4"/>
    <x v="0"/>
    <x v="33"/>
    <x v="3"/>
    <x v="4"/>
    <x v="0"/>
    <n v="0.77"/>
    <n v="0.77"/>
    <n v="0.49"/>
    <n v="0.75"/>
  </r>
  <r>
    <x v="4"/>
    <x v="0"/>
    <x v="33"/>
    <x v="3"/>
    <x v="0"/>
    <x v="0"/>
    <n v="0.04"/>
    <n v="0.04"/>
    <n v="0.04"/>
    <n v="0.04"/>
  </r>
  <r>
    <x v="4"/>
    <x v="0"/>
    <x v="33"/>
    <x v="0"/>
    <x v="0"/>
    <x v="1"/>
    <n v="8.32"/>
    <n v="8.32"/>
    <n v="0.18"/>
    <n v="7.94"/>
  </r>
  <r>
    <x v="4"/>
    <x v="0"/>
    <x v="33"/>
    <x v="1"/>
    <x v="2"/>
    <x v="0"/>
    <n v="3.91"/>
    <n v="3.91"/>
    <n v="0.04"/>
    <n v="3.69"/>
  </r>
  <r>
    <x v="4"/>
    <x v="0"/>
    <x v="33"/>
    <x v="2"/>
    <x v="3"/>
    <x v="1"/>
    <n v="4.4000000000000004"/>
    <n v="4.4000000000000004"/>
    <n v="0"/>
    <n v="4.2"/>
  </r>
  <r>
    <x v="4"/>
    <x v="0"/>
    <x v="33"/>
    <x v="4"/>
    <x v="0"/>
    <x v="1"/>
    <n v="0.36"/>
    <n v="0.36"/>
    <n v="0.01"/>
    <n v="0.35"/>
  </r>
  <r>
    <x v="4"/>
    <x v="0"/>
    <x v="33"/>
    <x v="4"/>
    <x v="1"/>
    <x v="1"/>
    <n v="0.94"/>
    <n v="0.94"/>
    <n v="0.03"/>
    <n v="0.89"/>
  </r>
  <r>
    <x v="4"/>
    <x v="0"/>
    <x v="33"/>
    <x v="0"/>
    <x v="4"/>
    <x v="1"/>
    <n v="1.53"/>
    <n v="1.53"/>
    <n v="0.02"/>
    <n v="1.46"/>
  </r>
  <r>
    <x v="4"/>
    <x v="0"/>
    <x v="33"/>
    <x v="1"/>
    <x v="0"/>
    <x v="1"/>
    <n v="1.43"/>
    <n v="1.43"/>
    <n v="0.08"/>
    <n v="1.36"/>
  </r>
  <r>
    <x v="4"/>
    <x v="0"/>
    <x v="33"/>
    <x v="1"/>
    <x v="4"/>
    <x v="1"/>
    <n v="0.99"/>
    <n v="0.99"/>
    <n v="0.04"/>
    <n v="0.93"/>
  </r>
  <r>
    <x v="4"/>
    <x v="0"/>
    <x v="33"/>
    <x v="1"/>
    <x v="1"/>
    <x v="1"/>
    <n v="3.02"/>
    <n v="3.02"/>
    <n v="0.03"/>
    <n v="2.87"/>
  </r>
  <r>
    <x v="4"/>
    <x v="0"/>
    <x v="33"/>
    <x v="1"/>
    <x v="2"/>
    <x v="1"/>
    <n v="33.86"/>
    <n v="33.86"/>
    <n v="7.0000000000000007E-2"/>
    <n v="32.299999999999997"/>
  </r>
  <r>
    <x v="4"/>
    <x v="0"/>
    <x v="33"/>
    <x v="4"/>
    <x v="4"/>
    <x v="1"/>
    <n v="0.69"/>
    <n v="0.69"/>
    <n v="0.03"/>
    <n v="0.66"/>
  </r>
  <r>
    <x v="4"/>
    <x v="7"/>
    <x v="34"/>
    <x v="0"/>
    <x v="2"/>
    <x v="0"/>
    <n v="0.82"/>
    <n v="0.82"/>
    <n v="0.01"/>
    <n v="0.8"/>
  </r>
  <r>
    <x v="4"/>
    <x v="7"/>
    <x v="34"/>
    <x v="2"/>
    <x v="3"/>
    <x v="1"/>
    <n v="4.6500000000000004"/>
    <n v="4.6500000000000004"/>
    <n v="0.01"/>
    <n v="4.3"/>
  </r>
  <r>
    <x v="4"/>
    <x v="7"/>
    <x v="34"/>
    <x v="3"/>
    <x v="0"/>
    <x v="0"/>
    <n v="0.97"/>
    <n v="0.97"/>
    <n v="1.37"/>
    <n v="0.95"/>
  </r>
  <r>
    <x v="4"/>
    <x v="7"/>
    <x v="34"/>
    <x v="3"/>
    <x v="4"/>
    <x v="0"/>
    <n v="10.38"/>
    <n v="10.38"/>
    <n v="2.44"/>
    <n v="9.6999999999999993"/>
  </r>
  <r>
    <x v="4"/>
    <x v="7"/>
    <x v="34"/>
    <x v="3"/>
    <x v="1"/>
    <x v="0"/>
    <n v="7.0000000000000007E-2"/>
    <n v="7.0000000000000007E-2"/>
    <n v="0.01"/>
    <n v="0.06"/>
  </r>
  <r>
    <x v="4"/>
    <x v="7"/>
    <x v="34"/>
    <x v="4"/>
    <x v="4"/>
    <x v="0"/>
    <n v="131.87"/>
    <n v="131.9"/>
    <n v="22.03"/>
    <n v="122.99"/>
  </r>
  <r>
    <x v="4"/>
    <x v="7"/>
    <x v="34"/>
    <x v="4"/>
    <x v="1"/>
    <x v="0"/>
    <n v="27.44"/>
    <n v="27.45"/>
    <n v="2.0099999999999998"/>
    <n v="25.24"/>
  </r>
  <r>
    <x v="4"/>
    <x v="7"/>
    <x v="34"/>
    <x v="4"/>
    <x v="2"/>
    <x v="0"/>
    <n v="0.59"/>
    <n v="0.59"/>
    <n v="0"/>
    <n v="0.54"/>
  </r>
  <r>
    <x v="4"/>
    <x v="7"/>
    <x v="34"/>
    <x v="4"/>
    <x v="3"/>
    <x v="0"/>
    <n v="0.95"/>
    <n v="0.95"/>
    <n v="0"/>
    <n v="0.87"/>
  </r>
  <r>
    <x v="4"/>
    <x v="7"/>
    <x v="34"/>
    <x v="1"/>
    <x v="2"/>
    <x v="1"/>
    <n v="30.87"/>
    <n v="30.88"/>
    <n v="0.2"/>
    <n v="28.58"/>
  </r>
  <r>
    <x v="4"/>
    <x v="7"/>
    <x v="34"/>
    <x v="0"/>
    <x v="4"/>
    <x v="0"/>
    <n v="34.24"/>
    <n v="34.25"/>
    <n v="9.19"/>
    <n v="32.14"/>
  </r>
  <r>
    <x v="4"/>
    <x v="7"/>
    <x v="34"/>
    <x v="0"/>
    <x v="1"/>
    <x v="1"/>
    <n v="0.1"/>
    <n v="0.1"/>
    <n v="0"/>
    <n v="0.1"/>
  </r>
  <r>
    <x v="4"/>
    <x v="7"/>
    <x v="34"/>
    <x v="1"/>
    <x v="4"/>
    <x v="0"/>
    <n v="203.6"/>
    <n v="203.66"/>
    <n v="40.08"/>
    <n v="188.14"/>
  </r>
  <r>
    <x v="4"/>
    <x v="7"/>
    <x v="34"/>
    <x v="1"/>
    <x v="2"/>
    <x v="0"/>
    <n v="7.36"/>
    <n v="7.36"/>
    <n v="0.11"/>
    <n v="6.88"/>
  </r>
  <r>
    <x v="4"/>
    <x v="7"/>
    <x v="34"/>
    <x v="2"/>
    <x v="0"/>
    <x v="0"/>
    <n v="10.99"/>
    <n v="11"/>
    <n v="8.1300000000000008"/>
    <n v="10.36"/>
  </r>
  <r>
    <x v="4"/>
    <x v="7"/>
    <x v="34"/>
    <x v="2"/>
    <x v="4"/>
    <x v="0"/>
    <n v="8.0500000000000007"/>
    <n v="8.0500000000000007"/>
    <n v="2.68"/>
    <n v="7.62"/>
  </r>
  <r>
    <x v="4"/>
    <x v="7"/>
    <x v="34"/>
    <x v="0"/>
    <x v="0"/>
    <x v="0"/>
    <n v="21.75"/>
    <n v="21.76"/>
    <n v="13.38"/>
    <n v="19.66"/>
  </r>
  <r>
    <x v="4"/>
    <x v="7"/>
    <x v="34"/>
    <x v="4"/>
    <x v="0"/>
    <x v="1"/>
    <n v="0.3"/>
    <n v="0.3"/>
    <n v="0.02"/>
    <n v="0.27"/>
  </r>
  <r>
    <x v="4"/>
    <x v="7"/>
    <x v="34"/>
    <x v="1"/>
    <x v="0"/>
    <x v="0"/>
    <n v="11.85"/>
    <n v="11.86"/>
    <n v="7.91"/>
    <n v="11.06"/>
  </r>
  <r>
    <x v="4"/>
    <x v="7"/>
    <x v="34"/>
    <x v="4"/>
    <x v="4"/>
    <x v="2"/>
    <n v="1.48"/>
    <n v="1.48"/>
    <n v="0.08"/>
    <n v="1.31"/>
  </r>
  <r>
    <x v="4"/>
    <x v="7"/>
    <x v="34"/>
    <x v="4"/>
    <x v="1"/>
    <x v="2"/>
    <n v="0.81"/>
    <n v="0.81"/>
    <n v="0.03"/>
    <n v="0.71"/>
  </r>
  <r>
    <x v="4"/>
    <x v="7"/>
    <x v="34"/>
    <x v="4"/>
    <x v="2"/>
    <x v="2"/>
    <n v="1.66"/>
    <n v="1.66"/>
    <n v="0.01"/>
    <n v="1.44"/>
  </r>
  <r>
    <x v="4"/>
    <x v="7"/>
    <x v="34"/>
    <x v="1"/>
    <x v="4"/>
    <x v="2"/>
    <n v="0.62"/>
    <n v="0.62"/>
    <n v="7.0000000000000007E-2"/>
    <n v="0.55000000000000004"/>
  </r>
  <r>
    <x v="4"/>
    <x v="7"/>
    <x v="34"/>
    <x v="2"/>
    <x v="3"/>
    <x v="2"/>
    <n v="13.09"/>
    <n v="13.09"/>
    <n v="0.03"/>
    <n v="11.66"/>
  </r>
  <r>
    <x v="4"/>
    <x v="7"/>
    <x v="34"/>
    <x v="1"/>
    <x v="0"/>
    <x v="1"/>
    <n v="3.86"/>
    <n v="3.86"/>
    <n v="0.21"/>
    <n v="3.62"/>
  </r>
  <r>
    <x v="4"/>
    <x v="7"/>
    <x v="34"/>
    <x v="2"/>
    <x v="3"/>
    <x v="3"/>
    <n v="8.33"/>
    <n v="8.34"/>
    <n v="0.01"/>
    <n v="8.33"/>
  </r>
  <r>
    <x v="4"/>
    <x v="7"/>
    <x v="34"/>
    <x v="1"/>
    <x v="1"/>
    <x v="1"/>
    <n v="3.98"/>
    <n v="3.98"/>
    <n v="0.06"/>
    <n v="3.7"/>
  </r>
  <r>
    <x v="4"/>
    <x v="7"/>
    <x v="34"/>
    <x v="4"/>
    <x v="4"/>
    <x v="1"/>
    <n v="1.74"/>
    <n v="1.74"/>
    <n v="0.03"/>
    <n v="1.62"/>
  </r>
  <r>
    <x v="4"/>
    <x v="7"/>
    <x v="34"/>
    <x v="4"/>
    <x v="1"/>
    <x v="1"/>
    <n v="1.45"/>
    <n v="1.45"/>
    <n v="0.02"/>
    <n v="1.35"/>
  </r>
  <r>
    <x v="4"/>
    <x v="7"/>
    <x v="34"/>
    <x v="0"/>
    <x v="0"/>
    <x v="1"/>
    <n v="10.050000000000001"/>
    <n v="10.050000000000001"/>
    <n v="0.4"/>
    <n v="9.2799999999999994"/>
  </r>
  <r>
    <x v="4"/>
    <x v="7"/>
    <x v="34"/>
    <x v="0"/>
    <x v="4"/>
    <x v="1"/>
    <n v="2.73"/>
    <n v="2.73"/>
    <n v="0.08"/>
    <n v="2.52"/>
  </r>
  <r>
    <x v="4"/>
    <x v="7"/>
    <x v="34"/>
    <x v="0"/>
    <x v="3"/>
    <x v="1"/>
    <n v="0.12"/>
    <n v="0.12"/>
    <n v="0"/>
    <n v="0.12"/>
  </r>
  <r>
    <x v="4"/>
    <x v="7"/>
    <x v="34"/>
    <x v="1"/>
    <x v="4"/>
    <x v="1"/>
    <n v="1.34"/>
    <n v="1.34"/>
    <n v="0.06"/>
    <n v="1.25"/>
  </r>
  <r>
    <x v="4"/>
    <x v="7"/>
    <x v="34"/>
    <x v="2"/>
    <x v="2"/>
    <x v="3"/>
    <n v="0"/>
    <n v="0"/>
    <n v="0"/>
    <n v="0"/>
  </r>
  <r>
    <x v="4"/>
    <x v="7"/>
    <x v="34"/>
    <x v="1"/>
    <x v="1"/>
    <x v="0"/>
    <n v="25.36"/>
    <n v="25.37"/>
    <n v="1.96"/>
    <n v="23.39"/>
  </r>
  <r>
    <x v="4"/>
    <x v="10"/>
    <x v="35"/>
    <x v="0"/>
    <x v="4"/>
    <x v="0"/>
    <n v="11.24"/>
    <n v="11.25"/>
    <n v="3.02"/>
    <n v="10.55"/>
  </r>
  <r>
    <x v="4"/>
    <x v="10"/>
    <x v="35"/>
    <x v="1"/>
    <x v="2"/>
    <x v="1"/>
    <n v="10.14"/>
    <n v="10.14"/>
    <n v="0.06"/>
    <n v="9.39"/>
  </r>
  <r>
    <x v="4"/>
    <x v="10"/>
    <x v="35"/>
    <x v="2"/>
    <x v="3"/>
    <x v="1"/>
    <n v="1.53"/>
    <n v="1.53"/>
    <n v="0"/>
    <n v="1.41"/>
  </r>
  <r>
    <x v="4"/>
    <x v="10"/>
    <x v="35"/>
    <x v="3"/>
    <x v="0"/>
    <x v="0"/>
    <n v="0.32"/>
    <n v="0.32"/>
    <n v="0.45"/>
    <n v="0.31"/>
  </r>
  <r>
    <x v="4"/>
    <x v="10"/>
    <x v="35"/>
    <x v="3"/>
    <x v="4"/>
    <x v="0"/>
    <n v="3.41"/>
    <n v="3.41"/>
    <n v="0.8"/>
    <n v="3.19"/>
  </r>
  <r>
    <x v="4"/>
    <x v="10"/>
    <x v="35"/>
    <x v="3"/>
    <x v="1"/>
    <x v="0"/>
    <n v="0.02"/>
    <n v="0.02"/>
    <n v="0"/>
    <n v="0.02"/>
  </r>
  <r>
    <x v="4"/>
    <x v="10"/>
    <x v="35"/>
    <x v="4"/>
    <x v="1"/>
    <x v="0"/>
    <n v="9.01"/>
    <n v="9.01"/>
    <n v="0.66"/>
    <n v="8.2899999999999991"/>
  </r>
  <r>
    <x v="4"/>
    <x v="10"/>
    <x v="35"/>
    <x v="2"/>
    <x v="0"/>
    <x v="0"/>
    <n v="3.61"/>
    <n v="3.61"/>
    <n v="2.67"/>
    <n v="3.4"/>
  </r>
  <r>
    <x v="4"/>
    <x v="10"/>
    <x v="35"/>
    <x v="0"/>
    <x v="0"/>
    <x v="0"/>
    <n v="7.14"/>
    <n v="7.14"/>
    <n v="4.3899999999999997"/>
    <n v="6.46"/>
  </r>
  <r>
    <x v="4"/>
    <x v="10"/>
    <x v="35"/>
    <x v="1"/>
    <x v="0"/>
    <x v="1"/>
    <n v="1.27"/>
    <n v="1.27"/>
    <n v="7.0000000000000007E-2"/>
    <n v="1.19"/>
  </r>
  <r>
    <x v="4"/>
    <x v="10"/>
    <x v="35"/>
    <x v="0"/>
    <x v="2"/>
    <x v="0"/>
    <n v="0.27"/>
    <n v="0.27"/>
    <n v="0"/>
    <n v="0.26"/>
  </r>
  <r>
    <x v="4"/>
    <x v="10"/>
    <x v="35"/>
    <x v="1"/>
    <x v="0"/>
    <x v="0"/>
    <n v="3.89"/>
    <n v="3.89"/>
    <n v="2.6"/>
    <n v="3.63"/>
  </r>
  <r>
    <x v="4"/>
    <x v="10"/>
    <x v="35"/>
    <x v="1"/>
    <x v="4"/>
    <x v="0"/>
    <n v="66.849999999999994"/>
    <n v="66.87"/>
    <n v="13.16"/>
    <n v="61.78"/>
  </r>
  <r>
    <x v="4"/>
    <x v="10"/>
    <x v="35"/>
    <x v="1"/>
    <x v="1"/>
    <x v="0"/>
    <n v="8.33"/>
    <n v="8.33"/>
    <n v="0.65"/>
    <n v="7.68"/>
  </r>
  <r>
    <x v="4"/>
    <x v="10"/>
    <x v="35"/>
    <x v="1"/>
    <x v="2"/>
    <x v="0"/>
    <n v="2.42"/>
    <n v="2.42"/>
    <n v="0.03"/>
    <n v="2.2599999999999998"/>
  </r>
  <r>
    <x v="4"/>
    <x v="10"/>
    <x v="35"/>
    <x v="4"/>
    <x v="3"/>
    <x v="0"/>
    <n v="0.31"/>
    <n v="0.31"/>
    <n v="0"/>
    <n v="0.28999999999999998"/>
  </r>
  <r>
    <x v="4"/>
    <x v="10"/>
    <x v="35"/>
    <x v="4"/>
    <x v="4"/>
    <x v="1"/>
    <n v="0.56999999999999995"/>
    <n v="0.56999999999999995"/>
    <n v="0.01"/>
    <n v="0.53"/>
  </r>
  <r>
    <x v="4"/>
    <x v="10"/>
    <x v="35"/>
    <x v="4"/>
    <x v="4"/>
    <x v="2"/>
    <n v="0.48"/>
    <n v="0.48"/>
    <n v="0.03"/>
    <n v="0.43"/>
  </r>
  <r>
    <x v="4"/>
    <x v="10"/>
    <x v="35"/>
    <x v="4"/>
    <x v="1"/>
    <x v="2"/>
    <n v="0.27"/>
    <n v="0.27"/>
    <n v="0.01"/>
    <n v="0.23"/>
  </r>
  <r>
    <x v="4"/>
    <x v="10"/>
    <x v="35"/>
    <x v="4"/>
    <x v="2"/>
    <x v="2"/>
    <n v="0.54"/>
    <n v="0.54"/>
    <n v="0"/>
    <n v="0.47"/>
  </r>
  <r>
    <x v="4"/>
    <x v="10"/>
    <x v="35"/>
    <x v="1"/>
    <x v="4"/>
    <x v="2"/>
    <n v="0.2"/>
    <n v="0.2"/>
    <n v="0.02"/>
    <n v="0.18"/>
  </r>
  <r>
    <x v="4"/>
    <x v="10"/>
    <x v="35"/>
    <x v="2"/>
    <x v="3"/>
    <x v="2"/>
    <n v="4.3"/>
    <n v="4.3"/>
    <n v="0.01"/>
    <n v="3.83"/>
  </r>
  <r>
    <x v="4"/>
    <x v="10"/>
    <x v="35"/>
    <x v="2"/>
    <x v="2"/>
    <x v="3"/>
    <n v="0"/>
    <n v="0"/>
    <n v="0"/>
    <n v="0"/>
  </r>
  <r>
    <x v="4"/>
    <x v="10"/>
    <x v="35"/>
    <x v="1"/>
    <x v="1"/>
    <x v="1"/>
    <n v="1.31"/>
    <n v="1.31"/>
    <n v="0.02"/>
    <n v="1.21"/>
  </r>
  <r>
    <x v="4"/>
    <x v="10"/>
    <x v="35"/>
    <x v="4"/>
    <x v="0"/>
    <x v="1"/>
    <n v="0.1"/>
    <n v="0.1"/>
    <n v="0.01"/>
    <n v="0.09"/>
  </r>
  <r>
    <x v="4"/>
    <x v="10"/>
    <x v="35"/>
    <x v="1"/>
    <x v="4"/>
    <x v="1"/>
    <n v="0.44"/>
    <n v="0.44"/>
    <n v="0.02"/>
    <n v="0.41"/>
  </r>
  <r>
    <x v="4"/>
    <x v="10"/>
    <x v="35"/>
    <x v="4"/>
    <x v="1"/>
    <x v="1"/>
    <n v="0.48"/>
    <n v="0.48"/>
    <n v="0.01"/>
    <n v="0.44"/>
  </r>
  <r>
    <x v="4"/>
    <x v="10"/>
    <x v="35"/>
    <x v="0"/>
    <x v="0"/>
    <x v="1"/>
    <n v="3.3"/>
    <n v="3.3"/>
    <n v="0.13"/>
    <n v="3.05"/>
  </r>
  <r>
    <x v="4"/>
    <x v="10"/>
    <x v="35"/>
    <x v="0"/>
    <x v="4"/>
    <x v="1"/>
    <n v="0.9"/>
    <n v="0.9"/>
    <n v="0.02"/>
    <n v="0.83"/>
  </r>
  <r>
    <x v="4"/>
    <x v="10"/>
    <x v="35"/>
    <x v="0"/>
    <x v="1"/>
    <x v="1"/>
    <n v="0.03"/>
    <n v="0.03"/>
    <n v="0"/>
    <n v="0.03"/>
  </r>
  <r>
    <x v="4"/>
    <x v="10"/>
    <x v="35"/>
    <x v="0"/>
    <x v="3"/>
    <x v="1"/>
    <n v="0.04"/>
    <n v="0.04"/>
    <n v="0"/>
    <n v="0.04"/>
  </r>
  <r>
    <x v="4"/>
    <x v="10"/>
    <x v="35"/>
    <x v="4"/>
    <x v="2"/>
    <x v="0"/>
    <n v="0.19"/>
    <n v="0.19"/>
    <n v="0"/>
    <n v="0.18"/>
  </r>
  <r>
    <x v="4"/>
    <x v="10"/>
    <x v="35"/>
    <x v="2"/>
    <x v="3"/>
    <x v="3"/>
    <n v="2.74"/>
    <n v="2.74"/>
    <n v="0"/>
    <n v="2.74"/>
  </r>
  <r>
    <x v="4"/>
    <x v="10"/>
    <x v="35"/>
    <x v="4"/>
    <x v="4"/>
    <x v="0"/>
    <n v="43.3"/>
    <n v="43.31"/>
    <n v="7.23"/>
    <n v="40.39"/>
  </r>
  <r>
    <x v="4"/>
    <x v="10"/>
    <x v="35"/>
    <x v="2"/>
    <x v="4"/>
    <x v="0"/>
    <n v="2.64"/>
    <n v="2.64"/>
    <n v="0.88"/>
    <n v="2.5"/>
  </r>
  <r>
    <x v="4"/>
    <x v="2"/>
    <x v="36"/>
    <x v="2"/>
    <x v="4"/>
    <x v="0"/>
    <n v="1.04"/>
    <n v="1.04"/>
    <n v="0.17"/>
    <n v="0.97"/>
  </r>
  <r>
    <x v="4"/>
    <x v="2"/>
    <x v="36"/>
    <x v="4"/>
    <x v="4"/>
    <x v="0"/>
    <n v="13.35"/>
    <n v="13.36"/>
    <n v="1.53"/>
    <n v="12.36"/>
  </r>
  <r>
    <x v="4"/>
    <x v="2"/>
    <x v="36"/>
    <x v="0"/>
    <x v="4"/>
    <x v="0"/>
    <n v="2.5299999999999998"/>
    <n v="2.5299999999999998"/>
    <n v="0.6"/>
    <n v="2.36"/>
  </r>
  <r>
    <x v="4"/>
    <x v="2"/>
    <x v="36"/>
    <x v="3"/>
    <x v="4"/>
    <x v="0"/>
    <n v="0.65"/>
    <n v="0.65"/>
    <n v="0.14000000000000001"/>
    <n v="0.61"/>
  </r>
  <r>
    <x v="4"/>
    <x v="2"/>
    <x v="36"/>
    <x v="4"/>
    <x v="2"/>
    <x v="0"/>
    <n v="0.05"/>
    <n v="0.05"/>
    <n v="0"/>
    <n v="0.04"/>
  </r>
  <r>
    <x v="4"/>
    <x v="2"/>
    <x v="36"/>
    <x v="4"/>
    <x v="3"/>
    <x v="0"/>
    <n v="0.01"/>
    <n v="0.01"/>
    <n v="0"/>
    <n v="0"/>
  </r>
  <r>
    <x v="4"/>
    <x v="2"/>
    <x v="36"/>
    <x v="0"/>
    <x v="0"/>
    <x v="0"/>
    <n v="1.36"/>
    <n v="1.36"/>
    <n v="0.7"/>
    <n v="1.24"/>
  </r>
  <r>
    <x v="4"/>
    <x v="2"/>
    <x v="36"/>
    <x v="0"/>
    <x v="2"/>
    <x v="0"/>
    <n v="0"/>
    <n v="0"/>
    <n v="0"/>
    <n v="0"/>
  </r>
  <r>
    <x v="4"/>
    <x v="2"/>
    <x v="36"/>
    <x v="1"/>
    <x v="0"/>
    <x v="0"/>
    <n v="1.52"/>
    <n v="1.52"/>
    <n v="0.77"/>
    <n v="1.44"/>
  </r>
  <r>
    <x v="4"/>
    <x v="2"/>
    <x v="36"/>
    <x v="1"/>
    <x v="4"/>
    <x v="0"/>
    <n v="24.83"/>
    <n v="24.85"/>
    <n v="4.1399999999999997"/>
    <n v="23.03"/>
  </r>
  <r>
    <x v="4"/>
    <x v="2"/>
    <x v="36"/>
    <x v="1"/>
    <x v="1"/>
    <x v="0"/>
    <n v="2.86"/>
    <n v="2.87"/>
    <n v="0.18"/>
    <n v="2.67"/>
  </r>
  <r>
    <x v="4"/>
    <x v="2"/>
    <x v="36"/>
    <x v="2"/>
    <x v="0"/>
    <x v="0"/>
    <n v="1.08"/>
    <n v="1.08"/>
    <n v="0.52"/>
    <n v="1.01"/>
  </r>
  <r>
    <x v="4"/>
    <x v="2"/>
    <x v="36"/>
    <x v="2"/>
    <x v="2"/>
    <x v="0"/>
    <n v="0.32"/>
    <n v="0.32"/>
    <n v="0"/>
    <n v="0.28999999999999998"/>
  </r>
  <r>
    <x v="4"/>
    <x v="2"/>
    <x v="36"/>
    <x v="3"/>
    <x v="1"/>
    <x v="0"/>
    <n v="0.01"/>
    <n v="0.01"/>
    <n v="0"/>
    <n v="0.01"/>
  </r>
  <r>
    <x v="4"/>
    <x v="2"/>
    <x v="36"/>
    <x v="3"/>
    <x v="0"/>
    <x v="0"/>
    <n v="0.22"/>
    <n v="0.22"/>
    <n v="0.17"/>
    <n v="0.21"/>
  </r>
  <r>
    <x v="4"/>
    <x v="2"/>
    <x v="36"/>
    <x v="1"/>
    <x v="2"/>
    <x v="0"/>
    <n v="0.25"/>
    <n v="0.25"/>
    <n v="0"/>
    <n v="0.22"/>
  </r>
  <r>
    <x v="4"/>
    <x v="2"/>
    <x v="36"/>
    <x v="2"/>
    <x v="3"/>
    <x v="2"/>
    <n v="3.32"/>
    <n v="3.32"/>
    <n v="0"/>
    <n v="3.05"/>
  </r>
  <r>
    <x v="4"/>
    <x v="2"/>
    <x v="36"/>
    <x v="4"/>
    <x v="1"/>
    <x v="0"/>
    <n v="3.14"/>
    <n v="3.14"/>
    <n v="0.21"/>
    <n v="2.89"/>
  </r>
  <r>
    <x v="4"/>
    <x v="2"/>
    <x v="36"/>
    <x v="1"/>
    <x v="3"/>
    <x v="2"/>
    <n v="0"/>
    <n v="0"/>
    <n v="0"/>
    <n v="0"/>
  </r>
  <r>
    <x v="4"/>
    <x v="2"/>
    <x v="36"/>
    <x v="2"/>
    <x v="3"/>
    <x v="1"/>
    <n v="0.34"/>
    <n v="0.34"/>
    <n v="0"/>
    <n v="0.31"/>
  </r>
  <r>
    <x v="4"/>
    <x v="2"/>
    <x v="36"/>
    <x v="4"/>
    <x v="4"/>
    <x v="2"/>
    <n v="0.09"/>
    <n v="0.09"/>
    <n v="0"/>
    <n v="0.08"/>
  </r>
  <r>
    <x v="4"/>
    <x v="2"/>
    <x v="36"/>
    <x v="4"/>
    <x v="1"/>
    <x v="2"/>
    <n v="0.05"/>
    <n v="0.05"/>
    <n v="0"/>
    <n v="0.04"/>
  </r>
  <r>
    <x v="4"/>
    <x v="2"/>
    <x v="36"/>
    <x v="4"/>
    <x v="2"/>
    <x v="2"/>
    <n v="0.09"/>
    <n v="0.09"/>
    <n v="0"/>
    <n v="0.08"/>
  </r>
  <r>
    <x v="4"/>
    <x v="2"/>
    <x v="36"/>
    <x v="1"/>
    <x v="4"/>
    <x v="2"/>
    <n v="1.1299999999999999"/>
    <n v="1.1299999999999999"/>
    <n v="0.02"/>
    <n v="0.98"/>
  </r>
  <r>
    <x v="4"/>
    <x v="2"/>
    <x v="36"/>
    <x v="1"/>
    <x v="2"/>
    <x v="2"/>
    <n v="0.02"/>
    <n v="0.02"/>
    <n v="0"/>
    <n v="0.02"/>
  </r>
  <r>
    <x v="4"/>
    <x v="2"/>
    <x v="36"/>
    <x v="2"/>
    <x v="2"/>
    <x v="3"/>
    <n v="0.01"/>
    <n v="0.01"/>
    <n v="0"/>
    <n v="0.01"/>
  </r>
  <r>
    <x v="4"/>
    <x v="2"/>
    <x v="36"/>
    <x v="2"/>
    <x v="3"/>
    <x v="3"/>
    <n v="4.9400000000000004"/>
    <n v="4.9400000000000004"/>
    <n v="0"/>
    <n v="4.93"/>
  </r>
  <r>
    <x v="4"/>
    <x v="2"/>
    <x v="36"/>
    <x v="4"/>
    <x v="0"/>
    <x v="1"/>
    <n v="0.04"/>
    <n v="0.04"/>
    <n v="0"/>
    <n v="0.04"/>
  </r>
  <r>
    <x v="4"/>
    <x v="2"/>
    <x v="36"/>
    <x v="4"/>
    <x v="4"/>
    <x v="1"/>
    <n v="0.12"/>
    <n v="0.12"/>
    <n v="0"/>
    <n v="0.11"/>
  </r>
  <r>
    <x v="4"/>
    <x v="2"/>
    <x v="36"/>
    <x v="1"/>
    <x v="0"/>
    <x v="1"/>
    <n v="0.35"/>
    <n v="0.35"/>
    <n v="0.02"/>
    <n v="0.33"/>
  </r>
  <r>
    <x v="4"/>
    <x v="2"/>
    <x v="36"/>
    <x v="2"/>
    <x v="2"/>
    <x v="1"/>
    <n v="0"/>
    <n v="0"/>
    <n v="0"/>
    <n v="0"/>
  </r>
  <r>
    <x v="4"/>
    <x v="2"/>
    <x v="36"/>
    <x v="1"/>
    <x v="1"/>
    <x v="2"/>
    <n v="0"/>
    <n v="0"/>
    <n v="0"/>
    <n v="0"/>
  </r>
  <r>
    <x v="4"/>
    <x v="2"/>
    <x v="36"/>
    <x v="4"/>
    <x v="1"/>
    <x v="1"/>
    <n v="0.1"/>
    <n v="0.1"/>
    <n v="0"/>
    <n v="0.09"/>
  </r>
  <r>
    <x v="4"/>
    <x v="2"/>
    <x v="36"/>
    <x v="1"/>
    <x v="3"/>
    <x v="1"/>
    <n v="0"/>
    <n v="0"/>
    <n v="0"/>
    <n v="0"/>
  </r>
  <r>
    <x v="4"/>
    <x v="2"/>
    <x v="36"/>
    <x v="1"/>
    <x v="4"/>
    <x v="1"/>
    <n v="0.23"/>
    <n v="0.23"/>
    <n v="0.01"/>
    <n v="0.22"/>
  </r>
  <r>
    <x v="4"/>
    <x v="2"/>
    <x v="36"/>
    <x v="1"/>
    <x v="2"/>
    <x v="1"/>
    <n v="2.38"/>
    <n v="2.38"/>
    <n v="0.02"/>
    <n v="2.19"/>
  </r>
  <r>
    <x v="4"/>
    <x v="2"/>
    <x v="36"/>
    <x v="0"/>
    <x v="3"/>
    <x v="1"/>
    <n v="0"/>
    <n v="0"/>
    <n v="0"/>
    <n v="0"/>
  </r>
  <r>
    <x v="4"/>
    <x v="2"/>
    <x v="36"/>
    <x v="0"/>
    <x v="1"/>
    <x v="1"/>
    <n v="0"/>
    <n v="0"/>
    <n v="0"/>
    <n v="0"/>
  </r>
  <r>
    <x v="4"/>
    <x v="2"/>
    <x v="36"/>
    <x v="0"/>
    <x v="4"/>
    <x v="1"/>
    <n v="0.2"/>
    <n v="0.2"/>
    <n v="0.01"/>
    <n v="0.18"/>
  </r>
  <r>
    <x v="4"/>
    <x v="2"/>
    <x v="36"/>
    <x v="0"/>
    <x v="0"/>
    <x v="1"/>
    <n v="0.64"/>
    <n v="0.64"/>
    <n v="0.03"/>
    <n v="0.57999999999999996"/>
  </r>
  <r>
    <x v="4"/>
    <x v="2"/>
    <x v="36"/>
    <x v="1"/>
    <x v="1"/>
    <x v="1"/>
    <n v="0.64"/>
    <n v="0.64"/>
    <n v="0.01"/>
    <n v="0.61"/>
  </r>
  <r>
    <x v="4"/>
    <x v="9"/>
    <x v="37"/>
    <x v="3"/>
    <x v="4"/>
    <x v="0"/>
    <n v="12.36"/>
    <n v="14.98"/>
    <n v="4.8099999999999996"/>
    <n v="11.66"/>
  </r>
  <r>
    <x v="4"/>
    <x v="9"/>
    <x v="37"/>
    <x v="1"/>
    <x v="2"/>
    <x v="1"/>
    <n v="42.3"/>
    <n v="51.26"/>
    <n v="0.26"/>
    <n v="39.1"/>
  </r>
  <r>
    <x v="4"/>
    <x v="9"/>
    <x v="37"/>
    <x v="2"/>
    <x v="3"/>
    <x v="1"/>
    <n v="7.05"/>
    <n v="8.5399999999999991"/>
    <n v="0.01"/>
    <n v="6.51"/>
  </r>
  <r>
    <x v="4"/>
    <x v="9"/>
    <x v="37"/>
    <x v="3"/>
    <x v="0"/>
    <x v="0"/>
    <n v="0.38"/>
    <n v="0.46"/>
    <n v="0.35"/>
    <n v="0.37"/>
  </r>
  <r>
    <x v="4"/>
    <x v="9"/>
    <x v="37"/>
    <x v="2"/>
    <x v="4"/>
    <x v="0"/>
    <n v="5.87"/>
    <n v="7.11"/>
    <n v="1.49"/>
    <n v="5.5"/>
  </r>
  <r>
    <x v="4"/>
    <x v="9"/>
    <x v="37"/>
    <x v="2"/>
    <x v="0"/>
    <x v="0"/>
    <n v="7.1"/>
    <n v="8.61"/>
    <n v="4.47"/>
    <n v="6.69"/>
  </r>
  <r>
    <x v="4"/>
    <x v="9"/>
    <x v="37"/>
    <x v="1"/>
    <x v="2"/>
    <x v="0"/>
    <n v="2.0099999999999998"/>
    <n v="2.44"/>
    <n v="0.03"/>
    <n v="1.81"/>
  </r>
  <r>
    <x v="4"/>
    <x v="9"/>
    <x v="37"/>
    <x v="1"/>
    <x v="0"/>
    <x v="0"/>
    <n v="37.01"/>
    <n v="44.86"/>
    <n v="16.260000000000002"/>
    <n v="36.42"/>
  </r>
  <r>
    <x v="4"/>
    <x v="9"/>
    <x v="37"/>
    <x v="1"/>
    <x v="1"/>
    <x v="1"/>
    <n v="4.0999999999999996"/>
    <n v="4.97"/>
    <n v="0.05"/>
    <n v="3.8"/>
  </r>
  <r>
    <x v="4"/>
    <x v="9"/>
    <x v="37"/>
    <x v="3"/>
    <x v="1"/>
    <x v="0"/>
    <n v="0.01"/>
    <n v="0.01"/>
    <n v="0"/>
    <n v="0.01"/>
  </r>
  <r>
    <x v="4"/>
    <x v="9"/>
    <x v="37"/>
    <x v="1"/>
    <x v="4"/>
    <x v="0"/>
    <n v="287.39999999999998"/>
    <n v="348.31"/>
    <n v="54.36"/>
    <n v="269.39999999999998"/>
  </r>
  <r>
    <x v="4"/>
    <x v="9"/>
    <x v="37"/>
    <x v="0"/>
    <x v="4"/>
    <x v="0"/>
    <n v="44.16"/>
    <n v="53.52"/>
    <n v="12.69"/>
    <n v="40.56"/>
  </r>
  <r>
    <x v="4"/>
    <x v="9"/>
    <x v="37"/>
    <x v="0"/>
    <x v="0"/>
    <x v="0"/>
    <n v="16"/>
    <n v="19.39"/>
    <n v="9.82"/>
    <n v="14.54"/>
  </r>
  <r>
    <x v="4"/>
    <x v="9"/>
    <x v="37"/>
    <x v="4"/>
    <x v="2"/>
    <x v="0"/>
    <n v="0.44"/>
    <n v="0.53"/>
    <n v="0"/>
    <n v="0.4"/>
  </r>
  <r>
    <x v="4"/>
    <x v="9"/>
    <x v="37"/>
    <x v="4"/>
    <x v="1"/>
    <x v="0"/>
    <n v="25.37"/>
    <n v="30.74"/>
    <n v="1.91"/>
    <n v="23.52"/>
  </r>
  <r>
    <x v="4"/>
    <x v="9"/>
    <x v="37"/>
    <x v="4"/>
    <x v="4"/>
    <x v="0"/>
    <n v="146.58000000000001"/>
    <n v="177.64"/>
    <n v="17.95"/>
    <n v="135.15"/>
  </r>
  <r>
    <x v="4"/>
    <x v="9"/>
    <x v="37"/>
    <x v="1"/>
    <x v="1"/>
    <x v="0"/>
    <n v="18.03"/>
    <n v="21.85"/>
    <n v="1.8"/>
    <n v="16.760000000000002"/>
  </r>
  <r>
    <x v="4"/>
    <x v="9"/>
    <x v="37"/>
    <x v="2"/>
    <x v="3"/>
    <x v="2"/>
    <n v="3.06"/>
    <n v="3.71"/>
    <n v="0.01"/>
    <n v="2.72"/>
  </r>
  <r>
    <x v="4"/>
    <x v="9"/>
    <x v="37"/>
    <x v="0"/>
    <x v="2"/>
    <x v="0"/>
    <n v="0.13"/>
    <n v="0.16"/>
    <n v="0"/>
    <n v="0.13"/>
  </r>
  <r>
    <x v="4"/>
    <x v="9"/>
    <x v="37"/>
    <x v="1"/>
    <x v="4"/>
    <x v="1"/>
    <n v="2.64"/>
    <n v="3.19"/>
    <n v="0.09"/>
    <n v="2.39"/>
  </r>
  <r>
    <x v="4"/>
    <x v="9"/>
    <x v="37"/>
    <x v="4"/>
    <x v="4"/>
    <x v="2"/>
    <n v="0.88"/>
    <n v="1.07"/>
    <n v="0.04"/>
    <n v="0.77"/>
  </r>
  <r>
    <x v="4"/>
    <x v="9"/>
    <x v="37"/>
    <x v="4"/>
    <x v="1"/>
    <x v="2"/>
    <n v="0.51"/>
    <n v="0.62"/>
    <n v="0.02"/>
    <n v="0.44"/>
  </r>
  <r>
    <x v="4"/>
    <x v="9"/>
    <x v="37"/>
    <x v="4"/>
    <x v="2"/>
    <x v="2"/>
    <n v="0.89"/>
    <n v="1.08"/>
    <n v="0"/>
    <n v="0.77"/>
  </r>
  <r>
    <x v="4"/>
    <x v="9"/>
    <x v="37"/>
    <x v="1"/>
    <x v="1"/>
    <x v="2"/>
    <n v="0.25"/>
    <n v="0.3"/>
    <n v="0.01"/>
    <n v="0.22"/>
  </r>
  <r>
    <x v="4"/>
    <x v="9"/>
    <x v="37"/>
    <x v="2"/>
    <x v="2"/>
    <x v="3"/>
    <n v="0"/>
    <n v="0"/>
    <n v="0"/>
    <n v="0"/>
  </r>
  <r>
    <x v="4"/>
    <x v="9"/>
    <x v="37"/>
    <x v="2"/>
    <x v="3"/>
    <x v="3"/>
    <n v="5"/>
    <n v="6.06"/>
    <n v="0"/>
    <n v="5"/>
  </r>
  <r>
    <x v="4"/>
    <x v="9"/>
    <x v="37"/>
    <x v="0"/>
    <x v="4"/>
    <x v="1"/>
    <n v="3.2"/>
    <n v="3.88"/>
    <n v="0.09"/>
    <n v="2.96"/>
  </r>
  <r>
    <x v="4"/>
    <x v="9"/>
    <x v="37"/>
    <x v="1"/>
    <x v="0"/>
    <x v="1"/>
    <n v="4.53"/>
    <n v="5.49"/>
    <n v="0.28000000000000003"/>
    <n v="4.1900000000000004"/>
  </r>
  <r>
    <x v="4"/>
    <x v="9"/>
    <x v="37"/>
    <x v="1"/>
    <x v="4"/>
    <x v="2"/>
    <n v="0.15"/>
    <n v="0.18"/>
    <n v="0.01"/>
    <n v="0.13"/>
  </r>
  <r>
    <x v="4"/>
    <x v="9"/>
    <x v="37"/>
    <x v="0"/>
    <x v="3"/>
    <x v="1"/>
    <n v="1.47"/>
    <n v="1.78"/>
    <n v="0.01"/>
    <n v="1.36"/>
  </r>
  <r>
    <x v="4"/>
    <x v="9"/>
    <x v="37"/>
    <x v="4"/>
    <x v="0"/>
    <x v="1"/>
    <n v="0.37"/>
    <n v="0.44"/>
    <n v="0.03"/>
    <n v="0.34"/>
  </r>
  <r>
    <x v="4"/>
    <x v="9"/>
    <x v="37"/>
    <x v="0"/>
    <x v="0"/>
    <x v="1"/>
    <n v="14.92"/>
    <n v="18.09"/>
    <n v="0.57999999999999996"/>
    <n v="13.78"/>
  </r>
  <r>
    <x v="4"/>
    <x v="9"/>
    <x v="37"/>
    <x v="4"/>
    <x v="1"/>
    <x v="1"/>
    <n v="2.0499999999999998"/>
    <n v="2.4900000000000002"/>
    <n v="0.02"/>
    <n v="1.91"/>
  </r>
  <r>
    <x v="4"/>
    <x v="9"/>
    <x v="37"/>
    <x v="4"/>
    <x v="4"/>
    <x v="1"/>
    <n v="2.15"/>
    <n v="2.61"/>
    <n v="0.04"/>
    <n v="2"/>
  </r>
  <r>
    <x v="4"/>
    <x v="7"/>
    <x v="38"/>
    <x v="4"/>
    <x v="2"/>
    <x v="0"/>
    <n v="0.1"/>
    <n v="0.1"/>
    <n v="0"/>
    <n v="0.09"/>
  </r>
  <r>
    <x v="4"/>
    <x v="7"/>
    <x v="38"/>
    <x v="1"/>
    <x v="1"/>
    <x v="1"/>
    <n v="0.65"/>
    <n v="0.65"/>
    <n v="0.01"/>
    <n v="0.61"/>
  </r>
  <r>
    <x v="4"/>
    <x v="7"/>
    <x v="38"/>
    <x v="2"/>
    <x v="4"/>
    <x v="0"/>
    <n v="1.32"/>
    <n v="1.32"/>
    <n v="0.44"/>
    <n v="1.25"/>
  </r>
  <r>
    <x v="4"/>
    <x v="7"/>
    <x v="38"/>
    <x v="1"/>
    <x v="2"/>
    <x v="1"/>
    <n v="5.07"/>
    <n v="5.07"/>
    <n v="0.03"/>
    <n v="4.6900000000000004"/>
  </r>
  <r>
    <x v="4"/>
    <x v="7"/>
    <x v="38"/>
    <x v="3"/>
    <x v="0"/>
    <x v="0"/>
    <n v="0.16"/>
    <n v="0.16"/>
    <n v="0.23"/>
    <n v="0.16"/>
  </r>
  <r>
    <x v="4"/>
    <x v="7"/>
    <x v="38"/>
    <x v="3"/>
    <x v="4"/>
    <x v="0"/>
    <n v="1.7"/>
    <n v="1.7"/>
    <n v="0.4"/>
    <n v="1.59"/>
  </r>
  <r>
    <x v="4"/>
    <x v="7"/>
    <x v="38"/>
    <x v="3"/>
    <x v="1"/>
    <x v="0"/>
    <n v="0.01"/>
    <n v="0.01"/>
    <n v="0"/>
    <n v="0.01"/>
  </r>
  <r>
    <x v="4"/>
    <x v="7"/>
    <x v="38"/>
    <x v="4"/>
    <x v="4"/>
    <x v="0"/>
    <n v="21.65"/>
    <n v="21.66"/>
    <n v="3.62"/>
    <n v="20.190000000000001"/>
  </r>
  <r>
    <x v="4"/>
    <x v="7"/>
    <x v="38"/>
    <x v="4"/>
    <x v="1"/>
    <x v="0"/>
    <n v="4.51"/>
    <n v="4.51"/>
    <n v="0.33"/>
    <n v="4.1399999999999997"/>
  </r>
  <r>
    <x v="4"/>
    <x v="7"/>
    <x v="38"/>
    <x v="2"/>
    <x v="3"/>
    <x v="1"/>
    <n v="0.76"/>
    <n v="0.76"/>
    <n v="0"/>
    <n v="0.71"/>
  </r>
  <r>
    <x v="4"/>
    <x v="7"/>
    <x v="38"/>
    <x v="4"/>
    <x v="3"/>
    <x v="0"/>
    <n v="0.16"/>
    <n v="0.16"/>
    <n v="0"/>
    <n v="0.14000000000000001"/>
  </r>
  <r>
    <x v="4"/>
    <x v="7"/>
    <x v="38"/>
    <x v="0"/>
    <x v="0"/>
    <x v="0"/>
    <n v="3.57"/>
    <n v="3.57"/>
    <n v="2.2000000000000002"/>
    <n v="3.23"/>
  </r>
  <r>
    <x v="4"/>
    <x v="7"/>
    <x v="38"/>
    <x v="0"/>
    <x v="4"/>
    <x v="0"/>
    <n v="5.62"/>
    <n v="5.62"/>
    <n v="1.51"/>
    <n v="5.28"/>
  </r>
  <r>
    <x v="4"/>
    <x v="7"/>
    <x v="38"/>
    <x v="0"/>
    <x v="2"/>
    <x v="0"/>
    <n v="0.14000000000000001"/>
    <n v="0.14000000000000001"/>
    <n v="0"/>
    <n v="0.13"/>
  </r>
  <r>
    <x v="4"/>
    <x v="7"/>
    <x v="38"/>
    <x v="1"/>
    <x v="0"/>
    <x v="0"/>
    <n v="1.95"/>
    <n v="1.95"/>
    <n v="1.3"/>
    <n v="1.82"/>
  </r>
  <r>
    <x v="4"/>
    <x v="7"/>
    <x v="38"/>
    <x v="1"/>
    <x v="4"/>
    <x v="0"/>
    <n v="33.43"/>
    <n v="33.44"/>
    <n v="6.58"/>
    <n v="30.89"/>
  </r>
  <r>
    <x v="4"/>
    <x v="7"/>
    <x v="38"/>
    <x v="1"/>
    <x v="1"/>
    <x v="0"/>
    <n v="4.16"/>
    <n v="4.17"/>
    <n v="0.32"/>
    <n v="3.84"/>
  </r>
  <r>
    <x v="4"/>
    <x v="7"/>
    <x v="38"/>
    <x v="2"/>
    <x v="0"/>
    <x v="0"/>
    <n v="1.8"/>
    <n v="1.81"/>
    <n v="1.34"/>
    <n v="1.7"/>
  </r>
  <r>
    <x v="4"/>
    <x v="7"/>
    <x v="38"/>
    <x v="0"/>
    <x v="1"/>
    <x v="1"/>
    <n v="0.02"/>
    <n v="0.02"/>
    <n v="0"/>
    <n v="0.02"/>
  </r>
  <r>
    <x v="4"/>
    <x v="7"/>
    <x v="38"/>
    <x v="1"/>
    <x v="4"/>
    <x v="1"/>
    <n v="0.22"/>
    <n v="0.22"/>
    <n v="0.01"/>
    <n v="0.21"/>
  </r>
  <r>
    <x v="4"/>
    <x v="7"/>
    <x v="38"/>
    <x v="1"/>
    <x v="2"/>
    <x v="0"/>
    <n v="1.21"/>
    <n v="1.21"/>
    <n v="0.02"/>
    <n v="1.1299999999999999"/>
  </r>
  <r>
    <x v="4"/>
    <x v="7"/>
    <x v="38"/>
    <x v="2"/>
    <x v="3"/>
    <x v="3"/>
    <n v="1.37"/>
    <n v="1.37"/>
    <n v="0"/>
    <n v="1.37"/>
  </r>
  <r>
    <x v="4"/>
    <x v="7"/>
    <x v="38"/>
    <x v="1"/>
    <x v="0"/>
    <x v="1"/>
    <n v="0.63"/>
    <n v="0.63"/>
    <n v="0.03"/>
    <n v="0.59"/>
  </r>
  <r>
    <x v="4"/>
    <x v="7"/>
    <x v="38"/>
    <x v="4"/>
    <x v="4"/>
    <x v="2"/>
    <n v="0.24"/>
    <n v="0.24"/>
    <n v="0.01"/>
    <n v="0.22"/>
  </r>
  <r>
    <x v="4"/>
    <x v="7"/>
    <x v="38"/>
    <x v="4"/>
    <x v="1"/>
    <x v="2"/>
    <n v="0.13"/>
    <n v="0.13"/>
    <n v="0"/>
    <n v="0.12"/>
  </r>
  <r>
    <x v="4"/>
    <x v="7"/>
    <x v="38"/>
    <x v="4"/>
    <x v="2"/>
    <x v="2"/>
    <n v="0.27"/>
    <n v="0.27"/>
    <n v="0"/>
    <n v="0.24"/>
  </r>
  <r>
    <x v="4"/>
    <x v="7"/>
    <x v="38"/>
    <x v="1"/>
    <x v="4"/>
    <x v="2"/>
    <n v="0.1"/>
    <n v="0.1"/>
    <n v="0.01"/>
    <n v="0.09"/>
  </r>
  <r>
    <x v="4"/>
    <x v="7"/>
    <x v="38"/>
    <x v="2"/>
    <x v="2"/>
    <x v="3"/>
    <n v="0"/>
    <n v="0"/>
    <n v="0"/>
    <n v="0"/>
  </r>
  <r>
    <x v="4"/>
    <x v="7"/>
    <x v="38"/>
    <x v="4"/>
    <x v="0"/>
    <x v="1"/>
    <n v="0.05"/>
    <n v="0.05"/>
    <n v="0"/>
    <n v="0.05"/>
  </r>
  <r>
    <x v="4"/>
    <x v="7"/>
    <x v="38"/>
    <x v="4"/>
    <x v="4"/>
    <x v="1"/>
    <n v="0.28999999999999998"/>
    <n v="0.28999999999999998"/>
    <n v="0.01"/>
    <n v="0.27"/>
  </r>
  <r>
    <x v="4"/>
    <x v="7"/>
    <x v="38"/>
    <x v="4"/>
    <x v="1"/>
    <x v="1"/>
    <n v="0.24"/>
    <n v="0.24"/>
    <n v="0"/>
    <n v="0.22"/>
  </r>
  <r>
    <x v="4"/>
    <x v="7"/>
    <x v="38"/>
    <x v="0"/>
    <x v="0"/>
    <x v="1"/>
    <n v="1.65"/>
    <n v="1.65"/>
    <n v="7.0000000000000007E-2"/>
    <n v="1.52"/>
  </r>
  <r>
    <x v="4"/>
    <x v="7"/>
    <x v="38"/>
    <x v="0"/>
    <x v="4"/>
    <x v="1"/>
    <n v="0.45"/>
    <n v="0.45"/>
    <n v="0.01"/>
    <n v="0.41"/>
  </r>
  <r>
    <x v="4"/>
    <x v="7"/>
    <x v="38"/>
    <x v="0"/>
    <x v="3"/>
    <x v="1"/>
    <n v="0.02"/>
    <n v="0.02"/>
    <n v="0"/>
    <n v="0.02"/>
  </r>
  <r>
    <x v="4"/>
    <x v="7"/>
    <x v="38"/>
    <x v="2"/>
    <x v="3"/>
    <x v="2"/>
    <n v="2.15"/>
    <n v="2.15"/>
    <n v="0.01"/>
    <n v="1.91"/>
  </r>
  <r>
    <x v="4"/>
    <x v="1"/>
    <x v="39"/>
    <x v="1"/>
    <x v="1"/>
    <x v="0"/>
    <n v="26.39"/>
    <n v="26.73"/>
    <n v="1.87"/>
    <n v="22.77"/>
  </r>
  <r>
    <x v="4"/>
    <x v="1"/>
    <x v="39"/>
    <x v="2"/>
    <x v="4"/>
    <x v="0"/>
    <n v="2.66"/>
    <n v="2.69"/>
    <n v="0.59"/>
    <n v="2.35"/>
  </r>
  <r>
    <x v="4"/>
    <x v="1"/>
    <x v="39"/>
    <x v="2"/>
    <x v="0"/>
    <x v="0"/>
    <n v="2.85"/>
    <n v="2.88"/>
    <n v="2.04"/>
    <n v="2.4500000000000002"/>
  </r>
  <r>
    <x v="4"/>
    <x v="1"/>
    <x v="39"/>
    <x v="0"/>
    <x v="2"/>
    <x v="0"/>
    <n v="0.16"/>
    <n v="0.16"/>
    <n v="0"/>
    <n v="0.16"/>
  </r>
  <r>
    <x v="4"/>
    <x v="1"/>
    <x v="39"/>
    <x v="1"/>
    <x v="0"/>
    <x v="0"/>
    <n v="5.64"/>
    <n v="5.71"/>
    <n v="3.13"/>
    <n v="5.17"/>
  </r>
  <r>
    <x v="4"/>
    <x v="1"/>
    <x v="39"/>
    <x v="1"/>
    <x v="4"/>
    <x v="0"/>
    <n v="163.77000000000001"/>
    <n v="165.84"/>
    <n v="28.19"/>
    <n v="142.75"/>
  </r>
  <r>
    <x v="4"/>
    <x v="1"/>
    <x v="39"/>
    <x v="1"/>
    <x v="2"/>
    <x v="0"/>
    <n v="5.9"/>
    <n v="5.97"/>
    <n v="0.04"/>
    <n v="4.8600000000000003"/>
  </r>
  <r>
    <x v="4"/>
    <x v="1"/>
    <x v="39"/>
    <x v="1"/>
    <x v="4"/>
    <x v="1"/>
    <n v="2.95"/>
    <n v="2.98"/>
    <n v="0.05"/>
    <n v="2.4300000000000002"/>
  </r>
  <r>
    <x v="4"/>
    <x v="1"/>
    <x v="39"/>
    <x v="1"/>
    <x v="0"/>
    <x v="1"/>
    <n v="2.44"/>
    <n v="2.48"/>
    <n v="0.09"/>
    <n v="2.02"/>
  </r>
  <r>
    <x v="4"/>
    <x v="1"/>
    <x v="39"/>
    <x v="1"/>
    <x v="1"/>
    <x v="1"/>
    <n v="10.55"/>
    <n v="10.69"/>
    <n v="0.09"/>
    <n v="8.76"/>
  </r>
  <r>
    <x v="4"/>
    <x v="1"/>
    <x v="39"/>
    <x v="1"/>
    <x v="2"/>
    <x v="1"/>
    <n v="18.7"/>
    <n v="18.940000000000001"/>
    <n v="0.06"/>
    <n v="15.57"/>
  </r>
  <r>
    <x v="4"/>
    <x v="1"/>
    <x v="39"/>
    <x v="1"/>
    <x v="3"/>
    <x v="1"/>
    <n v="1.07"/>
    <n v="1.0900000000000001"/>
    <n v="0.01"/>
    <n v="0.88"/>
  </r>
  <r>
    <x v="4"/>
    <x v="1"/>
    <x v="39"/>
    <x v="4"/>
    <x v="1"/>
    <x v="0"/>
    <n v="13.91"/>
    <n v="14.08"/>
    <n v="1.2"/>
    <n v="12.07"/>
  </r>
  <r>
    <x v="4"/>
    <x v="1"/>
    <x v="39"/>
    <x v="2"/>
    <x v="4"/>
    <x v="1"/>
    <n v="0.56000000000000005"/>
    <n v="0.56999999999999995"/>
    <n v="0"/>
    <n v="0.56000000000000005"/>
  </r>
  <r>
    <x v="4"/>
    <x v="1"/>
    <x v="39"/>
    <x v="4"/>
    <x v="4"/>
    <x v="0"/>
    <n v="59.95"/>
    <n v="60.71"/>
    <n v="8.2899999999999991"/>
    <n v="52.75"/>
  </r>
  <r>
    <x v="4"/>
    <x v="1"/>
    <x v="39"/>
    <x v="0"/>
    <x v="1"/>
    <x v="1"/>
    <n v="0.37"/>
    <n v="0.38"/>
    <n v="0.01"/>
    <n v="0.37"/>
  </r>
  <r>
    <x v="4"/>
    <x v="1"/>
    <x v="39"/>
    <x v="0"/>
    <x v="4"/>
    <x v="0"/>
    <n v="3.61"/>
    <n v="3.65"/>
    <n v="0.9"/>
    <n v="3.19"/>
  </r>
  <r>
    <x v="4"/>
    <x v="1"/>
    <x v="39"/>
    <x v="3"/>
    <x v="4"/>
    <x v="0"/>
    <n v="13.14"/>
    <n v="13.31"/>
    <n v="2.44"/>
    <n v="11.2"/>
  </r>
  <r>
    <x v="4"/>
    <x v="1"/>
    <x v="39"/>
    <x v="0"/>
    <x v="4"/>
    <x v="1"/>
    <n v="1.1399999999999999"/>
    <n v="1.1499999999999999"/>
    <n v="0.02"/>
    <n v="0.95"/>
  </r>
  <r>
    <x v="4"/>
    <x v="1"/>
    <x v="39"/>
    <x v="0"/>
    <x v="0"/>
    <x v="1"/>
    <n v="3.43"/>
    <n v="3.47"/>
    <n v="0.11"/>
    <n v="2.92"/>
  </r>
  <r>
    <x v="4"/>
    <x v="1"/>
    <x v="39"/>
    <x v="4"/>
    <x v="1"/>
    <x v="1"/>
    <n v="0.47"/>
    <n v="0.48"/>
    <n v="0.02"/>
    <n v="0.39"/>
  </r>
  <r>
    <x v="4"/>
    <x v="1"/>
    <x v="39"/>
    <x v="4"/>
    <x v="4"/>
    <x v="1"/>
    <n v="0.06"/>
    <n v="0.06"/>
    <n v="0"/>
    <n v="0.05"/>
  </r>
  <r>
    <x v="4"/>
    <x v="1"/>
    <x v="39"/>
    <x v="4"/>
    <x v="0"/>
    <x v="1"/>
    <n v="0.69"/>
    <n v="0.7"/>
    <n v="0.04"/>
    <n v="0.56999999999999995"/>
  </r>
  <r>
    <x v="4"/>
    <x v="1"/>
    <x v="39"/>
    <x v="2"/>
    <x v="3"/>
    <x v="3"/>
    <n v="3.82"/>
    <n v="3.87"/>
    <n v="0"/>
    <n v="3.76"/>
  </r>
  <r>
    <x v="4"/>
    <x v="1"/>
    <x v="39"/>
    <x v="2"/>
    <x v="3"/>
    <x v="2"/>
    <n v="1.1499999999999999"/>
    <n v="1.1599999999999999"/>
    <n v="0"/>
    <n v="1.1499999999999999"/>
  </r>
  <r>
    <x v="4"/>
    <x v="1"/>
    <x v="39"/>
    <x v="1"/>
    <x v="1"/>
    <x v="2"/>
    <n v="1.64"/>
    <n v="1.67"/>
    <n v="0.02"/>
    <n v="1.64"/>
  </r>
  <r>
    <x v="4"/>
    <x v="1"/>
    <x v="39"/>
    <x v="1"/>
    <x v="4"/>
    <x v="2"/>
    <n v="0.34"/>
    <n v="0.34"/>
    <n v="0.01"/>
    <n v="0.27"/>
  </r>
  <r>
    <x v="4"/>
    <x v="1"/>
    <x v="39"/>
    <x v="4"/>
    <x v="1"/>
    <x v="2"/>
    <n v="0.2"/>
    <n v="0.2"/>
    <n v="0.01"/>
    <n v="0.16"/>
  </r>
  <r>
    <x v="4"/>
    <x v="1"/>
    <x v="39"/>
    <x v="0"/>
    <x v="0"/>
    <x v="0"/>
    <n v="2.06"/>
    <n v="2.09"/>
    <n v="1.17"/>
    <n v="1.76"/>
  </r>
  <r>
    <x v="4"/>
    <x v="1"/>
    <x v="39"/>
    <x v="4"/>
    <x v="2"/>
    <x v="2"/>
    <n v="0.44"/>
    <n v="0.45"/>
    <n v="0.01"/>
    <n v="0.35"/>
  </r>
  <r>
    <x v="4"/>
    <x v="10"/>
    <x v="40"/>
    <x v="1"/>
    <x v="4"/>
    <x v="1"/>
    <n v="0.31"/>
    <n v="0.35"/>
    <n v="0.02"/>
    <n v="0.28999999999999998"/>
  </r>
  <r>
    <x v="4"/>
    <x v="10"/>
    <x v="40"/>
    <x v="1"/>
    <x v="0"/>
    <x v="1"/>
    <n v="0.8"/>
    <n v="0.9"/>
    <n v="0.05"/>
    <n v="0.74"/>
  </r>
  <r>
    <x v="4"/>
    <x v="10"/>
    <x v="40"/>
    <x v="0"/>
    <x v="3"/>
    <x v="1"/>
    <n v="0.83"/>
    <n v="0.94"/>
    <n v="0.01"/>
    <n v="0.81"/>
  </r>
  <r>
    <x v="4"/>
    <x v="10"/>
    <x v="40"/>
    <x v="0"/>
    <x v="1"/>
    <x v="1"/>
    <n v="0.47"/>
    <n v="0.52"/>
    <n v="0"/>
    <n v="0.45"/>
  </r>
  <r>
    <x v="4"/>
    <x v="10"/>
    <x v="40"/>
    <x v="0"/>
    <x v="4"/>
    <x v="1"/>
    <n v="0.71"/>
    <n v="0.8"/>
    <n v="0.02"/>
    <n v="0.65"/>
  </r>
  <r>
    <x v="4"/>
    <x v="10"/>
    <x v="40"/>
    <x v="2"/>
    <x v="3"/>
    <x v="3"/>
    <n v="6.55"/>
    <n v="7.37"/>
    <n v="0.01"/>
    <n v="6.55"/>
  </r>
  <r>
    <x v="4"/>
    <x v="10"/>
    <x v="40"/>
    <x v="1"/>
    <x v="4"/>
    <x v="2"/>
    <n v="3.1"/>
    <n v="3.49"/>
    <n v="0.01"/>
    <n v="2.72"/>
  </r>
  <r>
    <x v="4"/>
    <x v="10"/>
    <x v="40"/>
    <x v="2"/>
    <x v="2"/>
    <x v="3"/>
    <n v="0.01"/>
    <n v="0.01"/>
    <n v="0"/>
    <n v="0.01"/>
  </r>
  <r>
    <x v="4"/>
    <x v="10"/>
    <x v="40"/>
    <x v="4"/>
    <x v="0"/>
    <x v="1"/>
    <n v="7.0000000000000007E-2"/>
    <n v="0.08"/>
    <n v="0.01"/>
    <n v="7.0000000000000007E-2"/>
  </r>
  <r>
    <x v="4"/>
    <x v="10"/>
    <x v="40"/>
    <x v="0"/>
    <x v="0"/>
    <x v="1"/>
    <n v="2.5099999999999998"/>
    <n v="2.83"/>
    <n v="0.1"/>
    <n v="2.3199999999999998"/>
  </r>
  <r>
    <x v="4"/>
    <x v="10"/>
    <x v="40"/>
    <x v="4"/>
    <x v="4"/>
    <x v="2"/>
    <n v="0.21"/>
    <n v="0.24"/>
    <n v="0.02"/>
    <n v="0.19"/>
  </r>
  <r>
    <x v="4"/>
    <x v="10"/>
    <x v="40"/>
    <x v="4"/>
    <x v="1"/>
    <x v="2"/>
    <n v="0.13"/>
    <n v="0.14000000000000001"/>
    <n v="0.01"/>
    <n v="0.11"/>
  </r>
  <r>
    <x v="4"/>
    <x v="10"/>
    <x v="40"/>
    <x v="4"/>
    <x v="2"/>
    <x v="2"/>
    <n v="0.61"/>
    <n v="0.68"/>
    <n v="0"/>
    <n v="0.53"/>
  </r>
  <r>
    <x v="4"/>
    <x v="10"/>
    <x v="40"/>
    <x v="1"/>
    <x v="1"/>
    <x v="1"/>
    <n v="1.06"/>
    <n v="1.19"/>
    <n v="0.01"/>
    <n v="0.99"/>
  </r>
  <r>
    <x v="4"/>
    <x v="10"/>
    <x v="40"/>
    <x v="4"/>
    <x v="1"/>
    <x v="1"/>
    <n v="0.36"/>
    <n v="0.4"/>
    <n v="0"/>
    <n v="0.33"/>
  </r>
  <r>
    <x v="4"/>
    <x v="10"/>
    <x v="40"/>
    <x v="1"/>
    <x v="0"/>
    <x v="0"/>
    <n v="4.99"/>
    <n v="5.61"/>
    <n v="3.56"/>
    <n v="4.7"/>
  </r>
  <r>
    <x v="4"/>
    <x v="10"/>
    <x v="40"/>
    <x v="1"/>
    <x v="2"/>
    <x v="1"/>
    <n v="7.57"/>
    <n v="8.51"/>
    <n v="0.05"/>
    <n v="7"/>
  </r>
  <r>
    <x v="4"/>
    <x v="10"/>
    <x v="40"/>
    <x v="4"/>
    <x v="4"/>
    <x v="1"/>
    <n v="0.45"/>
    <n v="0.51"/>
    <n v="0.01"/>
    <n v="0.42"/>
  </r>
  <r>
    <x v="4"/>
    <x v="10"/>
    <x v="40"/>
    <x v="1"/>
    <x v="2"/>
    <x v="0"/>
    <n v="0.78"/>
    <n v="0.88"/>
    <n v="0.01"/>
    <n v="0.7"/>
  </r>
  <r>
    <x v="4"/>
    <x v="10"/>
    <x v="40"/>
    <x v="2"/>
    <x v="0"/>
    <x v="0"/>
    <n v="2.99"/>
    <n v="3.36"/>
    <n v="2.08"/>
    <n v="2.84"/>
  </r>
  <r>
    <x v="4"/>
    <x v="10"/>
    <x v="40"/>
    <x v="1"/>
    <x v="4"/>
    <x v="0"/>
    <n v="81.819999999999993"/>
    <n v="92"/>
    <n v="19.36"/>
    <n v="75.900000000000006"/>
  </r>
  <r>
    <x v="4"/>
    <x v="10"/>
    <x v="40"/>
    <x v="1"/>
    <x v="1"/>
    <x v="0"/>
    <n v="11.62"/>
    <n v="13.06"/>
    <n v="1.41"/>
    <n v="10.87"/>
  </r>
  <r>
    <x v="4"/>
    <x v="10"/>
    <x v="40"/>
    <x v="0"/>
    <x v="2"/>
    <x v="0"/>
    <n v="0.68"/>
    <n v="0.76"/>
    <n v="0.01"/>
    <n v="0.65"/>
  </r>
  <r>
    <x v="4"/>
    <x v="10"/>
    <x v="40"/>
    <x v="0"/>
    <x v="4"/>
    <x v="0"/>
    <n v="14.66"/>
    <n v="16.489999999999998"/>
    <n v="3.06"/>
    <n v="13.37"/>
  </r>
  <r>
    <x v="4"/>
    <x v="10"/>
    <x v="40"/>
    <x v="0"/>
    <x v="0"/>
    <x v="0"/>
    <n v="5.9"/>
    <n v="6.64"/>
    <n v="3.39"/>
    <n v="5.34"/>
  </r>
  <r>
    <x v="4"/>
    <x v="10"/>
    <x v="40"/>
    <x v="4"/>
    <x v="1"/>
    <x v="0"/>
    <n v="7.11"/>
    <n v="7.99"/>
    <n v="0.49"/>
    <n v="6.56"/>
  </r>
  <r>
    <x v="4"/>
    <x v="10"/>
    <x v="40"/>
    <x v="4"/>
    <x v="4"/>
    <x v="0"/>
    <n v="31.71"/>
    <n v="35.65"/>
    <n v="4.4400000000000004"/>
    <n v="29.53"/>
  </r>
  <r>
    <x v="4"/>
    <x v="10"/>
    <x v="40"/>
    <x v="3"/>
    <x v="1"/>
    <x v="0"/>
    <n v="0.05"/>
    <n v="0.06"/>
    <n v="0.01"/>
    <n v="0.05"/>
  </r>
  <r>
    <x v="4"/>
    <x v="10"/>
    <x v="40"/>
    <x v="3"/>
    <x v="4"/>
    <x v="0"/>
    <n v="1.31"/>
    <n v="1.47"/>
    <n v="0.36"/>
    <n v="1.24"/>
  </r>
  <r>
    <x v="4"/>
    <x v="10"/>
    <x v="40"/>
    <x v="3"/>
    <x v="0"/>
    <x v="0"/>
    <n v="0.48"/>
    <n v="0.54"/>
    <n v="0.71"/>
    <n v="0.47"/>
  </r>
  <r>
    <x v="4"/>
    <x v="10"/>
    <x v="40"/>
    <x v="2"/>
    <x v="3"/>
    <x v="1"/>
    <n v="1.1100000000000001"/>
    <n v="1.25"/>
    <n v="0"/>
    <n v="1.03"/>
  </r>
  <r>
    <x v="4"/>
    <x v="10"/>
    <x v="40"/>
    <x v="2"/>
    <x v="4"/>
    <x v="0"/>
    <n v="4.29"/>
    <n v="4.83"/>
    <n v="1.07"/>
    <n v="4.17"/>
  </r>
  <r>
    <x v="4"/>
    <x v="1"/>
    <x v="41"/>
    <x v="0"/>
    <x v="4"/>
    <x v="0"/>
    <n v="5.74"/>
    <n v="5.52"/>
    <n v="1.85"/>
    <n v="5.0999999999999996"/>
  </r>
  <r>
    <x v="4"/>
    <x v="1"/>
    <x v="41"/>
    <x v="3"/>
    <x v="0"/>
    <x v="0"/>
    <n v="0.34"/>
    <n v="0.33"/>
    <n v="0.35"/>
    <n v="0.34"/>
  </r>
  <r>
    <x v="4"/>
    <x v="1"/>
    <x v="41"/>
    <x v="3"/>
    <x v="4"/>
    <x v="0"/>
    <n v="18.670000000000002"/>
    <n v="17.96"/>
    <n v="4.03"/>
    <n v="16.63"/>
  </r>
  <r>
    <x v="4"/>
    <x v="1"/>
    <x v="41"/>
    <x v="4"/>
    <x v="4"/>
    <x v="0"/>
    <n v="48.24"/>
    <n v="46.43"/>
    <n v="6.67"/>
    <n v="42.93"/>
  </r>
  <r>
    <x v="4"/>
    <x v="1"/>
    <x v="41"/>
    <x v="4"/>
    <x v="1"/>
    <x v="0"/>
    <n v="24.94"/>
    <n v="24.01"/>
    <n v="1.9"/>
    <n v="21.79"/>
  </r>
  <r>
    <x v="4"/>
    <x v="1"/>
    <x v="41"/>
    <x v="0"/>
    <x v="0"/>
    <x v="0"/>
    <n v="6.26"/>
    <n v="6.03"/>
    <n v="3.5"/>
    <n v="5.52"/>
  </r>
  <r>
    <x v="4"/>
    <x v="1"/>
    <x v="41"/>
    <x v="0"/>
    <x v="2"/>
    <x v="0"/>
    <n v="0.21"/>
    <n v="0.2"/>
    <n v="0"/>
    <n v="0.21"/>
  </r>
  <r>
    <x v="4"/>
    <x v="1"/>
    <x v="41"/>
    <x v="1"/>
    <x v="0"/>
    <x v="0"/>
    <n v="20.77"/>
    <n v="19.989999999999998"/>
    <n v="11.59"/>
    <n v="18.54"/>
  </r>
  <r>
    <x v="4"/>
    <x v="1"/>
    <x v="41"/>
    <x v="1"/>
    <x v="4"/>
    <x v="0"/>
    <n v="306.33"/>
    <n v="294.83"/>
    <n v="74.12"/>
    <n v="280.24"/>
  </r>
  <r>
    <x v="4"/>
    <x v="1"/>
    <x v="41"/>
    <x v="1"/>
    <x v="1"/>
    <x v="0"/>
    <n v="31.62"/>
    <n v="30.44"/>
    <n v="2.35"/>
    <n v="28.09"/>
  </r>
  <r>
    <x v="4"/>
    <x v="1"/>
    <x v="41"/>
    <x v="1"/>
    <x v="2"/>
    <x v="0"/>
    <n v="13.98"/>
    <n v="13.45"/>
    <n v="0.12"/>
    <n v="12.16"/>
  </r>
  <r>
    <x v="4"/>
    <x v="1"/>
    <x v="41"/>
    <x v="2"/>
    <x v="3"/>
    <x v="1"/>
    <n v="15.55"/>
    <n v="14.97"/>
    <n v="0.01"/>
    <n v="13.5"/>
  </r>
  <r>
    <x v="4"/>
    <x v="1"/>
    <x v="41"/>
    <x v="2"/>
    <x v="4"/>
    <x v="0"/>
    <n v="6.06"/>
    <n v="5.83"/>
    <n v="1.74"/>
    <n v="5.7"/>
  </r>
  <r>
    <x v="4"/>
    <x v="1"/>
    <x v="41"/>
    <x v="0"/>
    <x v="3"/>
    <x v="1"/>
    <n v="3.16"/>
    <n v="3.04"/>
    <n v="0.06"/>
    <n v="3.16"/>
  </r>
  <r>
    <x v="4"/>
    <x v="1"/>
    <x v="41"/>
    <x v="2"/>
    <x v="0"/>
    <x v="0"/>
    <n v="8.7100000000000009"/>
    <n v="8.39"/>
    <n v="6.02"/>
    <n v="8.08"/>
  </r>
  <r>
    <x v="4"/>
    <x v="1"/>
    <x v="41"/>
    <x v="4"/>
    <x v="4"/>
    <x v="1"/>
    <n v="0.47"/>
    <n v="0.45"/>
    <n v="0.03"/>
    <n v="0.39"/>
  </r>
  <r>
    <x v="4"/>
    <x v="1"/>
    <x v="41"/>
    <x v="4"/>
    <x v="1"/>
    <x v="2"/>
    <n v="11.47"/>
    <n v="11.04"/>
    <n v="0.43"/>
    <n v="9.9700000000000006"/>
  </r>
  <r>
    <x v="4"/>
    <x v="1"/>
    <x v="41"/>
    <x v="4"/>
    <x v="2"/>
    <x v="2"/>
    <n v="10.94"/>
    <n v="10.53"/>
    <n v="0.36"/>
    <n v="9.52"/>
  </r>
  <r>
    <x v="4"/>
    <x v="1"/>
    <x v="41"/>
    <x v="1"/>
    <x v="4"/>
    <x v="2"/>
    <n v="10.73"/>
    <n v="10.33"/>
    <n v="0.4"/>
    <n v="9.33"/>
  </r>
  <r>
    <x v="4"/>
    <x v="1"/>
    <x v="41"/>
    <x v="1"/>
    <x v="1"/>
    <x v="2"/>
    <n v="30.85"/>
    <n v="29.69"/>
    <n v="0.5"/>
    <n v="26.82"/>
  </r>
  <r>
    <x v="4"/>
    <x v="1"/>
    <x v="41"/>
    <x v="1"/>
    <x v="3"/>
    <x v="2"/>
    <n v="0.67"/>
    <n v="0.65"/>
    <n v="0"/>
    <n v="0.59"/>
  </r>
  <r>
    <x v="4"/>
    <x v="1"/>
    <x v="41"/>
    <x v="2"/>
    <x v="3"/>
    <x v="2"/>
    <n v="45.14"/>
    <n v="43.44"/>
    <n v="0.08"/>
    <n v="45.14"/>
  </r>
  <r>
    <x v="4"/>
    <x v="1"/>
    <x v="41"/>
    <x v="1"/>
    <x v="4"/>
    <x v="1"/>
    <n v="6.61"/>
    <n v="6.36"/>
    <n v="0.2"/>
    <n v="5.5"/>
  </r>
  <r>
    <x v="4"/>
    <x v="1"/>
    <x v="41"/>
    <x v="4"/>
    <x v="0"/>
    <x v="1"/>
    <n v="1.86"/>
    <n v="1.79"/>
    <n v="0.17"/>
    <n v="1.55"/>
  </r>
  <r>
    <x v="4"/>
    <x v="1"/>
    <x v="41"/>
    <x v="2"/>
    <x v="4"/>
    <x v="1"/>
    <n v="2.93"/>
    <n v="2.82"/>
    <n v="0.01"/>
    <n v="2.93"/>
  </r>
  <r>
    <x v="4"/>
    <x v="1"/>
    <x v="41"/>
    <x v="4"/>
    <x v="1"/>
    <x v="1"/>
    <n v="2.4700000000000002"/>
    <n v="2.37"/>
    <n v="0.09"/>
    <n v="2.0499999999999998"/>
  </r>
  <r>
    <x v="4"/>
    <x v="1"/>
    <x v="41"/>
    <x v="0"/>
    <x v="0"/>
    <x v="1"/>
    <n v="6.41"/>
    <n v="6.17"/>
    <n v="0.23"/>
    <n v="5.94"/>
  </r>
  <r>
    <x v="4"/>
    <x v="1"/>
    <x v="41"/>
    <x v="0"/>
    <x v="4"/>
    <x v="1"/>
    <n v="10.52"/>
    <n v="10.130000000000001"/>
    <n v="0.2"/>
    <n v="8.77"/>
  </r>
  <r>
    <x v="4"/>
    <x v="1"/>
    <x v="41"/>
    <x v="0"/>
    <x v="1"/>
    <x v="1"/>
    <n v="7.65"/>
    <n v="7.36"/>
    <n v="0.12"/>
    <n v="7.65"/>
  </r>
  <r>
    <x v="4"/>
    <x v="1"/>
    <x v="41"/>
    <x v="1"/>
    <x v="0"/>
    <x v="1"/>
    <n v="7.49"/>
    <n v="7.21"/>
    <n v="0.28999999999999998"/>
    <n v="6.24"/>
  </r>
  <r>
    <x v="4"/>
    <x v="1"/>
    <x v="41"/>
    <x v="1"/>
    <x v="1"/>
    <x v="1"/>
    <n v="34.28"/>
    <n v="32.99"/>
    <n v="0.28000000000000003"/>
    <n v="28.57"/>
  </r>
  <r>
    <x v="4"/>
    <x v="1"/>
    <x v="41"/>
    <x v="1"/>
    <x v="2"/>
    <x v="1"/>
    <n v="98.47"/>
    <n v="94.77"/>
    <n v="0.3"/>
    <n v="82.06"/>
  </r>
  <r>
    <x v="4"/>
    <x v="1"/>
    <x v="41"/>
    <x v="1"/>
    <x v="3"/>
    <x v="1"/>
    <n v="2.3199999999999998"/>
    <n v="2.23"/>
    <n v="0.02"/>
    <n v="1.93"/>
  </r>
  <r>
    <x v="4"/>
    <x v="1"/>
    <x v="41"/>
    <x v="2"/>
    <x v="3"/>
    <x v="3"/>
    <n v="23.64"/>
    <n v="22.75"/>
    <n v="0.02"/>
    <n v="23.64"/>
  </r>
  <r>
    <x v="4"/>
    <x v="2"/>
    <x v="42"/>
    <x v="2"/>
    <x v="4"/>
    <x v="0"/>
    <n v="6.05"/>
    <n v="6.05"/>
    <n v="1.0900000000000001"/>
    <n v="5.88"/>
  </r>
  <r>
    <x v="4"/>
    <x v="2"/>
    <x v="42"/>
    <x v="4"/>
    <x v="1"/>
    <x v="0"/>
    <n v="13.59"/>
    <n v="13.59"/>
    <n v="0.84"/>
    <n v="12.51"/>
  </r>
  <r>
    <x v="4"/>
    <x v="2"/>
    <x v="42"/>
    <x v="2"/>
    <x v="3"/>
    <x v="3"/>
    <n v="49.69"/>
    <n v="49.71"/>
    <n v="0.03"/>
    <n v="49.69"/>
  </r>
  <r>
    <x v="4"/>
    <x v="2"/>
    <x v="42"/>
    <x v="0"/>
    <x v="0"/>
    <x v="0"/>
    <n v="17.32"/>
    <n v="17.329999999999998"/>
    <n v="11.09"/>
    <n v="15.74"/>
  </r>
  <r>
    <x v="4"/>
    <x v="2"/>
    <x v="42"/>
    <x v="0"/>
    <x v="1"/>
    <x v="1"/>
    <n v="0.31"/>
    <n v="0.31"/>
    <n v="0.01"/>
    <n v="0.31"/>
  </r>
  <r>
    <x v="4"/>
    <x v="2"/>
    <x v="42"/>
    <x v="0"/>
    <x v="4"/>
    <x v="1"/>
    <n v="1.32"/>
    <n v="1.32"/>
    <n v="0.04"/>
    <n v="1.19"/>
  </r>
  <r>
    <x v="4"/>
    <x v="2"/>
    <x v="42"/>
    <x v="0"/>
    <x v="0"/>
    <x v="1"/>
    <n v="4.8"/>
    <n v="4.8099999999999996"/>
    <n v="0.18"/>
    <n v="4.3499999999999996"/>
  </r>
  <r>
    <x v="4"/>
    <x v="2"/>
    <x v="42"/>
    <x v="4"/>
    <x v="1"/>
    <x v="1"/>
    <n v="0.69"/>
    <n v="0.69"/>
    <n v="0.01"/>
    <n v="0.63"/>
  </r>
  <r>
    <x v="4"/>
    <x v="2"/>
    <x v="42"/>
    <x v="1"/>
    <x v="4"/>
    <x v="1"/>
    <n v="1.66"/>
    <n v="1.66"/>
    <n v="0.05"/>
    <n v="1.51"/>
  </r>
  <r>
    <x v="4"/>
    <x v="2"/>
    <x v="42"/>
    <x v="4"/>
    <x v="0"/>
    <x v="1"/>
    <n v="0.17"/>
    <n v="0.17"/>
    <n v="0.01"/>
    <n v="0.15"/>
  </r>
  <r>
    <x v="4"/>
    <x v="2"/>
    <x v="42"/>
    <x v="1"/>
    <x v="1"/>
    <x v="1"/>
    <n v="2.0099999999999998"/>
    <n v="2.02"/>
    <n v="0.04"/>
    <n v="1.86"/>
  </r>
  <r>
    <x v="4"/>
    <x v="2"/>
    <x v="42"/>
    <x v="2"/>
    <x v="2"/>
    <x v="3"/>
    <n v="0.08"/>
    <n v="0.08"/>
    <n v="0"/>
    <n v="0.08"/>
  </r>
  <r>
    <x v="4"/>
    <x v="2"/>
    <x v="42"/>
    <x v="2"/>
    <x v="3"/>
    <x v="2"/>
    <n v="5.79"/>
    <n v="5.8"/>
    <n v="0.01"/>
    <n v="5.15"/>
  </r>
  <r>
    <x v="4"/>
    <x v="2"/>
    <x v="42"/>
    <x v="1"/>
    <x v="4"/>
    <x v="2"/>
    <n v="0.39"/>
    <n v="0.39"/>
    <n v="0.04"/>
    <n v="0.34"/>
  </r>
  <r>
    <x v="4"/>
    <x v="2"/>
    <x v="42"/>
    <x v="4"/>
    <x v="2"/>
    <x v="2"/>
    <n v="1.91"/>
    <n v="1.91"/>
    <n v="0.01"/>
    <n v="1.66"/>
  </r>
  <r>
    <x v="4"/>
    <x v="2"/>
    <x v="42"/>
    <x v="4"/>
    <x v="1"/>
    <x v="2"/>
    <n v="0.71"/>
    <n v="0.71"/>
    <n v="0.03"/>
    <n v="0.62"/>
  </r>
  <r>
    <x v="4"/>
    <x v="2"/>
    <x v="42"/>
    <x v="4"/>
    <x v="4"/>
    <x v="2"/>
    <n v="1.31"/>
    <n v="1.31"/>
    <n v="0.08"/>
    <n v="1.2"/>
  </r>
  <r>
    <x v="4"/>
    <x v="2"/>
    <x v="42"/>
    <x v="4"/>
    <x v="4"/>
    <x v="1"/>
    <n v="0.78"/>
    <n v="0.78"/>
    <n v="0.02"/>
    <n v="0.71"/>
  </r>
  <r>
    <x v="4"/>
    <x v="2"/>
    <x v="42"/>
    <x v="4"/>
    <x v="2"/>
    <x v="0"/>
    <n v="0.44"/>
    <n v="0.44"/>
    <n v="0"/>
    <n v="0.4"/>
  </r>
  <r>
    <x v="4"/>
    <x v="2"/>
    <x v="42"/>
    <x v="1"/>
    <x v="2"/>
    <x v="0"/>
    <n v="5.2"/>
    <n v="5.2"/>
    <n v="0.08"/>
    <n v="4.7"/>
  </r>
  <r>
    <x v="4"/>
    <x v="2"/>
    <x v="42"/>
    <x v="1"/>
    <x v="1"/>
    <x v="0"/>
    <n v="24.55"/>
    <n v="24.56"/>
    <n v="1.51"/>
    <n v="22.74"/>
  </r>
  <r>
    <x v="4"/>
    <x v="2"/>
    <x v="42"/>
    <x v="1"/>
    <x v="4"/>
    <x v="0"/>
    <n v="209.91"/>
    <n v="210.02"/>
    <n v="36.26"/>
    <n v="193.2"/>
  </r>
  <r>
    <x v="4"/>
    <x v="2"/>
    <x v="42"/>
    <x v="1"/>
    <x v="0"/>
    <x v="0"/>
    <n v="14.2"/>
    <n v="14.21"/>
    <n v="7.61"/>
    <n v="13.31"/>
  </r>
  <r>
    <x v="4"/>
    <x v="2"/>
    <x v="42"/>
    <x v="0"/>
    <x v="2"/>
    <x v="0"/>
    <n v="0.39"/>
    <n v="0.39"/>
    <n v="0"/>
    <n v="0.37"/>
  </r>
  <r>
    <x v="4"/>
    <x v="2"/>
    <x v="42"/>
    <x v="1"/>
    <x v="0"/>
    <x v="1"/>
    <n v="1.5"/>
    <n v="1.5"/>
    <n v="0.09"/>
    <n v="1.36"/>
  </r>
  <r>
    <x v="4"/>
    <x v="2"/>
    <x v="42"/>
    <x v="0"/>
    <x v="4"/>
    <x v="0"/>
    <n v="25.51"/>
    <n v="25.52"/>
    <n v="6.11"/>
    <n v="23.59"/>
  </r>
  <r>
    <x v="4"/>
    <x v="2"/>
    <x v="42"/>
    <x v="2"/>
    <x v="0"/>
    <x v="0"/>
    <n v="14.52"/>
    <n v="14.52"/>
    <n v="6.67"/>
    <n v="13.49"/>
  </r>
  <r>
    <x v="4"/>
    <x v="2"/>
    <x v="42"/>
    <x v="4"/>
    <x v="4"/>
    <x v="0"/>
    <n v="80.7"/>
    <n v="80.739999999999995"/>
    <n v="9.84"/>
    <n v="74.790000000000006"/>
  </r>
  <r>
    <x v="4"/>
    <x v="2"/>
    <x v="42"/>
    <x v="3"/>
    <x v="1"/>
    <x v="0"/>
    <n v="0.06"/>
    <n v="0.06"/>
    <n v="0.01"/>
    <n v="0.06"/>
  </r>
  <r>
    <x v="4"/>
    <x v="2"/>
    <x v="42"/>
    <x v="3"/>
    <x v="4"/>
    <x v="0"/>
    <n v="7.49"/>
    <n v="7.5"/>
    <n v="1.56"/>
    <n v="6.99"/>
  </r>
  <r>
    <x v="4"/>
    <x v="2"/>
    <x v="42"/>
    <x v="3"/>
    <x v="0"/>
    <x v="0"/>
    <n v="1.76"/>
    <n v="1.76"/>
    <n v="0.99"/>
    <n v="1.68"/>
  </r>
  <r>
    <x v="4"/>
    <x v="2"/>
    <x v="42"/>
    <x v="2"/>
    <x v="3"/>
    <x v="1"/>
    <n v="2.2999999999999998"/>
    <n v="2.2999999999999998"/>
    <n v="0"/>
    <n v="2.09"/>
  </r>
  <r>
    <x v="4"/>
    <x v="2"/>
    <x v="42"/>
    <x v="1"/>
    <x v="2"/>
    <x v="1"/>
    <n v="14.89"/>
    <n v="14.9"/>
    <n v="0.1"/>
    <n v="13.56"/>
  </r>
  <r>
    <x v="4"/>
    <x v="2"/>
    <x v="43"/>
    <x v="2"/>
    <x v="3"/>
    <x v="2"/>
    <n v="2.69"/>
    <n v="2.83"/>
    <n v="0.01"/>
    <n v="2.69"/>
  </r>
  <r>
    <x v="4"/>
    <x v="2"/>
    <x v="43"/>
    <x v="1"/>
    <x v="2"/>
    <x v="1"/>
    <n v="6.27"/>
    <n v="6.6"/>
    <n v="0.05"/>
    <n v="5.73"/>
  </r>
  <r>
    <x v="4"/>
    <x v="2"/>
    <x v="43"/>
    <x v="4"/>
    <x v="4"/>
    <x v="2"/>
    <n v="0.44"/>
    <n v="0.46"/>
    <n v="0.03"/>
    <n v="0.38"/>
  </r>
  <r>
    <x v="4"/>
    <x v="2"/>
    <x v="43"/>
    <x v="4"/>
    <x v="1"/>
    <x v="2"/>
    <n v="0.27"/>
    <n v="0.28000000000000003"/>
    <n v="0.01"/>
    <n v="0.23"/>
  </r>
  <r>
    <x v="4"/>
    <x v="2"/>
    <x v="43"/>
    <x v="4"/>
    <x v="2"/>
    <x v="2"/>
    <n v="0.74"/>
    <n v="0.78"/>
    <n v="0"/>
    <n v="0.64"/>
  </r>
  <r>
    <x v="4"/>
    <x v="2"/>
    <x v="43"/>
    <x v="1"/>
    <x v="4"/>
    <x v="2"/>
    <n v="4.22"/>
    <n v="4.45"/>
    <n v="0.01"/>
    <n v="3.67"/>
  </r>
  <r>
    <x v="4"/>
    <x v="2"/>
    <x v="43"/>
    <x v="2"/>
    <x v="2"/>
    <x v="3"/>
    <n v="0"/>
    <n v="0"/>
    <n v="0"/>
    <n v="0"/>
  </r>
  <r>
    <x v="4"/>
    <x v="2"/>
    <x v="43"/>
    <x v="4"/>
    <x v="0"/>
    <x v="1"/>
    <n v="0.11"/>
    <n v="0.12"/>
    <n v="0.04"/>
    <n v="0.1"/>
  </r>
  <r>
    <x v="4"/>
    <x v="2"/>
    <x v="43"/>
    <x v="4"/>
    <x v="4"/>
    <x v="1"/>
    <n v="0.4"/>
    <n v="0.42"/>
    <n v="0.01"/>
    <n v="0.37"/>
  </r>
  <r>
    <x v="4"/>
    <x v="2"/>
    <x v="43"/>
    <x v="4"/>
    <x v="1"/>
    <x v="1"/>
    <n v="0.28000000000000003"/>
    <n v="0.28999999999999998"/>
    <n v="0"/>
    <n v="0.25"/>
  </r>
  <r>
    <x v="4"/>
    <x v="2"/>
    <x v="43"/>
    <x v="0"/>
    <x v="0"/>
    <x v="1"/>
    <n v="2.08"/>
    <n v="2.19"/>
    <n v="0.08"/>
    <n v="1.87"/>
  </r>
  <r>
    <x v="4"/>
    <x v="2"/>
    <x v="43"/>
    <x v="0"/>
    <x v="4"/>
    <x v="1"/>
    <n v="0.56999999999999995"/>
    <n v="0.6"/>
    <n v="0.01"/>
    <n v="0.52"/>
  </r>
  <r>
    <x v="4"/>
    <x v="2"/>
    <x v="43"/>
    <x v="1"/>
    <x v="0"/>
    <x v="1"/>
    <n v="0.95"/>
    <n v="1"/>
    <n v="0.06"/>
    <n v="0.88"/>
  </r>
  <r>
    <x v="4"/>
    <x v="2"/>
    <x v="43"/>
    <x v="2"/>
    <x v="3"/>
    <x v="3"/>
    <n v="19.899999999999999"/>
    <n v="20.96"/>
    <n v="0.02"/>
    <n v="19.899999999999999"/>
  </r>
  <r>
    <x v="4"/>
    <x v="2"/>
    <x v="43"/>
    <x v="1"/>
    <x v="1"/>
    <x v="1"/>
    <n v="1.1000000000000001"/>
    <n v="1.1599999999999999"/>
    <n v="0.02"/>
    <n v="1.02"/>
  </r>
  <r>
    <x v="4"/>
    <x v="2"/>
    <x v="43"/>
    <x v="0"/>
    <x v="0"/>
    <x v="0"/>
    <n v="7.13"/>
    <n v="7.51"/>
    <n v="4.1900000000000004"/>
    <n v="6.48"/>
  </r>
  <r>
    <x v="4"/>
    <x v="2"/>
    <x v="43"/>
    <x v="2"/>
    <x v="0"/>
    <x v="0"/>
    <n v="7.3"/>
    <n v="7.69"/>
    <n v="3.03"/>
    <n v="6.84"/>
  </r>
  <r>
    <x v="4"/>
    <x v="2"/>
    <x v="43"/>
    <x v="1"/>
    <x v="2"/>
    <x v="0"/>
    <n v="0.38"/>
    <n v="0.4"/>
    <n v="0.01"/>
    <n v="0.33"/>
  </r>
  <r>
    <x v="4"/>
    <x v="2"/>
    <x v="43"/>
    <x v="1"/>
    <x v="1"/>
    <x v="0"/>
    <n v="16.04"/>
    <n v="16.89"/>
    <n v="1.04"/>
    <n v="14.94"/>
  </r>
  <r>
    <x v="4"/>
    <x v="2"/>
    <x v="43"/>
    <x v="1"/>
    <x v="4"/>
    <x v="0"/>
    <n v="121.05"/>
    <n v="127.48"/>
    <n v="22.05"/>
    <n v="111.8"/>
  </r>
  <r>
    <x v="4"/>
    <x v="2"/>
    <x v="43"/>
    <x v="1"/>
    <x v="4"/>
    <x v="1"/>
    <n v="0.27"/>
    <n v="0.28000000000000003"/>
    <n v="0.01"/>
    <n v="0.24"/>
  </r>
  <r>
    <x v="4"/>
    <x v="2"/>
    <x v="43"/>
    <x v="0"/>
    <x v="4"/>
    <x v="0"/>
    <n v="18.88"/>
    <n v="19.88"/>
    <n v="4.47"/>
    <n v="17.64"/>
  </r>
  <r>
    <x v="4"/>
    <x v="2"/>
    <x v="43"/>
    <x v="2"/>
    <x v="4"/>
    <x v="0"/>
    <n v="2.97"/>
    <n v="3.13"/>
    <n v="0.66"/>
    <n v="2.86"/>
  </r>
  <r>
    <x v="4"/>
    <x v="2"/>
    <x v="43"/>
    <x v="4"/>
    <x v="1"/>
    <x v="0"/>
    <n v="14.11"/>
    <n v="14.86"/>
    <n v="0.78"/>
    <n v="12.92"/>
  </r>
  <r>
    <x v="4"/>
    <x v="2"/>
    <x v="43"/>
    <x v="4"/>
    <x v="4"/>
    <x v="0"/>
    <n v="85.08"/>
    <n v="89.6"/>
    <n v="9.7200000000000006"/>
    <n v="78.099999999999994"/>
  </r>
  <r>
    <x v="4"/>
    <x v="2"/>
    <x v="43"/>
    <x v="3"/>
    <x v="1"/>
    <x v="0"/>
    <n v="0.08"/>
    <n v="0.08"/>
    <n v="0.01"/>
    <n v="0.08"/>
  </r>
  <r>
    <x v="4"/>
    <x v="2"/>
    <x v="43"/>
    <x v="3"/>
    <x v="4"/>
    <x v="0"/>
    <n v="2.37"/>
    <n v="2.5"/>
    <n v="0.53"/>
    <n v="2.23"/>
  </r>
  <r>
    <x v="4"/>
    <x v="2"/>
    <x v="43"/>
    <x v="3"/>
    <x v="0"/>
    <x v="0"/>
    <n v="0.95"/>
    <n v="1"/>
    <n v="0.85"/>
    <n v="0.93"/>
  </r>
  <r>
    <x v="4"/>
    <x v="2"/>
    <x v="43"/>
    <x v="2"/>
    <x v="3"/>
    <x v="1"/>
    <n v="0.78"/>
    <n v="0.83"/>
    <n v="0"/>
    <n v="0.71"/>
  </r>
  <r>
    <x v="4"/>
    <x v="2"/>
    <x v="43"/>
    <x v="1"/>
    <x v="0"/>
    <x v="0"/>
    <n v="7.21"/>
    <n v="7.6"/>
    <n v="4"/>
    <n v="6.86"/>
  </r>
  <r>
    <x v="4"/>
    <x v="2"/>
    <x v="44"/>
    <x v="2"/>
    <x v="3"/>
    <x v="3"/>
    <n v="24.79"/>
    <n v="24.47"/>
    <n v="0.02"/>
    <n v="24.79"/>
  </r>
  <r>
    <x v="4"/>
    <x v="2"/>
    <x v="44"/>
    <x v="1"/>
    <x v="2"/>
    <x v="1"/>
    <n v="26.46"/>
    <n v="26.13"/>
    <n v="0.19"/>
    <n v="24.12"/>
  </r>
  <r>
    <x v="4"/>
    <x v="2"/>
    <x v="44"/>
    <x v="2"/>
    <x v="0"/>
    <x v="0"/>
    <n v="2.98"/>
    <n v="2.94"/>
    <n v="2.0699999999999998"/>
    <n v="2.8"/>
  </r>
  <r>
    <x v="4"/>
    <x v="2"/>
    <x v="44"/>
    <x v="1"/>
    <x v="2"/>
    <x v="0"/>
    <n v="0.84"/>
    <n v="0.83"/>
    <n v="0.01"/>
    <n v="0.74"/>
  </r>
  <r>
    <x v="4"/>
    <x v="2"/>
    <x v="44"/>
    <x v="1"/>
    <x v="1"/>
    <x v="0"/>
    <n v="15.4"/>
    <n v="15.2"/>
    <n v="1.05"/>
    <n v="14.25"/>
  </r>
  <r>
    <x v="4"/>
    <x v="2"/>
    <x v="44"/>
    <x v="1"/>
    <x v="4"/>
    <x v="0"/>
    <n v="135.63999999999999"/>
    <n v="133.9"/>
    <n v="23.91"/>
    <n v="124.98"/>
  </r>
  <r>
    <x v="4"/>
    <x v="2"/>
    <x v="44"/>
    <x v="1"/>
    <x v="0"/>
    <x v="0"/>
    <n v="6.85"/>
    <n v="6.76"/>
    <n v="3.67"/>
    <n v="6.42"/>
  </r>
  <r>
    <x v="4"/>
    <x v="2"/>
    <x v="44"/>
    <x v="0"/>
    <x v="4"/>
    <x v="0"/>
    <n v="16.43"/>
    <n v="16.22"/>
    <n v="3.96"/>
    <n v="15.2"/>
  </r>
  <r>
    <x v="4"/>
    <x v="2"/>
    <x v="44"/>
    <x v="0"/>
    <x v="0"/>
    <x v="0"/>
    <n v="10.41"/>
    <n v="10.27"/>
    <n v="5.96"/>
    <n v="9.48"/>
  </r>
  <r>
    <x v="4"/>
    <x v="2"/>
    <x v="44"/>
    <x v="4"/>
    <x v="1"/>
    <x v="0"/>
    <n v="17.010000000000002"/>
    <n v="16.79"/>
    <n v="1.1100000000000001"/>
    <n v="15.74"/>
  </r>
  <r>
    <x v="4"/>
    <x v="2"/>
    <x v="44"/>
    <x v="4"/>
    <x v="4"/>
    <x v="0"/>
    <n v="74.150000000000006"/>
    <n v="73.2"/>
    <n v="8.19"/>
    <n v="68.14"/>
  </r>
  <r>
    <x v="4"/>
    <x v="2"/>
    <x v="44"/>
    <x v="3"/>
    <x v="1"/>
    <x v="0"/>
    <n v="0.05"/>
    <n v="0.05"/>
    <n v="0.01"/>
    <n v="0.05"/>
  </r>
  <r>
    <x v="4"/>
    <x v="2"/>
    <x v="44"/>
    <x v="3"/>
    <x v="4"/>
    <x v="0"/>
    <n v="2.4500000000000002"/>
    <n v="2.42"/>
    <n v="0.56999999999999995"/>
    <n v="2.2799999999999998"/>
  </r>
  <r>
    <x v="4"/>
    <x v="2"/>
    <x v="44"/>
    <x v="2"/>
    <x v="4"/>
    <x v="0"/>
    <n v="2.62"/>
    <n v="2.59"/>
    <n v="0.62"/>
    <n v="2.48"/>
  </r>
  <r>
    <x v="4"/>
    <x v="2"/>
    <x v="44"/>
    <x v="2"/>
    <x v="3"/>
    <x v="1"/>
    <n v="3.61"/>
    <n v="3.56"/>
    <n v="0.01"/>
    <n v="3.27"/>
  </r>
  <r>
    <x v="4"/>
    <x v="2"/>
    <x v="44"/>
    <x v="2"/>
    <x v="3"/>
    <x v="2"/>
    <n v="5.05"/>
    <n v="4.9800000000000004"/>
    <n v="0.01"/>
    <n v="4.6500000000000004"/>
  </r>
  <r>
    <x v="4"/>
    <x v="2"/>
    <x v="44"/>
    <x v="1"/>
    <x v="1"/>
    <x v="1"/>
    <n v="3.82"/>
    <n v="3.77"/>
    <n v="0.05"/>
    <n v="3.49"/>
  </r>
  <r>
    <x v="4"/>
    <x v="2"/>
    <x v="44"/>
    <x v="1"/>
    <x v="4"/>
    <x v="1"/>
    <n v="1.02"/>
    <n v="1"/>
    <n v="0.05"/>
    <n v="0.92"/>
  </r>
  <r>
    <x v="4"/>
    <x v="2"/>
    <x v="44"/>
    <x v="1"/>
    <x v="0"/>
    <x v="1"/>
    <n v="3.53"/>
    <n v="3.48"/>
    <n v="0.19"/>
    <n v="3.28"/>
  </r>
  <r>
    <x v="4"/>
    <x v="2"/>
    <x v="44"/>
    <x v="0"/>
    <x v="4"/>
    <x v="1"/>
    <n v="2.58"/>
    <n v="2.5499999999999998"/>
    <n v="7.0000000000000007E-2"/>
    <n v="2.3199999999999998"/>
  </r>
  <r>
    <x v="4"/>
    <x v="2"/>
    <x v="44"/>
    <x v="0"/>
    <x v="0"/>
    <x v="1"/>
    <n v="7.98"/>
    <n v="7.87"/>
    <n v="0.32"/>
    <n v="7.18"/>
  </r>
  <r>
    <x v="4"/>
    <x v="2"/>
    <x v="44"/>
    <x v="4"/>
    <x v="1"/>
    <x v="1"/>
    <n v="1.2"/>
    <n v="1.18"/>
    <n v="0.01"/>
    <n v="1.1000000000000001"/>
  </r>
  <r>
    <x v="4"/>
    <x v="2"/>
    <x v="44"/>
    <x v="4"/>
    <x v="0"/>
    <x v="1"/>
    <n v="0.27"/>
    <n v="0.27"/>
    <n v="0.02"/>
    <n v="0.24"/>
  </r>
  <r>
    <x v="4"/>
    <x v="2"/>
    <x v="44"/>
    <x v="1"/>
    <x v="4"/>
    <x v="2"/>
    <n v="0.83"/>
    <n v="0.82"/>
    <n v="7.0000000000000007E-2"/>
    <n v="0.72"/>
  </r>
  <r>
    <x v="4"/>
    <x v="2"/>
    <x v="44"/>
    <x v="4"/>
    <x v="4"/>
    <x v="1"/>
    <n v="1.6"/>
    <n v="1.58"/>
    <n v="0.03"/>
    <n v="1.46"/>
  </r>
  <r>
    <x v="4"/>
    <x v="2"/>
    <x v="44"/>
    <x v="4"/>
    <x v="1"/>
    <x v="2"/>
    <n v="0.28000000000000003"/>
    <n v="0.27"/>
    <n v="0.01"/>
    <n v="0.24"/>
  </r>
  <r>
    <x v="4"/>
    <x v="2"/>
    <x v="44"/>
    <x v="4"/>
    <x v="4"/>
    <x v="2"/>
    <n v="0.53"/>
    <n v="0.52"/>
    <n v="0.03"/>
    <n v="0.46"/>
  </r>
  <r>
    <x v="4"/>
    <x v="2"/>
    <x v="44"/>
    <x v="3"/>
    <x v="0"/>
    <x v="0"/>
    <n v="0.54"/>
    <n v="0.53"/>
    <n v="0.48"/>
    <n v="0.52"/>
  </r>
  <r>
    <x v="4"/>
    <x v="2"/>
    <x v="44"/>
    <x v="4"/>
    <x v="2"/>
    <x v="2"/>
    <n v="0.76"/>
    <n v="0.75"/>
    <n v="0"/>
    <n v="0.66"/>
  </r>
  <r>
    <x v="4"/>
    <x v="4"/>
    <x v="45"/>
    <x v="2"/>
    <x v="3"/>
    <x v="2"/>
    <n v="16.46"/>
    <n v="16.809999999999999"/>
    <n v="0.03"/>
    <n v="16.46"/>
  </r>
  <r>
    <x v="4"/>
    <x v="4"/>
    <x v="45"/>
    <x v="1"/>
    <x v="4"/>
    <x v="1"/>
    <n v="2.12"/>
    <n v="2.16"/>
    <n v="0.06"/>
    <n v="1.77"/>
  </r>
  <r>
    <x v="4"/>
    <x v="4"/>
    <x v="45"/>
    <x v="1"/>
    <x v="0"/>
    <x v="1"/>
    <n v="2.38"/>
    <n v="2.4300000000000002"/>
    <n v="0.08"/>
    <n v="2.0499999999999998"/>
  </r>
  <r>
    <x v="4"/>
    <x v="4"/>
    <x v="45"/>
    <x v="0"/>
    <x v="4"/>
    <x v="1"/>
    <n v="2.36"/>
    <n v="2.41"/>
    <n v="0.05"/>
    <n v="1.96"/>
  </r>
  <r>
    <x v="4"/>
    <x v="4"/>
    <x v="45"/>
    <x v="0"/>
    <x v="0"/>
    <x v="1"/>
    <n v="1.67"/>
    <n v="1.71"/>
    <n v="0.06"/>
    <n v="1.41"/>
  </r>
  <r>
    <x v="4"/>
    <x v="4"/>
    <x v="45"/>
    <x v="4"/>
    <x v="1"/>
    <x v="2"/>
    <n v="0.53"/>
    <n v="0.54"/>
    <n v="0.02"/>
    <n v="0.44"/>
  </r>
  <r>
    <x v="4"/>
    <x v="4"/>
    <x v="45"/>
    <x v="1"/>
    <x v="1"/>
    <x v="1"/>
    <n v="8.0500000000000007"/>
    <n v="8.2200000000000006"/>
    <n v="7.0000000000000007E-2"/>
    <n v="6.71"/>
  </r>
  <r>
    <x v="4"/>
    <x v="4"/>
    <x v="45"/>
    <x v="2"/>
    <x v="3"/>
    <x v="3"/>
    <n v="8.7899999999999991"/>
    <n v="8.98"/>
    <n v="0.01"/>
    <n v="8.7899999999999991"/>
  </r>
  <r>
    <x v="4"/>
    <x v="4"/>
    <x v="45"/>
    <x v="4"/>
    <x v="1"/>
    <x v="1"/>
    <n v="0.68"/>
    <n v="0.69"/>
    <n v="0.02"/>
    <n v="0.56000000000000005"/>
  </r>
  <r>
    <x v="4"/>
    <x v="4"/>
    <x v="45"/>
    <x v="1"/>
    <x v="1"/>
    <x v="2"/>
    <n v="2.17"/>
    <n v="2.2200000000000002"/>
    <n v="0.04"/>
    <n v="1.86"/>
  </r>
  <r>
    <x v="4"/>
    <x v="4"/>
    <x v="45"/>
    <x v="1"/>
    <x v="4"/>
    <x v="2"/>
    <n v="1.07"/>
    <n v="1.0900000000000001"/>
    <n v="0.04"/>
    <n v="0.9"/>
  </r>
  <r>
    <x v="4"/>
    <x v="4"/>
    <x v="45"/>
    <x v="4"/>
    <x v="2"/>
    <x v="2"/>
    <n v="0.68"/>
    <n v="0.7"/>
    <n v="0.02"/>
    <n v="0.57999999999999996"/>
  </r>
  <r>
    <x v="4"/>
    <x v="4"/>
    <x v="45"/>
    <x v="1"/>
    <x v="0"/>
    <x v="0"/>
    <n v="9.07"/>
    <n v="9.26"/>
    <n v="5.72"/>
    <n v="8.14"/>
  </r>
  <r>
    <x v="4"/>
    <x v="4"/>
    <x v="45"/>
    <x v="0"/>
    <x v="2"/>
    <x v="0"/>
    <n v="0.54"/>
    <n v="0.55000000000000004"/>
    <n v="0.01"/>
    <n v="0.54"/>
  </r>
  <r>
    <x v="4"/>
    <x v="4"/>
    <x v="45"/>
    <x v="4"/>
    <x v="4"/>
    <x v="1"/>
    <n v="0.47"/>
    <n v="0.48"/>
    <n v="0.03"/>
    <n v="0.4"/>
  </r>
  <r>
    <x v="4"/>
    <x v="4"/>
    <x v="45"/>
    <x v="1"/>
    <x v="2"/>
    <x v="0"/>
    <n v="3.92"/>
    <n v="4"/>
    <n v="0.04"/>
    <n v="3.32"/>
  </r>
  <r>
    <x v="4"/>
    <x v="4"/>
    <x v="45"/>
    <x v="2"/>
    <x v="4"/>
    <x v="0"/>
    <n v="15.88"/>
    <n v="16.21"/>
    <n v="4.92"/>
    <n v="14.23"/>
  </r>
  <r>
    <x v="4"/>
    <x v="4"/>
    <x v="45"/>
    <x v="4"/>
    <x v="0"/>
    <x v="1"/>
    <n v="0.85"/>
    <n v="0.86"/>
    <n v="0.06"/>
    <n v="0.71"/>
  </r>
  <r>
    <x v="4"/>
    <x v="4"/>
    <x v="45"/>
    <x v="2"/>
    <x v="0"/>
    <x v="0"/>
    <n v="10.25"/>
    <n v="10.47"/>
    <n v="7.42"/>
    <n v="9.27"/>
  </r>
  <r>
    <x v="4"/>
    <x v="4"/>
    <x v="45"/>
    <x v="1"/>
    <x v="2"/>
    <x v="1"/>
    <n v="18.899999999999999"/>
    <n v="19.29"/>
    <n v="0.06"/>
    <n v="16.45"/>
  </r>
  <r>
    <x v="4"/>
    <x v="4"/>
    <x v="45"/>
    <x v="1"/>
    <x v="1"/>
    <x v="0"/>
    <n v="29.94"/>
    <n v="30.57"/>
    <n v="1.82"/>
    <n v="25.74"/>
  </r>
  <r>
    <x v="4"/>
    <x v="4"/>
    <x v="45"/>
    <x v="1"/>
    <x v="4"/>
    <x v="0"/>
    <n v="146.93"/>
    <n v="150.01"/>
    <n v="37.81"/>
    <n v="130.02000000000001"/>
  </r>
  <r>
    <x v="4"/>
    <x v="4"/>
    <x v="45"/>
    <x v="0"/>
    <x v="1"/>
    <x v="0"/>
    <n v="0.05"/>
    <n v="0.05"/>
    <n v="0"/>
    <n v="0.05"/>
  </r>
  <r>
    <x v="4"/>
    <x v="4"/>
    <x v="45"/>
    <x v="0"/>
    <x v="4"/>
    <x v="0"/>
    <n v="5.28"/>
    <n v="5.39"/>
    <n v="1.85"/>
    <n v="4.68"/>
  </r>
  <r>
    <x v="4"/>
    <x v="4"/>
    <x v="45"/>
    <x v="4"/>
    <x v="1"/>
    <x v="0"/>
    <n v="13.51"/>
    <n v="13.8"/>
    <n v="1.25"/>
    <n v="11.54"/>
  </r>
  <r>
    <x v="4"/>
    <x v="4"/>
    <x v="45"/>
    <x v="4"/>
    <x v="4"/>
    <x v="0"/>
    <n v="27.27"/>
    <n v="27.84"/>
    <n v="3.76"/>
    <n v="23.66"/>
  </r>
  <r>
    <x v="4"/>
    <x v="4"/>
    <x v="45"/>
    <x v="3"/>
    <x v="4"/>
    <x v="0"/>
    <n v="5.14"/>
    <n v="5.25"/>
    <n v="2.97"/>
    <n v="4.93"/>
  </r>
  <r>
    <x v="4"/>
    <x v="4"/>
    <x v="45"/>
    <x v="3"/>
    <x v="0"/>
    <x v="0"/>
    <n v="0.76"/>
    <n v="0.78"/>
    <n v="0.69"/>
    <n v="0.76"/>
  </r>
  <r>
    <x v="4"/>
    <x v="4"/>
    <x v="45"/>
    <x v="2"/>
    <x v="3"/>
    <x v="1"/>
    <n v="3.75"/>
    <n v="3.83"/>
    <n v="0"/>
    <n v="3.15"/>
  </r>
  <r>
    <x v="4"/>
    <x v="4"/>
    <x v="45"/>
    <x v="0"/>
    <x v="0"/>
    <x v="0"/>
    <n v="1"/>
    <n v="1.02"/>
    <n v="0.56999999999999995"/>
    <n v="0.86"/>
  </r>
  <r>
    <x v="4"/>
    <x v="4"/>
    <x v="45"/>
    <x v="2"/>
    <x v="4"/>
    <x v="1"/>
    <n v="0.66"/>
    <n v="0.67"/>
    <n v="0"/>
    <n v="0.55000000000000004"/>
  </r>
  <r>
    <x v="4"/>
    <x v="6"/>
    <x v="46"/>
    <x v="1"/>
    <x v="4"/>
    <x v="2"/>
    <n v="1.59"/>
    <n v="1.68"/>
    <n v="0.05"/>
    <n v="1.32"/>
  </r>
  <r>
    <x v="4"/>
    <x v="6"/>
    <x v="46"/>
    <x v="1"/>
    <x v="4"/>
    <x v="1"/>
    <n v="0.91"/>
    <n v="0.96"/>
    <n v="0.02"/>
    <n v="0.75"/>
  </r>
  <r>
    <x v="4"/>
    <x v="6"/>
    <x v="46"/>
    <x v="1"/>
    <x v="0"/>
    <x v="1"/>
    <n v="1.25"/>
    <n v="1.32"/>
    <n v="0.05"/>
    <n v="1.05"/>
  </r>
  <r>
    <x v="4"/>
    <x v="6"/>
    <x v="46"/>
    <x v="0"/>
    <x v="4"/>
    <x v="1"/>
    <n v="2.71"/>
    <n v="2.87"/>
    <n v="0.05"/>
    <n v="2.2999999999999998"/>
  </r>
  <r>
    <x v="4"/>
    <x v="6"/>
    <x v="46"/>
    <x v="0"/>
    <x v="0"/>
    <x v="1"/>
    <n v="1.1499999999999999"/>
    <n v="1.22"/>
    <n v="0.04"/>
    <n v="0.99"/>
  </r>
  <r>
    <x v="4"/>
    <x v="6"/>
    <x v="46"/>
    <x v="4"/>
    <x v="4"/>
    <x v="1"/>
    <n v="0.32"/>
    <n v="0.33"/>
    <n v="0.02"/>
    <n v="0.27"/>
  </r>
  <r>
    <x v="4"/>
    <x v="6"/>
    <x v="46"/>
    <x v="2"/>
    <x v="3"/>
    <x v="3"/>
    <n v="3.58"/>
    <n v="3.79"/>
    <n v="0"/>
    <n v="2.99"/>
  </r>
  <r>
    <x v="4"/>
    <x v="6"/>
    <x v="46"/>
    <x v="4"/>
    <x v="1"/>
    <x v="2"/>
    <n v="0.45"/>
    <n v="0.47"/>
    <n v="0.02"/>
    <n v="0.37"/>
  </r>
  <r>
    <x v="4"/>
    <x v="6"/>
    <x v="46"/>
    <x v="1"/>
    <x v="1"/>
    <x v="2"/>
    <n v="3.83"/>
    <n v="4.05"/>
    <n v="0.05"/>
    <n v="3.19"/>
  </r>
  <r>
    <x v="4"/>
    <x v="6"/>
    <x v="46"/>
    <x v="4"/>
    <x v="2"/>
    <x v="2"/>
    <n v="1.35"/>
    <n v="1.42"/>
    <n v="0.03"/>
    <n v="1.1200000000000001"/>
  </r>
  <r>
    <x v="4"/>
    <x v="6"/>
    <x v="46"/>
    <x v="1"/>
    <x v="1"/>
    <x v="1"/>
    <n v="3.77"/>
    <n v="3.99"/>
    <n v="0.04"/>
    <n v="3.18"/>
  </r>
  <r>
    <x v="4"/>
    <x v="6"/>
    <x v="46"/>
    <x v="2"/>
    <x v="3"/>
    <x v="2"/>
    <n v="0.45"/>
    <n v="0.48"/>
    <n v="0"/>
    <n v="0.38"/>
  </r>
  <r>
    <x v="4"/>
    <x v="6"/>
    <x v="46"/>
    <x v="0"/>
    <x v="0"/>
    <x v="0"/>
    <n v="3.01"/>
    <n v="3.19"/>
    <n v="1.72"/>
    <n v="2.56"/>
  </r>
  <r>
    <x v="4"/>
    <x v="6"/>
    <x v="46"/>
    <x v="4"/>
    <x v="0"/>
    <x v="1"/>
    <n v="0.56000000000000005"/>
    <n v="0.59"/>
    <n v="0.05"/>
    <n v="0.47"/>
  </r>
  <r>
    <x v="4"/>
    <x v="6"/>
    <x v="46"/>
    <x v="2"/>
    <x v="4"/>
    <x v="0"/>
    <n v="7.07"/>
    <n v="7.47"/>
    <n v="2.11"/>
    <n v="6.25"/>
  </r>
  <r>
    <x v="4"/>
    <x v="6"/>
    <x v="46"/>
    <x v="1"/>
    <x v="2"/>
    <x v="0"/>
    <n v="3.17"/>
    <n v="3.35"/>
    <n v="0.03"/>
    <n v="2.65"/>
  </r>
  <r>
    <x v="4"/>
    <x v="6"/>
    <x v="46"/>
    <x v="1"/>
    <x v="1"/>
    <x v="0"/>
    <n v="18.46"/>
    <n v="19.52"/>
    <n v="1.1000000000000001"/>
    <n v="15.56"/>
  </r>
  <r>
    <x v="4"/>
    <x v="6"/>
    <x v="46"/>
    <x v="1"/>
    <x v="4"/>
    <x v="0"/>
    <n v="66.83"/>
    <n v="70.66"/>
    <n v="17.12"/>
    <n v="59.43"/>
  </r>
  <r>
    <x v="4"/>
    <x v="6"/>
    <x v="46"/>
    <x v="2"/>
    <x v="0"/>
    <x v="0"/>
    <n v="6.02"/>
    <n v="6.36"/>
    <n v="4.03"/>
    <n v="5.3"/>
  </r>
  <r>
    <x v="4"/>
    <x v="6"/>
    <x v="46"/>
    <x v="0"/>
    <x v="4"/>
    <x v="0"/>
    <n v="4.6500000000000004"/>
    <n v="4.92"/>
    <n v="1.41"/>
    <n v="4.09"/>
  </r>
  <r>
    <x v="4"/>
    <x v="6"/>
    <x v="46"/>
    <x v="1"/>
    <x v="2"/>
    <x v="1"/>
    <n v="9.6300000000000008"/>
    <n v="10.18"/>
    <n v="0.04"/>
    <n v="8.16"/>
  </r>
  <r>
    <x v="4"/>
    <x v="6"/>
    <x v="46"/>
    <x v="4"/>
    <x v="1"/>
    <x v="0"/>
    <n v="1.42"/>
    <n v="1.5"/>
    <n v="0.09"/>
    <n v="1.2"/>
  </r>
  <r>
    <x v="4"/>
    <x v="6"/>
    <x v="46"/>
    <x v="4"/>
    <x v="4"/>
    <x v="0"/>
    <n v="17.149999999999999"/>
    <n v="18.14"/>
    <n v="3.83"/>
    <n v="15.45"/>
  </r>
  <r>
    <x v="4"/>
    <x v="6"/>
    <x v="46"/>
    <x v="3"/>
    <x v="4"/>
    <x v="0"/>
    <n v="0.44"/>
    <n v="0.46"/>
    <n v="0.11"/>
    <n v="0.39"/>
  </r>
  <r>
    <x v="4"/>
    <x v="6"/>
    <x v="46"/>
    <x v="2"/>
    <x v="3"/>
    <x v="1"/>
    <n v="3.32"/>
    <n v="3.51"/>
    <n v="0"/>
    <n v="2.81"/>
  </r>
  <r>
    <x v="4"/>
    <x v="6"/>
    <x v="46"/>
    <x v="2"/>
    <x v="4"/>
    <x v="1"/>
    <n v="0.96"/>
    <n v="1.02"/>
    <n v="0"/>
    <n v="0.96"/>
  </r>
  <r>
    <x v="4"/>
    <x v="6"/>
    <x v="46"/>
    <x v="1"/>
    <x v="3"/>
    <x v="1"/>
    <n v="0.39"/>
    <n v="0.41"/>
    <n v="0"/>
    <n v="0.32"/>
  </r>
  <r>
    <x v="4"/>
    <x v="6"/>
    <x v="46"/>
    <x v="1"/>
    <x v="0"/>
    <x v="0"/>
    <n v="7.35"/>
    <n v="7.77"/>
    <n v="4.21"/>
    <n v="6.36"/>
  </r>
  <r>
    <x v="4"/>
    <x v="6"/>
    <x v="46"/>
    <x v="4"/>
    <x v="1"/>
    <x v="1"/>
    <n v="1.54"/>
    <n v="1.63"/>
    <n v="0.04"/>
    <n v="1.3"/>
  </r>
  <r>
    <x v="4"/>
    <x v="7"/>
    <x v="47"/>
    <x v="4"/>
    <x v="4"/>
    <x v="1"/>
    <n v="0.28999999999999998"/>
    <n v="0.34"/>
    <n v="0.01"/>
    <n v="0.27"/>
  </r>
  <r>
    <x v="4"/>
    <x v="7"/>
    <x v="47"/>
    <x v="4"/>
    <x v="1"/>
    <x v="1"/>
    <n v="0.24"/>
    <n v="0.27"/>
    <n v="0"/>
    <n v="0.22"/>
  </r>
  <r>
    <x v="4"/>
    <x v="7"/>
    <x v="47"/>
    <x v="0"/>
    <x v="0"/>
    <x v="1"/>
    <n v="1.77"/>
    <n v="2.0299999999999998"/>
    <n v="7.0000000000000007E-2"/>
    <n v="1.64"/>
  </r>
  <r>
    <x v="4"/>
    <x v="7"/>
    <x v="47"/>
    <x v="2"/>
    <x v="4"/>
    <x v="0"/>
    <n v="2.95"/>
    <n v="3.38"/>
    <n v="0.91"/>
    <n v="2.8"/>
  </r>
  <r>
    <x v="4"/>
    <x v="7"/>
    <x v="47"/>
    <x v="4"/>
    <x v="4"/>
    <x v="2"/>
    <n v="0.21"/>
    <n v="0.24"/>
    <n v="0.01"/>
    <n v="0.18"/>
  </r>
  <r>
    <x v="4"/>
    <x v="7"/>
    <x v="47"/>
    <x v="2"/>
    <x v="3"/>
    <x v="2"/>
    <n v="2.2799999999999998"/>
    <n v="2.62"/>
    <n v="0.01"/>
    <n v="2.0299999999999998"/>
  </r>
  <r>
    <x v="4"/>
    <x v="7"/>
    <x v="47"/>
    <x v="2"/>
    <x v="2"/>
    <x v="3"/>
    <n v="0"/>
    <n v="0"/>
    <n v="0"/>
    <n v="0"/>
  </r>
  <r>
    <x v="4"/>
    <x v="7"/>
    <x v="47"/>
    <x v="4"/>
    <x v="0"/>
    <x v="1"/>
    <n v="0.04"/>
    <n v="0.04"/>
    <n v="0"/>
    <n v="0.04"/>
  </r>
  <r>
    <x v="4"/>
    <x v="7"/>
    <x v="47"/>
    <x v="0"/>
    <x v="4"/>
    <x v="1"/>
    <n v="0.41"/>
    <n v="0.47"/>
    <n v="0.01"/>
    <n v="0.38"/>
  </r>
  <r>
    <x v="4"/>
    <x v="7"/>
    <x v="47"/>
    <x v="1"/>
    <x v="0"/>
    <x v="1"/>
    <n v="0.56999999999999995"/>
    <n v="0.65"/>
    <n v="0.04"/>
    <n v="0.53"/>
  </r>
  <r>
    <x v="4"/>
    <x v="7"/>
    <x v="47"/>
    <x v="1"/>
    <x v="4"/>
    <x v="1"/>
    <n v="0.2"/>
    <n v="0.23"/>
    <n v="0.01"/>
    <n v="0.18"/>
  </r>
  <r>
    <x v="4"/>
    <x v="7"/>
    <x v="47"/>
    <x v="1"/>
    <x v="1"/>
    <x v="1"/>
    <n v="0.73"/>
    <n v="0.84"/>
    <n v="0.02"/>
    <n v="0.69"/>
  </r>
  <r>
    <x v="4"/>
    <x v="7"/>
    <x v="47"/>
    <x v="1"/>
    <x v="2"/>
    <x v="1"/>
    <n v="5"/>
    <n v="5.74"/>
    <n v="0.03"/>
    <n v="4.63"/>
  </r>
  <r>
    <x v="4"/>
    <x v="7"/>
    <x v="47"/>
    <x v="2"/>
    <x v="3"/>
    <x v="1"/>
    <n v="0.75"/>
    <n v="0.86"/>
    <n v="0"/>
    <n v="0.69"/>
  </r>
  <r>
    <x v="4"/>
    <x v="7"/>
    <x v="47"/>
    <x v="1"/>
    <x v="0"/>
    <x v="0"/>
    <n v="10.08"/>
    <n v="11.58"/>
    <n v="4.26"/>
    <n v="9.39"/>
  </r>
  <r>
    <x v="4"/>
    <x v="7"/>
    <x v="47"/>
    <x v="2"/>
    <x v="0"/>
    <x v="0"/>
    <n v="4.87"/>
    <n v="5.59"/>
    <n v="3.51"/>
    <n v="4.62"/>
  </r>
  <r>
    <x v="4"/>
    <x v="7"/>
    <x v="47"/>
    <x v="2"/>
    <x v="3"/>
    <x v="3"/>
    <n v="11.68"/>
    <n v="13.41"/>
    <n v="0.01"/>
    <n v="11.68"/>
  </r>
  <r>
    <x v="4"/>
    <x v="7"/>
    <x v="47"/>
    <x v="3"/>
    <x v="0"/>
    <x v="0"/>
    <n v="0.2"/>
    <n v="0.23"/>
    <n v="0.28000000000000003"/>
    <n v="0.19"/>
  </r>
  <r>
    <x v="4"/>
    <x v="7"/>
    <x v="47"/>
    <x v="1"/>
    <x v="4"/>
    <x v="0"/>
    <n v="81.96"/>
    <n v="94.09"/>
    <n v="14.05"/>
    <n v="75.63"/>
  </r>
  <r>
    <x v="4"/>
    <x v="7"/>
    <x v="47"/>
    <x v="1"/>
    <x v="2"/>
    <x v="0"/>
    <n v="2.0299999999999998"/>
    <n v="2.33"/>
    <n v="0.03"/>
    <n v="1.85"/>
  </r>
  <r>
    <x v="4"/>
    <x v="7"/>
    <x v="47"/>
    <x v="0"/>
    <x v="2"/>
    <x v="0"/>
    <n v="1.68"/>
    <n v="1.93"/>
    <n v="0.02"/>
    <n v="1.63"/>
  </r>
  <r>
    <x v="4"/>
    <x v="7"/>
    <x v="47"/>
    <x v="0"/>
    <x v="4"/>
    <x v="0"/>
    <n v="11.04"/>
    <n v="12.67"/>
    <n v="3.16"/>
    <n v="10.32"/>
  </r>
  <r>
    <x v="4"/>
    <x v="7"/>
    <x v="47"/>
    <x v="0"/>
    <x v="0"/>
    <x v="0"/>
    <n v="9.94"/>
    <n v="11.42"/>
    <n v="6.17"/>
    <n v="8.99"/>
  </r>
  <r>
    <x v="4"/>
    <x v="7"/>
    <x v="47"/>
    <x v="4"/>
    <x v="1"/>
    <x v="0"/>
    <n v="5.37"/>
    <n v="6.16"/>
    <n v="0.38"/>
    <n v="4.93"/>
  </r>
  <r>
    <x v="4"/>
    <x v="7"/>
    <x v="47"/>
    <x v="4"/>
    <x v="4"/>
    <x v="0"/>
    <n v="25.55"/>
    <n v="29.33"/>
    <n v="3.65"/>
    <n v="23.61"/>
  </r>
  <r>
    <x v="4"/>
    <x v="7"/>
    <x v="47"/>
    <x v="3"/>
    <x v="4"/>
    <x v="0"/>
    <n v="1.31"/>
    <n v="1.5"/>
    <n v="0.28000000000000003"/>
    <n v="1.24"/>
  </r>
  <r>
    <x v="4"/>
    <x v="7"/>
    <x v="47"/>
    <x v="1"/>
    <x v="1"/>
    <x v="0"/>
    <n v="8.69"/>
    <n v="9.9700000000000006"/>
    <n v="0.59"/>
    <n v="7.95"/>
  </r>
  <r>
    <x v="4"/>
    <x v="2"/>
    <x v="48"/>
    <x v="4"/>
    <x v="1"/>
    <x v="2"/>
    <n v="0.26"/>
    <n v="0.25"/>
    <n v="0.01"/>
    <n v="0.23"/>
  </r>
  <r>
    <x v="4"/>
    <x v="2"/>
    <x v="48"/>
    <x v="3"/>
    <x v="0"/>
    <x v="0"/>
    <n v="26.45"/>
    <n v="25.12"/>
    <n v="17.64"/>
    <n v="25.66"/>
  </r>
  <r>
    <x v="4"/>
    <x v="2"/>
    <x v="48"/>
    <x v="3"/>
    <x v="4"/>
    <x v="0"/>
    <n v="64.62"/>
    <n v="61.36"/>
    <n v="14.29"/>
    <n v="60.66"/>
  </r>
  <r>
    <x v="4"/>
    <x v="2"/>
    <x v="48"/>
    <x v="3"/>
    <x v="1"/>
    <x v="0"/>
    <n v="1.1399999999999999"/>
    <n v="1.08"/>
    <n v="0.13"/>
    <n v="1.1100000000000001"/>
  </r>
  <r>
    <x v="4"/>
    <x v="2"/>
    <x v="48"/>
    <x v="4"/>
    <x v="4"/>
    <x v="0"/>
    <n v="410.6"/>
    <n v="389.92"/>
    <n v="44.29"/>
    <n v="384.76"/>
  </r>
  <r>
    <x v="4"/>
    <x v="2"/>
    <x v="48"/>
    <x v="4"/>
    <x v="1"/>
    <x v="0"/>
    <n v="71.099999999999994"/>
    <n v="67.52"/>
    <n v="4.18"/>
    <n v="66"/>
  </r>
  <r>
    <x v="4"/>
    <x v="2"/>
    <x v="48"/>
    <x v="4"/>
    <x v="2"/>
    <x v="0"/>
    <n v="0.87"/>
    <n v="0.82"/>
    <n v="0"/>
    <n v="0.8"/>
  </r>
  <r>
    <x v="4"/>
    <x v="2"/>
    <x v="48"/>
    <x v="2"/>
    <x v="3"/>
    <x v="1"/>
    <n v="15.03"/>
    <n v="14.27"/>
    <n v="0.04"/>
    <n v="14.46"/>
  </r>
  <r>
    <x v="4"/>
    <x v="2"/>
    <x v="48"/>
    <x v="0"/>
    <x v="4"/>
    <x v="0"/>
    <n v="63.98"/>
    <n v="60.76"/>
    <n v="16.329999999999998"/>
    <n v="60.16"/>
  </r>
  <r>
    <x v="4"/>
    <x v="2"/>
    <x v="48"/>
    <x v="0"/>
    <x v="0"/>
    <x v="0"/>
    <n v="17.690000000000001"/>
    <n v="16.8"/>
    <n v="9.18"/>
    <n v="16.34"/>
  </r>
  <r>
    <x v="4"/>
    <x v="2"/>
    <x v="48"/>
    <x v="2"/>
    <x v="4"/>
    <x v="0"/>
    <n v="20.36"/>
    <n v="19.329999999999998"/>
    <n v="3.11"/>
    <n v="19.170000000000002"/>
  </r>
  <r>
    <x v="4"/>
    <x v="2"/>
    <x v="48"/>
    <x v="2"/>
    <x v="0"/>
    <x v="0"/>
    <n v="22.98"/>
    <n v="21.82"/>
    <n v="10.55"/>
    <n v="22.03"/>
  </r>
  <r>
    <x v="4"/>
    <x v="2"/>
    <x v="48"/>
    <x v="1"/>
    <x v="2"/>
    <x v="0"/>
    <n v="20.14"/>
    <n v="19.13"/>
    <n v="0.17"/>
    <n v="18.23"/>
  </r>
  <r>
    <x v="4"/>
    <x v="2"/>
    <x v="48"/>
    <x v="1"/>
    <x v="1"/>
    <x v="0"/>
    <n v="111.22"/>
    <n v="105.62"/>
    <n v="6.78"/>
    <n v="104.61"/>
  </r>
  <r>
    <x v="4"/>
    <x v="2"/>
    <x v="48"/>
    <x v="1"/>
    <x v="4"/>
    <x v="0"/>
    <n v="849.73"/>
    <n v="806.94"/>
    <n v="156.97999999999999"/>
    <n v="795.22"/>
  </r>
  <r>
    <x v="4"/>
    <x v="2"/>
    <x v="48"/>
    <x v="1"/>
    <x v="4"/>
    <x v="2"/>
    <n v="10.71"/>
    <n v="10.17"/>
    <n v="0.09"/>
    <n v="9.31"/>
  </r>
  <r>
    <x v="4"/>
    <x v="2"/>
    <x v="48"/>
    <x v="4"/>
    <x v="3"/>
    <x v="0"/>
    <n v="1.41"/>
    <n v="1.34"/>
    <n v="0"/>
    <n v="1.3"/>
  </r>
  <r>
    <x v="4"/>
    <x v="2"/>
    <x v="48"/>
    <x v="4"/>
    <x v="0"/>
    <x v="1"/>
    <n v="5.15"/>
    <n v="4.8899999999999997"/>
    <n v="0.38"/>
    <n v="4.82"/>
  </r>
  <r>
    <x v="4"/>
    <x v="2"/>
    <x v="48"/>
    <x v="1"/>
    <x v="2"/>
    <x v="2"/>
    <n v="4.55"/>
    <n v="4.33"/>
    <n v="0.01"/>
    <n v="3.96"/>
  </r>
  <r>
    <x v="4"/>
    <x v="2"/>
    <x v="48"/>
    <x v="4"/>
    <x v="4"/>
    <x v="2"/>
    <n v="0.78"/>
    <n v="0.74"/>
    <n v="0.05"/>
    <n v="0.68"/>
  </r>
  <r>
    <x v="4"/>
    <x v="2"/>
    <x v="48"/>
    <x v="1"/>
    <x v="3"/>
    <x v="1"/>
    <n v="1.17"/>
    <n v="1.1100000000000001"/>
    <n v="0.01"/>
    <n v="1.17"/>
  </r>
  <r>
    <x v="4"/>
    <x v="2"/>
    <x v="48"/>
    <x v="2"/>
    <x v="2"/>
    <x v="3"/>
    <n v="0.16"/>
    <n v="0.15"/>
    <n v="0"/>
    <n v="0.16"/>
  </r>
  <r>
    <x v="4"/>
    <x v="2"/>
    <x v="48"/>
    <x v="4"/>
    <x v="2"/>
    <x v="2"/>
    <n v="1.07"/>
    <n v="1.01"/>
    <n v="0.01"/>
    <n v="0.93"/>
  </r>
  <r>
    <x v="4"/>
    <x v="2"/>
    <x v="48"/>
    <x v="2"/>
    <x v="3"/>
    <x v="3"/>
    <n v="95.79"/>
    <n v="90.97"/>
    <n v="0.06"/>
    <n v="95.79"/>
  </r>
  <r>
    <x v="4"/>
    <x v="2"/>
    <x v="48"/>
    <x v="2"/>
    <x v="3"/>
    <x v="2"/>
    <n v="16.38"/>
    <n v="15.56"/>
    <n v="0.01"/>
    <n v="13.88"/>
  </r>
  <r>
    <x v="4"/>
    <x v="2"/>
    <x v="48"/>
    <x v="1"/>
    <x v="0"/>
    <x v="0"/>
    <n v="34.39"/>
    <n v="32.659999999999997"/>
    <n v="18.809999999999999"/>
    <n v="32.85"/>
  </r>
  <r>
    <x v="4"/>
    <x v="2"/>
    <x v="48"/>
    <x v="4"/>
    <x v="4"/>
    <x v="1"/>
    <n v="2.3199999999999998"/>
    <n v="2.2000000000000002"/>
    <n v="0.04"/>
    <n v="2.12"/>
  </r>
  <r>
    <x v="4"/>
    <x v="2"/>
    <x v="48"/>
    <x v="1"/>
    <x v="4"/>
    <x v="1"/>
    <n v="11.28"/>
    <n v="10.71"/>
    <n v="0.53"/>
    <n v="11.1"/>
  </r>
  <r>
    <x v="4"/>
    <x v="2"/>
    <x v="48"/>
    <x v="1"/>
    <x v="2"/>
    <x v="1"/>
    <n v="79.28"/>
    <n v="75.290000000000006"/>
    <n v="0.7"/>
    <n v="75.63"/>
  </r>
  <r>
    <x v="4"/>
    <x v="2"/>
    <x v="48"/>
    <x v="1"/>
    <x v="1"/>
    <x v="1"/>
    <n v="57.93"/>
    <n v="55.01"/>
    <n v="0.92"/>
    <n v="57.46"/>
  </r>
  <r>
    <x v="4"/>
    <x v="2"/>
    <x v="48"/>
    <x v="1"/>
    <x v="0"/>
    <x v="1"/>
    <n v="30.08"/>
    <n v="28.56"/>
    <n v="1.77"/>
    <n v="29.31"/>
  </r>
  <r>
    <x v="4"/>
    <x v="2"/>
    <x v="48"/>
    <x v="0"/>
    <x v="3"/>
    <x v="1"/>
    <n v="0.66"/>
    <n v="0.62"/>
    <n v="0.01"/>
    <n v="0.61"/>
  </r>
  <r>
    <x v="4"/>
    <x v="2"/>
    <x v="48"/>
    <x v="0"/>
    <x v="4"/>
    <x v="1"/>
    <n v="3.74"/>
    <n v="3.55"/>
    <n v="0.1"/>
    <n v="3.37"/>
  </r>
  <r>
    <x v="4"/>
    <x v="2"/>
    <x v="48"/>
    <x v="0"/>
    <x v="0"/>
    <x v="1"/>
    <n v="15.46"/>
    <n v="14.68"/>
    <n v="0.53"/>
    <n v="13.98"/>
  </r>
  <r>
    <x v="4"/>
    <x v="2"/>
    <x v="48"/>
    <x v="4"/>
    <x v="1"/>
    <x v="1"/>
    <n v="2.91"/>
    <n v="2.77"/>
    <n v="0.09"/>
    <n v="2.75"/>
  </r>
  <r>
    <x v="4"/>
    <x v="3"/>
    <x v="49"/>
    <x v="4"/>
    <x v="3"/>
    <x v="0"/>
    <n v="9.16"/>
    <n v="9.16"/>
    <n v="7.0000000000000007E-2"/>
    <n v="8.5"/>
  </r>
  <r>
    <x v="4"/>
    <x v="3"/>
    <x v="49"/>
    <x v="2"/>
    <x v="4"/>
    <x v="1"/>
    <n v="2.17"/>
    <n v="2.17"/>
    <n v="0.02"/>
    <n v="2.0699999999999998"/>
  </r>
  <r>
    <x v="4"/>
    <x v="3"/>
    <x v="49"/>
    <x v="3"/>
    <x v="0"/>
    <x v="0"/>
    <n v="221.39"/>
    <n v="221.39"/>
    <n v="218.99"/>
    <n v="215.55"/>
  </r>
  <r>
    <x v="4"/>
    <x v="3"/>
    <x v="49"/>
    <x v="3"/>
    <x v="1"/>
    <x v="0"/>
    <n v="35.46"/>
    <n v="35.46"/>
    <n v="3.34"/>
    <n v="35.299999999999997"/>
  </r>
  <r>
    <x v="4"/>
    <x v="3"/>
    <x v="49"/>
    <x v="2"/>
    <x v="3"/>
    <x v="1"/>
    <n v="38.479999999999997"/>
    <n v="38.479999999999997"/>
    <n v="0.08"/>
    <n v="35.78"/>
  </r>
  <r>
    <x v="4"/>
    <x v="3"/>
    <x v="49"/>
    <x v="4"/>
    <x v="0"/>
    <x v="0"/>
    <n v="6.9"/>
    <n v="6.9"/>
    <n v="5.89"/>
    <n v="6.65"/>
  </r>
  <r>
    <x v="4"/>
    <x v="3"/>
    <x v="49"/>
    <x v="4"/>
    <x v="4"/>
    <x v="0"/>
    <n v="2826"/>
    <n v="2826"/>
    <n v="329.16"/>
    <n v="2714.26"/>
  </r>
  <r>
    <x v="4"/>
    <x v="3"/>
    <x v="49"/>
    <x v="4"/>
    <x v="1"/>
    <x v="0"/>
    <n v="700.66"/>
    <n v="700.66"/>
    <n v="32.200000000000003"/>
    <n v="668.47"/>
  </r>
  <r>
    <x v="4"/>
    <x v="3"/>
    <x v="49"/>
    <x v="4"/>
    <x v="2"/>
    <x v="0"/>
    <n v="18.45"/>
    <n v="18.45"/>
    <n v="0.41"/>
    <n v="17.309999999999999"/>
  </r>
  <r>
    <x v="4"/>
    <x v="3"/>
    <x v="49"/>
    <x v="3"/>
    <x v="4"/>
    <x v="0"/>
    <n v="3233.1"/>
    <n v="3233.1"/>
    <n v="1154.42"/>
    <n v="3185.35"/>
  </r>
  <r>
    <x v="4"/>
    <x v="3"/>
    <x v="49"/>
    <x v="0"/>
    <x v="0"/>
    <x v="0"/>
    <n v="78.33"/>
    <n v="78.33"/>
    <n v="31.04"/>
    <n v="72.77"/>
  </r>
  <r>
    <x v="4"/>
    <x v="3"/>
    <x v="49"/>
    <x v="0"/>
    <x v="4"/>
    <x v="0"/>
    <n v="517.1"/>
    <n v="517.1"/>
    <n v="176.47"/>
    <n v="501.64"/>
  </r>
  <r>
    <x v="4"/>
    <x v="3"/>
    <x v="49"/>
    <x v="0"/>
    <x v="2"/>
    <x v="0"/>
    <n v="2.0499999999999998"/>
    <n v="2.0499999999999998"/>
    <n v="0.03"/>
    <n v="2.0499999999999998"/>
  </r>
  <r>
    <x v="4"/>
    <x v="3"/>
    <x v="49"/>
    <x v="1"/>
    <x v="0"/>
    <x v="0"/>
    <n v="476.41"/>
    <n v="476.41"/>
    <n v="340.55"/>
    <n v="461.29"/>
  </r>
  <r>
    <x v="4"/>
    <x v="3"/>
    <x v="49"/>
    <x v="1"/>
    <x v="4"/>
    <x v="0"/>
    <n v="6794.44"/>
    <n v="6794.44"/>
    <n v="1382.87"/>
    <n v="6504.35"/>
  </r>
  <r>
    <x v="4"/>
    <x v="3"/>
    <x v="49"/>
    <x v="1"/>
    <x v="1"/>
    <x v="0"/>
    <n v="1256.8699999999999"/>
    <n v="1256.8699999999999"/>
    <n v="85"/>
    <n v="1200.3699999999999"/>
  </r>
  <r>
    <x v="4"/>
    <x v="3"/>
    <x v="49"/>
    <x v="2"/>
    <x v="0"/>
    <x v="0"/>
    <n v="187.39"/>
    <n v="187.39"/>
    <n v="116.07"/>
    <n v="178.67"/>
  </r>
  <r>
    <x v="4"/>
    <x v="3"/>
    <x v="49"/>
    <x v="2"/>
    <x v="4"/>
    <x v="0"/>
    <n v="423.4"/>
    <n v="423.4"/>
    <n v="109.26"/>
    <n v="413.06"/>
  </r>
  <r>
    <x v="4"/>
    <x v="3"/>
    <x v="49"/>
    <x v="1"/>
    <x v="3"/>
    <x v="1"/>
    <n v="5"/>
    <n v="5"/>
    <n v="0.06"/>
    <n v="4.38"/>
  </r>
  <r>
    <x v="4"/>
    <x v="3"/>
    <x v="49"/>
    <x v="4"/>
    <x v="2"/>
    <x v="2"/>
    <n v="19.420000000000002"/>
    <n v="19.420000000000002"/>
    <n v="0.09"/>
    <n v="17.59"/>
  </r>
  <r>
    <x v="4"/>
    <x v="3"/>
    <x v="49"/>
    <x v="1"/>
    <x v="2"/>
    <x v="0"/>
    <n v="279.18"/>
    <n v="279.18"/>
    <n v="1.68"/>
    <n v="254.19"/>
  </r>
  <r>
    <x v="4"/>
    <x v="3"/>
    <x v="49"/>
    <x v="4"/>
    <x v="0"/>
    <x v="1"/>
    <n v="18.850000000000001"/>
    <n v="18.850000000000001"/>
    <n v="2.6"/>
    <n v="16.59"/>
  </r>
  <r>
    <x v="4"/>
    <x v="3"/>
    <x v="49"/>
    <x v="2"/>
    <x v="2"/>
    <x v="0"/>
    <n v="50.43"/>
    <n v="50.43"/>
    <n v="7.0000000000000007E-2"/>
    <n v="49.68"/>
  </r>
  <r>
    <x v="4"/>
    <x v="3"/>
    <x v="49"/>
    <x v="4"/>
    <x v="4"/>
    <x v="2"/>
    <n v="30.4"/>
    <n v="30.4"/>
    <n v="1.2"/>
    <n v="27.53"/>
  </r>
  <r>
    <x v="4"/>
    <x v="3"/>
    <x v="49"/>
    <x v="4"/>
    <x v="1"/>
    <x v="2"/>
    <n v="8.82"/>
    <n v="8.82"/>
    <n v="0.18"/>
    <n v="7.99"/>
  </r>
  <r>
    <x v="4"/>
    <x v="3"/>
    <x v="49"/>
    <x v="1"/>
    <x v="4"/>
    <x v="2"/>
    <n v="8.15"/>
    <n v="8.15"/>
    <n v="0.75"/>
    <n v="7.39"/>
  </r>
  <r>
    <x v="4"/>
    <x v="3"/>
    <x v="49"/>
    <x v="1"/>
    <x v="2"/>
    <x v="2"/>
    <n v="4.91"/>
    <n v="4.91"/>
    <n v="0.02"/>
    <n v="4.45"/>
  </r>
  <r>
    <x v="4"/>
    <x v="3"/>
    <x v="49"/>
    <x v="2"/>
    <x v="1"/>
    <x v="2"/>
    <n v="4.82"/>
    <n v="4.82"/>
    <n v="0.02"/>
    <n v="4.5999999999999996"/>
  </r>
  <r>
    <x v="4"/>
    <x v="3"/>
    <x v="49"/>
    <x v="2"/>
    <x v="2"/>
    <x v="2"/>
    <n v="2.58"/>
    <n v="2.58"/>
    <n v="0.01"/>
    <n v="2.46"/>
  </r>
  <r>
    <x v="4"/>
    <x v="3"/>
    <x v="49"/>
    <x v="2"/>
    <x v="3"/>
    <x v="2"/>
    <n v="158.24"/>
    <n v="158.24"/>
    <n v="0.13"/>
    <n v="146.33000000000001"/>
  </r>
  <r>
    <x v="4"/>
    <x v="3"/>
    <x v="49"/>
    <x v="1"/>
    <x v="1"/>
    <x v="2"/>
    <n v="2.38"/>
    <n v="2.38"/>
    <n v="0.12"/>
    <n v="2.17"/>
  </r>
  <r>
    <x v="4"/>
    <x v="3"/>
    <x v="49"/>
    <x v="2"/>
    <x v="3"/>
    <x v="3"/>
    <n v="1181.47"/>
    <n v="1181.47"/>
    <n v="0.89"/>
    <n v="1173.3499999999999"/>
  </r>
  <r>
    <x v="4"/>
    <x v="3"/>
    <x v="49"/>
    <x v="1"/>
    <x v="2"/>
    <x v="1"/>
    <n v="405.05"/>
    <n v="405.05"/>
    <n v="2.6"/>
    <n v="368.61"/>
  </r>
  <r>
    <x v="4"/>
    <x v="3"/>
    <x v="49"/>
    <x v="4"/>
    <x v="4"/>
    <x v="1"/>
    <n v="15.31"/>
    <n v="15.31"/>
    <n v="1.55"/>
    <n v="14.05"/>
  </r>
  <r>
    <x v="4"/>
    <x v="3"/>
    <x v="49"/>
    <x v="4"/>
    <x v="1"/>
    <x v="1"/>
    <n v="13.63"/>
    <n v="13.63"/>
    <n v="0.69"/>
    <n v="12.38"/>
  </r>
  <r>
    <x v="4"/>
    <x v="3"/>
    <x v="49"/>
    <x v="0"/>
    <x v="0"/>
    <x v="1"/>
    <n v="109.74"/>
    <n v="109.74"/>
    <n v="5.83"/>
    <n v="100.65"/>
  </r>
  <r>
    <x v="4"/>
    <x v="3"/>
    <x v="49"/>
    <x v="0"/>
    <x v="4"/>
    <x v="1"/>
    <n v="34.200000000000003"/>
    <n v="34.200000000000003"/>
    <n v="1.02"/>
    <n v="31.39"/>
  </r>
  <r>
    <x v="4"/>
    <x v="3"/>
    <x v="49"/>
    <x v="0"/>
    <x v="1"/>
    <x v="1"/>
    <n v="1.74"/>
    <n v="1.74"/>
    <n v="0.03"/>
    <n v="1.52"/>
  </r>
  <r>
    <x v="4"/>
    <x v="3"/>
    <x v="49"/>
    <x v="0"/>
    <x v="3"/>
    <x v="1"/>
    <n v="0.23"/>
    <n v="0.23"/>
    <n v="0"/>
    <n v="0.2"/>
  </r>
  <r>
    <x v="4"/>
    <x v="3"/>
    <x v="49"/>
    <x v="1"/>
    <x v="0"/>
    <x v="1"/>
    <n v="149.09"/>
    <n v="149.09"/>
    <n v="7.86"/>
    <n v="133.61000000000001"/>
  </r>
  <r>
    <x v="4"/>
    <x v="3"/>
    <x v="49"/>
    <x v="1"/>
    <x v="4"/>
    <x v="1"/>
    <n v="37.97"/>
    <n v="37.97"/>
    <n v="1.44"/>
    <n v="33.78"/>
  </r>
  <r>
    <x v="4"/>
    <x v="3"/>
    <x v="49"/>
    <x v="1"/>
    <x v="1"/>
    <x v="1"/>
    <n v="306.19"/>
    <n v="306.19"/>
    <n v="4.05"/>
    <n v="274.74"/>
  </r>
  <r>
    <x v="4"/>
    <x v="3"/>
    <x v="49"/>
    <x v="2"/>
    <x v="2"/>
    <x v="3"/>
    <n v="263.93"/>
    <n v="263.93"/>
    <n v="0.4"/>
    <n v="262.36"/>
  </r>
  <r>
    <x v="5"/>
    <x v="0"/>
    <x v="0"/>
    <x v="1"/>
    <x v="0"/>
    <x v="1"/>
    <n v="2.2999999999999998"/>
    <n v="3.89"/>
    <n v="0.16"/>
    <n v="2.1800000000000002"/>
  </r>
  <r>
    <x v="5"/>
    <x v="0"/>
    <x v="0"/>
    <x v="0"/>
    <x v="4"/>
    <x v="1"/>
    <n v="0"/>
    <n v="0.01"/>
    <n v="0"/>
    <n v="0"/>
  </r>
  <r>
    <x v="5"/>
    <x v="0"/>
    <x v="0"/>
    <x v="2"/>
    <x v="3"/>
    <x v="3"/>
    <n v="8.7899999999999991"/>
    <n v="14.84"/>
    <n v="0"/>
    <n v="8.5"/>
  </r>
  <r>
    <x v="5"/>
    <x v="0"/>
    <x v="0"/>
    <x v="0"/>
    <x v="0"/>
    <x v="1"/>
    <n v="4.46"/>
    <n v="7.52"/>
    <n v="0.08"/>
    <n v="4.25"/>
  </r>
  <r>
    <x v="5"/>
    <x v="0"/>
    <x v="0"/>
    <x v="4"/>
    <x v="1"/>
    <x v="1"/>
    <n v="0.97"/>
    <n v="1.63"/>
    <n v="0.05"/>
    <n v="0.91"/>
  </r>
  <r>
    <x v="5"/>
    <x v="0"/>
    <x v="0"/>
    <x v="4"/>
    <x v="4"/>
    <x v="1"/>
    <n v="0.28000000000000003"/>
    <n v="0.48"/>
    <n v="0.01"/>
    <n v="0.27"/>
  </r>
  <r>
    <x v="5"/>
    <x v="0"/>
    <x v="0"/>
    <x v="4"/>
    <x v="0"/>
    <x v="1"/>
    <n v="0.61"/>
    <n v="1.02"/>
    <n v="0.04"/>
    <n v="0.56999999999999995"/>
  </r>
  <r>
    <x v="5"/>
    <x v="0"/>
    <x v="0"/>
    <x v="2"/>
    <x v="3"/>
    <x v="2"/>
    <n v="6.14"/>
    <n v="10.37"/>
    <n v="0.01"/>
    <n v="6.11"/>
  </r>
  <r>
    <x v="5"/>
    <x v="0"/>
    <x v="0"/>
    <x v="2"/>
    <x v="2"/>
    <x v="2"/>
    <n v="0.23"/>
    <n v="0.38"/>
    <n v="0"/>
    <n v="0.23"/>
  </r>
  <r>
    <x v="5"/>
    <x v="0"/>
    <x v="0"/>
    <x v="2"/>
    <x v="1"/>
    <x v="2"/>
    <n v="0.66"/>
    <n v="1.1200000000000001"/>
    <n v="0"/>
    <n v="0.66"/>
  </r>
  <r>
    <x v="5"/>
    <x v="0"/>
    <x v="0"/>
    <x v="4"/>
    <x v="2"/>
    <x v="2"/>
    <n v="1"/>
    <n v="1.69"/>
    <n v="0.01"/>
    <n v="0.95"/>
  </r>
  <r>
    <x v="5"/>
    <x v="0"/>
    <x v="0"/>
    <x v="4"/>
    <x v="1"/>
    <x v="2"/>
    <n v="0.71"/>
    <n v="1.2"/>
    <n v="0.02"/>
    <n v="0.67"/>
  </r>
  <r>
    <x v="5"/>
    <x v="0"/>
    <x v="0"/>
    <x v="1"/>
    <x v="4"/>
    <x v="1"/>
    <n v="0.88"/>
    <n v="1.49"/>
    <n v="0.03"/>
    <n v="0.83"/>
  </r>
  <r>
    <x v="5"/>
    <x v="0"/>
    <x v="0"/>
    <x v="2"/>
    <x v="4"/>
    <x v="0"/>
    <n v="4.1399999999999997"/>
    <n v="6.99"/>
    <n v="1.28"/>
    <n v="3.78"/>
  </r>
  <r>
    <x v="5"/>
    <x v="0"/>
    <x v="0"/>
    <x v="1"/>
    <x v="4"/>
    <x v="2"/>
    <n v="0.27"/>
    <n v="0.45"/>
    <n v="0.02"/>
    <n v="0.25"/>
  </r>
  <r>
    <x v="5"/>
    <x v="0"/>
    <x v="0"/>
    <x v="1"/>
    <x v="1"/>
    <x v="1"/>
    <n v="4.95"/>
    <n v="8.36"/>
    <n v="7.0000000000000007E-2"/>
    <n v="4.71"/>
  </r>
  <r>
    <x v="5"/>
    <x v="0"/>
    <x v="0"/>
    <x v="1"/>
    <x v="2"/>
    <x v="1"/>
    <n v="21.47"/>
    <n v="36.229999999999997"/>
    <n v="0.04"/>
    <n v="20.46"/>
  </r>
  <r>
    <x v="5"/>
    <x v="0"/>
    <x v="0"/>
    <x v="2"/>
    <x v="4"/>
    <x v="1"/>
    <n v="0.82"/>
    <n v="1.38"/>
    <n v="0"/>
    <n v="0.82"/>
  </r>
  <r>
    <x v="5"/>
    <x v="0"/>
    <x v="0"/>
    <x v="2"/>
    <x v="3"/>
    <x v="1"/>
    <n v="0.77"/>
    <n v="1.31"/>
    <n v="0"/>
    <n v="0.74"/>
  </r>
  <r>
    <x v="5"/>
    <x v="0"/>
    <x v="0"/>
    <x v="3"/>
    <x v="4"/>
    <x v="0"/>
    <n v="0.3"/>
    <n v="0.51"/>
    <n v="0.08"/>
    <n v="0.28000000000000003"/>
  </r>
  <r>
    <x v="5"/>
    <x v="0"/>
    <x v="0"/>
    <x v="4"/>
    <x v="1"/>
    <x v="0"/>
    <n v="3.1"/>
    <n v="5.24"/>
    <n v="0.3"/>
    <n v="2.83"/>
  </r>
  <r>
    <x v="5"/>
    <x v="0"/>
    <x v="0"/>
    <x v="0"/>
    <x v="0"/>
    <x v="0"/>
    <n v="1.05"/>
    <n v="1.78"/>
    <n v="1.81"/>
    <n v="1"/>
  </r>
  <r>
    <x v="5"/>
    <x v="0"/>
    <x v="0"/>
    <x v="0"/>
    <x v="4"/>
    <x v="0"/>
    <n v="3.31"/>
    <n v="5.59"/>
    <n v="1.05"/>
    <n v="3.2"/>
  </r>
  <r>
    <x v="5"/>
    <x v="0"/>
    <x v="0"/>
    <x v="1"/>
    <x v="0"/>
    <x v="0"/>
    <n v="3.45"/>
    <n v="5.82"/>
    <n v="1.5"/>
    <n v="3.26"/>
  </r>
  <r>
    <x v="5"/>
    <x v="0"/>
    <x v="0"/>
    <x v="1"/>
    <x v="4"/>
    <x v="0"/>
    <n v="35.880000000000003"/>
    <n v="60.57"/>
    <n v="5.95"/>
    <n v="33.909999999999997"/>
  </r>
  <r>
    <x v="5"/>
    <x v="0"/>
    <x v="0"/>
    <x v="1"/>
    <x v="1"/>
    <x v="0"/>
    <n v="4.33"/>
    <n v="7.3"/>
    <n v="0.22"/>
    <n v="4.1100000000000003"/>
  </r>
  <r>
    <x v="5"/>
    <x v="0"/>
    <x v="0"/>
    <x v="2"/>
    <x v="0"/>
    <x v="0"/>
    <n v="2.63"/>
    <n v="4.4400000000000004"/>
    <n v="1.64"/>
    <n v="2.46"/>
  </r>
  <r>
    <x v="5"/>
    <x v="0"/>
    <x v="0"/>
    <x v="3"/>
    <x v="0"/>
    <x v="0"/>
    <n v="0.04"/>
    <n v="7.0000000000000007E-2"/>
    <n v="0.02"/>
    <n v="0.04"/>
  </r>
  <r>
    <x v="5"/>
    <x v="0"/>
    <x v="0"/>
    <x v="4"/>
    <x v="4"/>
    <x v="2"/>
    <n v="0.92"/>
    <n v="1.56"/>
    <n v="0.03"/>
    <n v="0.86"/>
  </r>
  <r>
    <x v="5"/>
    <x v="0"/>
    <x v="0"/>
    <x v="1"/>
    <x v="2"/>
    <x v="0"/>
    <n v="8.74"/>
    <n v="14.75"/>
    <n v="0.08"/>
    <n v="8.24"/>
  </r>
  <r>
    <x v="5"/>
    <x v="0"/>
    <x v="0"/>
    <x v="4"/>
    <x v="4"/>
    <x v="0"/>
    <n v="8.7200000000000006"/>
    <n v="14.72"/>
    <n v="1.86"/>
    <n v="8.2899999999999991"/>
  </r>
  <r>
    <x v="5"/>
    <x v="1"/>
    <x v="1"/>
    <x v="0"/>
    <x v="2"/>
    <x v="0"/>
    <n v="0.1"/>
    <n v="0.13"/>
    <n v="0"/>
    <n v="0.1"/>
  </r>
  <r>
    <x v="5"/>
    <x v="1"/>
    <x v="1"/>
    <x v="2"/>
    <x v="4"/>
    <x v="1"/>
    <n v="0.82"/>
    <n v="1.05"/>
    <n v="0"/>
    <n v="0.82"/>
  </r>
  <r>
    <x v="5"/>
    <x v="1"/>
    <x v="1"/>
    <x v="2"/>
    <x v="3"/>
    <x v="1"/>
    <n v="12.42"/>
    <n v="15.96"/>
    <n v="0.04"/>
    <n v="11.34"/>
  </r>
  <r>
    <x v="5"/>
    <x v="1"/>
    <x v="1"/>
    <x v="3"/>
    <x v="0"/>
    <x v="0"/>
    <n v="0.04"/>
    <n v="0.05"/>
    <n v="0.03"/>
    <n v="0.04"/>
  </r>
  <r>
    <x v="5"/>
    <x v="1"/>
    <x v="1"/>
    <x v="4"/>
    <x v="4"/>
    <x v="0"/>
    <n v="131.19"/>
    <n v="168.63"/>
    <n v="18.77"/>
    <n v="114.99"/>
  </r>
  <r>
    <x v="5"/>
    <x v="1"/>
    <x v="1"/>
    <x v="4"/>
    <x v="2"/>
    <x v="0"/>
    <n v="0.6"/>
    <n v="0.77"/>
    <n v="0.01"/>
    <n v="0.51"/>
  </r>
  <r>
    <x v="5"/>
    <x v="1"/>
    <x v="1"/>
    <x v="4"/>
    <x v="3"/>
    <x v="0"/>
    <n v="0.6"/>
    <n v="0.77"/>
    <n v="0"/>
    <n v="0.51"/>
  </r>
  <r>
    <x v="5"/>
    <x v="1"/>
    <x v="1"/>
    <x v="1"/>
    <x v="3"/>
    <x v="1"/>
    <n v="2.72"/>
    <n v="3.5"/>
    <n v="0.03"/>
    <n v="2.3199999999999998"/>
  </r>
  <r>
    <x v="5"/>
    <x v="1"/>
    <x v="1"/>
    <x v="0"/>
    <x v="4"/>
    <x v="0"/>
    <n v="15.78"/>
    <n v="20.28"/>
    <n v="5.22"/>
    <n v="13.72"/>
  </r>
  <r>
    <x v="5"/>
    <x v="1"/>
    <x v="1"/>
    <x v="3"/>
    <x v="4"/>
    <x v="0"/>
    <n v="41.27"/>
    <n v="53.04"/>
    <n v="7.62"/>
    <n v="35.64"/>
  </r>
  <r>
    <x v="5"/>
    <x v="1"/>
    <x v="1"/>
    <x v="1"/>
    <x v="0"/>
    <x v="0"/>
    <n v="3.49"/>
    <n v="4.49"/>
    <n v="2.57"/>
    <n v="3.47"/>
  </r>
  <r>
    <x v="5"/>
    <x v="1"/>
    <x v="1"/>
    <x v="1"/>
    <x v="4"/>
    <x v="0"/>
    <n v="304.87"/>
    <n v="391.88"/>
    <n v="53.72"/>
    <n v="273.64999999999998"/>
  </r>
  <r>
    <x v="5"/>
    <x v="1"/>
    <x v="1"/>
    <x v="1"/>
    <x v="1"/>
    <x v="0"/>
    <n v="28.56"/>
    <n v="36.71"/>
    <n v="2.38"/>
    <n v="25.08"/>
  </r>
  <r>
    <x v="5"/>
    <x v="1"/>
    <x v="1"/>
    <x v="1"/>
    <x v="2"/>
    <x v="0"/>
    <n v="10.64"/>
    <n v="13.68"/>
    <n v="7.0000000000000007E-2"/>
    <n v="9.07"/>
  </r>
  <r>
    <x v="5"/>
    <x v="1"/>
    <x v="1"/>
    <x v="2"/>
    <x v="0"/>
    <x v="0"/>
    <n v="4.3099999999999996"/>
    <n v="5.54"/>
    <n v="3.39"/>
    <n v="4.18"/>
  </r>
  <r>
    <x v="5"/>
    <x v="1"/>
    <x v="1"/>
    <x v="2"/>
    <x v="4"/>
    <x v="0"/>
    <n v="6.09"/>
    <n v="7.83"/>
    <n v="2.17"/>
    <n v="5.86"/>
  </r>
  <r>
    <x v="5"/>
    <x v="1"/>
    <x v="1"/>
    <x v="0"/>
    <x v="0"/>
    <x v="0"/>
    <n v="19.100000000000001"/>
    <n v="24.56"/>
    <n v="9.9600000000000009"/>
    <n v="16.32"/>
  </r>
  <r>
    <x v="5"/>
    <x v="1"/>
    <x v="1"/>
    <x v="2"/>
    <x v="3"/>
    <x v="3"/>
    <n v="64.2"/>
    <n v="82.52"/>
    <n v="0.06"/>
    <n v="57.31"/>
  </r>
  <r>
    <x v="5"/>
    <x v="1"/>
    <x v="1"/>
    <x v="4"/>
    <x v="2"/>
    <x v="2"/>
    <n v="1.48"/>
    <n v="1.91"/>
    <n v="0.02"/>
    <n v="1.48"/>
  </r>
  <r>
    <x v="5"/>
    <x v="1"/>
    <x v="1"/>
    <x v="1"/>
    <x v="4"/>
    <x v="2"/>
    <n v="0.55000000000000004"/>
    <n v="0.71"/>
    <n v="0.02"/>
    <n v="0.45"/>
  </r>
  <r>
    <x v="5"/>
    <x v="1"/>
    <x v="1"/>
    <x v="4"/>
    <x v="1"/>
    <x v="0"/>
    <n v="50.74"/>
    <n v="65.22"/>
    <n v="3.18"/>
    <n v="44.19"/>
  </r>
  <r>
    <x v="5"/>
    <x v="1"/>
    <x v="1"/>
    <x v="2"/>
    <x v="3"/>
    <x v="2"/>
    <n v="7.06"/>
    <n v="9.07"/>
    <n v="0.01"/>
    <n v="7.06"/>
  </r>
  <r>
    <x v="5"/>
    <x v="1"/>
    <x v="1"/>
    <x v="1"/>
    <x v="2"/>
    <x v="1"/>
    <n v="40.92"/>
    <n v="52.59"/>
    <n v="0.14000000000000001"/>
    <n v="35.14"/>
  </r>
  <r>
    <x v="5"/>
    <x v="1"/>
    <x v="1"/>
    <x v="4"/>
    <x v="0"/>
    <x v="1"/>
    <n v="2.2400000000000002"/>
    <n v="2.87"/>
    <n v="0.23"/>
    <n v="1.9"/>
  </r>
  <r>
    <x v="5"/>
    <x v="1"/>
    <x v="1"/>
    <x v="4"/>
    <x v="4"/>
    <x v="1"/>
    <n v="1.42"/>
    <n v="1.83"/>
    <n v="0.09"/>
    <n v="1.2"/>
  </r>
  <r>
    <x v="5"/>
    <x v="1"/>
    <x v="1"/>
    <x v="4"/>
    <x v="1"/>
    <x v="1"/>
    <n v="2.23"/>
    <n v="2.87"/>
    <n v="7.0000000000000007E-2"/>
    <n v="1.9"/>
  </r>
  <r>
    <x v="5"/>
    <x v="1"/>
    <x v="1"/>
    <x v="1"/>
    <x v="1"/>
    <x v="1"/>
    <n v="23.34"/>
    <n v="30"/>
    <n v="0.2"/>
    <n v="19.739999999999998"/>
  </r>
  <r>
    <x v="5"/>
    <x v="1"/>
    <x v="1"/>
    <x v="0"/>
    <x v="4"/>
    <x v="1"/>
    <n v="3.89"/>
    <n v="5"/>
    <n v="0.1"/>
    <n v="3.27"/>
  </r>
  <r>
    <x v="5"/>
    <x v="1"/>
    <x v="1"/>
    <x v="0"/>
    <x v="1"/>
    <x v="1"/>
    <n v="0.05"/>
    <n v="7.0000000000000007E-2"/>
    <n v="0"/>
    <n v="0.05"/>
  </r>
  <r>
    <x v="5"/>
    <x v="1"/>
    <x v="1"/>
    <x v="1"/>
    <x v="0"/>
    <x v="1"/>
    <n v="8.4600000000000009"/>
    <n v="10.88"/>
    <n v="0.31"/>
    <n v="7.31"/>
  </r>
  <r>
    <x v="5"/>
    <x v="1"/>
    <x v="1"/>
    <x v="1"/>
    <x v="4"/>
    <x v="1"/>
    <n v="5.72"/>
    <n v="7.36"/>
    <n v="0.16"/>
    <n v="4.8600000000000003"/>
  </r>
  <r>
    <x v="5"/>
    <x v="1"/>
    <x v="1"/>
    <x v="4"/>
    <x v="1"/>
    <x v="2"/>
    <n v="7.0000000000000007E-2"/>
    <n v="0.1"/>
    <n v="0"/>
    <n v="0.06"/>
  </r>
  <r>
    <x v="5"/>
    <x v="1"/>
    <x v="1"/>
    <x v="0"/>
    <x v="0"/>
    <x v="1"/>
    <n v="7.91"/>
    <n v="10.17"/>
    <n v="0.17"/>
    <n v="6.99"/>
  </r>
  <r>
    <x v="5"/>
    <x v="1"/>
    <x v="1"/>
    <x v="1"/>
    <x v="1"/>
    <x v="2"/>
    <n v="0.89"/>
    <n v="1.1399999999999999"/>
    <n v="0.01"/>
    <n v="0.73"/>
  </r>
  <r>
    <x v="5"/>
    <x v="2"/>
    <x v="2"/>
    <x v="4"/>
    <x v="1"/>
    <x v="1"/>
    <n v="0.05"/>
    <n v="0.06"/>
    <n v="0"/>
    <n v="0.05"/>
  </r>
  <r>
    <x v="5"/>
    <x v="2"/>
    <x v="2"/>
    <x v="4"/>
    <x v="4"/>
    <x v="1"/>
    <n v="0.11"/>
    <n v="0.13"/>
    <n v="0"/>
    <n v="0.1"/>
  </r>
  <r>
    <x v="5"/>
    <x v="2"/>
    <x v="2"/>
    <x v="2"/>
    <x v="3"/>
    <x v="3"/>
    <n v="6.45"/>
    <n v="7.72"/>
    <n v="0"/>
    <n v="6.38"/>
  </r>
  <r>
    <x v="5"/>
    <x v="2"/>
    <x v="2"/>
    <x v="2"/>
    <x v="1"/>
    <x v="3"/>
    <n v="1.2"/>
    <n v="1.44"/>
    <n v="0"/>
    <n v="1.2"/>
  </r>
  <r>
    <x v="5"/>
    <x v="2"/>
    <x v="2"/>
    <x v="2"/>
    <x v="3"/>
    <x v="2"/>
    <n v="2.36"/>
    <n v="2.82"/>
    <n v="0"/>
    <n v="2"/>
  </r>
  <r>
    <x v="5"/>
    <x v="2"/>
    <x v="2"/>
    <x v="1"/>
    <x v="4"/>
    <x v="2"/>
    <n v="0.56000000000000005"/>
    <n v="0.67"/>
    <n v="0.01"/>
    <n v="0.48"/>
  </r>
  <r>
    <x v="5"/>
    <x v="2"/>
    <x v="2"/>
    <x v="4"/>
    <x v="2"/>
    <x v="2"/>
    <n v="0.6"/>
    <n v="0.72"/>
    <n v="0"/>
    <n v="0.52"/>
  </r>
  <r>
    <x v="5"/>
    <x v="2"/>
    <x v="2"/>
    <x v="4"/>
    <x v="4"/>
    <x v="2"/>
    <n v="0.25"/>
    <n v="0.3"/>
    <n v="0.01"/>
    <n v="0.22"/>
  </r>
  <r>
    <x v="5"/>
    <x v="2"/>
    <x v="2"/>
    <x v="1"/>
    <x v="0"/>
    <x v="1"/>
    <n v="1.1000000000000001"/>
    <n v="1.32"/>
    <n v="0.03"/>
    <n v="1.05"/>
  </r>
  <r>
    <x v="5"/>
    <x v="2"/>
    <x v="2"/>
    <x v="0"/>
    <x v="4"/>
    <x v="1"/>
    <n v="7.0000000000000007E-2"/>
    <n v="0.08"/>
    <n v="0"/>
    <n v="0.06"/>
  </r>
  <r>
    <x v="5"/>
    <x v="2"/>
    <x v="2"/>
    <x v="4"/>
    <x v="1"/>
    <x v="2"/>
    <n v="0.14000000000000001"/>
    <n v="0.17"/>
    <n v="0.01"/>
    <n v="0.12"/>
  </r>
  <r>
    <x v="5"/>
    <x v="2"/>
    <x v="2"/>
    <x v="1"/>
    <x v="1"/>
    <x v="0"/>
    <n v="7.68"/>
    <n v="9.19"/>
    <n v="0.4"/>
    <n v="7.16"/>
  </r>
  <r>
    <x v="5"/>
    <x v="2"/>
    <x v="2"/>
    <x v="0"/>
    <x v="0"/>
    <x v="1"/>
    <n v="1.63"/>
    <n v="1.95"/>
    <n v="0.05"/>
    <n v="1.48"/>
  </r>
  <r>
    <x v="5"/>
    <x v="2"/>
    <x v="2"/>
    <x v="1"/>
    <x v="4"/>
    <x v="1"/>
    <n v="0.08"/>
    <n v="0.09"/>
    <n v="0"/>
    <n v="7.0000000000000007E-2"/>
  </r>
  <r>
    <x v="5"/>
    <x v="2"/>
    <x v="2"/>
    <x v="2"/>
    <x v="4"/>
    <x v="0"/>
    <n v="2.19"/>
    <n v="2.62"/>
    <n v="0.56000000000000005"/>
    <n v="2.0499999999999998"/>
  </r>
  <r>
    <x v="5"/>
    <x v="2"/>
    <x v="2"/>
    <x v="1"/>
    <x v="2"/>
    <x v="0"/>
    <n v="0.92"/>
    <n v="1.1000000000000001"/>
    <n v="0.02"/>
    <n v="0.81"/>
  </r>
  <r>
    <x v="5"/>
    <x v="2"/>
    <x v="2"/>
    <x v="1"/>
    <x v="4"/>
    <x v="0"/>
    <n v="116.37"/>
    <n v="139.28"/>
    <n v="16.989999999999998"/>
    <n v="106.82"/>
  </r>
  <r>
    <x v="5"/>
    <x v="2"/>
    <x v="2"/>
    <x v="1"/>
    <x v="0"/>
    <x v="0"/>
    <n v="4.34"/>
    <n v="5.19"/>
    <n v="2.19"/>
    <n v="4.09"/>
  </r>
  <r>
    <x v="5"/>
    <x v="2"/>
    <x v="2"/>
    <x v="0"/>
    <x v="2"/>
    <x v="0"/>
    <n v="0.46"/>
    <n v="0.55000000000000004"/>
    <n v="0.01"/>
    <n v="0.44"/>
  </r>
  <r>
    <x v="5"/>
    <x v="2"/>
    <x v="2"/>
    <x v="0"/>
    <x v="4"/>
    <x v="0"/>
    <n v="20.14"/>
    <n v="24.1"/>
    <n v="4.2699999999999996"/>
    <n v="18.36"/>
  </r>
  <r>
    <x v="5"/>
    <x v="2"/>
    <x v="2"/>
    <x v="0"/>
    <x v="0"/>
    <x v="0"/>
    <n v="4.38"/>
    <n v="5.24"/>
    <n v="2.69"/>
    <n v="3.98"/>
  </r>
  <r>
    <x v="5"/>
    <x v="2"/>
    <x v="2"/>
    <x v="4"/>
    <x v="4"/>
    <x v="0"/>
    <n v="43.11"/>
    <n v="51.6"/>
    <n v="5.05"/>
    <n v="39.43"/>
  </r>
  <r>
    <x v="5"/>
    <x v="2"/>
    <x v="2"/>
    <x v="3"/>
    <x v="4"/>
    <x v="0"/>
    <n v="3.64"/>
    <n v="4.3600000000000003"/>
    <n v="0.7"/>
    <n v="3.4"/>
  </r>
  <r>
    <x v="5"/>
    <x v="2"/>
    <x v="2"/>
    <x v="3"/>
    <x v="0"/>
    <x v="0"/>
    <n v="0.52"/>
    <n v="0.62"/>
    <n v="0.14000000000000001"/>
    <n v="0.48"/>
  </r>
  <r>
    <x v="5"/>
    <x v="2"/>
    <x v="2"/>
    <x v="2"/>
    <x v="3"/>
    <x v="1"/>
    <n v="0.55000000000000004"/>
    <n v="0.66"/>
    <n v="0"/>
    <n v="0.5"/>
  </r>
  <r>
    <x v="5"/>
    <x v="2"/>
    <x v="2"/>
    <x v="1"/>
    <x v="2"/>
    <x v="1"/>
    <n v="4.8499999999999996"/>
    <n v="5.8"/>
    <n v="0.03"/>
    <n v="4.38"/>
  </r>
  <r>
    <x v="5"/>
    <x v="2"/>
    <x v="2"/>
    <x v="4"/>
    <x v="1"/>
    <x v="0"/>
    <n v="3.83"/>
    <n v="4.58"/>
    <n v="0.22"/>
    <n v="3.54"/>
  </r>
  <r>
    <x v="5"/>
    <x v="2"/>
    <x v="2"/>
    <x v="2"/>
    <x v="0"/>
    <x v="0"/>
    <n v="4.09"/>
    <n v="4.9000000000000004"/>
    <n v="2.11"/>
    <n v="3.81"/>
  </r>
  <r>
    <x v="5"/>
    <x v="2"/>
    <x v="2"/>
    <x v="1"/>
    <x v="1"/>
    <x v="1"/>
    <n v="0.38"/>
    <n v="0.45"/>
    <n v="0"/>
    <n v="0.34"/>
  </r>
  <r>
    <x v="5"/>
    <x v="2"/>
    <x v="3"/>
    <x v="1"/>
    <x v="1"/>
    <x v="0"/>
    <n v="18.28"/>
    <n v="21.88"/>
    <n v="0.7"/>
    <n v="17.13"/>
  </r>
  <r>
    <x v="5"/>
    <x v="2"/>
    <x v="3"/>
    <x v="3"/>
    <x v="0"/>
    <x v="0"/>
    <n v="0.39"/>
    <n v="0.46"/>
    <n v="0.12"/>
    <n v="0.36"/>
  </r>
  <r>
    <x v="5"/>
    <x v="2"/>
    <x v="3"/>
    <x v="3"/>
    <x v="4"/>
    <x v="0"/>
    <n v="3.28"/>
    <n v="3.92"/>
    <n v="0.55000000000000004"/>
    <n v="3.1"/>
  </r>
  <r>
    <x v="5"/>
    <x v="2"/>
    <x v="3"/>
    <x v="4"/>
    <x v="4"/>
    <x v="0"/>
    <n v="41.33"/>
    <n v="49.46"/>
    <n v="4.7699999999999996"/>
    <n v="38.19"/>
  </r>
  <r>
    <x v="5"/>
    <x v="2"/>
    <x v="3"/>
    <x v="4"/>
    <x v="1"/>
    <x v="0"/>
    <n v="11.42"/>
    <n v="13.66"/>
    <n v="0.75"/>
    <n v="10.54"/>
  </r>
  <r>
    <x v="5"/>
    <x v="2"/>
    <x v="3"/>
    <x v="4"/>
    <x v="2"/>
    <x v="0"/>
    <n v="0.96"/>
    <n v="1.1499999999999999"/>
    <n v="0"/>
    <n v="0.88"/>
  </r>
  <r>
    <x v="5"/>
    <x v="2"/>
    <x v="3"/>
    <x v="2"/>
    <x v="4"/>
    <x v="0"/>
    <n v="2.25"/>
    <n v="2.69"/>
    <n v="0.45"/>
    <n v="2.11"/>
  </r>
  <r>
    <x v="5"/>
    <x v="2"/>
    <x v="3"/>
    <x v="0"/>
    <x v="0"/>
    <x v="0"/>
    <n v="3.08"/>
    <n v="3.69"/>
    <n v="1.86"/>
    <n v="2.8"/>
  </r>
  <r>
    <x v="5"/>
    <x v="2"/>
    <x v="3"/>
    <x v="0"/>
    <x v="4"/>
    <x v="0"/>
    <n v="6.19"/>
    <n v="7.41"/>
    <n v="1.32"/>
    <n v="5.72"/>
  </r>
  <r>
    <x v="5"/>
    <x v="2"/>
    <x v="3"/>
    <x v="1"/>
    <x v="4"/>
    <x v="0"/>
    <n v="82.57"/>
    <n v="98.83"/>
    <n v="12.64"/>
    <n v="76.42"/>
  </r>
  <r>
    <x v="5"/>
    <x v="2"/>
    <x v="3"/>
    <x v="1"/>
    <x v="2"/>
    <x v="0"/>
    <n v="1.1000000000000001"/>
    <n v="1.31"/>
    <n v="0.01"/>
    <n v="1"/>
  </r>
  <r>
    <x v="5"/>
    <x v="2"/>
    <x v="3"/>
    <x v="2"/>
    <x v="0"/>
    <x v="0"/>
    <n v="2.66"/>
    <n v="3.19"/>
    <n v="1.46"/>
    <n v="2.4900000000000002"/>
  </r>
  <r>
    <x v="5"/>
    <x v="2"/>
    <x v="3"/>
    <x v="2"/>
    <x v="3"/>
    <x v="1"/>
    <n v="0.97"/>
    <n v="1.1599999999999999"/>
    <n v="0"/>
    <n v="0.88"/>
  </r>
  <r>
    <x v="5"/>
    <x v="2"/>
    <x v="3"/>
    <x v="2"/>
    <x v="3"/>
    <x v="3"/>
    <n v="25.48"/>
    <n v="30.5"/>
    <n v="0.01"/>
    <n v="25.44"/>
  </r>
  <r>
    <x v="5"/>
    <x v="2"/>
    <x v="3"/>
    <x v="1"/>
    <x v="0"/>
    <x v="0"/>
    <n v="5.29"/>
    <n v="6.34"/>
    <n v="2.74"/>
    <n v="5.01"/>
  </r>
  <r>
    <x v="5"/>
    <x v="2"/>
    <x v="3"/>
    <x v="4"/>
    <x v="4"/>
    <x v="1"/>
    <n v="0.25"/>
    <n v="0.3"/>
    <n v="0"/>
    <n v="0.23"/>
  </r>
  <r>
    <x v="5"/>
    <x v="2"/>
    <x v="3"/>
    <x v="4"/>
    <x v="4"/>
    <x v="2"/>
    <n v="0.27"/>
    <n v="0.33"/>
    <n v="0.01"/>
    <n v="0.24"/>
  </r>
  <r>
    <x v="5"/>
    <x v="2"/>
    <x v="3"/>
    <x v="4"/>
    <x v="1"/>
    <x v="2"/>
    <n v="0.14000000000000001"/>
    <n v="0.16"/>
    <n v="0"/>
    <n v="0.12"/>
  </r>
  <r>
    <x v="5"/>
    <x v="2"/>
    <x v="3"/>
    <x v="4"/>
    <x v="2"/>
    <x v="2"/>
    <n v="0.57999999999999996"/>
    <n v="0.69"/>
    <n v="0"/>
    <n v="0.5"/>
  </r>
  <r>
    <x v="5"/>
    <x v="2"/>
    <x v="3"/>
    <x v="4"/>
    <x v="1"/>
    <x v="1"/>
    <n v="0.1"/>
    <n v="0.12"/>
    <n v="0"/>
    <n v="0.09"/>
  </r>
  <r>
    <x v="5"/>
    <x v="2"/>
    <x v="3"/>
    <x v="2"/>
    <x v="3"/>
    <x v="2"/>
    <n v="14.07"/>
    <n v="16.84"/>
    <n v="0.01"/>
    <n v="12.65"/>
  </r>
  <r>
    <x v="5"/>
    <x v="2"/>
    <x v="3"/>
    <x v="1"/>
    <x v="2"/>
    <x v="1"/>
    <n v="12.86"/>
    <n v="15.39"/>
    <n v="0.06"/>
    <n v="11.85"/>
  </r>
  <r>
    <x v="5"/>
    <x v="2"/>
    <x v="3"/>
    <x v="0"/>
    <x v="0"/>
    <x v="1"/>
    <n v="3.64"/>
    <n v="4.3499999999999996"/>
    <n v="0.1"/>
    <n v="3.28"/>
  </r>
  <r>
    <x v="5"/>
    <x v="2"/>
    <x v="3"/>
    <x v="0"/>
    <x v="4"/>
    <x v="1"/>
    <n v="0.13"/>
    <n v="0.15"/>
    <n v="0"/>
    <n v="0.11"/>
  </r>
  <r>
    <x v="5"/>
    <x v="2"/>
    <x v="3"/>
    <x v="0"/>
    <x v="1"/>
    <x v="1"/>
    <n v="0.15"/>
    <n v="0.17"/>
    <n v="0"/>
    <n v="0.14000000000000001"/>
  </r>
  <r>
    <x v="5"/>
    <x v="2"/>
    <x v="3"/>
    <x v="1"/>
    <x v="0"/>
    <x v="1"/>
    <n v="1.33"/>
    <n v="1.59"/>
    <n v="7.0000000000000007E-2"/>
    <n v="1.2"/>
  </r>
  <r>
    <x v="5"/>
    <x v="2"/>
    <x v="3"/>
    <x v="1"/>
    <x v="4"/>
    <x v="1"/>
    <n v="0.73"/>
    <n v="0.88"/>
    <n v="0.01"/>
    <n v="0.72"/>
  </r>
  <r>
    <x v="5"/>
    <x v="2"/>
    <x v="3"/>
    <x v="1"/>
    <x v="1"/>
    <x v="1"/>
    <n v="1"/>
    <n v="1.19"/>
    <n v="0.01"/>
    <n v="0.91"/>
  </r>
  <r>
    <x v="5"/>
    <x v="2"/>
    <x v="3"/>
    <x v="1"/>
    <x v="4"/>
    <x v="2"/>
    <n v="4.0999999999999996"/>
    <n v="4.91"/>
    <n v="0.1"/>
    <n v="3.57"/>
  </r>
  <r>
    <x v="5"/>
    <x v="0"/>
    <x v="4"/>
    <x v="2"/>
    <x v="0"/>
    <x v="0"/>
    <n v="17.260000000000002"/>
    <n v="26.67"/>
    <n v="13.83"/>
    <n v="16.440000000000001"/>
  </r>
  <r>
    <x v="5"/>
    <x v="0"/>
    <x v="4"/>
    <x v="1"/>
    <x v="1"/>
    <x v="1"/>
    <n v="18.3"/>
    <n v="28.27"/>
    <n v="0.15"/>
    <n v="17.420000000000002"/>
  </r>
  <r>
    <x v="5"/>
    <x v="0"/>
    <x v="4"/>
    <x v="2"/>
    <x v="4"/>
    <x v="0"/>
    <n v="33.08"/>
    <n v="51.1"/>
    <n v="10.24"/>
    <n v="31.91"/>
  </r>
  <r>
    <x v="5"/>
    <x v="0"/>
    <x v="4"/>
    <x v="1"/>
    <x v="2"/>
    <x v="0"/>
    <n v="26"/>
    <n v="40.17"/>
    <n v="0.28000000000000003"/>
    <n v="24.69"/>
  </r>
  <r>
    <x v="5"/>
    <x v="0"/>
    <x v="4"/>
    <x v="2"/>
    <x v="3"/>
    <x v="1"/>
    <n v="2.8"/>
    <n v="4.32"/>
    <n v="0"/>
    <n v="2.67"/>
  </r>
  <r>
    <x v="5"/>
    <x v="0"/>
    <x v="4"/>
    <x v="1"/>
    <x v="2"/>
    <x v="1"/>
    <n v="58.15"/>
    <n v="89.84"/>
    <n v="0.14000000000000001"/>
    <n v="55.43"/>
  </r>
  <r>
    <x v="5"/>
    <x v="0"/>
    <x v="4"/>
    <x v="1"/>
    <x v="4"/>
    <x v="1"/>
    <n v="2.27"/>
    <n v="3.51"/>
    <n v="0.08"/>
    <n v="2.13"/>
  </r>
  <r>
    <x v="5"/>
    <x v="0"/>
    <x v="4"/>
    <x v="1"/>
    <x v="0"/>
    <x v="1"/>
    <n v="5.37"/>
    <n v="8.2899999999999991"/>
    <n v="0.45"/>
    <n v="5.09"/>
  </r>
  <r>
    <x v="5"/>
    <x v="0"/>
    <x v="4"/>
    <x v="0"/>
    <x v="4"/>
    <x v="1"/>
    <n v="0.02"/>
    <n v="0.03"/>
    <n v="0.01"/>
    <n v="0.02"/>
  </r>
  <r>
    <x v="5"/>
    <x v="0"/>
    <x v="4"/>
    <x v="0"/>
    <x v="0"/>
    <x v="1"/>
    <n v="12.38"/>
    <n v="19.13"/>
    <n v="0.28999999999999998"/>
    <n v="11.81"/>
  </r>
  <r>
    <x v="5"/>
    <x v="0"/>
    <x v="4"/>
    <x v="4"/>
    <x v="1"/>
    <x v="1"/>
    <n v="2.2000000000000002"/>
    <n v="3.4"/>
    <n v="0.11"/>
    <n v="2.08"/>
  </r>
  <r>
    <x v="5"/>
    <x v="0"/>
    <x v="4"/>
    <x v="3"/>
    <x v="0"/>
    <x v="0"/>
    <n v="0.88"/>
    <n v="1.37"/>
    <n v="0.97"/>
    <n v="0.88"/>
  </r>
  <r>
    <x v="5"/>
    <x v="0"/>
    <x v="4"/>
    <x v="4"/>
    <x v="0"/>
    <x v="1"/>
    <n v="1.33"/>
    <n v="2.06"/>
    <n v="0.08"/>
    <n v="1.26"/>
  </r>
  <r>
    <x v="5"/>
    <x v="0"/>
    <x v="4"/>
    <x v="2"/>
    <x v="3"/>
    <x v="3"/>
    <n v="189.73"/>
    <n v="293.10000000000002"/>
    <n v="0.08"/>
    <n v="185.28"/>
  </r>
  <r>
    <x v="5"/>
    <x v="0"/>
    <x v="4"/>
    <x v="2"/>
    <x v="3"/>
    <x v="2"/>
    <n v="1.97"/>
    <n v="3.05"/>
    <n v="0"/>
    <n v="1.97"/>
  </r>
  <r>
    <x v="5"/>
    <x v="0"/>
    <x v="4"/>
    <x v="2"/>
    <x v="4"/>
    <x v="1"/>
    <n v="0.74"/>
    <n v="1.1499999999999999"/>
    <n v="0"/>
    <n v="0.74"/>
  </r>
  <r>
    <x v="5"/>
    <x v="0"/>
    <x v="4"/>
    <x v="2"/>
    <x v="1"/>
    <x v="2"/>
    <n v="0.34"/>
    <n v="0.52"/>
    <n v="0"/>
    <n v="0.33"/>
  </r>
  <r>
    <x v="5"/>
    <x v="0"/>
    <x v="4"/>
    <x v="1"/>
    <x v="4"/>
    <x v="2"/>
    <n v="0.74"/>
    <n v="1.1499999999999999"/>
    <n v="0.03"/>
    <n v="0.71"/>
  </r>
  <r>
    <x v="5"/>
    <x v="0"/>
    <x v="4"/>
    <x v="4"/>
    <x v="2"/>
    <x v="2"/>
    <n v="1.5"/>
    <n v="2.3199999999999998"/>
    <n v="0.01"/>
    <n v="1.44"/>
  </r>
  <r>
    <x v="5"/>
    <x v="0"/>
    <x v="4"/>
    <x v="4"/>
    <x v="1"/>
    <x v="2"/>
    <n v="0.5"/>
    <n v="0.78"/>
    <n v="0.01"/>
    <n v="0.48"/>
  </r>
  <r>
    <x v="5"/>
    <x v="0"/>
    <x v="4"/>
    <x v="4"/>
    <x v="4"/>
    <x v="2"/>
    <n v="0.63"/>
    <n v="0.97"/>
    <n v="0.02"/>
    <n v="0.6"/>
  </r>
  <r>
    <x v="5"/>
    <x v="0"/>
    <x v="4"/>
    <x v="4"/>
    <x v="4"/>
    <x v="1"/>
    <n v="1.27"/>
    <n v="1.97"/>
    <n v="0.05"/>
    <n v="1.21"/>
  </r>
  <r>
    <x v="5"/>
    <x v="0"/>
    <x v="4"/>
    <x v="0"/>
    <x v="2"/>
    <x v="0"/>
    <n v="3.01"/>
    <n v="4.6500000000000004"/>
    <n v="0.01"/>
    <n v="2.8"/>
  </r>
  <r>
    <x v="5"/>
    <x v="0"/>
    <x v="4"/>
    <x v="3"/>
    <x v="4"/>
    <x v="0"/>
    <n v="10.26"/>
    <n v="15.85"/>
    <n v="2.37"/>
    <n v="9.8800000000000008"/>
  </r>
  <r>
    <x v="5"/>
    <x v="0"/>
    <x v="4"/>
    <x v="2"/>
    <x v="2"/>
    <x v="2"/>
    <n v="0.11"/>
    <n v="0.18"/>
    <n v="0"/>
    <n v="0.11"/>
  </r>
  <r>
    <x v="5"/>
    <x v="0"/>
    <x v="4"/>
    <x v="1"/>
    <x v="4"/>
    <x v="0"/>
    <n v="207.51"/>
    <n v="320.58"/>
    <n v="56.71"/>
    <n v="201.02"/>
  </r>
  <r>
    <x v="5"/>
    <x v="0"/>
    <x v="4"/>
    <x v="1"/>
    <x v="1"/>
    <x v="0"/>
    <n v="36.590000000000003"/>
    <n v="56.53"/>
    <n v="2.35"/>
    <n v="34.4"/>
  </r>
  <r>
    <x v="5"/>
    <x v="0"/>
    <x v="4"/>
    <x v="1"/>
    <x v="0"/>
    <x v="0"/>
    <n v="20.170000000000002"/>
    <n v="31.16"/>
    <n v="12.82"/>
    <n v="19.579999999999998"/>
  </r>
  <r>
    <x v="5"/>
    <x v="0"/>
    <x v="4"/>
    <x v="0"/>
    <x v="4"/>
    <x v="0"/>
    <n v="38.65"/>
    <n v="59.7"/>
    <n v="9.68"/>
    <n v="37.619999999999997"/>
  </r>
  <r>
    <x v="5"/>
    <x v="0"/>
    <x v="4"/>
    <x v="0"/>
    <x v="0"/>
    <x v="0"/>
    <n v="14.99"/>
    <n v="23.15"/>
    <n v="11.92"/>
    <n v="14.48"/>
  </r>
  <r>
    <x v="5"/>
    <x v="0"/>
    <x v="4"/>
    <x v="4"/>
    <x v="3"/>
    <x v="0"/>
    <n v="0.65"/>
    <n v="1.01"/>
    <n v="0.01"/>
    <n v="0.63"/>
  </r>
  <r>
    <x v="5"/>
    <x v="0"/>
    <x v="4"/>
    <x v="4"/>
    <x v="2"/>
    <x v="0"/>
    <n v="0.89"/>
    <n v="1.37"/>
    <n v="0.01"/>
    <n v="0.86"/>
  </r>
  <r>
    <x v="5"/>
    <x v="0"/>
    <x v="4"/>
    <x v="4"/>
    <x v="1"/>
    <x v="0"/>
    <n v="23.75"/>
    <n v="36.69"/>
    <n v="1.58"/>
    <n v="22.43"/>
  </r>
  <r>
    <x v="5"/>
    <x v="0"/>
    <x v="4"/>
    <x v="4"/>
    <x v="4"/>
    <x v="0"/>
    <n v="87.04"/>
    <n v="134.47"/>
    <n v="13.18"/>
    <n v="84.03"/>
  </r>
  <r>
    <x v="5"/>
    <x v="3"/>
    <x v="5"/>
    <x v="1"/>
    <x v="2"/>
    <x v="2"/>
    <n v="0.04"/>
    <n v="0.05"/>
    <n v="0"/>
    <n v="0.04"/>
  </r>
  <r>
    <x v="5"/>
    <x v="3"/>
    <x v="5"/>
    <x v="1"/>
    <x v="4"/>
    <x v="1"/>
    <n v="2.23"/>
    <n v="2.77"/>
    <n v="0.15"/>
    <n v="2.06"/>
  </r>
  <r>
    <x v="5"/>
    <x v="3"/>
    <x v="5"/>
    <x v="0"/>
    <x v="4"/>
    <x v="1"/>
    <n v="0.56999999999999995"/>
    <n v="0.71"/>
    <n v="0.02"/>
    <n v="0.52"/>
  </r>
  <r>
    <x v="5"/>
    <x v="3"/>
    <x v="5"/>
    <x v="0"/>
    <x v="0"/>
    <x v="1"/>
    <n v="20.94"/>
    <n v="26"/>
    <n v="0.83"/>
    <n v="19.21"/>
  </r>
  <r>
    <x v="5"/>
    <x v="3"/>
    <x v="5"/>
    <x v="4"/>
    <x v="1"/>
    <x v="1"/>
    <n v="0.63"/>
    <n v="0.78"/>
    <n v="0.08"/>
    <n v="0.57999999999999996"/>
  </r>
  <r>
    <x v="5"/>
    <x v="3"/>
    <x v="5"/>
    <x v="4"/>
    <x v="4"/>
    <x v="1"/>
    <n v="0.34"/>
    <n v="0.42"/>
    <n v="0.04"/>
    <n v="0.31"/>
  </r>
  <r>
    <x v="5"/>
    <x v="3"/>
    <x v="5"/>
    <x v="1"/>
    <x v="0"/>
    <x v="1"/>
    <n v="8.34"/>
    <n v="10.35"/>
    <n v="0.79"/>
    <n v="7.7"/>
  </r>
  <r>
    <x v="5"/>
    <x v="3"/>
    <x v="5"/>
    <x v="4"/>
    <x v="0"/>
    <x v="1"/>
    <n v="4.54"/>
    <n v="5.63"/>
    <n v="0.23"/>
    <n v="4.2"/>
  </r>
  <r>
    <x v="5"/>
    <x v="3"/>
    <x v="5"/>
    <x v="2"/>
    <x v="3"/>
    <x v="3"/>
    <n v="79.37"/>
    <n v="98.53"/>
    <n v="0.04"/>
    <n v="71.23"/>
  </r>
  <r>
    <x v="5"/>
    <x v="3"/>
    <x v="5"/>
    <x v="2"/>
    <x v="3"/>
    <x v="2"/>
    <n v="3.26"/>
    <n v="4.04"/>
    <n v="0"/>
    <n v="3.08"/>
  </r>
  <r>
    <x v="5"/>
    <x v="3"/>
    <x v="5"/>
    <x v="1"/>
    <x v="1"/>
    <x v="1"/>
    <n v="12.76"/>
    <n v="15.85"/>
    <n v="0.19"/>
    <n v="11.74"/>
  </r>
  <r>
    <x v="5"/>
    <x v="3"/>
    <x v="5"/>
    <x v="2"/>
    <x v="1"/>
    <x v="2"/>
    <n v="0.46"/>
    <n v="0.56999999999999995"/>
    <n v="0"/>
    <n v="0.44"/>
  </r>
  <r>
    <x v="5"/>
    <x v="3"/>
    <x v="5"/>
    <x v="1"/>
    <x v="2"/>
    <x v="0"/>
    <n v="10.85"/>
    <n v="13.47"/>
    <n v="0.14000000000000001"/>
    <n v="10.039999999999999"/>
  </r>
  <r>
    <x v="5"/>
    <x v="3"/>
    <x v="5"/>
    <x v="1"/>
    <x v="1"/>
    <x v="2"/>
    <n v="0.03"/>
    <n v="0.04"/>
    <n v="0"/>
    <n v="0.03"/>
  </r>
  <r>
    <x v="5"/>
    <x v="3"/>
    <x v="5"/>
    <x v="1"/>
    <x v="4"/>
    <x v="2"/>
    <n v="0.96"/>
    <n v="1.19"/>
    <n v="0.04"/>
    <n v="0.87"/>
  </r>
  <r>
    <x v="5"/>
    <x v="3"/>
    <x v="5"/>
    <x v="4"/>
    <x v="2"/>
    <x v="2"/>
    <n v="0.54"/>
    <n v="0.67"/>
    <n v="0"/>
    <n v="0.49"/>
  </r>
  <r>
    <x v="5"/>
    <x v="3"/>
    <x v="5"/>
    <x v="2"/>
    <x v="2"/>
    <x v="2"/>
    <n v="0.28999999999999998"/>
    <n v="0.35"/>
    <n v="0"/>
    <n v="0.27"/>
  </r>
  <r>
    <x v="5"/>
    <x v="3"/>
    <x v="5"/>
    <x v="1"/>
    <x v="0"/>
    <x v="0"/>
    <n v="45.64"/>
    <n v="56.66"/>
    <n v="33.18"/>
    <n v="44.22"/>
  </r>
  <r>
    <x v="5"/>
    <x v="3"/>
    <x v="5"/>
    <x v="4"/>
    <x v="1"/>
    <x v="2"/>
    <n v="0.52"/>
    <n v="0.64"/>
    <n v="0"/>
    <n v="0.47"/>
  </r>
  <r>
    <x v="5"/>
    <x v="3"/>
    <x v="5"/>
    <x v="3"/>
    <x v="4"/>
    <x v="0"/>
    <n v="64.540000000000006"/>
    <n v="80.13"/>
    <n v="21.11"/>
    <n v="60.83"/>
  </r>
  <r>
    <x v="5"/>
    <x v="3"/>
    <x v="5"/>
    <x v="4"/>
    <x v="4"/>
    <x v="0"/>
    <n v="186.78"/>
    <n v="231.89"/>
    <n v="24.68"/>
    <n v="181.39"/>
  </r>
  <r>
    <x v="5"/>
    <x v="3"/>
    <x v="5"/>
    <x v="4"/>
    <x v="1"/>
    <x v="0"/>
    <n v="28.59"/>
    <n v="35.49"/>
    <n v="1.36"/>
    <n v="28.15"/>
  </r>
  <r>
    <x v="5"/>
    <x v="3"/>
    <x v="5"/>
    <x v="4"/>
    <x v="2"/>
    <x v="0"/>
    <n v="0.94"/>
    <n v="1.17"/>
    <n v="0.02"/>
    <n v="0.88"/>
  </r>
  <r>
    <x v="5"/>
    <x v="3"/>
    <x v="5"/>
    <x v="4"/>
    <x v="3"/>
    <x v="0"/>
    <n v="1.53"/>
    <n v="1.9"/>
    <n v="0.02"/>
    <n v="1.42"/>
  </r>
  <r>
    <x v="5"/>
    <x v="3"/>
    <x v="5"/>
    <x v="2"/>
    <x v="4"/>
    <x v="0"/>
    <n v="57.96"/>
    <n v="71.959999999999994"/>
    <n v="20.97"/>
    <n v="56.57"/>
  </r>
  <r>
    <x v="5"/>
    <x v="3"/>
    <x v="5"/>
    <x v="0"/>
    <x v="4"/>
    <x v="0"/>
    <n v="41.76"/>
    <n v="51.85"/>
    <n v="22.01"/>
    <n v="40.479999999999997"/>
  </r>
  <r>
    <x v="5"/>
    <x v="3"/>
    <x v="5"/>
    <x v="1"/>
    <x v="2"/>
    <x v="1"/>
    <n v="46.61"/>
    <n v="57.87"/>
    <n v="0.22"/>
    <n v="42.8"/>
  </r>
  <r>
    <x v="5"/>
    <x v="3"/>
    <x v="5"/>
    <x v="1"/>
    <x v="4"/>
    <x v="0"/>
    <n v="425.17"/>
    <n v="527.85"/>
    <n v="122.06"/>
    <n v="408.61"/>
  </r>
  <r>
    <x v="5"/>
    <x v="3"/>
    <x v="5"/>
    <x v="1"/>
    <x v="1"/>
    <x v="0"/>
    <n v="125.31"/>
    <n v="155.57"/>
    <n v="7.89"/>
    <n v="122.83"/>
  </r>
  <r>
    <x v="5"/>
    <x v="3"/>
    <x v="5"/>
    <x v="2"/>
    <x v="0"/>
    <x v="0"/>
    <n v="29.65"/>
    <n v="36.81"/>
    <n v="14.24"/>
    <n v="28.1"/>
  </r>
  <r>
    <x v="5"/>
    <x v="3"/>
    <x v="5"/>
    <x v="3"/>
    <x v="0"/>
    <x v="0"/>
    <n v="27.52"/>
    <n v="34.17"/>
    <n v="28.39"/>
    <n v="26.47"/>
  </r>
  <r>
    <x v="5"/>
    <x v="3"/>
    <x v="5"/>
    <x v="2"/>
    <x v="3"/>
    <x v="1"/>
    <n v="2.35"/>
    <n v="2.92"/>
    <n v="0.01"/>
    <n v="2.2000000000000002"/>
  </r>
  <r>
    <x v="5"/>
    <x v="3"/>
    <x v="5"/>
    <x v="2"/>
    <x v="4"/>
    <x v="1"/>
    <n v="0.21"/>
    <n v="0.26"/>
    <n v="0"/>
    <n v="0.2"/>
  </r>
  <r>
    <x v="5"/>
    <x v="3"/>
    <x v="5"/>
    <x v="0"/>
    <x v="0"/>
    <x v="0"/>
    <n v="4.5"/>
    <n v="5.59"/>
    <n v="0.78"/>
    <n v="4.18"/>
  </r>
  <r>
    <x v="5"/>
    <x v="3"/>
    <x v="5"/>
    <x v="4"/>
    <x v="4"/>
    <x v="2"/>
    <n v="2.75"/>
    <n v="3.42"/>
    <n v="0.09"/>
    <n v="2.4900000000000002"/>
  </r>
  <r>
    <x v="5"/>
    <x v="3"/>
    <x v="5"/>
    <x v="4"/>
    <x v="0"/>
    <x v="0"/>
    <n v="0.8"/>
    <n v="1"/>
    <n v="0.74"/>
    <n v="0.78"/>
  </r>
  <r>
    <x v="5"/>
    <x v="0"/>
    <x v="6"/>
    <x v="0"/>
    <x v="4"/>
    <x v="0"/>
    <n v="5"/>
    <n v="6.61"/>
    <n v="1.26"/>
    <n v="4.76"/>
  </r>
  <r>
    <x v="5"/>
    <x v="0"/>
    <x v="6"/>
    <x v="2"/>
    <x v="3"/>
    <x v="1"/>
    <n v="0.16"/>
    <n v="0.21"/>
    <n v="0"/>
    <n v="0.15"/>
  </r>
  <r>
    <x v="5"/>
    <x v="0"/>
    <x v="6"/>
    <x v="3"/>
    <x v="0"/>
    <x v="0"/>
    <n v="0.08"/>
    <n v="0.11"/>
    <n v="0.05"/>
    <n v="0.08"/>
  </r>
  <r>
    <x v="5"/>
    <x v="0"/>
    <x v="6"/>
    <x v="3"/>
    <x v="4"/>
    <x v="0"/>
    <n v="0.67"/>
    <n v="0.89"/>
    <n v="0.2"/>
    <n v="0.63"/>
  </r>
  <r>
    <x v="5"/>
    <x v="0"/>
    <x v="6"/>
    <x v="4"/>
    <x v="4"/>
    <x v="0"/>
    <n v="10.76"/>
    <n v="14.21"/>
    <n v="1.95"/>
    <n v="10.25"/>
  </r>
  <r>
    <x v="5"/>
    <x v="0"/>
    <x v="6"/>
    <x v="4"/>
    <x v="1"/>
    <x v="0"/>
    <n v="2.75"/>
    <n v="3.64"/>
    <n v="0.19"/>
    <n v="2.52"/>
  </r>
  <r>
    <x v="5"/>
    <x v="0"/>
    <x v="6"/>
    <x v="4"/>
    <x v="2"/>
    <x v="0"/>
    <n v="0.14000000000000001"/>
    <n v="0.19"/>
    <n v="0"/>
    <n v="0.13"/>
  </r>
  <r>
    <x v="5"/>
    <x v="0"/>
    <x v="6"/>
    <x v="2"/>
    <x v="0"/>
    <x v="0"/>
    <n v="2.65"/>
    <n v="3.5"/>
    <n v="2.1"/>
    <n v="2.4900000000000002"/>
  </r>
  <r>
    <x v="5"/>
    <x v="0"/>
    <x v="6"/>
    <x v="0"/>
    <x v="0"/>
    <x v="0"/>
    <n v="2.37"/>
    <n v="3.13"/>
    <n v="2.2000000000000002"/>
    <n v="2.21"/>
  </r>
  <r>
    <x v="5"/>
    <x v="0"/>
    <x v="6"/>
    <x v="1"/>
    <x v="4"/>
    <x v="1"/>
    <n v="1.79"/>
    <n v="2.36"/>
    <n v="7.0000000000000007E-2"/>
    <n v="1.69"/>
  </r>
  <r>
    <x v="5"/>
    <x v="0"/>
    <x v="6"/>
    <x v="1"/>
    <x v="0"/>
    <x v="0"/>
    <n v="3.17"/>
    <n v="4.18"/>
    <n v="1.83"/>
    <n v="3.03"/>
  </r>
  <r>
    <x v="5"/>
    <x v="0"/>
    <x v="6"/>
    <x v="1"/>
    <x v="4"/>
    <x v="0"/>
    <n v="36.25"/>
    <n v="47.9"/>
    <n v="8.36"/>
    <n v="34.479999999999997"/>
  </r>
  <r>
    <x v="5"/>
    <x v="0"/>
    <x v="6"/>
    <x v="1"/>
    <x v="1"/>
    <x v="0"/>
    <n v="3.7"/>
    <n v="4.8899999999999997"/>
    <n v="0.27"/>
    <n v="3.51"/>
  </r>
  <r>
    <x v="5"/>
    <x v="0"/>
    <x v="6"/>
    <x v="1"/>
    <x v="2"/>
    <x v="0"/>
    <n v="21.95"/>
    <n v="29"/>
    <n v="0.21"/>
    <n v="20.71"/>
  </r>
  <r>
    <x v="5"/>
    <x v="0"/>
    <x v="6"/>
    <x v="4"/>
    <x v="3"/>
    <x v="0"/>
    <n v="0.19"/>
    <n v="0.25"/>
    <n v="0"/>
    <n v="0.18"/>
  </r>
  <r>
    <x v="5"/>
    <x v="0"/>
    <x v="6"/>
    <x v="1"/>
    <x v="1"/>
    <x v="1"/>
    <n v="7.78"/>
    <n v="10.28"/>
    <n v="0.13"/>
    <n v="7.38"/>
  </r>
  <r>
    <x v="5"/>
    <x v="0"/>
    <x v="6"/>
    <x v="0"/>
    <x v="4"/>
    <x v="1"/>
    <n v="0.01"/>
    <n v="0.01"/>
    <n v="0"/>
    <n v="0.01"/>
  </r>
  <r>
    <x v="5"/>
    <x v="0"/>
    <x v="6"/>
    <x v="1"/>
    <x v="0"/>
    <x v="1"/>
    <n v="3.53"/>
    <n v="4.66"/>
    <n v="0.31"/>
    <n v="3.33"/>
  </r>
  <r>
    <x v="5"/>
    <x v="0"/>
    <x v="6"/>
    <x v="0"/>
    <x v="0"/>
    <x v="1"/>
    <n v="2.2400000000000002"/>
    <n v="2.95"/>
    <n v="7.0000000000000007E-2"/>
    <n v="2.13"/>
  </r>
  <r>
    <x v="5"/>
    <x v="0"/>
    <x v="6"/>
    <x v="4"/>
    <x v="4"/>
    <x v="1"/>
    <n v="0.28000000000000003"/>
    <n v="0.37"/>
    <n v="0.02"/>
    <n v="0.27"/>
  </r>
  <r>
    <x v="5"/>
    <x v="0"/>
    <x v="6"/>
    <x v="4"/>
    <x v="0"/>
    <x v="1"/>
    <n v="1.51"/>
    <n v="2"/>
    <n v="0.09"/>
    <n v="1.43"/>
  </r>
  <r>
    <x v="5"/>
    <x v="0"/>
    <x v="6"/>
    <x v="2"/>
    <x v="3"/>
    <x v="3"/>
    <n v="1.75"/>
    <n v="2.31"/>
    <n v="0"/>
    <n v="1.71"/>
  </r>
  <r>
    <x v="5"/>
    <x v="0"/>
    <x v="6"/>
    <x v="2"/>
    <x v="3"/>
    <x v="2"/>
    <n v="4.3499999999999996"/>
    <n v="5.75"/>
    <n v="0"/>
    <n v="4.26"/>
  </r>
  <r>
    <x v="5"/>
    <x v="0"/>
    <x v="6"/>
    <x v="2"/>
    <x v="2"/>
    <x v="2"/>
    <n v="0.44"/>
    <n v="0.57999999999999996"/>
    <n v="0"/>
    <n v="0.43"/>
  </r>
  <r>
    <x v="5"/>
    <x v="0"/>
    <x v="6"/>
    <x v="2"/>
    <x v="1"/>
    <x v="2"/>
    <n v="0.6"/>
    <n v="0.8"/>
    <n v="0"/>
    <n v="0.59"/>
  </r>
  <r>
    <x v="5"/>
    <x v="0"/>
    <x v="6"/>
    <x v="1"/>
    <x v="4"/>
    <x v="2"/>
    <n v="0.76"/>
    <n v="1"/>
    <n v="0.04"/>
    <n v="0.71"/>
  </r>
  <r>
    <x v="5"/>
    <x v="0"/>
    <x v="6"/>
    <x v="4"/>
    <x v="2"/>
    <x v="2"/>
    <n v="0.9"/>
    <n v="1.18"/>
    <n v="0.01"/>
    <n v="0.84"/>
  </r>
  <r>
    <x v="5"/>
    <x v="0"/>
    <x v="6"/>
    <x v="4"/>
    <x v="1"/>
    <x v="2"/>
    <n v="0.78"/>
    <n v="1.03"/>
    <n v="0.02"/>
    <n v="0.73"/>
  </r>
  <r>
    <x v="5"/>
    <x v="0"/>
    <x v="6"/>
    <x v="4"/>
    <x v="4"/>
    <x v="2"/>
    <n v="1.05"/>
    <n v="1.39"/>
    <n v="0.04"/>
    <n v="0.99"/>
  </r>
  <r>
    <x v="5"/>
    <x v="0"/>
    <x v="6"/>
    <x v="1"/>
    <x v="2"/>
    <x v="1"/>
    <n v="13.72"/>
    <n v="18.13"/>
    <n v="0.05"/>
    <n v="13.03"/>
  </r>
  <r>
    <x v="5"/>
    <x v="0"/>
    <x v="6"/>
    <x v="4"/>
    <x v="1"/>
    <x v="1"/>
    <n v="2.34"/>
    <n v="3.09"/>
    <n v="0.13"/>
    <n v="2.2000000000000002"/>
  </r>
  <r>
    <x v="5"/>
    <x v="0"/>
    <x v="6"/>
    <x v="2"/>
    <x v="4"/>
    <x v="0"/>
    <n v="3.68"/>
    <n v="4.87"/>
    <n v="0.99"/>
    <n v="3.47"/>
  </r>
  <r>
    <x v="5"/>
    <x v="4"/>
    <x v="7"/>
    <x v="1"/>
    <x v="4"/>
    <x v="1"/>
    <n v="22.31"/>
    <n v="22.8"/>
    <n v="0.7"/>
    <n v="18.489999999999998"/>
  </r>
  <r>
    <x v="5"/>
    <x v="4"/>
    <x v="7"/>
    <x v="3"/>
    <x v="4"/>
    <x v="0"/>
    <n v="609.22"/>
    <n v="622.6"/>
    <n v="179.85"/>
    <n v="601.39"/>
  </r>
  <r>
    <x v="5"/>
    <x v="4"/>
    <x v="7"/>
    <x v="3"/>
    <x v="0"/>
    <x v="0"/>
    <n v="106.42"/>
    <n v="108.75"/>
    <n v="58.1"/>
    <n v="101.86"/>
  </r>
  <r>
    <x v="5"/>
    <x v="4"/>
    <x v="7"/>
    <x v="2"/>
    <x v="3"/>
    <x v="1"/>
    <n v="16.38"/>
    <n v="16.739999999999998"/>
    <n v="0.05"/>
    <n v="14.33"/>
  </r>
  <r>
    <x v="5"/>
    <x v="4"/>
    <x v="7"/>
    <x v="2"/>
    <x v="4"/>
    <x v="1"/>
    <n v="0.15"/>
    <n v="0.16"/>
    <n v="0"/>
    <n v="0.15"/>
  </r>
  <r>
    <x v="5"/>
    <x v="4"/>
    <x v="7"/>
    <x v="1"/>
    <x v="3"/>
    <x v="1"/>
    <n v="6.72"/>
    <n v="6.87"/>
    <n v="7.0000000000000007E-2"/>
    <n v="5.6"/>
  </r>
  <r>
    <x v="5"/>
    <x v="4"/>
    <x v="7"/>
    <x v="4"/>
    <x v="4"/>
    <x v="0"/>
    <n v="661.51"/>
    <n v="676.04"/>
    <n v="189.29"/>
    <n v="613.53"/>
  </r>
  <r>
    <x v="5"/>
    <x v="4"/>
    <x v="7"/>
    <x v="1"/>
    <x v="1"/>
    <x v="1"/>
    <n v="152.37"/>
    <n v="155.71"/>
    <n v="1.18"/>
    <n v="126.12"/>
  </r>
  <r>
    <x v="5"/>
    <x v="4"/>
    <x v="7"/>
    <x v="4"/>
    <x v="1"/>
    <x v="0"/>
    <n v="173.71"/>
    <n v="177.52"/>
    <n v="19.34"/>
    <n v="158.05000000000001"/>
  </r>
  <r>
    <x v="5"/>
    <x v="4"/>
    <x v="7"/>
    <x v="1"/>
    <x v="0"/>
    <x v="1"/>
    <n v="68.45"/>
    <n v="69.959999999999994"/>
    <n v="2.76"/>
    <n v="56.63"/>
  </r>
  <r>
    <x v="5"/>
    <x v="4"/>
    <x v="7"/>
    <x v="0"/>
    <x v="3"/>
    <x v="1"/>
    <n v="1.01"/>
    <n v="1.04"/>
    <n v="0.01"/>
    <n v="0.81"/>
  </r>
  <r>
    <x v="5"/>
    <x v="4"/>
    <x v="7"/>
    <x v="0"/>
    <x v="1"/>
    <x v="1"/>
    <n v="0.09"/>
    <n v="0.09"/>
    <n v="0"/>
    <n v="7.0000000000000007E-2"/>
  </r>
  <r>
    <x v="5"/>
    <x v="4"/>
    <x v="7"/>
    <x v="0"/>
    <x v="4"/>
    <x v="1"/>
    <n v="50.96"/>
    <n v="52.08"/>
    <n v="1.25"/>
    <n v="42.12"/>
  </r>
  <r>
    <x v="5"/>
    <x v="4"/>
    <x v="7"/>
    <x v="0"/>
    <x v="0"/>
    <x v="1"/>
    <n v="111.94"/>
    <n v="114.4"/>
    <n v="2.41"/>
    <n v="92.51"/>
  </r>
  <r>
    <x v="5"/>
    <x v="4"/>
    <x v="7"/>
    <x v="4"/>
    <x v="1"/>
    <x v="1"/>
    <n v="8.6199999999999992"/>
    <n v="8.81"/>
    <n v="0.22"/>
    <n v="7.15"/>
  </r>
  <r>
    <x v="5"/>
    <x v="4"/>
    <x v="7"/>
    <x v="1"/>
    <x v="2"/>
    <x v="1"/>
    <n v="377.92"/>
    <n v="386.21"/>
    <n v="1.1100000000000001"/>
    <n v="312.56"/>
  </r>
  <r>
    <x v="5"/>
    <x v="4"/>
    <x v="7"/>
    <x v="1"/>
    <x v="1"/>
    <x v="2"/>
    <n v="43.33"/>
    <n v="44.28"/>
    <n v="0.36"/>
    <n v="43.33"/>
  </r>
  <r>
    <x v="5"/>
    <x v="4"/>
    <x v="7"/>
    <x v="0"/>
    <x v="2"/>
    <x v="0"/>
    <n v="0.82"/>
    <n v="0.84"/>
    <n v="0.01"/>
    <n v="0.66"/>
  </r>
  <r>
    <x v="5"/>
    <x v="4"/>
    <x v="7"/>
    <x v="1"/>
    <x v="0"/>
    <x v="0"/>
    <n v="129.88"/>
    <n v="132.72999999999999"/>
    <n v="92.4"/>
    <n v="118.83"/>
  </r>
  <r>
    <x v="5"/>
    <x v="4"/>
    <x v="7"/>
    <x v="1"/>
    <x v="4"/>
    <x v="0"/>
    <n v="4425.8500000000004"/>
    <n v="4523.0200000000004"/>
    <n v="1266.77"/>
    <n v="4091.57"/>
  </r>
  <r>
    <x v="5"/>
    <x v="4"/>
    <x v="7"/>
    <x v="1"/>
    <x v="1"/>
    <x v="0"/>
    <n v="1716.57"/>
    <n v="1754.26"/>
    <n v="165.33"/>
    <n v="1523.45"/>
  </r>
  <r>
    <x v="5"/>
    <x v="4"/>
    <x v="7"/>
    <x v="1"/>
    <x v="2"/>
    <x v="0"/>
    <n v="244.71"/>
    <n v="250.09"/>
    <n v="6.04"/>
    <n v="226.53"/>
  </r>
  <r>
    <x v="5"/>
    <x v="4"/>
    <x v="7"/>
    <x v="2"/>
    <x v="0"/>
    <x v="0"/>
    <n v="136.35"/>
    <n v="139.35"/>
    <n v="143.34"/>
    <n v="128.78"/>
  </r>
  <r>
    <x v="5"/>
    <x v="4"/>
    <x v="7"/>
    <x v="3"/>
    <x v="1"/>
    <x v="0"/>
    <n v="0.19"/>
    <n v="0.19"/>
    <n v="0.03"/>
    <n v="0.19"/>
  </r>
  <r>
    <x v="5"/>
    <x v="4"/>
    <x v="7"/>
    <x v="1"/>
    <x v="3"/>
    <x v="2"/>
    <n v="0.14000000000000001"/>
    <n v="0.14000000000000001"/>
    <n v="0"/>
    <n v="0.14000000000000001"/>
  </r>
  <r>
    <x v="5"/>
    <x v="4"/>
    <x v="7"/>
    <x v="2"/>
    <x v="3"/>
    <x v="3"/>
    <n v="157.41999999999999"/>
    <n v="160.87"/>
    <n v="0.13"/>
    <n v="157.41999999999999"/>
  </r>
  <r>
    <x v="5"/>
    <x v="4"/>
    <x v="7"/>
    <x v="1"/>
    <x v="4"/>
    <x v="2"/>
    <n v="18.329999999999998"/>
    <n v="18.73"/>
    <n v="0.9"/>
    <n v="15.28"/>
  </r>
  <r>
    <x v="5"/>
    <x v="4"/>
    <x v="7"/>
    <x v="4"/>
    <x v="2"/>
    <x v="2"/>
    <n v="19.670000000000002"/>
    <n v="20.100000000000001"/>
    <n v="0.42"/>
    <n v="16.39"/>
  </r>
  <r>
    <x v="5"/>
    <x v="4"/>
    <x v="7"/>
    <x v="4"/>
    <x v="1"/>
    <x v="2"/>
    <n v="8.6"/>
    <n v="8.7899999999999991"/>
    <n v="0.25"/>
    <n v="7.17"/>
  </r>
  <r>
    <x v="5"/>
    <x v="4"/>
    <x v="7"/>
    <x v="0"/>
    <x v="4"/>
    <x v="0"/>
    <n v="379.75"/>
    <n v="388.09"/>
    <n v="133.36000000000001"/>
    <n v="332.75"/>
  </r>
  <r>
    <x v="5"/>
    <x v="4"/>
    <x v="7"/>
    <x v="0"/>
    <x v="0"/>
    <x v="0"/>
    <n v="25.15"/>
    <n v="25.7"/>
    <n v="22.86"/>
    <n v="22.53"/>
  </r>
  <r>
    <x v="5"/>
    <x v="4"/>
    <x v="7"/>
    <x v="4"/>
    <x v="3"/>
    <x v="0"/>
    <n v="1.83"/>
    <n v="1.87"/>
    <n v="0.01"/>
    <n v="1.57"/>
  </r>
  <r>
    <x v="5"/>
    <x v="4"/>
    <x v="7"/>
    <x v="4"/>
    <x v="2"/>
    <x v="0"/>
    <n v="2.44"/>
    <n v="2.4900000000000002"/>
    <n v="0.02"/>
    <n v="2.09"/>
  </r>
  <r>
    <x v="5"/>
    <x v="4"/>
    <x v="7"/>
    <x v="2"/>
    <x v="4"/>
    <x v="0"/>
    <n v="158.19"/>
    <n v="161.66999999999999"/>
    <n v="66.260000000000005"/>
    <n v="148.4"/>
  </r>
  <r>
    <x v="5"/>
    <x v="4"/>
    <x v="7"/>
    <x v="4"/>
    <x v="0"/>
    <x v="1"/>
    <n v="2.3199999999999998"/>
    <n v="2.37"/>
    <n v="0.2"/>
    <n v="1.93"/>
  </r>
  <r>
    <x v="5"/>
    <x v="4"/>
    <x v="7"/>
    <x v="0"/>
    <x v="1"/>
    <x v="0"/>
    <n v="0.05"/>
    <n v="0.05"/>
    <n v="0"/>
    <n v="0.04"/>
  </r>
  <r>
    <x v="5"/>
    <x v="4"/>
    <x v="7"/>
    <x v="2"/>
    <x v="3"/>
    <x v="2"/>
    <n v="46.23"/>
    <n v="47.24"/>
    <n v="0.11"/>
    <n v="46.23"/>
  </r>
  <r>
    <x v="5"/>
    <x v="4"/>
    <x v="7"/>
    <x v="4"/>
    <x v="4"/>
    <x v="1"/>
    <n v="12.07"/>
    <n v="12.34"/>
    <n v="0.71"/>
    <n v="9.98"/>
  </r>
  <r>
    <x v="5"/>
    <x v="0"/>
    <x v="8"/>
    <x v="4"/>
    <x v="0"/>
    <x v="1"/>
    <n v="0.73"/>
    <n v="1.07"/>
    <n v="0.04"/>
    <n v="0.69"/>
  </r>
  <r>
    <x v="5"/>
    <x v="0"/>
    <x v="8"/>
    <x v="1"/>
    <x v="4"/>
    <x v="1"/>
    <n v="1.74"/>
    <n v="2.5499999999999998"/>
    <n v="0.06"/>
    <n v="1.63"/>
  </r>
  <r>
    <x v="5"/>
    <x v="0"/>
    <x v="8"/>
    <x v="1"/>
    <x v="0"/>
    <x v="1"/>
    <n v="4.5199999999999996"/>
    <n v="6.63"/>
    <n v="0.27"/>
    <n v="4.29"/>
  </r>
  <r>
    <x v="5"/>
    <x v="0"/>
    <x v="8"/>
    <x v="0"/>
    <x v="4"/>
    <x v="1"/>
    <n v="0.01"/>
    <n v="0.01"/>
    <n v="0"/>
    <n v="0.01"/>
  </r>
  <r>
    <x v="5"/>
    <x v="0"/>
    <x v="8"/>
    <x v="0"/>
    <x v="0"/>
    <x v="1"/>
    <n v="9"/>
    <n v="13.22"/>
    <n v="0.14000000000000001"/>
    <n v="8.59"/>
  </r>
  <r>
    <x v="5"/>
    <x v="0"/>
    <x v="8"/>
    <x v="4"/>
    <x v="4"/>
    <x v="1"/>
    <n v="0.75"/>
    <n v="1.1100000000000001"/>
    <n v="0.02"/>
    <n v="0.72"/>
  </r>
  <r>
    <x v="5"/>
    <x v="0"/>
    <x v="8"/>
    <x v="2"/>
    <x v="4"/>
    <x v="1"/>
    <n v="0.74"/>
    <n v="1.08"/>
    <n v="0"/>
    <n v="0.74"/>
  </r>
  <r>
    <x v="5"/>
    <x v="0"/>
    <x v="8"/>
    <x v="2"/>
    <x v="3"/>
    <x v="3"/>
    <n v="7.0000000000000007E-2"/>
    <n v="0.1"/>
    <n v="0"/>
    <n v="7.0000000000000007E-2"/>
  </r>
  <r>
    <x v="5"/>
    <x v="0"/>
    <x v="8"/>
    <x v="2"/>
    <x v="3"/>
    <x v="2"/>
    <n v="2.54"/>
    <n v="3.73"/>
    <n v="0"/>
    <n v="2.4900000000000002"/>
  </r>
  <r>
    <x v="5"/>
    <x v="0"/>
    <x v="8"/>
    <x v="2"/>
    <x v="2"/>
    <x v="2"/>
    <n v="0.31"/>
    <n v="0.46"/>
    <n v="0"/>
    <n v="0.31"/>
  </r>
  <r>
    <x v="5"/>
    <x v="0"/>
    <x v="8"/>
    <x v="2"/>
    <x v="1"/>
    <x v="2"/>
    <n v="0.26"/>
    <n v="0.38"/>
    <n v="0"/>
    <n v="0.26"/>
  </r>
  <r>
    <x v="5"/>
    <x v="0"/>
    <x v="8"/>
    <x v="1"/>
    <x v="4"/>
    <x v="2"/>
    <n v="0.05"/>
    <n v="7.0000000000000007E-2"/>
    <n v="0.01"/>
    <n v="0.05"/>
  </r>
  <r>
    <x v="5"/>
    <x v="0"/>
    <x v="8"/>
    <x v="4"/>
    <x v="2"/>
    <x v="2"/>
    <n v="0.46"/>
    <n v="0.67"/>
    <n v="0"/>
    <n v="0.42"/>
  </r>
  <r>
    <x v="5"/>
    <x v="0"/>
    <x v="8"/>
    <x v="4"/>
    <x v="1"/>
    <x v="2"/>
    <n v="0.28999999999999998"/>
    <n v="0.43"/>
    <n v="0.01"/>
    <n v="0.27"/>
  </r>
  <r>
    <x v="5"/>
    <x v="0"/>
    <x v="8"/>
    <x v="4"/>
    <x v="4"/>
    <x v="2"/>
    <n v="0.32"/>
    <n v="0.47"/>
    <n v="0.01"/>
    <n v="0.28999999999999998"/>
  </r>
  <r>
    <x v="5"/>
    <x v="0"/>
    <x v="8"/>
    <x v="4"/>
    <x v="1"/>
    <x v="1"/>
    <n v="1.1599999999999999"/>
    <n v="1.71"/>
    <n v="0.06"/>
    <n v="1.1000000000000001"/>
  </r>
  <r>
    <x v="5"/>
    <x v="0"/>
    <x v="8"/>
    <x v="0"/>
    <x v="0"/>
    <x v="0"/>
    <n v="4.42"/>
    <n v="6.49"/>
    <n v="4.84"/>
    <n v="4"/>
  </r>
  <r>
    <x v="5"/>
    <x v="0"/>
    <x v="8"/>
    <x v="2"/>
    <x v="4"/>
    <x v="0"/>
    <n v="3.9"/>
    <n v="5.74"/>
    <n v="1.21"/>
    <n v="3.69"/>
  </r>
  <r>
    <x v="5"/>
    <x v="0"/>
    <x v="8"/>
    <x v="2"/>
    <x v="0"/>
    <x v="0"/>
    <n v="2.2200000000000002"/>
    <n v="3.26"/>
    <n v="1.67"/>
    <n v="2.0699999999999998"/>
  </r>
  <r>
    <x v="5"/>
    <x v="0"/>
    <x v="8"/>
    <x v="1"/>
    <x v="2"/>
    <x v="0"/>
    <n v="10.49"/>
    <n v="15.4"/>
    <n v="0.1"/>
    <n v="9.89"/>
  </r>
  <r>
    <x v="5"/>
    <x v="0"/>
    <x v="8"/>
    <x v="1"/>
    <x v="1"/>
    <x v="0"/>
    <n v="3.37"/>
    <n v="4.95"/>
    <n v="0.28999999999999998"/>
    <n v="3.15"/>
  </r>
  <r>
    <x v="5"/>
    <x v="0"/>
    <x v="8"/>
    <x v="1"/>
    <x v="4"/>
    <x v="0"/>
    <n v="36.56"/>
    <n v="53.72"/>
    <n v="8.0299999999999994"/>
    <n v="34.78"/>
  </r>
  <r>
    <x v="5"/>
    <x v="0"/>
    <x v="8"/>
    <x v="1"/>
    <x v="1"/>
    <x v="1"/>
    <n v="18.37"/>
    <n v="26.99"/>
    <n v="0.11"/>
    <n v="17.510000000000002"/>
  </r>
  <r>
    <x v="5"/>
    <x v="0"/>
    <x v="8"/>
    <x v="0"/>
    <x v="4"/>
    <x v="0"/>
    <n v="7.55"/>
    <n v="11.09"/>
    <n v="2.0299999999999998"/>
    <n v="6.94"/>
  </r>
  <r>
    <x v="5"/>
    <x v="0"/>
    <x v="8"/>
    <x v="1"/>
    <x v="2"/>
    <x v="1"/>
    <n v="33.479999999999997"/>
    <n v="49.19"/>
    <n v="0.06"/>
    <n v="31.92"/>
  </r>
  <r>
    <x v="5"/>
    <x v="0"/>
    <x v="8"/>
    <x v="4"/>
    <x v="1"/>
    <x v="0"/>
    <n v="17.86"/>
    <n v="26.24"/>
    <n v="1.0900000000000001"/>
    <n v="17.53"/>
  </r>
  <r>
    <x v="5"/>
    <x v="0"/>
    <x v="8"/>
    <x v="4"/>
    <x v="4"/>
    <x v="0"/>
    <n v="12.95"/>
    <n v="19.02"/>
    <n v="2.65"/>
    <n v="12.19"/>
  </r>
  <r>
    <x v="5"/>
    <x v="0"/>
    <x v="8"/>
    <x v="3"/>
    <x v="4"/>
    <x v="0"/>
    <n v="0.8"/>
    <n v="1.18"/>
    <n v="0.24"/>
    <n v="0.73"/>
  </r>
  <r>
    <x v="5"/>
    <x v="0"/>
    <x v="8"/>
    <x v="3"/>
    <x v="0"/>
    <x v="0"/>
    <n v="0.11"/>
    <n v="0.16"/>
    <n v="0.06"/>
    <n v="0.11"/>
  </r>
  <r>
    <x v="5"/>
    <x v="0"/>
    <x v="8"/>
    <x v="2"/>
    <x v="3"/>
    <x v="1"/>
    <n v="0.31"/>
    <n v="0.45"/>
    <n v="0"/>
    <n v="0.28999999999999998"/>
  </r>
  <r>
    <x v="5"/>
    <x v="0"/>
    <x v="8"/>
    <x v="1"/>
    <x v="0"/>
    <x v="0"/>
    <n v="2.19"/>
    <n v="3.21"/>
    <n v="1.0900000000000001"/>
    <n v="2.0499999999999998"/>
  </r>
  <r>
    <x v="5"/>
    <x v="5"/>
    <x v="9"/>
    <x v="0"/>
    <x v="0"/>
    <x v="1"/>
    <n v="1.61"/>
    <n v="2.0299999999999998"/>
    <n v="0.05"/>
    <n v="1.49"/>
  </r>
  <r>
    <x v="5"/>
    <x v="5"/>
    <x v="9"/>
    <x v="1"/>
    <x v="2"/>
    <x v="1"/>
    <n v="4.82"/>
    <n v="6.07"/>
    <n v="0.03"/>
    <n v="4.4800000000000004"/>
  </r>
  <r>
    <x v="5"/>
    <x v="5"/>
    <x v="9"/>
    <x v="4"/>
    <x v="2"/>
    <x v="2"/>
    <n v="0.74"/>
    <n v="0.93"/>
    <n v="0"/>
    <n v="0.65"/>
  </r>
  <r>
    <x v="5"/>
    <x v="5"/>
    <x v="9"/>
    <x v="4"/>
    <x v="1"/>
    <x v="2"/>
    <n v="0.17"/>
    <n v="0.22"/>
    <n v="0.01"/>
    <n v="0.15"/>
  </r>
  <r>
    <x v="5"/>
    <x v="5"/>
    <x v="9"/>
    <x v="1"/>
    <x v="4"/>
    <x v="2"/>
    <n v="1.34"/>
    <n v="1.68"/>
    <n v="0.01"/>
    <n v="1.1599999999999999"/>
  </r>
  <r>
    <x v="5"/>
    <x v="5"/>
    <x v="9"/>
    <x v="4"/>
    <x v="4"/>
    <x v="1"/>
    <n v="0.13"/>
    <n v="0.16"/>
    <n v="0"/>
    <n v="0.12"/>
  </r>
  <r>
    <x v="5"/>
    <x v="5"/>
    <x v="9"/>
    <x v="4"/>
    <x v="1"/>
    <x v="1"/>
    <n v="0.04"/>
    <n v="0.06"/>
    <n v="0"/>
    <n v="0.04"/>
  </r>
  <r>
    <x v="5"/>
    <x v="5"/>
    <x v="9"/>
    <x v="1"/>
    <x v="0"/>
    <x v="1"/>
    <n v="0.62"/>
    <n v="0.77"/>
    <n v="0.03"/>
    <n v="0.56999999999999995"/>
  </r>
  <r>
    <x v="5"/>
    <x v="5"/>
    <x v="9"/>
    <x v="2"/>
    <x v="4"/>
    <x v="0"/>
    <n v="2.0299999999999998"/>
    <n v="2.5499999999999998"/>
    <n v="0.46"/>
    <n v="1.93"/>
  </r>
  <r>
    <x v="5"/>
    <x v="5"/>
    <x v="9"/>
    <x v="1"/>
    <x v="4"/>
    <x v="1"/>
    <n v="0.46"/>
    <n v="0.57999999999999996"/>
    <n v="0.01"/>
    <n v="0.45"/>
  </r>
  <r>
    <x v="5"/>
    <x v="5"/>
    <x v="9"/>
    <x v="4"/>
    <x v="4"/>
    <x v="2"/>
    <n v="0.47"/>
    <n v="0.59"/>
    <n v="0.02"/>
    <n v="0.41"/>
  </r>
  <r>
    <x v="5"/>
    <x v="5"/>
    <x v="9"/>
    <x v="1"/>
    <x v="1"/>
    <x v="1"/>
    <n v="0.46"/>
    <n v="0.57999999999999996"/>
    <n v="0"/>
    <n v="0.43"/>
  </r>
  <r>
    <x v="5"/>
    <x v="5"/>
    <x v="9"/>
    <x v="0"/>
    <x v="4"/>
    <x v="1"/>
    <n v="0.05"/>
    <n v="7.0000000000000007E-2"/>
    <n v="0"/>
    <n v="0.05"/>
  </r>
  <r>
    <x v="5"/>
    <x v="5"/>
    <x v="9"/>
    <x v="0"/>
    <x v="0"/>
    <x v="0"/>
    <n v="2.7"/>
    <n v="3.39"/>
    <n v="1.99"/>
    <n v="2.4700000000000002"/>
  </r>
  <r>
    <x v="5"/>
    <x v="5"/>
    <x v="9"/>
    <x v="2"/>
    <x v="0"/>
    <x v="0"/>
    <n v="3.63"/>
    <n v="4.57"/>
    <n v="2.48"/>
    <n v="3.47"/>
  </r>
  <r>
    <x v="5"/>
    <x v="5"/>
    <x v="9"/>
    <x v="1"/>
    <x v="1"/>
    <x v="0"/>
    <n v="10.07"/>
    <n v="12.66"/>
    <n v="0.78"/>
    <n v="9.31"/>
  </r>
  <r>
    <x v="5"/>
    <x v="5"/>
    <x v="9"/>
    <x v="1"/>
    <x v="4"/>
    <x v="0"/>
    <n v="67.62"/>
    <n v="85.05"/>
    <n v="14.21"/>
    <n v="63.03"/>
  </r>
  <r>
    <x v="5"/>
    <x v="5"/>
    <x v="9"/>
    <x v="1"/>
    <x v="0"/>
    <x v="0"/>
    <n v="7.43"/>
    <n v="9.35"/>
    <n v="3.93"/>
    <n v="7.1"/>
  </r>
  <r>
    <x v="5"/>
    <x v="5"/>
    <x v="9"/>
    <x v="0"/>
    <x v="4"/>
    <x v="0"/>
    <n v="7.87"/>
    <n v="9.9"/>
    <n v="1.89"/>
    <n v="7.48"/>
  </r>
  <r>
    <x v="5"/>
    <x v="5"/>
    <x v="9"/>
    <x v="2"/>
    <x v="3"/>
    <x v="1"/>
    <n v="0.4"/>
    <n v="0.5"/>
    <n v="0"/>
    <n v="0.37"/>
  </r>
  <r>
    <x v="5"/>
    <x v="5"/>
    <x v="9"/>
    <x v="4"/>
    <x v="1"/>
    <x v="0"/>
    <n v="4.17"/>
    <n v="5.24"/>
    <n v="0.27"/>
    <n v="3.86"/>
  </r>
  <r>
    <x v="5"/>
    <x v="5"/>
    <x v="9"/>
    <x v="4"/>
    <x v="4"/>
    <x v="0"/>
    <n v="18.98"/>
    <n v="23.87"/>
    <n v="2.2599999999999998"/>
    <n v="17.71"/>
  </r>
  <r>
    <x v="5"/>
    <x v="5"/>
    <x v="9"/>
    <x v="3"/>
    <x v="1"/>
    <x v="0"/>
    <n v="0.04"/>
    <n v="0.05"/>
    <n v="0"/>
    <n v="0.04"/>
  </r>
  <r>
    <x v="5"/>
    <x v="5"/>
    <x v="9"/>
    <x v="3"/>
    <x v="4"/>
    <x v="0"/>
    <n v="1.68"/>
    <n v="2.12"/>
    <n v="0.36"/>
    <n v="1.61"/>
  </r>
  <r>
    <x v="5"/>
    <x v="5"/>
    <x v="9"/>
    <x v="3"/>
    <x v="0"/>
    <x v="0"/>
    <n v="0.14000000000000001"/>
    <n v="0.18"/>
    <n v="7.0000000000000007E-2"/>
    <n v="0.14000000000000001"/>
  </r>
  <r>
    <x v="5"/>
    <x v="2"/>
    <x v="10"/>
    <x v="3"/>
    <x v="4"/>
    <x v="0"/>
    <n v="2.2200000000000002"/>
    <n v="2.66"/>
    <n v="0.41"/>
    <n v="2.11"/>
  </r>
  <r>
    <x v="5"/>
    <x v="2"/>
    <x v="10"/>
    <x v="0"/>
    <x v="0"/>
    <x v="0"/>
    <n v="4.05"/>
    <n v="4.8499999999999996"/>
    <n v="2.0299999999999998"/>
    <n v="3.72"/>
  </r>
  <r>
    <x v="5"/>
    <x v="2"/>
    <x v="10"/>
    <x v="4"/>
    <x v="1"/>
    <x v="0"/>
    <n v="11.79"/>
    <n v="14.11"/>
    <n v="0.67"/>
    <n v="10.88"/>
  </r>
  <r>
    <x v="5"/>
    <x v="2"/>
    <x v="10"/>
    <x v="4"/>
    <x v="2"/>
    <x v="0"/>
    <n v="0.66"/>
    <n v="0.79"/>
    <n v="0"/>
    <n v="0.6"/>
  </r>
  <r>
    <x v="5"/>
    <x v="2"/>
    <x v="10"/>
    <x v="4"/>
    <x v="4"/>
    <x v="0"/>
    <n v="56.18"/>
    <n v="67.260000000000005"/>
    <n v="6.05"/>
    <n v="51.97"/>
  </r>
  <r>
    <x v="5"/>
    <x v="2"/>
    <x v="10"/>
    <x v="0"/>
    <x v="4"/>
    <x v="0"/>
    <n v="5.99"/>
    <n v="7.17"/>
    <n v="1.34"/>
    <n v="5.59"/>
  </r>
  <r>
    <x v="5"/>
    <x v="2"/>
    <x v="10"/>
    <x v="1"/>
    <x v="0"/>
    <x v="0"/>
    <n v="3.31"/>
    <n v="3.97"/>
    <n v="1.83"/>
    <n v="3.14"/>
  </r>
  <r>
    <x v="5"/>
    <x v="2"/>
    <x v="10"/>
    <x v="1"/>
    <x v="4"/>
    <x v="0"/>
    <n v="68.59"/>
    <n v="82.12"/>
    <n v="11.53"/>
    <n v="63.56"/>
  </r>
  <r>
    <x v="5"/>
    <x v="2"/>
    <x v="10"/>
    <x v="1"/>
    <x v="1"/>
    <x v="0"/>
    <n v="9.73"/>
    <n v="11.65"/>
    <n v="0.61"/>
    <n v="8.99"/>
  </r>
  <r>
    <x v="5"/>
    <x v="2"/>
    <x v="10"/>
    <x v="1"/>
    <x v="2"/>
    <x v="0"/>
    <n v="0.64"/>
    <n v="0.77"/>
    <n v="0"/>
    <n v="0.59"/>
  </r>
  <r>
    <x v="5"/>
    <x v="2"/>
    <x v="10"/>
    <x v="2"/>
    <x v="0"/>
    <x v="0"/>
    <n v="3.78"/>
    <n v="4.5199999999999996"/>
    <n v="1.27"/>
    <n v="3.51"/>
  </r>
  <r>
    <x v="5"/>
    <x v="2"/>
    <x v="10"/>
    <x v="3"/>
    <x v="0"/>
    <x v="0"/>
    <n v="0.1"/>
    <n v="0.12"/>
    <n v="0.05"/>
    <n v="0.09"/>
  </r>
  <r>
    <x v="5"/>
    <x v="2"/>
    <x v="10"/>
    <x v="2"/>
    <x v="4"/>
    <x v="0"/>
    <n v="2.35"/>
    <n v="2.81"/>
    <n v="0.44"/>
    <n v="2.2000000000000002"/>
  </r>
  <r>
    <x v="5"/>
    <x v="2"/>
    <x v="10"/>
    <x v="0"/>
    <x v="0"/>
    <x v="1"/>
    <n v="1.84"/>
    <n v="2.2000000000000002"/>
    <n v="0.05"/>
    <n v="1.66"/>
  </r>
  <r>
    <x v="5"/>
    <x v="2"/>
    <x v="10"/>
    <x v="4"/>
    <x v="4"/>
    <x v="2"/>
    <n v="0.36"/>
    <n v="0.43"/>
    <n v="0.01"/>
    <n v="0.31"/>
  </r>
  <r>
    <x v="5"/>
    <x v="2"/>
    <x v="10"/>
    <x v="2"/>
    <x v="3"/>
    <x v="1"/>
    <n v="0.52"/>
    <n v="0.62"/>
    <n v="0"/>
    <n v="0.47"/>
  </r>
  <r>
    <x v="5"/>
    <x v="2"/>
    <x v="10"/>
    <x v="4"/>
    <x v="1"/>
    <x v="2"/>
    <n v="0.26"/>
    <n v="0.32"/>
    <n v="0"/>
    <n v="0.23"/>
  </r>
  <r>
    <x v="5"/>
    <x v="2"/>
    <x v="10"/>
    <x v="1"/>
    <x v="4"/>
    <x v="2"/>
    <n v="0.82"/>
    <n v="0.98"/>
    <n v="0.03"/>
    <n v="0.72"/>
  </r>
  <r>
    <x v="5"/>
    <x v="2"/>
    <x v="10"/>
    <x v="2"/>
    <x v="3"/>
    <x v="2"/>
    <n v="1.87"/>
    <n v="2.23"/>
    <n v="0"/>
    <n v="1.87"/>
  </r>
  <r>
    <x v="5"/>
    <x v="2"/>
    <x v="10"/>
    <x v="2"/>
    <x v="3"/>
    <x v="3"/>
    <n v="8.2100000000000009"/>
    <n v="9.83"/>
    <n v="0"/>
    <n v="8.1999999999999993"/>
  </r>
  <r>
    <x v="5"/>
    <x v="2"/>
    <x v="10"/>
    <x v="4"/>
    <x v="1"/>
    <x v="1"/>
    <n v="0.05"/>
    <n v="0.06"/>
    <n v="0"/>
    <n v="0.05"/>
  </r>
  <r>
    <x v="5"/>
    <x v="2"/>
    <x v="10"/>
    <x v="0"/>
    <x v="4"/>
    <x v="1"/>
    <n v="0.06"/>
    <n v="0.08"/>
    <n v="0"/>
    <n v="0.06"/>
  </r>
  <r>
    <x v="5"/>
    <x v="2"/>
    <x v="10"/>
    <x v="1"/>
    <x v="4"/>
    <x v="1"/>
    <n v="0.09"/>
    <n v="0.11"/>
    <n v="0"/>
    <n v="0.08"/>
  </r>
  <r>
    <x v="5"/>
    <x v="2"/>
    <x v="10"/>
    <x v="1"/>
    <x v="1"/>
    <x v="1"/>
    <n v="0.53"/>
    <n v="0.64"/>
    <n v="0"/>
    <n v="0.48"/>
  </r>
  <r>
    <x v="5"/>
    <x v="2"/>
    <x v="10"/>
    <x v="1"/>
    <x v="2"/>
    <x v="1"/>
    <n v="5.08"/>
    <n v="6.08"/>
    <n v="0.02"/>
    <n v="4.57"/>
  </r>
  <r>
    <x v="5"/>
    <x v="2"/>
    <x v="10"/>
    <x v="4"/>
    <x v="4"/>
    <x v="1"/>
    <n v="0.15"/>
    <n v="0.18"/>
    <n v="0"/>
    <n v="0.13"/>
  </r>
  <r>
    <x v="5"/>
    <x v="2"/>
    <x v="10"/>
    <x v="1"/>
    <x v="0"/>
    <x v="1"/>
    <n v="0.64"/>
    <n v="0.77"/>
    <n v="0.03"/>
    <n v="0.57999999999999996"/>
  </r>
  <r>
    <x v="5"/>
    <x v="2"/>
    <x v="11"/>
    <x v="2"/>
    <x v="4"/>
    <x v="0"/>
    <n v="0.93"/>
    <n v="1.1100000000000001"/>
    <n v="0.17"/>
    <n v="0.87"/>
  </r>
  <r>
    <x v="5"/>
    <x v="2"/>
    <x v="11"/>
    <x v="4"/>
    <x v="4"/>
    <x v="0"/>
    <n v="85.97"/>
    <n v="102.9"/>
    <n v="9.75"/>
    <n v="78.930000000000007"/>
  </r>
  <r>
    <x v="5"/>
    <x v="2"/>
    <x v="11"/>
    <x v="4"/>
    <x v="1"/>
    <x v="0"/>
    <n v="11.27"/>
    <n v="13.49"/>
    <n v="0.56999999999999995"/>
    <n v="10.28"/>
  </r>
  <r>
    <x v="5"/>
    <x v="2"/>
    <x v="11"/>
    <x v="0"/>
    <x v="0"/>
    <x v="0"/>
    <n v="6.66"/>
    <n v="7.97"/>
    <n v="4.0599999999999996"/>
    <n v="6.06"/>
  </r>
  <r>
    <x v="5"/>
    <x v="2"/>
    <x v="11"/>
    <x v="0"/>
    <x v="4"/>
    <x v="0"/>
    <n v="10.29"/>
    <n v="12.32"/>
    <n v="2.35"/>
    <n v="9.3800000000000008"/>
  </r>
  <r>
    <x v="5"/>
    <x v="2"/>
    <x v="11"/>
    <x v="0"/>
    <x v="2"/>
    <x v="0"/>
    <n v="0.46"/>
    <n v="0.55000000000000004"/>
    <n v="0.01"/>
    <n v="0.44"/>
  </r>
  <r>
    <x v="5"/>
    <x v="2"/>
    <x v="11"/>
    <x v="1"/>
    <x v="0"/>
    <x v="0"/>
    <n v="4.9400000000000004"/>
    <n v="5.92"/>
    <n v="2.93"/>
    <n v="4.66"/>
  </r>
  <r>
    <x v="5"/>
    <x v="2"/>
    <x v="11"/>
    <x v="1"/>
    <x v="4"/>
    <x v="0"/>
    <n v="95.74"/>
    <n v="114.59"/>
    <n v="16.850000000000001"/>
    <n v="87.71"/>
  </r>
  <r>
    <x v="5"/>
    <x v="2"/>
    <x v="11"/>
    <x v="2"/>
    <x v="0"/>
    <x v="0"/>
    <n v="3.81"/>
    <n v="4.5599999999999996"/>
    <n v="2.09"/>
    <n v="3.53"/>
  </r>
  <r>
    <x v="5"/>
    <x v="2"/>
    <x v="11"/>
    <x v="3"/>
    <x v="0"/>
    <x v="0"/>
    <n v="0.23"/>
    <n v="0.27"/>
    <n v="0.1"/>
    <n v="0.22"/>
  </r>
  <r>
    <x v="5"/>
    <x v="2"/>
    <x v="11"/>
    <x v="2"/>
    <x v="3"/>
    <x v="1"/>
    <n v="0.28000000000000003"/>
    <n v="0.33"/>
    <n v="0"/>
    <n v="0.25"/>
  </r>
  <r>
    <x v="5"/>
    <x v="2"/>
    <x v="11"/>
    <x v="1"/>
    <x v="1"/>
    <x v="0"/>
    <n v="12.87"/>
    <n v="15.41"/>
    <n v="0.82"/>
    <n v="11.78"/>
  </r>
  <r>
    <x v="5"/>
    <x v="2"/>
    <x v="11"/>
    <x v="2"/>
    <x v="3"/>
    <x v="3"/>
    <n v="12.06"/>
    <n v="14.43"/>
    <n v="0.01"/>
    <n v="12.06"/>
  </r>
  <r>
    <x v="5"/>
    <x v="2"/>
    <x v="11"/>
    <x v="4"/>
    <x v="4"/>
    <x v="2"/>
    <n v="0.62"/>
    <n v="0.75"/>
    <n v="0.03"/>
    <n v="0.54"/>
  </r>
  <r>
    <x v="5"/>
    <x v="2"/>
    <x v="11"/>
    <x v="3"/>
    <x v="4"/>
    <x v="0"/>
    <n v="3.04"/>
    <n v="3.64"/>
    <n v="0.61"/>
    <n v="2.86"/>
  </r>
  <r>
    <x v="5"/>
    <x v="2"/>
    <x v="11"/>
    <x v="1"/>
    <x v="2"/>
    <x v="1"/>
    <n v="3.42"/>
    <n v="4.09"/>
    <n v="0.02"/>
    <n v="3.08"/>
  </r>
  <r>
    <x v="5"/>
    <x v="2"/>
    <x v="11"/>
    <x v="4"/>
    <x v="1"/>
    <x v="2"/>
    <n v="0.35"/>
    <n v="0.41"/>
    <n v="0.01"/>
    <n v="0.3"/>
  </r>
  <r>
    <x v="5"/>
    <x v="2"/>
    <x v="11"/>
    <x v="1"/>
    <x v="4"/>
    <x v="2"/>
    <n v="1.5"/>
    <n v="1.8"/>
    <n v="0.03"/>
    <n v="1.31"/>
  </r>
  <r>
    <x v="5"/>
    <x v="2"/>
    <x v="11"/>
    <x v="4"/>
    <x v="4"/>
    <x v="1"/>
    <n v="0.1"/>
    <n v="0.13"/>
    <n v="0"/>
    <n v="0.1"/>
  </r>
  <r>
    <x v="5"/>
    <x v="2"/>
    <x v="11"/>
    <x v="4"/>
    <x v="1"/>
    <x v="1"/>
    <n v="0.03"/>
    <n v="0.04"/>
    <n v="0"/>
    <n v="0.03"/>
  </r>
  <r>
    <x v="5"/>
    <x v="2"/>
    <x v="11"/>
    <x v="0"/>
    <x v="0"/>
    <x v="1"/>
    <n v="1.21"/>
    <n v="1.45"/>
    <n v="0.03"/>
    <n v="1.0900000000000001"/>
  </r>
  <r>
    <x v="5"/>
    <x v="2"/>
    <x v="11"/>
    <x v="0"/>
    <x v="4"/>
    <x v="1"/>
    <n v="0.04"/>
    <n v="0.05"/>
    <n v="0"/>
    <n v="0.04"/>
  </r>
  <r>
    <x v="5"/>
    <x v="2"/>
    <x v="11"/>
    <x v="1"/>
    <x v="0"/>
    <x v="1"/>
    <n v="0.45"/>
    <n v="0.54"/>
    <n v="0.02"/>
    <n v="0.41"/>
  </r>
  <r>
    <x v="5"/>
    <x v="2"/>
    <x v="11"/>
    <x v="1"/>
    <x v="4"/>
    <x v="1"/>
    <n v="0.06"/>
    <n v="7.0000000000000007E-2"/>
    <n v="0"/>
    <n v="0.05"/>
  </r>
  <r>
    <x v="5"/>
    <x v="2"/>
    <x v="11"/>
    <x v="1"/>
    <x v="1"/>
    <x v="1"/>
    <n v="0.47"/>
    <n v="0.56000000000000005"/>
    <n v="0.01"/>
    <n v="0.44"/>
  </r>
  <r>
    <x v="5"/>
    <x v="2"/>
    <x v="11"/>
    <x v="4"/>
    <x v="2"/>
    <x v="2"/>
    <n v="1.2"/>
    <n v="1.43"/>
    <n v="0.01"/>
    <n v="1.04"/>
  </r>
  <r>
    <x v="5"/>
    <x v="2"/>
    <x v="12"/>
    <x v="2"/>
    <x v="0"/>
    <x v="0"/>
    <n v="26.31"/>
    <n v="31.49"/>
    <n v="16.829999999999998"/>
    <n v="25.04"/>
  </r>
  <r>
    <x v="5"/>
    <x v="2"/>
    <x v="12"/>
    <x v="4"/>
    <x v="1"/>
    <x v="0"/>
    <n v="33.19"/>
    <n v="39.72"/>
    <n v="2.06"/>
    <n v="30.76"/>
  </r>
  <r>
    <x v="5"/>
    <x v="2"/>
    <x v="12"/>
    <x v="2"/>
    <x v="3"/>
    <x v="1"/>
    <n v="8.01"/>
    <n v="9.59"/>
    <n v="0.01"/>
    <n v="7.69"/>
  </r>
  <r>
    <x v="5"/>
    <x v="2"/>
    <x v="12"/>
    <x v="3"/>
    <x v="0"/>
    <x v="0"/>
    <n v="7.2"/>
    <n v="8.6199999999999992"/>
    <n v="4.1399999999999997"/>
    <n v="6.97"/>
  </r>
  <r>
    <x v="5"/>
    <x v="2"/>
    <x v="12"/>
    <x v="3"/>
    <x v="4"/>
    <x v="0"/>
    <n v="58.98"/>
    <n v="70.59"/>
    <n v="11.85"/>
    <n v="55.06"/>
  </r>
  <r>
    <x v="5"/>
    <x v="2"/>
    <x v="12"/>
    <x v="1"/>
    <x v="2"/>
    <x v="1"/>
    <n v="53.14"/>
    <n v="63.6"/>
    <n v="0.24"/>
    <n v="49.06"/>
  </r>
  <r>
    <x v="5"/>
    <x v="2"/>
    <x v="12"/>
    <x v="3"/>
    <x v="1"/>
    <x v="0"/>
    <n v="0.03"/>
    <n v="0.04"/>
    <n v="0"/>
    <n v="0.03"/>
  </r>
  <r>
    <x v="5"/>
    <x v="2"/>
    <x v="12"/>
    <x v="4"/>
    <x v="4"/>
    <x v="0"/>
    <n v="186.97"/>
    <n v="223.78"/>
    <n v="21.1"/>
    <n v="175.63"/>
  </r>
  <r>
    <x v="5"/>
    <x v="2"/>
    <x v="12"/>
    <x v="4"/>
    <x v="2"/>
    <x v="0"/>
    <n v="1.47"/>
    <n v="1.77"/>
    <n v="0"/>
    <n v="1.35"/>
  </r>
  <r>
    <x v="5"/>
    <x v="2"/>
    <x v="12"/>
    <x v="2"/>
    <x v="4"/>
    <x v="0"/>
    <n v="17.2"/>
    <n v="20.58"/>
    <n v="3.26"/>
    <n v="16.329999999999998"/>
  </r>
  <r>
    <x v="5"/>
    <x v="2"/>
    <x v="12"/>
    <x v="0"/>
    <x v="4"/>
    <x v="0"/>
    <n v="59.99"/>
    <n v="71.8"/>
    <n v="13.42"/>
    <n v="56.76"/>
  </r>
  <r>
    <x v="5"/>
    <x v="2"/>
    <x v="12"/>
    <x v="1"/>
    <x v="4"/>
    <x v="0"/>
    <n v="665.57"/>
    <n v="796.62"/>
    <n v="96.32"/>
    <n v="630.33000000000004"/>
  </r>
  <r>
    <x v="5"/>
    <x v="2"/>
    <x v="12"/>
    <x v="1"/>
    <x v="2"/>
    <x v="0"/>
    <n v="57.34"/>
    <n v="68.62"/>
    <n v="0.85"/>
    <n v="56.14"/>
  </r>
  <r>
    <x v="5"/>
    <x v="2"/>
    <x v="12"/>
    <x v="1"/>
    <x v="1"/>
    <x v="1"/>
    <n v="45.87"/>
    <n v="54.9"/>
    <n v="0.52"/>
    <n v="45.47"/>
  </r>
  <r>
    <x v="5"/>
    <x v="2"/>
    <x v="12"/>
    <x v="0"/>
    <x v="0"/>
    <x v="0"/>
    <n v="19.5"/>
    <n v="23.34"/>
    <n v="12.87"/>
    <n v="17.88"/>
  </r>
  <r>
    <x v="5"/>
    <x v="2"/>
    <x v="12"/>
    <x v="1"/>
    <x v="1"/>
    <x v="0"/>
    <n v="78.260000000000005"/>
    <n v="93.67"/>
    <n v="4.22"/>
    <n v="73"/>
  </r>
  <r>
    <x v="5"/>
    <x v="2"/>
    <x v="12"/>
    <x v="1"/>
    <x v="1"/>
    <x v="2"/>
    <n v="0.3"/>
    <n v="0.36"/>
    <n v="0"/>
    <n v="0.3"/>
  </r>
  <r>
    <x v="5"/>
    <x v="2"/>
    <x v="12"/>
    <x v="1"/>
    <x v="0"/>
    <x v="0"/>
    <n v="54.01"/>
    <n v="64.64"/>
    <n v="29.75"/>
    <n v="51.77"/>
  </r>
  <r>
    <x v="5"/>
    <x v="2"/>
    <x v="12"/>
    <x v="1"/>
    <x v="4"/>
    <x v="1"/>
    <n v="6.17"/>
    <n v="7.38"/>
    <n v="7.0000000000000007E-2"/>
    <n v="6.09"/>
  </r>
  <r>
    <x v="5"/>
    <x v="2"/>
    <x v="12"/>
    <x v="4"/>
    <x v="4"/>
    <x v="2"/>
    <n v="0.9"/>
    <n v="1.07"/>
    <n v="0.04"/>
    <n v="0.79"/>
  </r>
  <r>
    <x v="5"/>
    <x v="2"/>
    <x v="12"/>
    <x v="4"/>
    <x v="1"/>
    <x v="2"/>
    <n v="0.4"/>
    <n v="0.48"/>
    <n v="0.01"/>
    <n v="0.35"/>
  </r>
  <r>
    <x v="5"/>
    <x v="2"/>
    <x v="12"/>
    <x v="1"/>
    <x v="4"/>
    <x v="2"/>
    <n v="2.58"/>
    <n v="3.09"/>
    <n v="0.12"/>
    <n v="2.25"/>
  </r>
  <r>
    <x v="5"/>
    <x v="2"/>
    <x v="12"/>
    <x v="1"/>
    <x v="2"/>
    <x v="2"/>
    <n v="0.99"/>
    <n v="1.19"/>
    <n v="0.01"/>
    <n v="0.87"/>
  </r>
  <r>
    <x v="5"/>
    <x v="2"/>
    <x v="12"/>
    <x v="2"/>
    <x v="3"/>
    <x v="2"/>
    <n v="8.02"/>
    <n v="9.6"/>
    <n v="0.01"/>
    <n v="7.21"/>
  </r>
  <r>
    <x v="5"/>
    <x v="2"/>
    <x v="12"/>
    <x v="0"/>
    <x v="1"/>
    <x v="1"/>
    <n v="0.37"/>
    <n v="0.44"/>
    <n v="0"/>
    <n v="0.36"/>
  </r>
  <r>
    <x v="5"/>
    <x v="2"/>
    <x v="12"/>
    <x v="1"/>
    <x v="0"/>
    <x v="1"/>
    <n v="25.32"/>
    <n v="30.3"/>
    <n v="1.23"/>
    <n v="24.8"/>
  </r>
  <r>
    <x v="5"/>
    <x v="2"/>
    <x v="12"/>
    <x v="4"/>
    <x v="2"/>
    <x v="2"/>
    <n v="1.19"/>
    <n v="1.42"/>
    <n v="0"/>
    <n v="1.05"/>
  </r>
  <r>
    <x v="5"/>
    <x v="2"/>
    <x v="12"/>
    <x v="0"/>
    <x v="3"/>
    <x v="1"/>
    <n v="0.24"/>
    <n v="0.28000000000000003"/>
    <n v="0"/>
    <n v="0.23"/>
  </r>
  <r>
    <x v="5"/>
    <x v="2"/>
    <x v="12"/>
    <x v="2"/>
    <x v="3"/>
    <x v="3"/>
    <n v="124.94"/>
    <n v="149.53"/>
    <n v="0.06"/>
    <n v="124.94"/>
  </r>
  <r>
    <x v="5"/>
    <x v="2"/>
    <x v="12"/>
    <x v="0"/>
    <x v="4"/>
    <x v="1"/>
    <n v="0.48"/>
    <n v="0.56999999999999995"/>
    <n v="0.01"/>
    <n v="0.43"/>
  </r>
  <r>
    <x v="5"/>
    <x v="2"/>
    <x v="12"/>
    <x v="0"/>
    <x v="0"/>
    <x v="1"/>
    <n v="14.52"/>
    <n v="17.38"/>
    <n v="0.41"/>
    <n v="13.08"/>
  </r>
  <r>
    <x v="5"/>
    <x v="2"/>
    <x v="12"/>
    <x v="4"/>
    <x v="1"/>
    <x v="1"/>
    <n v="0.39"/>
    <n v="0.47"/>
    <n v="0"/>
    <n v="0.36"/>
  </r>
  <r>
    <x v="5"/>
    <x v="2"/>
    <x v="12"/>
    <x v="4"/>
    <x v="4"/>
    <x v="1"/>
    <n v="1.07"/>
    <n v="1.28"/>
    <n v="0.02"/>
    <n v="0.98"/>
  </r>
  <r>
    <x v="5"/>
    <x v="2"/>
    <x v="13"/>
    <x v="4"/>
    <x v="3"/>
    <x v="0"/>
    <n v="10.1"/>
    <n v="12.09"/>
    <n v="0.02"/>
    <n v="9.26"/>
  </r>
  <r>
    <x v="5"/>
    <x v="2"/>
    <x v="13"/>
    <x v="2"/>
    <x v="4"/>
    <x v="0"/>
    <n v="39.979999999999997"/>
    <n v="47.86"/>
    <n v="6.56"/>
    <n v="37.270000000000003"/>
  </r>
  <r>
    <x v="5"/>
    <x v="2"/>
    <x v="13"/>
    <x v="3"/>
    <x v="4"/>
    <x v="0"/>
    <n v="161.54"/>
    <n v="193.34"/>
    <n v="53.97"/>
    <n v="154.72"/>
  </r>
  <r>
    <x v="5"/>
    <x v="2"/>
    <x v="13"/>
    <x v="4"/>
    <x v="4"/>
    <x v="0"/>
    <n v="374.56"/>
    <n v="448.3"/>
    <n v="43.13"/>
    <n v="347.33"/>
  </r>
  <r>
    <x v="5"/>
    <x v="2"/>
    <x v="13"/>
    <x v="4"/>
    <x v="1"/>
    <x v="0"/>
    <n v="59.85"/>
    <n v="71.64"/>
    <n v="3.33"/>
    <n v="55.1"/>
  </r>
  <r>
    <x v="5"/>
    <x v="2"/>
    <x v="13"/>
    <x v="4"/>
    <x v="2"/>
    <x v="0"/>
    <n v="7.33"/>
    <n v="8.77"/>
    <n v="0.02"/>
    <n v="6.72"/>
  </r>
  <r>
    <x v="5"/>
    <x v="2"/>
    <x v="13"/>
    <x v="2"/>
    <x v="3"/>
    <x v="1"/>
    <n v="28.77"/>
    <n v="34.44"/>
    <n v="0.08"/>
    <n v="28.18"/>
  </r>
  <r>
    <x v="5"/>
    <x v="2"/>
    <x v="13"/>
    <x v="0"/>
    <x v="0"/>
    <x v="0"/>
    <n v="54.61"/>
    <n v="65.36"/>
    <n v="24.86"/>
    <n v="50.09"/>
  </r>
  <r>
    <x v="5"/>
    <x v="2"/>
    <x v="13"/>
    <x v="0"/>
    <x v="4"/>
    <x v="0"/>
    <n v="97.08"/>
    <n v="116.19"/>
    <n v="23.46"/>
    <n v="90.44"/>
  </r>
  <r>
    <x v="5"/>
    <x v="2"/>
    <x v="13"/>
    <x v="0"/>
    <x v="2"/>
    <x v="0"/>
    <n v="5.34"/>
    <n v="6.39"/>
    <n v="0.05"/>
    <n v="5.0999999999999996"/>
  </r>
  <r>
    <x v="5"/>
    <x v="2"/>
    <x v="13"/>
    <x v="1"/>
    <x v="0"/>
    <x v="0"/>
    <n v="66.63"/>
    <n v="79.739999999999995"/>
    <n v="32.770000000000003"/>
    <n v="62.51"/>
  </r>
  <r>
    <x v="5"/>
    <x v="2"/>
    <x v="13"/>
    <x v="1"/>
    <x v="4"/>
    <x v="0"/>
    <n v="922.91"/>
    <n v="1104.6300000000001"/>
    <n v="154.36000000000001"/>
    <n v="857.08"/>
  </r>
  <r>
    <x v="5"/>
    <x v="2"/>
    <x v="13"/>
    <x v="1"/>
    <x v="1"/>
    <x v="0"/>
    <n v="125.38"/>
    <n v="150.07"/>
    <n v="7.13"/>
    <n v="116.64"/>
  </r>
  <r>
    <x v="5"/>
    <x v="2"/>
    <x v="13"/>
    <x v="2"/>
    <x v="2"/>
    <x v="1"/>
    <n v="7.48"/>
    <n v="8.9600000000000009"/>
    <n v="7.0000000000000007E-2"/>
    <n v="7.48"/>
  </r>
  <r>
    <x v="5"/>
    <x v="2"/>
    <x v="13"/>
    <x v="2"/>
    <x v="0"/>
    <x v="0"/>
    <n v="42.2"/>
    <n v="50.51"/>
    <n v="21.83"/>
    <n v="39.29"/>
  </r>
  <r>
    <x v="5"/>
    <x v="2"/>
    <x v="13"/>
    <x v="3"/>
    <x v="0"/>
    <x v="0"/>
    <n v="5.42"/>
    <n v="6.49"/>
    <n v="2.02"/>
    <n v="5.0599999999999996"/>
  </r>
  <r>
    <x v="5"/>
    <x v="2"/>
    <x v="13"/>
    <x v="1"/>
    <x v="2"/>
    <x v="0"/>
    <n v="51.06"/>
    <n v="61.11"/>
    <n v="0.55000000000000004"/>
    <n v="47.49"/>
  </r>
  <r>
    <x v="5"/>
    <x v="2"/>
    <x v="13"/>
    <x v="2"/>
    <x v="3"/>
    <x v="2"/>
    <n v="21.69"/>
    <n v="25.96"/>
    <n v="0.03"/>
    <n v="18.760000000000002"/>
  </r>
  <r>
    <x v="5"/>
    <x v="2"/>
    <x v="13"/>
    <x v="3"/>
    <x v="1"/>
    <x v="0"/>
    <n v="18.71"/>
    <n v="22.4"/>
    <n v="6.67"/>
    <n v="18.71"/>
  </r>
  <r>
    <x v="5"/>
    <x v="2"/>
    <x v="13"/>
    <x v="1"/>
    <x v="3"/>
    <x v="1"/>
    <n v="2.52"/>
    <n v="3.01"/>
    <n v="0.02"/>
    <n v="2.52"/>
  </r>
  <r>
    <x v="5"/>
    <x v="2"/>
    <x v="13"/>
    <x v="4"/>
    <x v="4"/>
    <x v="2"/>
    <n v="3.14"/>
    <n v="3.76"/>
    <n v="0.08"/>
    <n v="2.73"/>
  </r>
  <r>
    <x v="5"/>
    <x v="2"/>
    <x v="13"/>
    <x v="1"/>
    <x v="4"/>
    <x v="2"/>
    <n v="2.31"/>
    <n v="2.76"/>
    <n v="7.0000000000000007E-2"/>
    <n v="2.0099999999999998"/>
  </r>
  <r>
    <x v="5"/>
    <x v="2"/>
    <x v="13"/>
    <x v="2"/>
    <x v="1"/>
    <x v="3"/>
    <n v="72.069999999999993"/>
    <n v="86.26"/>
    <n v="0.05"/>
    <n v="70.739999999999995"/>
  </r>
  <r>
    <x v="5"/>
    <x v="2"/>
    <x v="13"/>
    <x v="2"/>
    <x v="3"/>
    <x v="3"/>
    <n v="357"/>
    <n v="427.3"/>
    <n v="0.17"/>
    <n v="356.03"/>
  </r>
  <r>
    <x v="5"/>
    <x v="2"/>
    <x v="13"/>
    <x v="4"/>
    <x v="0"/>
    <x v="1"/>
    <n v="2.16"/>
    <n v="2.58"/>
    <n v="0.24"/>
    <n v="2.16"/>
  </r>
  <r>
    <x v="5"/>
    <x v="2"/>
    <x v="13"/>
    <x v="4"/>
    <x v="4"/>
    <x v="1"/>
    <n v="2.15"/>
    <n v="2.58"/>
    <n v="0.03"/>
    <n v="1.97"/>
  </r>
  <r>
    <x v="5"/>
    <x v="2"/>
    <x v="13"/>
    <x v="1"/>
    <x v="1"/>
    <x v="1"/>
    <n v="48.16"/>
    <n v="57.65"/>
    <n v="0.96"/>
    <n v="47.52"/>
  </r>
  <r>
    <x v="5"/>
    <x v="2"/>
    <x v="13"/>
    <x v="0"/>
    <x v="0"/>
    <x v="1"/>
    <n v="29.79"/>
    <n v="35.65"/>
    <n v="0.77"/>
    <n v="27.06"/>
  </r>
  <r>
    <x v="5"/>
    <x v="2"/>
    <x v="13"/>
    <x v="0"/>
    <x v="4"/>
    <x v="1"/>
    <n v="0.97"/>
    <n v="1.1599999999999999"/>
    <n v="0.01"/>
    <n v="0.88"/>
  </r>
  <r>
    <x v="5"/>
    <x v="2"/>
    <x v="13"/>
    <x v="0"/>
    <x v="1"/>
    <x v="1"/>
    <n v="2.96"/>
    <n v="3.55"/>
    <n v="0.05"/>
    <n v="2.88"/>
  </r>
  <r>
    <x v="5"/>
    <x v="2"/>
    <x v="13"/>
    <x v="0"/>
    <x v="3"/>
    <x v="1"/>
    <n v="3.83"/>
    <n v="4.58"/>
    <n v="0.03"/>
    <n v="3.72"/>
  </r>
  <r>
    <x v="5"/>
    <x v="2"/>
    <x v="13"/>
    <x v="1"/>
    <x v="0"/>
    <x v="1"/>
    <n v="24.61"/>
    <n v="29.45"/>
    <n v="1.34"/>
    <n v="23.62"/>
  </r>
  <r>
    <x v="5"/>
    <x v="2"/>
    <x v="13"/>
    <x v="1"/>
    <x v="4"/>
    <x v="1"/>
    <n v="8.0399999999999991"/>
    <n v="9.6300000000000008"/>
    <n v="0.43"/>
    <n v="7.86"/>
  </r>
  <r>
    <x v="5"/>
    <x v="2"/>
    <x v="13"/>
    <x v="4"/>
    <x v="1"/>
    <x v="1"/>
    <n v="0.71"/>
    <n v="0.85"/>
    <n v="0.01"/>
    <n v="0.65"/>
  </r>
  <r>
    <x v="5"/>
    <x v="2"/>
    <x v="13"/>
    <x v="4"/>
    <x v="1"/>
    <x v="2"/>
    <n v="1.84"/>
    <n v="2.2000000000000002"/>
    <n v="0.03"/>
    <n v="1.6"/>
  </r>
  <r>
    <x v="5"/>
    <x v="2"/>
    <x v="13"/>
    <x v="1"/>
    <x v="2"/>
    <x v="1"/>
    <n v="127.75"/>
    <n v="152.91"/>
    <n v="0.97"/>
    <n v="120.16"/>
  </r>
  <r>
    <x v="5"/>
    <x v="2"/>
    <x v="14"/>
    <x v="4"/>
    <x v="4"/>
    <x v="0"/>
    <n v="16.5"/>
    <n v="19.75"/>
    <n v="1.98"/>
    <n v="15.28"/>
  </r>
  <r>
    <x v="5"/>
    <x v="2"/>
    <x v="14"/>
    <x v="4"/>
    <x v="1"/>
    <x v="0"/>
    <n v="3.63"/>
    <n v="4.3499999999999996"/>
    <n v="0.23"/>
    <n v="3.35"/>
  </r>
  <r>
    <x v="5"/>
    <x v="2"/>
    <x v="14"/>
    <x v="0"/>
    <x v="0"/>
    <x v="0"/>
    <n v="2.02"/>
    <n v="2.42"/>
    <n v="1.3"/>
    <n v="1.85"/>
  </r>
  <r>
    <x v="5"/>
    <x v="2"/>
    <x v="14"/>
    <x v="0"/>
    <x v="4"/>
    <x v="0"/>
    <n v="4.1100000000000003"/>
    <n v="4.92"/>
    <n v="0.99"/>
    <n v="3.9"/>
  </r>
  <r>
    <x v="5"/>
    <x v="2"/>
    <x v="14"/>
    <x v="1"/>
    <x v="0"/>
    <x v="0"/>
    <n v="3.35"/>
    <n v="4.01"/>
    <n v="1.84"/>
    <n v="3.21"/>
  </r>
  <r>
    <x v="5"/>
    <x v="2"/>
    <x v="14"/>
    <x v="1"/>
    <x v="4"/>
    <x v="0"/>
    <n v="32.74"/>
    <n v="39.18"/>
    <n v="5.97"/>
    <n v="30.49"/>
  </r>
  <r>
    <x v="5"/>
    <x v="2"/>
    <x v="14"/>
    <x v="1"/>
    <x v="1"/>
    <x v="0"/>
    <n v="4.6900000000000004"/>
    <n v="5.61"/>
    <n v="0.28000000000000003"/>
    <n v="4.37"/>
  </r>
  <r>
    <x v="5"/>
    <x v="2"/>
    <x v="14"/>
    <x v="2"/>
    <x v="0"/>
    <x v="0"/>
    <n v="1.48"/>
    <n v="1.77"/>
    <n v="1.04"/>
    <n v="1.42"/>
  </r>
  <r>
    <x v="5"/>
    <x v="2"/>
    <x v="14"/>
    <x v="3"/>
    <x v="4"/>
    <x v="0"/>
    <n v="0.94"/>
    <n v="1.1200000000000001"/>
    <n v="0.19"/>
    <n v="0.9"/>
  </r>
  <r>
    <x v="5"/>
    <x v="2"/>
    <x v="14"/>
    <x v="2"/>
    <x v="3"/>
    <x v="2"/>
    <n v="1.4"/>
    <n v="1.67"/>
    <n v="0.01"/>
    <n v="1.24"/>
  </r>
  <r>
    <x v="5"/>
    <x v="2"/>
    <x v="14"/>
    <x v="1"/>
    <x v="2"/>
    <x v="0"/>
    <n v="0.46"/>
    <n v="0.55000000000000004"/>
    <n v="0.01"/>
    <n v="0.4"/>
  </r>
  <r>
    <x v="5"/>
    <x v="2"/>
    <x v="14"/>
    <x v="3"/>
    <x v="0"/>
    <x v="0"/>
    <n v="0.09"/>
    <n v="0.11"/>
    <n v="0.05"/>
    <n v="0.09"/>
  </r>
  <r>
    <x v="5"/>
    <x v="2"/>
    <x v="14"/>
    <x v="2"/>
    <x v="3"/>
    <x v="1"/>
    <n v="0.11"/>
    <n v="0.14000000000000001"/>
    <n v="0"/>
    <n v="0.1"/>
  </r>
  <r>
    <x v="5"/>
    <x v="2"/>
    <x v="14"/>
    <x v="1"/>
    <x v="2"/>
    <x v="1"/>
    <n v="4.12"/>
    <n v="4.93"/>
    <n v="0.02"/>
    <n v="3.71"/>
  </r>
  <r>
    <x v="5"/>
    <x v="2"/>
    <x v="14"/>
    <x v="1"/>
    <x v="1"/>
    <x v="1"/>
    <n v="0.57999999999999996"/>
    <n v="0.69"/>
    <n v="0"/>
    <n v="0.52"/>
  </r>
  <r>
    <x v="5"/>
    <x v="2"/>
    <x v="14"/>
    <x v="1"/>
    <x v="0"/>
    <x v="1"/>
    <n v="0.52"/>
    <n v="0.62"/>
    <n v="0.03"/>
    <n v="0.47"/>
  </r>
  <r>
    <x v="5"/>
    <x v="2"/>
    <x v="14"/>
    <x v="2"/>
    <x v="4"/>
    <x v="0"/>
    <n v="0.88"/>
    <n v="1.06"/>
    <n v="0.21"/>
    <n v="0.85"/>
  </r>
  <r>
    <x v="5"/>
    <x v="2"/>
    <x v="14"/>
    <x v="0"/>
    <x v="0"/>
    <x v="1"/>
    <n v="1.46"/>
    <n v="1.75"/>
    <n v="0.04"/>
    <n v="1.32"/>
  </r>
  <r>
    <x v="5"/>
    <x v="2"/>
    <x v="14"/>
    <x v="4"/>
    <x v="1"/>
    <x v="1"/>
    <n v="0.02"/>
    <n v="0.03"/>
    <n v="0"/>
    <n v="0.02"/>
  </r>
  <r>
    <x v="5"/>
    <x v="2"/>
    <x v="14"/>
    <x v="2"/>
    <x v="3"/>
    <x v="3"/>
    <n v="0.2"/>
    <n v="0.24"/>
    <n v="0"/>
    <n v="0.2"/>
  </r>
  <r>
    <x v="5"/>
    <x v="2"/>
    <x v="14"/>
    <x v="1"/>
    <x v="4"/>
    <x v="2"/>
    <n v="0.05"/>
    <n v="0.05"/>
    <n v="0.01"/>
    <n v="0.04"/>
  </r>
  <r>
    <x v="5"/>
    <x v="2"/>
    <x v="14"/>
    <x v="1"/>
    <x v="4"/>
    <x v="1"/>
    <n v="0.09"/>
    <n v="0.11"/>
    <n v="0"/>
    <n v="0.08"/>
  </r>
  <r>
    <x v="5"/>
    <x v="2"/>
    <x v="14"/>
    <x v="4"/>
    <x v="4"/>
    <x v="1"/>
    <n v="0.1"/>
    <n v="0.13"/>
    <n v="0"/>
    <n v="0.1"/>
  </r>
  <r>
    <x v="5"/>
    <x v="2"/>
    <x v="14"/>
    <x v="0"/>
    <x v="4"/>
    <x v="1"/>
    <n v="0.03"/>
    <n v="0.03"/>
    <n v="0"/>
    <n v="0.02"/>
  </r>
  <r>
    <x v="5"/>
    <x v="4"/>
    <x v="15"/>
    <x v="2"/>
    <x v="3"/>
    <x v="3"/>
    <n v="27.32"/>
    <n v="27.3"/>
    <n v="0.02"/>
    <n v="25.79"/>
  </r>
  <r>
    <x v="5"/>
    <x v="4"/>
    <x v="15"/>
    <x v="1"/>
    <x v="1"/>
    <x v="1"/>
    <n v="11.58"/>
    <n v="11.57"/>
    <n v="0.09"/>
    <n v="9.7899999999999991"/>
  </r>
  <r>
    <x v="5"/>
    <x v="4"/>
    <x v="15"/>
    <x v="1"/>
    <x v="4"/>
    <x v="1"/>
    <n v="1.76"/>
    <n v="1.76"/>
    <n v="0.05"/>
    <n v="1.49"/>
  </r>
  <r>
    <x v="5"/>
    <x v="4"/>
    <x v="15"/>
    <x v="1"/>
    <x v="0"/>
    <x v="1"/>
    <n v="5.0199999999999996"/>
    <n v="5.01"/>
    <n v="0.21"/>
    <n v="4.22"/>
  </r>
  <r>
    <x v="5"/>
    <x v="4"/>
    <x v="15"/>
    <x v="0"/>
    <x v="4"/>
    <x v="1"/>
    <n v="3.84"/>
    <n v="3.84"/>
    <n v="0.09"/>
    <n v="3.23"/>
  </r>
  <r>
    <x v="5"/>
    <x v="4"/>
    <x v="15"/>
    <x v="4"/>
    <x v="1"/>
    <x v="1"/>
    <n v="0.62"/>
    <n v="0.62"/>
    <n v="0.02"/>
    <n v="0.52"/>
  </r>
  <r>
    <x v="5"/>
    <x v="4"/>
    <x v="15"/>
    <x v="1"/>
    <x v="2"/>
    <x v="1"/>
    <n v="21.17"/>
    <n v="21.16"/>
    <n v="7.0000000000000007E-2"/>
    <n v="17.8"/>
  </r>
  <r>
    <x v="5"/>
    <x v="4"/>
    <x v="15"/>
    <x v="4"/>
    <x v="0"/>
    <x v="1"/>
    <n v="0.35"/>
    <n v="0.35"/>
    <n v="0.03"/>
    <n v="0.3"/>
  </r>
  <r>
    <x v="5"/>
    <x v="4"/>
    <x v="15"/>
    <x v="0"/>
    <x v="3"/>
    <x v="1"/>
    <n v="0.28000000000000003"/>
    <n v="0.28000000000000003"/>
    <n v="0"/>
    <n v="0.28000000000000003"/>
  </r>
  <r>
    <x v="5"/>
    <x v="4"/>
    <x v="15"/>
    <x v="2"/>
    <x v="3"/>
    <x v="2"/>
    <n v="2.2400000000000002"/>
    <n v="2.2400000000000002"/>
    <n v="0.01"/>
    <n v="1.82"/>
  </r>
  <r>
    <x v="5"/>
    <x v="4"/>
    <x v="15"/>
    <x v="1"/>
    <x v="4"/>
    <x v="2"/>
    <n v="1.35"/>
    <n v="1.35"/>
    <n v="0.05"/>
    <n v="1.1000000000000001"/>
  </r>
  <r>
    <x v="5"/>
    <x v="4"/>
    <x v="15"/>
    <x v="4"/>
    <x v="2"/>
    <x v="2"/>
    <n v="1.31"/>
    <n v="1.31"/>
    <n v="0.03"/>
    <n v="1.07"/>
  </r>
  <r>
    <x v="5"/>
    <x v="4"/>
    <x v="15"/>
    <x v="4"/>
    <x v="1"/>
    <x v="2"/>
    <n v="0.26"/>
    <n v="0.26"/>
    <n v="0.01"/>
    <n v="0.21"/>
  </r>
  <r>
    <x v="5"/>
    <x v="4"/>
    <x v="15"/>
    <x v="4"/>
    <x v="1"/>
    <x v="0"/>
    <n v="14.01"/>
    <n v="14"/>
    <n v="0.87"/>
    <n v="12.43"/>
  </r>
  <r>
    <x v="5"/>
    <x v="4"/>
    <x v="15"/>
    <x v="4"/>
    <x v="4"/>
    <x v="1"/>
    <n v="1.66"/>
    <n v="1.66"/>
    <n v="0.1"/>
    <n v="1.4"/>
  </r>
  <r>
    <x v="5"/>
    <x v="4"/>
    <x v="15"/>
    <x v="0"/>
    <x v="2"/>
    <x v="0"/>
    <n v="0.2"/>
    <n v="0.2"/>
    <n v="0.01"/>
    <n v="0.2"/>
  </r>
  <r>
    <x v="5"/>
    <x v="4"/>
    <x v="15"/>
    <x v="4"/>
    <x v="2"/>
    <x v="0"/>
    <n v="0.3"/>
    <n v="0.3"/>
    <n v="0"/>
    <n v="0.26"/>
  </r>
  <r>
    <x v="5"/>
    <x v="4"/>
    <x v="15"/>
    <x v="4"/>
    <x v="3"/>
    <x v="0"/>
    <n v="0.45"/>
    <n v="0.45"/>
    <n v="0"/>
    <n v="0.39"/>
  </r>
  <r>
    <x v="5"/>
    <x v="4"/>
    <x v="15"/>
    <x v="0"/>
    <x v="0"/>
    <x v="1"/>
    <n v="7.47"/>
    <n v="7.46"/>
    <n v="0.18"/>
    <n v="6.28"/>
  </r>
  <r>
    <x v="5"/>
    <x v="4"/>
    <x v="15"/>
    <x v="0"/>
    <x v="4"/>
    <x v="0"/>
    <n v="2.63"/>
    <n v="2.63"/>
    <n v="0.4"/>
    <n v="2.6"/>
  </r>
  <r>
    <x v="5"/>
    <x v="4"/>
    <x v="15"/>
    <x v="1"/>
    <x v="3"/>
    <x v="1"/>
    <n v="0.94"/>
    <n v="0.94"/>
    <n v="0.01"/>
    <n v="0.8"/>
  </r>
  <r>
    <x v="5"/>
    <x v="4"/>
    <x v="15"/>
    <x v="1"/>
    <x v="0"/>
    <x v="0"/>
    <n v="5.01"/>
    <n v="5.01"/>
    <n v="3.17"/>
    <n v="4.68"/>
  </r>
  <r>
    <x v="5"/>
    <x v="4"/>
    <x v="15"/>
    <x v="1"/>
    <x v="4"/>
    <x v="0"/>
    <n v="195.6"/>
    <n v="195.5"/>
    <n v="35.36"/>
    <n v="174.94"/>
  </r>
  <r>
    <x v="5"/>
    <x v="4"/>
    <x v="15"/>
    <x v="1"/>
    <x v="1"/>
    <x v="0"/>
    <n v="24.06"/>
    <n v="24.04"/>
    <n v="1.55"/>
    <n v="21.9"/>
  </r>
  <r>
    <x v="5"/>
    <x v="4"/>
    <x v="15"/>
    <x v="2"/>
    <x v="0"/>
    <x v="0"/>
    <n v="2.5499999999999998"/>
    <n v="2.5499999999999998"/>
    <n v="2.0099999999999998"/>
    <n v="2.4500000000000002"/>
  </r>
  <r>
    <x v="5"/>
    <x v="4"/>
    <x v="15"/>
    <x v="2"/>
    <x v="4"/>
    <x v="0"/>
    <n v="4.0199999999999996"/>
    <n v="4.01"/>
    <n v="0.81"/>
    <n v="3.87"/>
  </r>
  <r>
    <x v="5"/>
    <x v="4"/>
    <x v="15"/>
    <x v="4"/>
    <x v="4"/>
    <x v="0"/>
    <n v="41.04"/>
    <n v="41.02"/>
    <n v="7.21"/>
    <n v="37.08"/>
  </r>
  <r>
    <x v="5"/>
    <x v="4"/>
    <x v="15"/>
    <x v="3"/>
    <x v="4"/>
    <x v="0"/>
    <n v="35.43"/>
    <n v="35.409999999999997"/>
    <n v="6.42"/>
    <n v="30.52"/>
  </r>
  <r>
    <x v="5"/>
    <x v="4"/>
    <x v="15"/>
    <x v="2"/>
    <x v="4"/>
    <x v="1"/>
    <n v="0.33"/>
    <n v="0.33"/>
    <n v="0"/>
    <n v="0.27"/>
  </r>
  <r>
    <x v="5"/>
    <x v="4"/>
    <x v="15"/>
    <x v="1"/>
    <x v="2"/>
    <x v="0"/>
    <n v="1.7"/>
    <n v="1.7"/>
    <n v="0.01"/>
    <n v="1.46"/>
  </r>
  <r>
    <x v="5"/>
    <x v="4"/>
    <x v="15"/>
    <x v="3"/>
    <x v="0"/>
    <x v="0"/>
    <n v="0.04"/>
    <n v="0.04"/>
    <n v="0.03"/>
    <n v="0.04"/>
  </r>
  <r>
    <x v="5"/>
    <x v="4"/>
    <x v="15"/>
    <x v="0"/>
    <x v="0"/>
    <x v="0"/>
    <n v="1.48"/>
    <n v="1.48"/>
    <n v="0.62"/>
    <n v="1.36"/>
  </r>
  <r>
    <x v="5"/>
    <x v="5"/>
    <x v="16"/>
    <x v="4"/>
    <x v="4"/>
    <x v="1"/>
    <n v="7.0000000000000007E-2"/>
    <n v="0.08"/>
    <n v="0"/>
    <n v="0.06"/>
  </r>
  <r>
    <x v="5"/>
    <x v="5"/>
    <x v="16"/>
    <x v="1"/>
    <x v="4"/>
    <x v="1"/>
    <n v="0.03"/>
    <n v="0.04"/>
    <n v="0"/>
    <n v="0.03"/>
  </r>
  <r>
    <x v="5"/>
    <x v="5"/>
    <x v="16"/>
    <x v="1"/>
    <x v="0"/>
    <x v="1"/>
    <n v="0.24"/>
    <n v="0.3"/>
    <n v="0.01"/>
    <n v="0.22"/>
  </r>
  <r>
    <x v="5"/>
    <x v="5"/>
    <x v="16"/>
    <x v="0"/>
    <x v="4"/>
    <x v="1"/>
    <n v="0.02"/>
    <n v="0.03"/>
    <n v="0"/>
    <n v="0.02"/>
  </r>
  <r>
    <x v="5"/>
    <x v="5"/>
    <x v="16"/>
    <x v="4"/>
    <x v="4"/>
    <x v="2"/>
    <n v="0.3"/>
    <n v="0.37"/>
    <n v="0.01"/>
    <n v="0.26"/>
  </r>
  <r>
    <x v="5"/>
    <x v="5"/>
    <x v="16"/>
    <x v="4"/>
    <x v="1"/>
    <x v="2"/>
    <n v="0.17"/>
    <n v="0.21"/>
    <n v="0"/>
    <n v="0.14000000000000001"/>
  </r>
  <r>
    <x v="5"/>
    <x v="5"/>
    <x v="16"/>
    <x v="2"/>
    <x v="3"/>
    <x v="3"/>
    <n v="0.88"/>
    <n v="1.1000000000000001"/>
    <n v="0"/>
    <n v="0.88"/>
  </r>
  <r>
    <x v="5"/>
    <x v="5"/>
    <x v="16"/>
    <x v="4"/>
    <x v="1"/>
    <x v="1"/>
    <n v="0.02"/>
    <n v="0.02"/>
    <n v="0"/>
    <n v="0.02"/>
  </r>
  <r>
    <x v="5"/>
    <x v="5"/>
    <x v="16"/>
    <x v="0"/>
    <x v="0"/>
    <x v="1"/>
    <n v="0.64"/>
    <n v="0.8"/>
    <n v="0.02"/>
    <n v="0.59"/>
  </r>
  <r>
    <x v="5"/>
    <x v="5"/>
    <x v="16"/>
    <x v="2"/>
    <x v="3"/>
    <x v="1"/>
    <n v="0.17"/>
    <n v="0.21"/>
    <n v="0"/>
    <n v="0.16"/>
  </r>
  <r>
    <x v="5"/>
    <x v="5"/>
    <x v="16"/>
    <x v="1"/>
    <x v="2"/>
    <x v="1"/>
    <n v="1.73"/>
    <n v="2.16"/>
    <n v="0.01"/>
    <n v="1.6"/>
  </r>
  <r>
    <x v="5"/>
    <x v="5"/>
    <x v="16"/>
    <x v="1"/>
    <x v="4"/>
    <x v="2"/>
    <n v="0.31"/>
    <n v="0.39"/>
    <n v="0.01"/>
    <n v="0.27"/>
  </r>
  <r>
    <x v="5"/>
    <x v="5"/>
    <x v="16"/>
    <x v="1"/>
    <x v="0"/>
    <x v="0"/>
    <n v="3.57"/>
    <n v="4.46"/>
    <n v="2.21"/>
    <n v="3.39"/>
  </r>
  <r>
    <x v="5"/>
    <x v="5"/>
    <x v="16"/>
    <x v="1"/>
    <x v="1"/>
    <x v="1"/>
    <n v="0.19"/>
    <n v="0.23"/>
    <n v="0"/>
    <n v="0.17"/>
  </r>
  <r>
    <x v="5"/>
    <x v="5"/>
    <x v="16"/>
    <x v="2"/>
    <x v="0"/>
    <x v="0"/>
    <n v="2.21"/>
    <n v="2.76"/>
    <n v="1.45"/>
    <n v="2.11"/>
  </r>
  <r>
    <x v="5"/>
    <x v="5"/>
    <x v="16"/>
    <x v="1"/>
    <x v="2"/>
    <x v="0"/>
    <n v="0.12"/>
    <n v="0.15"/>
    <n v="0"/>
    <n v="0.1"/>
  </r>
  <r>
    <x v="5"/>
    <x v="5"/>
    <x v="16"/>
    <x v="1"/>
    <x v="4"/>
    <x v="0"/>
    <n v="59.79"/>
    <n v="74.72"/>
    <n v="13.6"/>
    <n v="56.01"/>
  </r>
  <r>
    <x v="5"/>
    <x v="5"/>
    <x v="16"/>
    <x v="2"/>
    <x v="4"/>
    <x v="0"/>
    <n v="1.45"/>
    <n v="1.81"/>
    <n v="0.32"/>
    <n v="1.38"/>
  </r>
  <r>
    <x v="5"/>
    <x v="5"/>
    <x v="16"/>
    <x v="0"/>
    <x v="4"/>
    <x v="0"/>
    <n v="5.56"/>
    <n v="6.94"/>
    <n v="1.39"/>
    <n v="5.26"/>
  </r>
  <r>
    <x v="5"/>
    <x v="5"/>
    <x v="16"/>
    <x v="0"/>
    <x v="0"/>
    <x v="0"/>
    <n v="1.64"/>
    <n v="2.0499999999999998"/>
    <n v="1.21"/>
    <n v="1.5"/>
  </r>
  <r>
    <x v="5"/>
    <x v="5"/>
    <x v="16"/>
    <x v="4"/>
    <x v="1"/>
    <x v="0"/>
    <n v="2.39"/>
    <n v="2.99"/>
    <n v="0.15"/>
    <n v="2.21"/>
  </r>
  <r>
    <x v="5"/>
    <x v="5"/>
    <x v="16"/>
    <x v="4"/>
    <x v="4"/>
    <x v="0"/>
    <n v="11.17"/>
    <n v="13.96"/>
    <n v="1.5"/>
    <n v="10.43"/>
  </r>
  <r>
    <x v="5"/>
    <x v="5"/>
    <x v="16"/>
    <x v="3"/>
    <x v="1"/>
    <x v="0"/>
    <n v="0.04"/>
    <n v="0.05"/>
    <n v="0"/>
    <n v="0.04"/>
  </r>
  <r>
    <x v="5"/>
    <x v="5"/>
    <x v="16"/>
    <x v="3"/>
    <x v="4"/>
    <x v="0"/>
    <n v="1.08"/>
    <n v="1.34"/>
    <n v="0.23"/>
    <n v="1.03"/>
  </r>
  <r>
    <x v="5"/>
    <x v="5"/>
    <x v="16"/>
    <x v="3"/>
    <x v="0"/>
    <x v="0"/>
    <n v="7.0000000000000007E-2"/>
    <n v="0.09"/>
    <n v="0.04"/>
    <n v="7.0000000000000007E-2"/>
  </r>
  <r>
    <x v="5"/>
    <x v="5"/>
    <x v="16"/>
    <x v="1"/>
    <x v="1"/>
    <x v="0"/>
    <n v="6.86"/>
    <n v="8.57"/>
    <n v="0.62"/>
    <n v="6.31"/>
  </r>
  <r>
    <x v="5"/>
    <x v="6"/>
    <x v="17"/>
    <x v="1"/>
    <x v="2"/>
    <x v="0"/>
    <n v="12.45"/>
    <n v="13.63"/>
    <n v="0.12"/>
    <n v="10.76"/>
  </r>
  <r>
    <x v="5"/>
    <x v="6"/>
    <x v="17"/>
    <x v="3"/>
    <x v="0"/>
    <x v="0"/>
    <n v="0"/>
    <n v="0"/>
    <n v="0"/>
    <n v="0"/>
  </r>
  <r>
    <x v="5"/>
    <x v="6"/>
    <x v="17"/>
    <x v="3"/>
    <x v="4"/>
    <x v="0"/>
    <n v="25.63"/>
    <n v="28.07"/>
    <n v="5.09"/>
    <n v="23.12"/>
  </r>
  <r>
    <x v="5"/>
    <x v="6"/>
    <x v="17"/>
    <x v="4"/>
    <x v="0"/>
    <x v="0"/>
    <n v="2.2999999999999998"/>
    <n v="2.52"/>
    <n v="2.4300000000000002"/>
    <n v="2.2999999999999998"/>
  </r>
  <r>
    <x v="5"/>
    <x v="6"/>
    <x v="17"/>
    <x v="4"/>
    <x v="4"/>
    <x v="0"/>
    <n v="130.87"/>
    <n v="143.32"/>
    <n v="22.91"/>
    <n v="117.78"/>
  </r>
  <r>
    <x v="5"/>
    <x v="6"/>
    <x v="17"/>
    <x v="2"/>
    <x v="4"/>
    <x v="0"/>
    <n v="14.59"/>
    <n v="15.98"/>
    <n v="4.76"/>
    <n v="13.77"/>
  </r>
  <r>
    <x v="5"/>
    <x v="6"/>
    <x v="17"/>
    <x v="2"/>
    <x v="0"/>
    <x v="0"/>
    <n v="19.34"/>
    <n v="21.18"/>
    <n v="13.44"/>
    <n v="18.21"/>
  </r>
  <r>
    <x v="5"/>
    <x v="6"/>
    <x v="17"/>
    <x v="1"/>
    <x v="1"/>
    <x v="0"/>
    <n v="26.62"/>
    <n v="29.15"/>
    <n v="1.79"/>
    <n v="24.22"/>
  </r>
  <r>
    <x v="5"/>
    <x v="6"/>
    <x v="17"/>
    <x v="1"/>
    <x v="4"/>
    <x v="0"/>
    <n v="425.48"/>
    <n v="465.97"/>
    <n v="75.83"/>
    <n v="392.71"/>
  </r>
  <r>
    <x v="5"/>
    <x v="6"/>
    <x v="17"/>
    <x v="1"/>
    <x v="0"/>
    <x v="0"/>
    <n v="11.12"/>
    <n v="12.18"/>
    <n v="6.68"/>
    <n v="10.23"/>
  </r>
  <r>
    <x v="5"/>
    <x v="6"/>
    <x v="17"/>
    <x v="0"/>
    <x v="2"/>
    <x v="0"/>
    <n v="0.33"/>
    <n v="0.36"/>
    <n v="0"/>
    <n v="0.33"/>
  </r>
  <r>
    <x v="5"/>
    <x v="6"/>
    <x v="17"/>
    <x v="0"/>
    <x v="4"/>
    <x v="0"/>
    <n v="29.78"/>
    <n v="32.61"/>
    <n v="14.51"/>
    <n v="28.4"/>
  </r>
  <r>
    <x v="5"/>
    <x v="6"/>
    <x v="17"/>
    <x v="2"/>
    <x v="3"/>
    <x v="1"/>
    <n v="1.1000000000000001"/>
    <n v="1.21"/>
    <n v="0"/>
    <n v="1.1000000000000001"/>
  </r>
  <r>
    <x v="5"/>
    <x v="6"/>
    <x v="17"/>
    <x v="4"/>
    <x v="3"/>
    <x v="0"/>
    <n v="0.42"/>
    <n v="0.46"/>
    <n v="0"/>
    <n v="0.38"/>
  </r>
  <r>
    <x v="5"/>
    <x v="6"/>
    <x v="17"/>
    <x v="0"/>
    <x v="0"/>
    <x v="1"/>
    <n v="10.119999999999999"/>
    <n v="11.08"/>
    <n v="0.2"/>
    <n v="8.65"/>
  </r>
  <r>
    <x v="5"/>
    <x v="6"/>
    <x v="17"/>
    <x v="4"/>
    <x v="2"/>
    <x v="0"/>
    <n v="0.28000000000000003"/>
    <n v="0.31"/>
    <n v="0"/>
    <n v="0.25"/>
  </r>
  <r>
    <x v="5"/>
    <x v="6"/>
    <x v="17"/>
    <x v="0"/>
    <x v="0"/>
    <x v="0"/>
    <n v="14.61"/>
    <n v="16"/>
    <n v="10.08"/>
    <n v="13.18"/>
  </r>
  <r>
    <x v="5"/>
    <x v="6"/>
    <x v="17"/>
    <x v="4"/>
    <x v="1"/>
    <x v="1"/>
    <n v="1.84"/>
    <n v="2.0099999999999998"/>
    <n v="0.06"/>
    <n v="1.6"/>
  </r>
  <r>
    <x v="5"/>
    <x v="6"/>
    <x v="17"/>
    <x v="4"/>
    <x v="1"/>
    <x v="0"/>
    <n v="53.9"/>
    <n v="59.03"/>
    <n v="3.76"/>
    <n v="48.2"/>
  </r>
  <r>
    <x v="5"/>
    <x v="6"/>
    <x v="17"/>
    <x v="4"/>
    <x v="1"/>
    <x v="2"/>
    <n v="3.44"/>
    <n v="3.77"/>
    <n v="0.12"/>
    <n v="3"/>
  </r>
  <r>
    <x v="5"/>
    <x v="6"/>
    <x v="17"/>
    <x v="4"/>
    <x v="2"/>
    <x v="2"/>
    <n v="6.06"/>
    <n v="6.63"/>
    <n v="0.14000000000000001"/>
    <n v="5.27"/>
  </r>
  <r>
    <x v="5"/>
    <x v="6"/>
    <x v="17"/>
    <x v="1"/>
    <x v="4"/>
    <x v="2"/>
    <n v="5.64"/>
    <n v="6.18"/>
    <n v="0.27"/>
    <n v="4.91"/>
  </r>
  <r>
    <x v="5"/>
    <x v="6"/>
    <x v="17"/>
    <x v="2"/>
    <x v="3"/>
    <x v="2"/>
    <n v="14.04"/>
    <n v="15.38"/>
    <n v="0.03"/>
    <n v="14.04"/>
  </r>
  <r>
    <x v="5"/>
    <x v="6"/>
    <x v="17"/>
    <x v="2"/>
    <x v="3"/>
    <x v="3"/>
    <n v="1.77"/>
    <n v="1.94"/>
    <n v="0"/>
    <n v="1.44"/>
  </r>
  <r>
    <x v="5"/>
    <x v="6"/>
    <x v="17"/>
    <x v="1"/>
    <x v="0"/>
    <x v="1"/>
    <n v="9.2200000000000006"/>
    <n v="10.1"/>
    <n v="0.36"/>
    <n v="7.93"/>
  </r>
  <r>
    <x v="5"/>
    <x v="6"/>
    <x v="17"/>
    <x v="4"/>
    <x v="4"/>
    <x v="1"/>
    <n v="1.18"/>
    <n v="1.29"/>
    <n v="0.08"/>
    <n v="1.01"/>
  </r>
  <r>
    <x v="5"/>
    <x v="6"/>
    <x v="17"/>
    <x v="2"/>
    <x v="4"/>
    <x v="1"/>
    <n v="0.45"/>
    <n v="0.5"/>
    <n v="0"/>
    <n v="0.45"/>
  </r>
  <r>
    <x v="5"/>
    <x v="6"/>
    <x v="17"/>
    <x v="0"/>
    <x v="4"/>
    <x v="1"/>
    <n v="3.38"/>
    <n v="3.7"/>
    <n v="0.1"/>
    <n v="2.89"/>
  </r>
  <r>
    <x v="5"/>
    <x v="6"/>
    <x v="17"/>
    <x v="1"/>
    <x v="4"/>
    <x v="1"/>
    <n v="4.28"/>
    <n v="4.6900000000000004"/>
    <n v="0.12"/>
    <n v="3.72"/>
  </r>
  <r>
    <x v="5"/>
    <x v="6"/>
    <x v="17"/>
    <x v="1"/>
    <x v="1"/>
    <x v="1"/>
    <n v="22.63"/>
    <n v="24.79"/>
    <n v="0.17"/>
    <n v="19.55"/>
  </r>
  <r>
    <x v="5"/>
    <x v="6"/>
    <x v="17"/>
    <x v="1"/>
    <x v="2"/>
    <x v="1"/>
    <n v="44.98"/>
    <n v="49.26"/>
    <n v="0.14000000000000001"/>
    <n v="38.630000000000003"/>
  </r>
  <r>
    <x v="5"/>
    <x v="6"/>
    <x v="17"/>
    <x v="1"/>
    <x v="3"/>
    <x v="1"/>
    <n v="2.23"/>
    <n v="2.44"/>
    <n v="0.02"/>
    <n v="1.95"/>
  </r>
  <r>
    <x v="5"/>
    <x v="6"/>
    <x v="17"/>
    <x v="4"/>
    <x v="0"/>
    <x v="1"/>
    <n v="2.23"/>
    <n v="2.44"/>
    <n v="0.23"/>
    <n v="1.93"/>
  </r>
  <r>
    <x v="5"/>
    <x v="6"/>
    <x v="18"/>
    <x v="1"/>
    <x v="3"/>
    <x v="2"/>
    <n v="0.56000000000000005"/>
    <n v="0.71"/>
    <n v="0"/>
    <n v="0.46"/>
  </r>
  <r>
    <x v="5"/>
    <x v="6"/>
    <x v="18"/>
    <x v="1"/>
    <x v="2"/>
    <x v="0"/>
    <n v="1.3"/>
    <n v="1.67"/>
    <n v="0.01"/>
    <n v="1.06"/>
  </r>
  <r>
    <x v="5"/>
    <x v="6"/>
    <x v="18"/>
    <x v="1"/>
    <x v="4"/>
    <x v="2"/>
    <n v="0.36"/>
    <n v="0.47"/>
    <n v="0.02"/>
    <n v="0.3"/>
  </r>
  <r>
    <x v="5"/>
    <x v="6"/>
    <x v="18"/>
    <x v="4"/>
    <x v="2"/>
    <x v="2"/>
    <n v="1.45"/>
    <n v="1.86"/>
    <n v="0.02"/>
    <n v="1.21"/>
  </r>
  <r>
    <x v="5"/>
    <x v="6"/>
    <x v="18"/>
    <x v="2"/>
    <x v="0"/>
    <x v="0"/>
    <n v="6.7"/>
    <n v="8.59"/>
    <n v="4.1900000000000004"/>
    <n v="5.88"/>
  </r>
  <r>
    <x v="5"/>
    <x v="6"/>
    <x v="18"/>
    <x v="1"/>
    <x v="1"/>
    <x v="0"/>
    <n v="22.22"/>
    <n v="28.5"/>
    <n v="1.33"/>
    <n v="19.18"/>
  </r>
  <r>
    <x v="5"/>
    <x v="6"/>
    <x v="18"/>
    <x v="1"/>
    <x v="4"/>
    <x v="0"/>
    <n v="87.53"/>
    <n v="112.25"/>
    <n v="19.16"/>
    <n v="76.91"/>
  </r>
  <r>
    <x v="5"/>
    <x v="6"/>
    <x v="18"/>
    <x v="1"/>
    <x v="0"/>
    <x v="0"/>
    <n v="9.36"/>
    <n v="12.01"/>
    <n v="4.88"/>
    <n v="7.94"/>
  </r>
  <r>
    <x v="5"/>
    <x v="6"/>
    <x v="18"/>
    <x v="0"/>
    <x v="2"/>
    <x v="0"/>
    <n v="1.9"/>
    <n v="2.44"/>
    <n v="0.02"/>
    <n v="1.9"/>
  </r>
  <r>
    <x v="5"/>
    <x v="6"/>
    <x v="18"/>
    <x v="0"/>
    <x v="4"/>
    <x v="0"/>
    <n v="6.12"/>
    <n v="7.85"/>
    <n v="2.44"/>
    <n v="5.24"/>
  </r>
  <r>
    <x v="5"/>
    <x v="6"/>
    <x v="18"/>
    <x v="0"/>
    <x v="0"/>
    <x v="0"/>
    <n v="3.24"/>
    <n v="4.1500000000000004"/>
    <n v="2.2400000000000002"/>
    <n v="2.73"/>
  </r>
  <r>
    <x v="5"/>
    <x v="6"/>
    <x v="18"/>
    <x v="4"/>
    <x v="1"/>
    <x v="0"/>
    <n v="5.8"/>
    <n v="7.44"/>
    <n v="0.32"/>
    <n v="4.99"/>
  </r>
  <r>
    <x v="5"/>
    <x v="6"/>
    <x v="18"/>
    <x v="4"/>
    <x v="4"/>
    <x v="0"/>
    <n v="24.19"/>
    <n v="31.03"/>
    <n v="6.53"/>
    <n v="21.81"/>
  </r>
  <r>
    <x v="5"/>
    <x v="6"/>
    <x v="18"/>
    <x v="3"/>
    <x v="4"/>
    <x v="0"/>
    <n v="6.15"/>
    <n v="7.89"/>
    <n v="0.75"/>
    <n v="5.34"/>
  </r>
  <r>
    <x v="5"/>
    <x v="6"/>
    <x v="18"/>
    <x v="3"/>
    <x v="0"/>
    <x v="0"/>
    <n v="0.04"/>
    <n v="0.05"/>
    <n v="0.03"/>
    <n v="0.04"/>
  </r>
  <r>
    <x v="5"/>
    <x v="6"/>
    <x v="18"/>
    <x v="2"/>
    <x v="3"/>
    <x v="1"/>
    <n v="1.2"/>
    <n v="1.54"/>
    <n v="0"/>
    <n v="1.2"/>
  </r>
  <r>
    <x v="5"/>
    <x v="6"/>
    <x v="18"/>
    <x v="4"/>
    <x v="4"/>
    <x v="1"/>
    <n v="0.26"/>
    <n v="0.33"/>
    <n v="0.02"/>
    <n v="0.22"/>
  </r>
  <r>
    <x v="5"/>
    <x v="6"/>
    <x v="18"/>
    <x v="1"/>
    <x v="1"/>
    <x v="2"/>
    <n v="0.21"/>
    <n v="0.27"/>
    <n v="0"/>
    <n v="0.17"/>
  </r>
  <r>
    <x v="5"/>
    <x v="6"/>
    <x v="18"/>
    <x v="2"/>
    <x v="4"/>
    <x v="0"/>
    <n v="2.77"/>
    <n v="3.55"/>
    <n v="1.23"/>
    <n v="2.57"/>
  </r>
  <r>
    <x v="5"/>
    <x v="6"/>
    <x v="18"/>
    <x v="1"/>
    <x v="3"/>
    <x v="1"/>
    <n v="0.81"/>
    <n v="1.04"/>
    <n v="0.01"/>
    <n v="0.66"/>
  </r>
  <r>
    <x v="5"/>
    <x v="6"/>
    <x v="18"/>
    <x v="4"/>
    <x v="0"/>
    <x v="1"/>
    <n v="0.35"/>
    <n v="0.45"/>
    <n v="0.03"/>
    <n v="0.28999999999999998"/>
  </r>
  <r>
    <x v="5"/>
    <x v="6"/>
    <x v="18"/>
    <x v="4"/>
    <x v="1"/>
    <x v="1"/>
    <n v="0.24"/>
    <n v="0.31"/>
    <n v="0.01"/>
    <n v="0.2"/>
  </r>
  <r>
    <x v="5"/>
    <x v="6"/>
    <x v="18"/>
    <x v="0"/>
    <x v="0"/>
    <x v="1"/>
    <n v="1.86"/>
    <n v="2.39"/>
    <n v="0.04"/>
    <n v="1.62"/>
  </r>
  <r>
    <x v="5"/>
    <x v="6"/>
    <x v="18"/>
    <x v="0"/>
    <x v="4"/>
    <x v="1"/>
    <n v="1.46"/>
    <n v="1.87"/>
    <n v="0.03"/>
    <n v="1.27"/>
  </r>
  <r>
    <x v="5"/>
    <x v="6"/>
    <x v="18"/>
    <x v="1"/>
    <x v="0"/>
    <x v="1"/>
    <n v="1.86"/>
    <n v="2.39"/>
    <n v="0.08"/>
    <n v="1.57"/>
  </r>
  <r>
    <x v="5"/>
    <x v="6"/>
    <x v="18"/>
    <x v="1"/>
    <x v="4"/>
    <x v="1"/>
    <n v="1.01"/>
    <n v="1.29"/>
    <n v="0.03"/>
    <n v="0.84"/>
  </r>
  <r>
    <x v="5"/>
    <x v="6"/>
    <x v="18"/>
    <x v="1"/>
    <x v="1"/>
    <x v="1"/>
    <n v="3.51"/>
    <n v="4.51"/>
    <n v="0.04"/>
    <n v="3"/>
  </r>
  <r>
    <x v="5"/>
    <x v="6"/>
    <x v="18"/>
    <x v="1"/>
    <x v="2"/>
    <x v="1"/>
    <n v="7.62"/>
    <n v="9.77"/>
    <n v="0.03"/>
    <n v="6.61"/>
  </r>
  <r>
    <x v="5"/>
    <x v="6"/>
    <x v="18"/>
    <x v="2"/>
    <x v="3"/>
    <x v="3"/>
    <n v="14.95"/>
    <n v="19.170000000000002"/>
    <n v="0.01"/>
    <n v="11.96"/>
  </r>
  <r>
    <x v="5"/>
    <x v="2"/>
    <x v="19"/>
    <x v="3"/>
    <x v="1"/>
    <x v="0"/>
    <n v="0.02"/>
    <n v="0.02"/>
    <n v="0"/>
    <n v="0.02"/>
  </r>
  <r>
    <x v="5"/>
    <x v="2"/>
    <x v="19"/>
    <x v="0"/>
    <x v="0"/>
    <x v="1"/>
    <n v="0.3"/>
    <n v="0.36"/>
    <n v="0.01"/>
    <n v="0.27"/>
  </r>
  <r>
    <x v="5"/>
    <x v="2"/>
    <x v="19"/>
    <x v="0"/>
    <x v="4"/>
    <x v="1"/>
    <n v="0.01"/>
    <n v="0.01"/>
    <n v="0"/>
    <n v="0.01"/>
  </r>
  <r>
    <x v="5"/>
    <x v="2"/>
    <x v="19"/>
    <x v="1"/>
    <x v="0"/>
    <x v="1"/>
    <n v="0.12"/>
    <n v="0.15"/>
    <n v="0.01"/>
    <n v="0.11"/>
  </r>
  <r>
    <x v="5"/>
    <x v="2"/>
    <x v="19"/>
    <x v="1"/>
    <x v="4"/>
    <x v="1"/>
    <n v="0.01"/>
    <n v="0.02"/>
    <n v="0"/>
    <n v="0.01"/>
  </r>
  <r>
    <x v="5"/>
    <x v="2"/>
    <x v="19"/>
    <x v="1"/>
    <x v="1"/>
    <x v="1"/>
    <n v="0.09"/>
    <n v="0.1"/>
    <n v="0"/>
    <n v="0.08"/>
  </r>
  <r>
    <x v="5"/>
    <x v="2"/>
    <x v="19"/>
    <x v="1"/>
    <x v="2"/>
    <x v="1"/>
    <n v="1.01"/>
    <n v="1.21"/>
    <n v="0.01"/>
    <n v="0.93"/>
  </r>
  <r>
    <x v="5"/>
    <x v="2"/>
    <x v="19"/>
    <x v="2"/>
    <x v="3"/>
    <x v="1"/>
    <n v="0.02"/>
    <n v="0.03"/>
    <n v="0"/>
    <n v="0.02"/>
  </r>
  <r>
    <x v="5"/>
    <x v="2"/>
    <x v="19"/>
    <x v="4"/>
    <x v="1"/>
    <x v="1"/>
    <n v="0"/>
    <n v="0.01"/>
    <n v="0"/>
    <n v="0"/>
  </r>
  <r>
    <x v="5"/>
    <x v="2"/>
    <x v="19"/>
    <x v="3"/>
    <x v="4"/>
    <x v="0"/>
    <n v="14.67"/>
    <n v="17.559999999999999"/>
    <n v="2.94"/>
    <n v="14.17"/>
  </r>
  <r>
    <x v="5"/>
    <x v="2"/>
    <x v="19"/>
    <x v="1"/>
    <x v="0"/>
    <x v="0"/>
    <n v="13.89"/>
    <n v="16.63"/>
    <n v="7.82"/>
    <n v="13.3"/>
  </r>
  <r>
    <x v="5"/>
    <x v="2"/>
    <x v="19"/>
    <x v="4"/>
    <x v="4"/>
    <x v="0"/>
    <n v="50.14"/>
    <n v="60.01"/>
    <n v="5.87"/>
    <n v="46.44"/>
  </r>
  <r>
    <x v="5"/>
    <x v="2"/>
    <x v="19"/>
    <x v="3"/>
    <x v="0"/>
    <x v="0"/>
    <n v="0.39"/>
    <n v="0.46"/>
    <n v="0.32"/>
    <n v="0.38"/>
  </r>
  <r>
    <x v="5"/>
    <x v="2"/>
    <x v="19"/>
    <x v="4"/>
    <x v="4"/>
    <x v="1"/>
    <n v="0.03"/>
    <n v="0.03"/>
    <n v="0"/>
    <n v="0.03"/>
  </r>
  <r>
    <x v="5"/>
    <x v="2"/>
    <x v="19"/>
    <x v="2"/>
    <x v="3"/>
    <x v="3"/>
    <n v="1.04"/>
    <n v="1.24"/>
    <n v="0"/>
    <n v="1.04"/>
  </r>
  <r>
    <x v="5"/>
    <x v="2"/>
    <x v="19"/>
    <x v="4"/>
    <x v="2"/>
    <x v="2"/>
    <n v="0.89"/>
    <n v="1.07"/>
    <n v="0.01"/>
    <n v="0.78"/>
  </r>
  <r>
    <x v="5"/>
    <x v="2"/>
    <x v="19"/>
    <x v="4"/>
    <x v="1"/>
    <x v="2"/>
    <n v="0.31"/>
    <n v="0.37"/>
    <n v="0.03"/>
    <n v="0.27"/>
  </r>
  <r>
    <x v="5"/>
    <x v="2"/>
    <x v="19"/>
    <x v="4"/>
    <x v="4"/>
    <x v="2"/>
    <n v="0.62"/>
    <n v="0.74"/>
    <n v="0.09"/>
    <n v="0.55000000000000004"/>
  </r>
  <r>
    <x v="5"/>
    <x v="2"/>
    <x v="19"/>
    <x v="0"/>
    <x v="4"/>
    <x v="0"/>
    <n v="26.65"/>
    <n v="31.9"/>
    <n v="5.58"/>
    <n v="25.29"/>
  </r>
  <r>
    <x v="5"/>
    <x v="2"/>
    <x v="19"/>
    <x v="1"/>
    <x v="4"/>
    <x v="0"/>
    <n v="171.7"/>
    <n v="205.51"/>
    <n v="25.85"/>
    <n v="160.96"/>
  </r>
  <r>
    <x v="5"/>
    <x v="2"/>
    <x v="19"/>
    <x v="2"/>
    <x v="4"/>
    <x v="0"/>
    <n v="4.6900000000000004"/>
    <n v="5.62"/>
    <n v="1.01"/>
    <n v="4.57"/>
  </r>
  <r>
    <x v="5"/>
    <x v="2"/>
    <x v="19"/>
    <x v="1"/>
    <x v="1"/>
    <x v="0"/>
    <n v="19.47"/>
    <n v="23.31"/>
    <n v="0.93"/>
    <n v="18.27"/>
  </r>
  <r>
    <x v="5"/>
    <x v="2"/>
    <x v="19"/>
    <x v="1"/>
    <x v="2"/>
    <x v="0"/>
    <n v="0.35"/>
    <n v="0.42"/>
    <n v="0"/>
    <n v="0.31"/>
  </r>
  <r>
    <x v="5"/>
    <x v="2"/>
    <x v="19"/>
    <x v="4"/>
    <x v="1"/>
    <x v="0"/>
    <n v="6.41"/>
    <n v="7.67"/>
    <n v="0.35"/>
    <n v="5.9"/>
  </r>
  <r>
    <x v="5"/>
    <x v="2"/>
    <x v="19"/>
    <x v="2"/>
    <x v="0"/>
    <x v="0"/>
    <n v="6.04"/>
    <n v="7.23"/>
    <n v="4.1399999999999997"/>
    <n v="5.81"/>
  </r>
  <r>
    <x v="5"/>
    <x v="2"/>
    <x v="19"/>
    <x v="0"/>
    <x v="0"/>
    <x v="0"/>
    <n v="9.75"/>
    <n v="11.67"/>
    <n v="7.14"/>
    <n v="8.84"/>
  </r>
  <r>
    <x v="5"/>
    <x v="7"/>
    <x v="20"/>
    <x v="2"/>
    <x v="0"/>
    <x v="0"/>
    <n v="2.2999999999999998"/>
    <n v="2.4700000000000002"/>
    <n v="2.11"/>
    <n v="2.1800000000000002"/>
  </r>
  <r>
    <x v="5"/>
    <x v="7"/>
    <x v="20"/>
    <x v="4"/>
    <x v="4"/>
    <x v="0"/>
    <n v="68.209999999999994"/>
    <n v="73.430000000000007"/>
    <n v="8.17"/>
    <n v="62.53"/>
  </r>
  <r>
    <x v="5"/>
    <x v="7"/>
    <x v="20"/>
    <x v="4"/>
    <x v="1"/>
    <x v="0"/>
    <n v="16.21"/>
    <n v="17.45"/>
    <n v="1.02"/>
    <n v="14.91"/>
  </r>
  <r>
    <x v="5"/>
    <x v="7"/>
    <x v="20"/>
    <x v="0"/>
    <x v="0"/>
    <x v="0"/>
    <n v="3.37"/>
    <n v="3.63"/>
    <n v="2.4900000000000002"/>
    <n v="3.05"/>
  </r>
  <r>
    <x v="5"/>
    <x v="7"/>
    <x v="20"/>
    <x v="0"/>
    <x v="4"/>
    <x v="0"/>
    <n v="10.28"/>
    <n v="11.06"/>
    <n v="2.91"/>
    <n v="9.57"/>
  </r>
  <r>
    <x v="5"/>
    <x v="7"/>
    <x v="20"/>
    <x v="1"/>
    <x v="1"/>
    <x v="0"/>
    <n v="20.39"/>
    <n v="21.95"/>
    <n v="1.28"/>
    <n v="18.82"/>
  </r>
  <r>
    <x v="5"/>
    <x v="7"/>
    <x v="20"/>
    <x v="2"/>
    <x v="4"/>
    <x v="0"/>
    <n v="2.5"/>
    <n v="2.7"/>
    <n v="0.84"/>
    <n v="2.37"/>
  </r>
  <r>
    <x v="5"/>
    <x v="7"/>
    <x v="20"/>
    <x v="1"/>
    <x v="4"/>
    <x v="0"/>
    <n v="111.3"/>
    <n v="119.81"/>
    <n v="22.42"/>
    <n v="102.69"/>
  </r>
  <r>
    <x v="5"/>
    <x v="7"/>
    <x v="20"/>
    <x v="1"/>
    <x v="0"/>
    <x v="0"/>
    <n v="5.67"/>
    <n v="6.11"/>
    <n v="4.49"/>
    <n v="5.37"/>
  </r>
  <r>
    <x v="5"/>
    <x v="7"/>
    <x v="20"/>
    <x v="4"/>
    <x v="1"/>
    <x v="1"/>
    <n v="0.03"/>
    <n v="0.03"/>
    <n v="0"/>
    <n v="0.02"/>
  </r>
  <r>
    <x v="5"/>
    <x v="7"/>
    <x v="20"/>
    <x v="1"/>
    <x v="4"/>
    <x v="2"/>
    <n v="0.22"/>
    <n v="0.24"/>
    <n v="0.02"/>
    <n v="0.19"/>
  </r>
  <r>
    <x v="5"/>
    <x v="7"/>
    <x v="20"/>
    <x v="1"/>
    <x v="2"/>
    <x v="0"/>
    <n v="0.31"/>
    <n v="0.33"/>
    <n v="0.01"/>
    <n v="0.27"/>
  </r>
  <r>
    <x v="5"/>
    <x v="7"/>
    <x v="20"/>
    <x v="0"/>
    <x v="0"/>
    <x v="1"/>
    <n v="0.74"/>
    <n v="0.8"/>
    <n v="0.02"/>
    <n v="0.69"/>
  </r>
  <r>
    <x v="5"/>
    <x v="7"/>
    <x v="20"/>
    <x v="1"/>
    <x v="1"/>
    <x v="1"/>
    <n v="0.23"/>
    <n v="0.25"/>
    <n v="0.01"/>
    <n v="0.22"/>
  </r>
  <r>
    <x v="5"/>
    <x v="7"/>
    <x v="20"/>
    <x v="1"/>
    <x v="2"/>
    <x v="1"/>
    <n v="2.39"/>
    <n v="2.57"/>
    <n v="0.02"/>
    <n v="2.23"/>
  </r>
  <r>
    <x v="5"/>
    <x v="7"/>
    <x v="20"/>
    <x v="2"/>
    <x v="3"/>
    <x v="1"/>
    <n v="0.28000000000000003"/>
    <n v="0.3"/>
    <n v="0"/>
    <n v="0.26"/>
  </r>
  <r>
    <x v="5"/>
    <x v="7"/>
    <x v="20"/>
    <x v="3"/>
    <x v="0"/>
    <x v="0"/>
    <n v="0.39"/>
    <n v="0.42"/>
    <n v="0.28000000000000003"/>
    <n v="0.36"/>
  </r>
  <r>
    <x v="5"/>
    <x v="7"/>
    <x v="20"/>
    <x v="3"/>
    <x v="1"/>
    <x v="0"/>
    <n v="0.01"/>
    <n v="0.02"/>
    <n v="0"/>
    <n v="0.01"/>
  </r>
  <r>
    <x v="5"/>
    <x v="7"/>
    <x v="20"/>
    <x v="4"/>
    <x v="4"/>
    <x v="1"/>
    <n v="0.05"/>
    <n v="0.06"/>
    <n v="0"/>
    <n v="0.05"/>
  </r>
  <r>
    <x v="5"/>
    <x v="7"/>
    <x v="20"/>
    <x v="2"/>
    <x v="3"/>
    <x v="3"/>
    <n v="9.2899999999999991"/>
    <n v="10"/>
    <n v="0"/>
    <n v="9.2899999999999991"/>
  </r>
  <r>
    <x v="5"/>
    <x v="7"/>
    <x v="20"/>
    <x v="0"/>
    <x v="4"/>
    <x v="1"/>
    <n v="0.03"/>
    <n v="0.03"/>
    <n v="0"/>
    <n v="0.03"/>
  </r>
  <r>
    <x v="5"/>
    <x v="7"/>
    <x v="20"/>
    <x v="1"/>
    <x v="0"/>
    <x v="1"/>
    <n v="0.3"/>
    <n v="0.32"/>
    <n v="0.02"/>
    <n v="0.28000000000000003"/>
  </r>
  <r>
    <x v="5"/>
    <x v="7"/>
    <x v="20"/>
    <x v="1"/>
    <x v="4"/>
    <x v="1"/>
    <n v="0.03"/>
    <n v="0.04"/>
    <n v="0"/>
    <n v="0.03"/>
  </r>
  <r>
    <x v="5"/>
    <x v="7"/>
    <x v="20"/>
    <x v="3"/>
    <x v="4"/>
    <x v="0"/>
    <n v="4.7"/>
    <n v="5.0599999999999996"/>
    <n v="1.21"/>
    <n v="4.47"/>
  </r>
  <r>
    <x v="5"/>
    <x v="7"/>
    <x v="20"/>
    <x v="4"/>
    <x v="4"/>
    <x v="2"/>
    <n v="0.21"/>
    <n v="0.23"/>
    <n v="0.01"/>
    <n v="0.19"/>
  </r>
  <r>
    <x v="5"/>
    <x v="2"/>
    <x v="21"/>
    <x v="4"/>
    <x v="1"/>
    <x v="2"/>
    <n v="1.35"/>
    <n v="1.61"/>
    <n v="0.01"/>
    <n v="1.24"/>
  </r>
  <r>
    <x v="5"/>
    <x v="2"/>
    <x v="21"/>
    <x v="1"/>
    <x v="0"/>
    <x v="1"/>
    <n v="3.3"/>
    <n v="3.95"/>
    <n v="0.15"/>
    <n v="2.98"/>
  </r>
  <r>
    <x v="5"/>
    <x v="2"/>
    <x v="21"/>
    <x v="0"/>
    <x v="4"/>
    <x v="1"/>
    <n v="0.3"/>
    <n v="0.36"/>
    <n v="0"/>
    <n v="0.27"/>
  </r>
  <r>
    <x v="5"/>
    <x v="2"/>
    <x v="21"/>
    <x v="0"/>
    <x v="0"/>
    <x v="1"/>
    <n v="8.9600000000000009"/>
    <n v="10.73"/>
    <n v="0.25"/>
    <n v="8.08"/>
  </r>
  <r>
    <x v="5"/>
    <x v="2"/>
    <x v="21"/>
    <x v="4"/>
    <x v="1"/>
    <x v="1"/>
    <n v="0.23"/>
    <n v="0.28000000000000003"/>
    <n v="0"/>
    <n v="0.21"/>
  </r>
  <r>
    <x v="5"/>
    <x v="2"/>
    <x v="21"/>
    <x v="4"/>
    <x v="4"/>
    <x v="1"/>
    <n v="0.67"/>
    <n v="0.81"/>
    <n v="0.01"/>
    <n v="0.62"/>
  </r>
  <r>
    <x v="5"/>
    <x v="2"/>
    <x v="21"/>
    <x v="4"/>
    <x v="0"/>
    <x v="1"/>
    <n v="0.08"/>
    <n v="0.09"/>
    <n v="0.05"/>
    <n v="7.0000000000000007E-2"/>
  </r>
  <r>
    <x v="5"/>
    <x v="2"/>
    <x v="21"/>
    <x v="2"/>
    <x v="3"/>
    <x v="3"/>
    <n v="74.040000000000006"/>
    <n v="88.61"/>
    <n v="0.04"/>
    <n v="74.040000000000006"/>
  </r>
  <r>
    <x v="5"/>
    <x v="2"/>
    <x v="21"/>
    <x v="2"/>
    <x v="3"/>
    <x v="2"/>
    <n v="5.7"/>
    <n v="6.83"/>
    <n v="0.01"/>
    <n v="5.07"/>
  </r>
  <r>
    <x v="5"/>
    <x v="2"/>
    <x v="21"/>
    <x v="4"/>
    <x v="2"/>
    <x v="2"/>
    <n v="2.59"/>
    <n v="3.1"/>
    <n v="0"/>
    <n v="2.38"/>
  </r>
  <r>
    <x v="5"/>
    <x v="2"/>
    <x v="21"/>
    <x v="4"/>
    <x v="4"/>
    <x v="2"/>
    <n v="2.29"/>
    <n v="2.74"/>
    <n v="0.03"/>
    <n v="2.1"/>
  </r>
  <r>
    <x v="5"/>
    <x v="2"/>
    <x v="21"/>
    <x v="1"/>
    <x v="1"/>
    <x v="1"/>
    <n v="2.58"/>
    <n v="3.08"/>
    <n v="0.03"/>
    <n v="2.33"/>
  </r>
  <r>
    <x v="5"/>
    <x v="2"/>
    <x v="21"/>
    <x v="1"/>
    <x v="2"/>
    <x v="1"/>
    <n v="25.8"/>
    <n v="30.88"/>
    <n v="0.12"/>
    <n v="23.26"/>
  </r>
  <r>
    <x v="5"/>
    <x v="2"/>
    <x v="21"/>
    <x v="1"/>
    <x v="4"/>
    <x v="2"/>
    <n v="0.68"/>
    <n v="0.81"/>
    <n v="7.0000000000000007E-2"/>
    <n v="0.59"/>
  </r>
  <r>
    <x v="5"/>
    <x v="2"/>
    <x v="21"/>
    <x v="1"/>
    <x v="0"/>
    <x v="0"/>
    <n v="19.579999999999998"/>
    <n v="23.44"/>
    <n v="10.82"/>
    <n v="18.38"/>
  </r>
  <r>
    <x v="5"/>
    <x v="2"/>
    <x v="21"/>
    <x v="1"/>
    <x v="4"/>
    <x v="1"/>
    <n v="0.44"/>
    <n v="0.53"/>
    <n v="0.02"/>
    <n v="0.4"/>
  </r>
  <r>
    <x v="5"/>
    <x v="2"/>
    <x v="21"/>
    <x v="2"/>
    <x v="3"/>
    <x v="1"/>
    <n v="2.0299999999999998"/>
    <n v="2.4300000000000002"/>
    <n v="0"/>
    <n v="1.84"/>
  </r>
  <r>
    <x v="5"/>
    <x v="2"/>
    <x v="21"/>
    <x v="2"/>
    <x v="0"/>
    <x v="0"/>
    <n v="19.57"/>
    <n v="23.43"/>
    <n v="12.47"/>
    <n v="18.27"/>
  </r>
  <r>
    <x v="5"/>
    <x v="2"/>
    <x v="21"/>
    <x v="1"/>
    <x v="2"/>
    <x v="0"/>
    <n v="0.91"/>
    <n v="1.0900000000000001"/>
    <n v="0.01"/>
    <n v="0.81"/>
  </r>
  <r>
    <x v="5"/>
    <x v="2"/>
    <x v="21"/>
    <x v="1"/>
    <x v="4"/>
    <x v="0"/>
    <n v="277.62"/>
    <n v="332.29"/>
    <n v="48.57"/>
    <n v="256.99"/>
  </r>
  <r>
    <x v="5"/>
    <x v="2"/>
    <x v="21"/>
    <x v="2"/>
    <x v="4"/>
    <x v="0"/>
    <n v="10.79"/>
    <n v="12.92"/>
    <n v="2.4700000000000002"/>
    <n v="10.199999999999999"/>
  </r>
  <r>
    <x v="5"/>
    <x v="2"/>
    <x v="21"/>
    <x v="0"/>
    <x v="2"/>
    <x v="0"/>
    <n v="1.26"/>
    <n v="1.51"/>
    <n v="0.02"/>
    <n v="1.22"/>
  </r>
  <r>
    <x v="5"/>
    <x v="2"/>
    <x v="21"/>
    <x v="0"/>
    <x v="4"/>
    <x v="0"/>
    <n v="30.62"/>
    <n v="36.65"/>
    <n v="7.12"/>
    <n v="28.8"/>
  </r>
  <r>
    <x v="5"/>
    <x v="2"/>
    <x v="21"/>
    <x v="3"/>
    <x v="0"/>
    <x v="0"/>
    <n v="5.44"/>
    <n v="6.51"/>
    <n v="1.39"/>
    <n v="5.08"/>
  </r>
  <r>
    <x v="5"/>
    <x v="2"/>
    <x v="21"/>
    <x v="4"/>
    <x v="1"/>
    <x v="0"/>
    <n v="18.04"/>
    <n v="21.59"/>
    <n v="1.17"/>
    <n v="16.7"/>
  </r>
  <r>
    <x v="5"/>
    <x v="2"/>
    <x v="21"/>
    <x v="4"/>
    <x v="4"/>
    <x v="0"/>
    <n v="78.81"/>
    <n v="94.32"/>
    <n v="9.2899999999999991"/>
    <n v="73.540000000000006"/>
  </r>
  <r>
    <x v="5"/>
    <x v="2"/>
    <x v="21"/>
    <x v="3"/>
    <x v="1"/>
    <x v="0"/>
    <n v="0.02"/>
    <n v="0.03"/>
    <n v="0"/>
    <n v="0.02"/>
  </r>
  <r>
    <x v="5"/>
    <x v="2"/>
    <x v="21"/>
    <x v="3"/>
    <x v="4"/>
    <x v="0"/>
    <n v="21.06"/>
    <n v="25.21"/>
    <n v="3.92"/>
    <n v="19.7"/>
  </r>
  <r>
    <x v="5"/>
    <x v="2"/>
    <x v="21"/>
    <x v="0"/>
    <x v="0"/>
    <x v="0"/>
    <n v="13.13"/>
    <n v="15.71"/>
    <n v="8.4600000000000009"/>
    <n v="11.97"/>
  </r>
  <r>
    <x v="5"/>
    <x v="2"/>
    <x v="21"/>
    <x v="1"/>
    <x v="1"/>
    <x v="0"/>
    <n v="45.56"/>
    <n v="54.53"/>
    <n v="2.52"/>
    <n v="42.35"/>
  </r>
  <r>
    <x v="5"/>
    <x v="8"/>
    <x v="22"/>
    <x v="4"/>
    <x v="4"/>
    <x v="1"/>
    <n v="11.47"/>
    <n v="14.23"/>
    <n v="0.31"/>
    <n v="10.65"/>
  </r>
  <r>
    <x v="5"/>
    <x v="8"/>
    <x v="22"/>
    <x v="4"/>
    <x v="0"/>
    <x v="1"/>
    <n v="2.25"/>
    <n v="2.8"/>
    <n v="0.14000000000000001"/>
    <n v="1.8"/>
  </r>
  <r>
    <x v="5"/>
    <x v="8"/>
    <x v="22"/>
    <x v="2"/>
    <x v="3"/>
    <x v="3"/>
    <n v="342.69"/>
    <n v="425.08"/>
    <n v="0.13"/>
    <n v="333.35"/>
  </r>
  <r>
    <x v="5"/>
    <x v="8"/>
    <x v="22"/>
    <x v="2"/>
    <x v="2"/>
    <x v="3"/>
    <n v="84.16"/>
    <n v="104.4"/>
    <n v="0.02"/>
    <n v="81.95"/>
  </r>
  <r>
    <x v="5"/>
    <x v="8"/>
    <x v="22"/>
    <x v="1"/>
    <x v="2"/>
    <x v="1"/>
    <n v="61.37"/>
    <n v="76.12"/>
    <n v="0.1"/>
    <n v="55.37"/>
  </r>
  <r>
    <x v="5"/>
    <x v="8"/>
    <x v="22"/>
    <x v="2"/>
    <x v="4"/>
    <x v="3"/>
    <n v="7.09"/>
    <n v="8.7899999999999991"/>
    <n v="0.01"/>
    <n v="7.09"/>
  </r>
  <r>
    <x v="5"/>
    <x v="8"/>
    <x v="22"/>
    <x v="4"/>
    <x v="1"/>
    <x v="2"/>
    <n v="2.0099999999999998"/>
    <n v="2.5"/>
    <n v="0.09"/>
    <n v="1.83"/>
  </r>
  <r>
    <x v="5"/>
    <x v="8"/>
    <x v="22"/>
    <x v="4"/>
    <x v="1"/>
    <x v="1"/>
    <n v="3.18"/>
    <n v="3.94"/>
    <n v="0.44"/>
    <n v="2.63"/>
  </r>
  <r>
    <x v="5"/>
    <x v="8"/>
    <x v="22"/>
    <x v="4"/>
    <x v="2"/>
    <x v="2"/>
    <n v="0.95"/>
    <n v="1.18"/>
    <n v="0.01"/>
    <n v="0.86"/>
  </r>
  <r>
    <x v="5"/>
    <x v="8"/>
    <x v="22"/>
    <x v="0"/>
    <x v="0"/>
    <x v="1"/>
    <n v="107.14"/>
    <n v="132.9"/>
    <n v="3.36"/>
    <n v="98.37"/>
  </r>
  <r>
    <x v="5"/>
    <x v="8"/>
    <x v="22"/>
    <x v="0"/>
    <x v="4"/>
    <x v="1"/>
    <n v="3.02"/>
    <n v="3.75"/>
    <n v="0.06"/>
    <n v="2.73"/>
  </r>
  <r>
    <x v="5"/>
    <x v="8"/>
    <x v="22"/>
    <x v="0"/>
    <x v="1"/>
    <x v="1"/>
    <n v="23.79"/>
    <n v="29.51"/>
    <n v="0.27"/>
    <n v="22.21"/>
  </r>
  <r>
    <x v="5"/>
    <x v="8"/>
    <x v="22"/>
    <x v="0"/>
    <x v="3"/>
    <x v="1"/>
    <n v="20.82"/>
    <n v="25.82"/>
    <n v="7.0000000000000007E-2"/>
    <n v="19.440000000000001"/>
  </r>
  <r>
    <x v="5"/>
    <x v="8"/>
    <x v="22"/>
    <x v="1"/>
    <x v="0"/>
    <x v="1"/>
    <n v="13.86"/>
    <n v="17.190000000000001"/>
    <n v="1.23"/>
    <n v="11.82"/>
  </r>
  <r>
    <x v="5"/>
    <x v="8"/>
    <x v="22"/>
    <x v="2"/>
    <x v="1"/>
    <x v="3"/>
    <n v="144.41999999999999"/>
    <n v="179.15"/>
    <n v="0.09"/>
    <n v="144.41999999999999"/>
  </r>
  <r>
    <x v="5"/>
    <x v="8"/>
    <x v="22"/>
    <x v="1"/>
    <x v="1"/>
    <x v="1"/>
    <n v="7.67"/>
    <n v="9.52"/>
    <n v="0.1"/>
    <n v="6.78"/>
  </r>
  <r>
    <x v="5"/>
    <x v="8"/>
    <x v="22"/>
    <x v="1"/>
    <x v="4"/>
    <x v="2"/>
    <n v="29.75"/>
    <n v="36.9"/>
    <n v="1.1499999999999999"/>
    <n v="26.29"/>
  </r>
  <r>
    <x v="5"/>
    <x v="8"/>
    <x v="22"/>
    <x v="2"/>
    <x v="3"/>
    <x v="2"/>
    <n v="43.17"/>
    <n v="53.55"/>
    <n v="0.05"/>
    <n v="43.17"/>
  </r>
  <r>
    <x v="5"/>
    <x v="8"/>
    <x v="22"/>
    <x v="1"/>
    <x v="4"/>
    <x v="1"/>
    <n v="6.6"/>
    <n v="8.19"/>
    <n v="0.23"/>
    <n v="5.75"/>
  </r>
  <r>
    <x v="5"/>
    <x v="8"/>
    <x v="22"/>
    <x v="4"/>
    <x v="0"/>
    <x v="0"/>
    <n v="0.57999999999999996"/>
    <n v="0.72"/>
    <n v="0.14000000000000001"/>
    <n v="0.56999999999999995"/>
  </r>
  <r>
    <x v="5"/>
    <x v="8"/>
    <x v="22"/>
    <x v="1"/>
    <x v="3"/>
    <x v="1"/>
    <n v="44.6"/>
    <n v="55.32"/>
    <n v="0.32"/>
    <n v="44.3"/>
  </r>
  <r>
    <x v="5"/>
    <x v="8"/>
    <x v="22"/>
    <x v="2"/>
    <x v="3"/>
    <x v="1"/>
    <n v="66.290000000000006"/>
    <n v="82.23"/>
    <n v="0.12"/>
    <n v="66.290000000000006"/>
  </r>
  <r>
    <x v="5"/>
    <x v="8"/>
    <x v="22"/>
    <x v="2"/>
    <x v="1"/>
    <x v="2"/>
    <n v="3.15"/>
    <n v="3.91"/>
    <n v="0.01"/>
    <n v="3.15"/>
  </r>
  <r>
    <x v="5"/>
    <x v="8"/>
    <x v="22"/>
    <x v="3"/>
    <x v="4"/>
    <x v="0"/>
    <n v="91.96"/>
    <n v="114.07"/>
    <n v="17.78"/>
    <n v="85.28"/>
  </r>
  <r>
    <x v="5"/>
    <x v="8"/>
    <x v="22"/>
    <x v="1"/>
    <x v="1"/>
    <x v="2"/>
    <n v="3.84"/>
    <n v="4.7699999999999996"/>
    <n v="0.05"/>
    <n v="3.84"/>
  </r>
  <r>
    <x v="5"/>
    <x v="8"/>
    <x v="22"/>
    <x v="4"/>
    <x v="4"/>
    <x v="0"/>
    <n v="255.21"/>
    <n v="316.58"/>
    <n v="26.69"/>
    <n v="236.89"/>
  </r>
  <r>
    <x v="5"/>
    <x v="8"/>
    <x v="22"/>
    <x v="4"/>
    <x v="1"/>
    <x v="0"/>
    <n v="46.54"/>
    <n v="57.73"/>
    <n v="2.35"/>
    <n v="43.18"/>
  </r>
  <r>
    <x v="5"/>
    <x v="8"/>
    <x v="22"/>
    <x v="4"/>
    <x v="2"/>
    <x v="0"/>
    <n v="20.309999999999999"/>
    <n v="25.2"/>
    <n v="0.51"/>
    <n v="19.489999999999998"/>
  </r>
  <r>
    <x v="5"/>
    <x v="8"/>
    <x v="22"/>
    <x v="4"/>
    <x v="3"/>
    <x v="0"/>
    <n v="1.01"/>
    <n v="1.25"/>
    <n v="0.01"/>
    <n v="1"/>
  </r>
  <r>
    <x v="5"/>
    <x v="8"/>
    <x v="22"/>
    <x v="0"/>
    <x v="0"/>
    <x v="0"/>
    <n v="162.21"/>
    <n v="201.21"/>
    <n v="38.11"/>
    <n v="143.83000000000001"/>
  </r>
  <r>
    <x v="5"/>
    <x v="8"/>
    <x v="22"/>
    <x v="0"/>
    <x v="4"/>
    <x v="0"/>
    <n v="84.35"/>
    <n v="104.63"/>
    <n v="10.57"/>
    <n v="75.900000000000006"/>
  </r>
  <r>
    <x v="5"/>
    <x v="8"/>
    <x v="22"/>
    <x v="0"/>
    <x v="1"/>
    <x v="0"/>
    <n v="14.85"/>
    <n v="18.420000000000002"/>
    <n v="0.22"/>
    <n v="14.85"/>
  </r>
  <r>
    <x v="5"/>
    <x v="8"/>
    <x v="22"/>
    <x v="3"/>
    <x v="0"/>
    <x v="0"/>
    <n v="24.1"/>
    <n v="29.9"/>
    <n v="10.55"/>
    <n v="23.64"/>
  </r>
  <r>
    <x v="5"/>
    <x v="8"/>
    <x v="22"/>
    <x v="1"/>
    <x v="0"/>
    <x v="0"/>
    <n v="329.58"/>
    <n v="408.83"/>
    <n v="89.58"/>
    <n v="294.57"/>
  </r>
  <r>
    <x v="5"/>
    <x v="8"/>
    <x v="22"/>
    <x v="1"/>
    <x v="4"/>
    <x v="0"/>
    <n v="1367.32"/>
    <n v="1696.08"/>
    <n v="188.14"/>
    <n v="1224.53"/>
  </r>
  <r>
    <x v="5"/>
    <x v="8"/>
    <x v="22"/>
    <x v="1"/>
    <x v="1"/>
    <x v="0"/>
    <n v="83.52"/>
    <n v="103.6"/>
    <n v="5.5"/>
    <n v="79.040000000000006"/>
  </r>
  <r>
    <x v="5"/>
    <x v="8"/>
    <x v="22"/>
    <x v="1"/>
    <x v="2"/>
    <x v="0"/>
    <n v="27.55"/>
    <n v="34.18"/>
    <n v="7.0000000000000007E-2"/>
    <n v="22.26"/>
  </r>
  <r>
    <x v="5"/>
    <x v="8"/>
    <x v="22"/>
    <x v="2"/>
    <x v="0"/>
    <x v="0"/>
    <n v="444.71"/>
    <n v="551.63"/>
    <n v="113.76"/>
    <n v="418.26"/>
  </r>
  <r>
    <x v="5"/>
    <x v="8"/>
    <x v="22"/>
    <x v="2"/>
    <x v="4"/>
    <x v="0"/>
    <n v="116.8"/>
    <n v="144.88"/>
    <n v="12.53"/>
    <n v="107.73"/>
  </r>
  <r>
    <x v="5"/>
    <x v="8"/>
    <x v="22"/>
    <x v="2"/>
    <x v="1"/>
    <x v="0"/>
    <n v="4.53"/>
    <n v="5.62"/>
    <n v="0.01"/>
    <n v="4.1900000000000004"/>
  </r>
  <r>
    <x v="5"/>
    <x v="8"/>
    <x v="22"/>
    <x v="2"/>
    <x v="2"/>
    <x v="2"/>
    <n v="1.1000000000000001"/>
    <n v="1.36"/>
    <n v="0"/>
    <n v="1.1000000000000001"/>
  </r>
  <r>
    <x v="5"/>
    <x v="8"/>
    <x v="22"/>
    <x v="1"/>
    <x v="2"/>
    <x v="2"/>
    <n v="0.31"/>
    <n v="0.39"/>
    <n v="0.01"/>
    <n v="0.31"/>
  </r>
  <r>
    <x v="5"/>
    <x v="8"/>
    <x v="22"/>
    <x v="0"/>
    <x v="2"/>
    <x v="0"/>
    <n v="9.5500000000000007"/>
    <n v="11.84"/>
    <n v="0.06"/>
    <n v="9.5500000000000007"/>
  </r>
  <r>
    <x v="5"/>
    <x v="8"/>
    <x v="22"/>
    <x v="1"/>
    <x v="3"/>
    <x v="2"/>
    <n v="0.56999999999999995"/>
    <n v="0.7"/>
    <n v="0.02"/>
    <n v="0.49"/>
  </r>
  <r>
    <x v="5"/>
    <x v="6"/>
    <x v="23"/>
    <x v="2"/>
    <x v="4"/>
    <x v="1"/>
    <n v="0.2"/>
    <n v="0.25"/>
    <n v="0"/>
    <n v="0.2"/>
  </r>
  <r>
    <x v="5"/>
    <x v="6"/>
    <x v="23"/>
    <x v="1"/>
    <x v="3"/>
    <x v="1"/>
    <n v="0.76"/>
    <n v="0.95"/>
    <n v="0.01"/>
    <n v="0.65"/>
  </r>
  <r>
    <x v="5"/>
    <x v="6"/>
    <x v="23"/>
    <x v="1"/>
    <x v="2"/>
    <x v="1"/>
    <n v="8"/>
    <n v="9.91"/>
    <n v="0.03"/>
    <n v="6.55"/>
  </r>
  <r>
    <x v="5"/>
    <x v="6"/>
    <x v="23"/>
    <x v="1"/>
    <x v="4"/>
    <x v="1"/>
    <n v="0.56000000000000005"/>
    <n v="0.69"/>
    <n v="0.02"/>
    <n v="0.46"/>
  </r>
  <r>
    <x v="5"/>
    <x v="6"/>
    <x v="23"/>
    <x v="1"/>
    <x v="1"/>
    <x v="1"/>
    <n v="2.91"/>
    <n v="3.61"/>
    <n v="0.04"/>
    <n v="2.42"/>
  </r>
  <r>
    <x v="5"/>
    <x v="6"/>
    <x v="23"/>
    <x v="1"/>
    <x v="0"/>
    <x v="1"/>
    <n v="1.85"/>
    <n v="2.29"/>
    <n v="0.08"/>
    <n v="1.6"/>
  </r>
  <r>
    <x v="5"/>
    <x v="6"/>
    <x v="23"/>
    <x v="3"/>
    <x v="4"/>
    <x v="0"/>
    <n v="7.3"/>
    <n v="9.0500000000000007"/>
    <n v="1.1499999999999999"/>
    <n v="6.25"/>
  </r>
  <r>
    <x v="5"/>
    <x v="6"/>
    <x v="23"/>
    <x v="1"/>
    <x v="1"/>
    <x v="2"/>
    <n v="0.14000000000000001"/>
    <n v="0.18"/>
    <n v="0"/>
    <n v="0.11"/>
  </r>
  <r>
    <x v="5"/>
    <x v="6"/>
    <x v="23"/>
    <x v="4"/>
    <x v="4"/>
    <x v="0"/>
    <n v="23"/>
    <n v="28.51"/>
    <n v="4.66"/>
    <n v="20.64"/>
  </r>
  <r>
    <x v="5"/>
    <x v="6"/>
    <x v="23"/>
    <x v="4"/>
    <x v="1"/>
    <x v="0"/>
    <n v="7.68"/>
    <n v="9.51"/>
    <n v="0.48"/>
    <n v="6.73"/>
  </r>
  <r>
    <x v="5"/>
    <x v="6"/>
    <x v="23"/>
    <x v="0"/>
    <x v="0"/>
    <x v="0"/>
    <n v="3.94"/>
    <n v="4.88"/>
    <n v="2.44"/>
    <n v="3.36"/>
  </r>
  <r>
    <x v="5"/>
    <x v="6"/>
    <x v="23"/>
    <x v="0"/>
    <x v="4"/>
    <x v="0"/>
    <n v="4.45"/>
    <n v="5.52"/>
    <n v="1.53"/>
    <n v="3.89"/>
  </r>
  <r>
    <x v="5"/>
    <x v="6"/>
    <x v="23"/>
    <x v="0"/>
    <x v="2"/>
    <x v="0"/>
    <n v="0.3"/>
    <n v="0.37"/>
    <n v="0.01"/>
    <n v="0.3"/>
  </r>
  <r>
    <x v="5"/>
    <x v="6"/>
    <x v="23"/>
    <x v="3"/>
    <x v="0"/>
    <x v="0"/>
    <n v="0.04"/>
    <n v="0.05"/>
    <n v="0.05"/>
    <n v="0.04"/>
  </r>
  <r>
    <x v="5"/>
    <x v="6"/>
    <x v="23"/>
    <x v="1"/>
    <x v="0"/>
    <x v="0"/>
    <n v="3.35"/>
    <n v="4.1500000000000004"/>
    <n v="1.72"/>
    <n v="2.97"/>
  </r>
  <r>
    <x v="5"/>
    <x v="6"/>
    <x v="23"/>
    <x v="0"/>
    <x v="0"/>
    <x v="1"/>
    <n v="1.76"/>
    <n v="2.1800000000000002"/>
    <n v="0.04"/>
    <n v="1.44"/>
  </r>
  <r>
    <x v="5"/>
    <x v="6"/>
    <x v="23"/>
    <x v="4"/>
    <x v="1"/>
    <x v="1"/>
    <n v="0.24"/>
    <n v="0.3"/>
    <n v="0.01"/>
    <n v="0.2"/>
  </r>
  <r>
    <x v="5"/>
    <x v="6"/>
    <x v="23"/>
    <x v="4"/>
    <x v="4"/>
    <x v="1"/>
    <n v="0.33"/>
    <n v="0.41"/>
    <n v="0.02"/>
    <n v="0.27"/>
  </r>
  <r>
    <x v="5"/>
    <x v="6"/>
    <x v="23"/>
    <x v="2"/>
    <x v="3"/>
    <x v="3"/>
    <n v="6.4"/>
    <n v="7.94"/>
    <n v="0"/>
    <n v="5.54"/>
  </r>
  <r>
    <x v="5"/>
    <x v="6"/>
    <x v="23"/>
    <x v="1"/>
    <x v="4"/>
    <x v="2"/>
    <n v="0.43"/>
    <n v="0.54"/>
    <n v="0.02"/>
    <n v="0.35"/>
  </r>
  <r>
    <x v="5"/>
    <x v="6"/>
    <x v="23"/>
    <x v="4"/>
    <x v="2"/>
    <x v="2"/>
    <n v="1"/>
    <n v="1.25"/>
    <n v="0.02"/>
    <n v="1"/>
  </r>
  <r>
    <x v="5"/>
    <x v="6"/>
    <x v="23"/>
    <x v="0"/>
    <x v="4"/>
    <x v="1"/>
    <n v="0.91"/>
    <n v="1.1200000000000001"/>
    <n v="0.02"/>
    <n v="0.74"/>
  </r>
  <r>
    <x v="5"/>
    <x v="6"/>
    <x v="23"/>
    <x v="4"/>
    <x v="0"/>
    <x v="1"/>
    <n v="0.22"/>
    <n v="0.27"/>
    <n v="0.02"/>
    <n v="0.19"/>
  </r>
  <r>
    <x v="5"/>
    <x v="6"/>
    <x v="23"/>
    <x v="1"/>
    <x v="4"/>
    <x v="0"/>
    <n v="91.74"/>
    <n v="113.72"/>
    <n v="18.899999999999999"/>
    <n v="82.49"/>
  </r>
  <r>
    <x v="5"/>
    <x v="6"/>
    <x v="23"/>
    <x v="1"/>
    <x v="1"/>
    <x v="0"/>
    <n v="14.72"/>
    <n v="18.25"/>
    <n v="0.84"/>
    <n v="12.82"/>
  </r>
  <r>
    <x v="5"/>
    <x v="6"/>
    <x v="23"/>
    <x v="1"/>
    <x v="2"/>
    <x v="0"/>
    <n v="1.7"/>
    <n v="2.1"/>
    <n v="0.01"/>
    <n v="1.41"/>
  </r>
  <r>
    <x v="5"/>
    <x v="6"/>
    <x v="23"/>
    <x v="2"/>
    <x v="0"/>
    <x v="0"/>
    <n v="4.88"/>
    <n v="6.05"/>
    <n v="3.28"/>
    <n v="4.38"/>
  </r>
  <r>
    <x v="5"/>
    <x v="6"/>
    <x v="23"/>
    <x v="2"/>
    <x v="4"/>
    <x v="0"/>
    <n v="5.07"/>
    <n v="6.29"/>
    <n v="1.1599999999999999"/>
    <n v="4.71"/>
  </r>
  <r>
    <x v="5"/>
    <x v="0"/>
    <x v="24"/>
    <x v="2"/>
    <x v="4"/>
    <x v="0"/>
    <n v="12.18"/>
    <n v="15.14"/>
    <n v="3.69"/>
    <n v="11.48"/>
  </r>
  <r>
    <x v="5"/>
    <x v="0"/>
    <x v="24"/>
    <x v="2"/>
    <x v="0"/>
    <x v="0"/>
    <n v="7.77"/>
    <n v="9.65"/>
    <n v="5.91"/>
    <n v="7.28"/>
  </r>
  <r>
    <x v="5"/>
    <x v="0"/>
    <x v="24"/>
    <x v="1"/>
    <x v="4"/>
    <x v="2"/>
    <n v="0.41"/>
    <n v="0.51"/>
    <n v="0.04"/>
    <n v="0.4"/>
  </r>
  <r>
    <x v="5"/>
    <x v="0"/>
    <x v="24"/>
    <x v="4"/>
    <x v="4"/>
    <x v="1"/>
    <n v="0.74"/>
    <n v="0.93"/>
    <n v="0.04"/>
    <n v="0.71"/>
  </r>
  <r>
    <x v="5"/>
    <x v="0"/>
    <x v="24"/>
    <x v="2"/>
    <x v="2"/>
    <x v="2"/>
    <n v="0.6"/>
    <n v="0.75"/>
    <n v="0.01"/>
    <n v="0.57999999999999996"/>
  </r>
  <r>
    <x v="5"/>
    <x v="0"/>
    <x v="24"/>
    <x v="1"/>
    <x v="2"/>
    <x v="0"/>
    <n v="24.65"/>
    <n v="30.64"/>
    <n v="0.24"/>
    <n v="23.29"/>
  </r>
  <r>
    <x v="5"/>
    <x v="0"/>
    <x v="24"/>
    <x v="4"/>
    <x v="1"/>
    <x v="2"/>
    <n v="1.85"/>
    <n v="2.2999999999999998"/>
    <n v="0.05"/>
    <n v="1.81"/>
  </r>
  <r>
    <x v="5"/>
    <x v="0"/>
    <x v="24"/>
    <x v="4"/>
    <x v="2"/>
    <x v="2"/>
    <n v="3.5"/>
    <n v="4.3499999999999996"/>
    <n v="0.04"/>
    <n v="3.42"/>
  </r>
  <r>
    <x v="5"/>
    <x v="0"/>
    <x v="24"/>
    <x v="2"/>
    <x v="1"/>
    <x v="2"/>
    <n v="1.76"/>
    <n v="2.19"/>
    <n v="0.01"/>
    <n v="1.7"/>
  </r>
  <r>
    <x v="5"/>
    <x v="0"/>
    <x v="24"/>
    <x v="2"/>
    <x v="3"/>
    <x v="2"/>
    <n v="19.84"/>
    <n v="24.66"/>
    <n v="0.03"/>
    <n v="19.18"/>
  </r>
  <r>
    <x v="5"/>
    <x v="0"/>
    <x v="24"/>
    <x v="4"/>
    <x v="0"/>
    <x v="1"/>
    <n v="1.63"/>
    <n v="2.0299999999999998"/>
    <n v="0.1"/>
    <n v="1.54"/>
  </r>
  <r>
    <x v="5"/>
    <x v="0"/>
    <x v="24"/>
    <x v="4"/>
    <x v="4"/>
    <x v="2"/>
    <n v="2.04"/>
    <n v="2.5299999999999998"/>
    <n v="0.08"/>
    <n v="1.99"/>
  </r>
  <r>
    <x v="5"/>
    <x v="0"/>
    <x v="24"/>
    <x v="4"/>
    <x v="1"/>
    <x v="1"/>
    <n v="2.59"/>
    <n v="3.21"/>
    <n v="0.14000000000000001"/>
    <n v="2.44"/>
  </r>
  <r>
    <x v="5"/>
    <x v="0"/>
    <x v="24"/>
    <x v="0"/>
    <x v="0"/>
    <x v="1"/>
    <n v="8.61"/>
    <n v="10.7"/>
    <n v="0.22"/>
    <n v="8.2100000000000009"/>
  </r>
  <r>
    <x v="5"/>
    <x v="0"/>
    <x v="24"/>
    <x v="0"/>
    <x v="4"/>
    <x v="1"/>
    <n v="0.02"/>
    <n v="0.02"/>
    <n v="0.01"/>
    <n v="0.02"/>
  </r>
  <r>
    <x v="5"/>
    <x v="0"/>
    <x v="24"/>
    <x v="1"/>
    <x v="0"/>
    <x v="1"/>
    <n v="5.43"/>
    <n v="6.75"/>
    <n v="0.46"/>
    <n v="5.15"/>
  </r>
  <r>
    <x v="5"/>
    <x v="0"/>
    <x v="24"/>
    <x v="1"/>
    <x v="4"/>
    <x v="1"/>
    <n v="2.21"/>
    <n v="2.75"/>
    <n v="0.08"/>
    <n v="2.08"/>
  </r>
  <r>
    <x v="5"/>
    <x v="0"/>
    <x v="24"/>
    <x v="4"/>
    <x v="3"/>
    <x v="0"/>
    <n v="0.39"/>
    <n v="0.49"/>
    <n v="0"/>
    <n v="0.38"/>
  </r>
  <r>
    <x v="5"/>
    <x v="0"/>
    <x v="24"/>
    <x v="1"/>
    <x v="1"/>
    <x v="0"/>
    <n v="24.77"/>
    <n v="30.78"/>
    <n v="1.37"/>
    <n v="23.99"/>
  </r>
  <r>
    <x v="5"/>
    <x v="0"/>
    <x v="24"/>
    <x v="2"/>
    <x v="3"/>
    <x v="3"/>
    <n v="20.93"/>
    <n v="26.02"/>
    <n v="0.01"/>
    <n v="20.440000000000001"/>
  </r>
  <r>
    <x v="5"/>
    <x v="0"/>
    <x v="24"/>
    <x v="1"/>
    <x v="1"/>
    <x v="1"/>
    <n v="12.31"/>
    <n v="15.3"/>
    <n v="0.17"/>
    <n v="11.69"/>
  </r>
  <r>
    <x v="5"/>
    <x v="0"/>
    <x v="24"/>
    <x v="0"/>
    <x v="4"/>
    <x v="0"/>
    <n v="13.66"/>
    <n v="16.98"/>
    <n v="3.99"/>
    <n v="13.29"/>
  </r>
  <r>
    <x v="5"/>
    <x v="0"/>
    <x v="24"/>
    <x v="1"/>
    <x v="4"/>
    <x v="0"/>
    <n v="120.8"/>
    <n v="150.15"/>
    <n v="22.03"/>
    <n v="116.89"/>
  </r>
  <r>
    <x v="5"/>
    <x v="0"/>
    <x v="24"/>
    <x v="0"/>
    <x v="0"/>
    <x v="0"/>
    <n v="3.35"/>
    <n v="4.16"/>
    <n v="6.61"/>
    <n v="3.23"/>
  </r>
  <r>
    <x v="5"/>
    <x v="0"/>
    <x v="24"/>
    <x v="1"/>
    <x v="0"/>
    <x v="0"/>
    <n v="8.11"/>
    <n v="10.08"/>
    <n v="4.59"/>
    <n v="7.84"/>
  </r>
  <r>
    <x v="5"/>
    <x v="0"/>
    <x v="24"/>
    <x v="4"/>
    <x v="2"/>
    <x v="0"/>
    <n v="0.28999999999999998"/>
    <n v="0.36"/>
    <n v="0"/>
    <n v="0.28000000000000003"/>
  </r>
  <r>
    <x v="5"/>
    <x v="0"/>
    <x v="24"/>
    <x v="4"/>
    <x v="1"/>
    <x v="0"/>
    <n v="14.92"/>
    <n v="18.55"/>
    <n v="1.06"/>
    <n v="14.39"/>
  </r>
  <r>
    <x v="5"/>
    <x v="0"/>
    <x v="24"/>
    <x v="4"/>
    <x v="4"/>
    <x v="0"/>
    <n v="38.31"/>
    <n v="47.62"/>
    <n v="7.42"/>
    <n v="37.42"/>
  </r>
  <r>
    <x v="5"/>
    <x v="0"/>
    <x v="24"/>
    <x v="3"/>
    <x v="4"/>
    <x v="0"/>
    <n v="2.17"/>
    <n v="2.7"/>
    <n v="0.49"/>
    <n v="1.95"/>
  </r>
  <r>
    <x v="5"/>
    <x v="0"/>
    <x v="24"/>
    <x v="3"/>
    <x v="0"/>
    <x v="0"/>
    <n v="0.11"/>
    <n v="0.13"/>
    <n v="0.11"/>
    <n v="0.11"/>
  </r>
  <r>
    <x v="5"/>
    <x v="0"/>
    <x v="24"/>
    <x v="2"/>
    <x v="3"/>
    <x v="1"/>
    <n v="1.45"/>
    <n v="1.81"/>
    <n v="0"/>
    <n v="1.39"/>
  </r>
  <r>
    <x v="5"/>
    <x v="0"/>
    <x v="24"/>
    <x v="1"/>
    <x v="2"/>
    <x v="1"/>
    <n v="42.15"/>
    <n v="52.4"/>
    <n v="0.11"/>
    <n v="40.15"/>
  </r>
  <r>
    <x v="5"/>
    <x v="2"/>
    <x v="25"/>
    <x v="1"/>
    <x v="1"/>
    <x v="0"/>
    <n v="45.56"/>
    <n v="54.53"/>
    <n v="2.5299999999999998"/>
    <n v="42.26"/>
  </r>
  <r>
    <x v="5"/>
    <x v="2"/>
    <x v="25"/>
    <x v="1"/>
    <x v="0"/>
    <x v="0"/>
    <n v="25.13"/>
    <n v="30.08"/>
    <n v="14.47"/>
    <n v="23.86"/>
  </r>
  <r>
    <x v="5"/>
    <x v="2"/>
    <x v="25"/>
    <x v="0"/>
    <x v="2"/>
    <x v="0"/>
    <n v="0.34"/>
    <n v="0.41"/>
    <n v="0.01"/>
    <n v="0.33"/>
  </r>
  <r>
    <x v="5"/>
    <x v="2"/>
    <x v="25"/>
    <x v="0"/>
    <x v="4"/>
    <x v="0"/>
    <n v="45"/>
    <n v="53.86"/>
    <n v="9.75"/>
    <n v="42"/>
  </r>
  <r>
    <x v="5"/>
    <x v="2"/>
    <x v="25"/>
    <x v="0"/>
    <x v="0"/>
    <x v="0"/>
    <n v="17.309999999999999"/>
    <n v="20.71"/>
    <n v="12.5"/>
    <n v="15.64"/>
  </r>
  <r>
    <x v="5"/>
    <x v="2"/>
    <x v="25"/>
    <x v="1"/>
    <x v="4"/>
    <x v="0"/>
    <n v="397.73"/>
    <n v="476.04"/>
    <n v="64.040000000000006"/>
    <n v="368.12"/>
  </r>
  <r>
    <x v="5"/>
    <x v="2"/>
    <x v="25"/>
    <x v="4"/>
    <x v="1"/>
    <x v="0"/>
    <n v="17.350000000000001"/>
    <n v="20.77"/>
    <n v="0.95"/>
    <n v="15.92"/>
  </r>
  <r>
    <x v="5"/>
    <x v="2"/>
    <x v="25"/>
    <x v="4"/>
    <x v="4"/>
    <x v="0"/>
    <n v="137.88"/>
    <n v="165.03"/>
    <n v="17.07"/>
    <n v="127.32"/>
  </r>
  <r>
    <x v="5"/>
    <x v="2"/>
    <x v="25"/>
    <x v="3"/>
    <x v="1"/>
    <x v="0"/>
    <n v="0.02"/>
    <n v="0.02"/>
    <n v="0"/>
    <n v="0.02"/>
  </r>
  <r>
    <x v="5"/>
    <x v="2"/>
    <x v="25"/>
    <x v="3"/>
    <x v="4"/>
    <x v="0"/>
    <n v="33.17"/>
    <n v="39.700000000000003"/>
    <n v="6.63"/>
    <n v="30.71"/>
  </r>
  <r>
    <x v="5"/>
    <x v="2"/>
    <x v="25"/>
    <x v="4"/>
    <x v="1"/>
    <x v="2"/>
    <n v="0.28999999999999998"/>
    <n v="0.34"/>
    <n v="0.01"/>
    <n v="0.25"/>
  </r>
  <r>
    <x v="5"/>
    <x v="2"/>
    <x v="25"/>
    <x v="1"/>
    <x v="4"/>
    <x v="2"/>
    <n v="1.29"/>
    <n v="1.54"/>
    <n v="0.01"/>
    <n v="1.1200000000000001"/>
  </r>
  <r>
    <x v="5"/>
    <x v="2"/>
    <x v="25"/>
    <x v="1"/>
    <x v="2"/>
    <x v="0"/>
    <n v="3.14"/>
    <n v="3.76"/>
    <n v="0.05"/>
    <n v="2.81"/>
  </r>
  <r>
    <x v="5"/>
    <x v="2"/>
    <x v="25"/>
    <x v="4"/>
    <x v="4"/>
    <x v="2"/>
    <n v="0.39"/>
    <n v="0.46"/>
    <n v="0.01"/>
    <n v="0.34"/>
  </r>
  <r>
    <x v="5"/>
    <x v="2"/>
    <x v="25"/>
    <x v="2"/>
    <x v="0"/>
    <x v="0"/>
    <n v="9.6"/>
    <n v="11.49"/>
    <n v="6.44"/>
    <n v="9.16"/>
  </r>
  <r>
    <x v="5"/>
    <x v="2"/>
    <x v="25"/>
    <x v="2"/>
    <x v="4"/>
    <x v="0"/>
    <n v="7.1"/>
    <n v="8.5"/>
    <n v="1.5"/>
    <n v="6.84"/>
  </r>
  <r>
    <x v="5"/>
    <x v="2"/>
    <x v="25"/>
    <x v="2"/>
    <x v="3"/>
    <x v="2"/>
    <n v="4.29"/>
    <n v="5.14"/>
    <n v="0.01"/>
    <n v="3.73"/>
  </r>
  <r>
    <x v="5"/>
    <x v="2"/>
    <x v="25"/>
    <x v="2"/>
    <x v="3"/>
    <x v="3"/>
    <n v="25.98"/>
    <n v="31.1"/>
    <n v="0.01"/>
    <n v="25.98"/>
  </r>
  <r>
    <x v="5"/>
    <x v="2"/>
    <x v="25"/>
    <x v="4"/>
    <x v="4"/>
    <x v="1"/>
    <n v="0.19"/>
    <n v="0.23"/>
    <n v="0"/>
    <n v="0.18"/>
  </r>
  <r>
    <x v="5"/>
    <x v="2"/>
    <x v="25"/>
    <x v="4"/>
    <x v="1"/>
    <x v="1"/>
    <n v="7.0000000000000007E-2"/>
    <n v="0.09"/>
    <n v="0"/>
    <n v="7.0000000000000007E-2"/>
  </r>
  <r>
    <x v="5"/>
    <x v="2"/>
    <x v="25"/>
    <x v="0"/>
    <x v="0"/>
    <x v="1"/>
    <n v="2.5099999999999998"/>
    <n v="3"/>
    <n v="0.08"/>
    <n v="2.2599999999999998"/>
  </r>
  <r>
    <x v="5"/>
    <x v="2"/>
    <x v="25"/>
    <x v="0"/>
    <x v="4"/>
    <x v="1"/>
    <n v="0.09"/>
    <n v="0.11"/>
    <n v="0"/>
    <n v="0.09"/>
  </r>
  <r>
    <x v="5"/>
    <x v="2"/>
    <x v="25"/>
    <x v="1"/>
    <x v="0"/>
    <x v="1"/>
    <n v="0.94"/>
    <n v="1.1299999999999999"/>
    <n v="0.05"/>
    <n v="0.86"/>
  </r>
  <r>
    <x v="5"/>
    <x v="2"/>
    <x v="25"/>
    <x v="1"/>
    <x v="4"/>
    <x v="1"/>
    <n v="1.27"/>
    <n v="1.52"/>
    <n v="0.01"/>
    <n v="1.26"/>
  </r>
  <r>
    <x v="5"/>
    <x v="2"/>
    <x v="25"/>
    <x v="1"/>
    <x v="1"/>
    <x v="2"/>
    <n v="1.35"/>
    <n v="1.62"/>
    <n v="0.01"/>
    <n v="1.18"/>
  </r>
  <r>
    <x v="5"/>
    <x v="2"/>
    <x v="25"/>
    <x v="1"/>
    <x v="2"/>
    <x v="1"/>
    <n v="6.85"/>
    <n v="8.1999999999999993"/>
    <n v="0.04"/>
    <n v="6.18"/>
  </r>
  <r>
    <x v="5"/>
    <x v="2"/>
    <x v="25"/>
    <x v="3"/>
    <x v="0"/>
    <x v="0"/>
    <n v="2.95"/>
    <n v="3.53"/>
    <n v="2.0299999999999998"/>
    <n v="2.9"/>
  </r>
  <r>
    <x v="5"/>
    <x v="2"/>
    <x v="25"/>
    <x v="2"/>
    <x v="3"/>
    <x v="1"/>
    <n v="0.74"/>
    <n v="0.88"/>
    <n v="0"/>
    <n v="0.67"/>
  </r>
  <r>
    <x v="5"/>
    <x v="2"/>
    <x v="25"/>
    <x v="1"/>
    <x v="1"/>
    <x v="1"/>
    <n v="0.63"/>
    <n v="0.75"/>
    <n v="0.01"/>
    <n v="0.56999999999999995"/>
  </r>
  <r>
    <x v="5"/>
    <x v="1"/>
    <x v="26"/>
    <x v="1"/>
    <x v="4"/>
    <x v="2"/>
    <n v="0.1"/>
    <n v="0.12"/>
    <n v="0"/>
    <n v="0.08"/>
  </r>
  <r>
    <x v="5"/>
    <x v="1"/>
    <x v="26"/>
    <x v="1"/>
    <x v="1"/>
    <x v="2"/>
    <n v="0.23"/>
    <n v="0.27"/>
    <n v="0"/>
    <n v="0.19"/>
  </r>
  <r>
    <x v="5"/>
    <x v="1"/>
    <x v="26"/>
    <x v="2"/>
    <x v="3"/>
    <x v="3"/>
    <n v="6.88"/>
    <n v="8.09"/>
    <n v="0"/>
    <n v="6.6"/>
  </r>
  <r>
    <x v="5"/>
    <x v="1"/>
    <x v="26"/>
    <x v="4"/>
    <x v="0"/>
    <x v="1"/>
    <n v="0.05"/>
    <n v="0.06"/>
    <n v="0.01"/>
    <n v="0.04"/>
  </r>
  <r>
    <x v="5"/>
    <x v="1"/>
    <x v="26"/>
    <x v="4"/>
    <x v="1"/>
    <x v="1"/>
    <n v="0.16"/>
    <n v="0.19"/>
    <n v="0.01"/>
    <n v="0.14000000000000001"/>
  </r>
  <r>
    <x v="5"/>
    <x v="1"/>
    <x v="26"/>
    <x v="0"/>
    <x v="0"/>
    <x v="1"/>
    <n v="0.52"/>
    <n v="0.61"/>
    <n v="0.01"/>
    <n v="0.44"/>
  </r>
  <r>
    <x v="5"/>
    <x v="1"/>
    <x v="26"/>
    <x v="0"/>
    <x v="4"/>
    <x v="1"/>
    <n v="0.23"/>
    <n v="0.27"/>
    <n v="0.01"/>
    <n v="0.19"/>
  </r>
  <r>
    <x v="5"/>
    <x v="1"/>
    <x v="26"/>
    <x v="1"/>
    <x v="0"/>
    <x v="1"/>
    <n v="0.64"/>
    <n v="0.75"/>
    <n v="0.03"/>
    <n v="0.55000000000000004"/>
  </r>
  <r>
    <x v="5"/>
    <x v="1"/>
    <x v="26"/>
    <x v="1"/>
    <x v="4"/>
    <x v="1"/>
    <n v="0.25"/>
    <n v="0.3"/>
    <n v="0.01"/>
    <n v="0.21"/>
  </r>
  <r>
    <x v="5"/>
    <x v="1"/>
    <x v="26"/>
    <x v="1"/>
    <x v="1"/>
    <x v="1"/>
    <n v="1.38"/>
    <n v="1.63"/>
    <n v="0.02"/>
    <n v="1.18"/>
  </r>
  <r>
    <x v="5"/>
    <x v="1"/>
    <x v="26"/>
    <x v="4"/>
    <x v="1"/>
    <x v="0"/>
    <n v="2.95"/>
    <n v="3.46"/>
    <n v="0.16"/>
    <n v="2.59"/>
  </r>
  <r>
    <x v="5"/>
    <x v="1"/>
    <x v="26"/>
    <x v="4"/>
    <x v="4"/>
    <x v="1"/>
    <n v="7.0000000000000007E-2"/>
    <n v="0.08"/>
    <n v="0"/>
    <n v="0.06"/>
  </r>
  <r>
    <x v="5"/>
    <x v="1"/>
    <x v="26"/>
    <x v="1"/>
    <x v="4"/>
    <x v="0"/>
    <n v="34.22"/>
    <n v="40.229999999999997"/>
    <n v="4.4000000000000004"/>
    <n v="30.3"/>
  </r>
  <r>
    <x v="5"/>
    <x v="1"/>
    <x v="26"/>
    <x v="2"/>
    <x v="4"/>
    <x v="0"/>
    <n v="0.48"/>
    <n v="0.56999999999999995"/>
    <n v="0.14000000000000001"/>
    <n v="0.46"/>
  </r>
  <r>
    <x v="5"/>
    <x v="1"/>
    <x v="26"/>
    <x v="2"/>
    <x v="0"/>
    <x v="0"/>
    <n v="0.98"/>
    <n v="1.1599999999999999"/>
    <n v="0.68"/>
    <n v="0.91"/>
  </r>
  <r>
    <x v="5"/>
    <x v="1"/>
    <x v="26"/>
    <x v="3"/>
    <x v="4"/>
    <x v="0"/>
    <n v="1.3"/>
    <n v="1.53"/>
    <n v="0.28000000000000003"/>
    <n v="1.1399999999999999"/>
  </r>
  <r>
    <x v="5"/>
    <x v="1"/>
    <x v="26"/>
    <x v="1"/>
    <x v="1"/>
    <x v="0"/>
    <n v="3.17"/>
    <n v="3.73"/>
    <n v="0.18"/>
    <n v="2.77"/>
  </r>
  <r>
    <x v="5"/>
    <x v="1"/>
    <x v="26"/>
    <x v="1"/>
    <x v="0"/>
    <x v="0"/>
    <n v="2.5"/>
    <n v="2.94"/>
    <n v="1.1399999999999999"/>
    <n v="2.16"/>
  </r>
  <r>
    <x v="5"/>
    <x v="1"/>
    <x v="26"/>
    <x v="0"/>
    <x v="4"/>
    <x v="0"/>
    <n v="4.22"/>
    <n v="4.96"/>
    <n v="1.53"/>
    <n v="3.63"/>
  </r>
  <r>
    <x v="5"/>
    <x v="1"/>
    <x v="26"/>
    <x v="0"/>
    <x v="0"/>
    <x v="0"/>
    <n v="0.39"/>
    <n v="0.45"/>
    <n v="0.11"/>
    <n v="0.33"/>
  </r>
  <r>
    <x v="5"/>
    <x v="1"/>
    <x v="26"/>
    <x v="4"/>
    <x v="4"/>
    <x v="0"/>
    <n v="17.82"/>
    <n v="20.94"/>
    <n v="2.68"/>
    <n v="15.48"/>
  </r>
  <r>
    <x v="5"/>
    <x v="1"/>
    <x v="26"/>
    <x v="3"/>
    <x v="0"/>
    <x v="0"/>
    <n v="0.04"/>
    <n v="0.04"/>
    <n v="0.01"/>
    <n v="0.03"/>
  </r>
  <r>
    <x v="5"/>
    <x v="1"/>
    <x v="26"/>
    <x v="1"/>
    <x v="3"/>
    <x v="1"/>
    <n v="0.77"/>
    <n v="0.91"/>
    <n v="0.01"/>
    <n v="0.67"/>
  </r>
  <r>
    <x v="5"/>
    <x v="1"/>
    <x v="26"/>
    <x v="1"/>
    <x v="2"/>
    <x v="1"/>
    <n v="0.99"/>
    <n v="1.1599999999999999"/>
    <n v="0"/>
    <n v="0.83"/>
  </r>
  <r>
    <x v="5"/>
    <x v="1"/>
    <x v="26"/>
    <x v="1"/>
    <x v="2"/>
    <x v="0"/>
    <n v="0.3"/>
    <n v="0.36"/>
    <n v="0"/>
    <n v="0.26"/>
  </r>
  <r>
    <x v="5"/>
    <x v="2"/>
    <x v="27"/>
    <x v="1"/>
    <x v="0"/>
    <x v="1"/>
    <n v="0.22"/>
    <n v="0.3"/>
    <n v="0.01"/>
    <n v="0.2"/>
  </r>
  <r>
    <x v="5"/>
    <x v="2"/>
    <x v="27"/>
    <x v="1"/>
    <x v="4"/>
    <x v="0"/>
    <n v="44.41"/>
    <n v="60.95"/>
    <n v="8.4"/>
    <n v="41.2"/>
  </r>
  <r>
    <x v="5"/>
    <x v="2"/>
    <x v="27"/>
    <x v="1"/>
    <x v="0"/>
    <x v="0"/>
    <n v="2.85"/>
    <n v="3.91"/>
    <n v="1.65"/>
    <n v="2.72"/>
  </r>
  <r>
    <x v="5"/>
    <x v="2"/>
    <x v="27"/>
    <x v="0"/>
    <x v="4"/>
    <x v="0"/>
    <n v="6.41"/>
    <n v="8.8000000000000007"/>
    <n v="1.42"/>
    <n v="5.98"/>
  </r>
  <r>
    <x v="5"/>
    <x v="2"/>
    <x v="27"/>
    <x v="0"/>
    <x v="0"/>
    <x v="0"/>
    <n v="2.33"/>
    <n v="3.2"/>
    <n v="1.52"/>
    <n v="2.12"/>
  </r>
  <r>
    <x v="5"/>
    <x v="2"/>
    <x v="27"/>
    <x v="4"/>
    <x v="1"/>
    <x v="0"/>
    <n v="6.87"/>
    <n v="9.43"/>
    <n v="0.37"/>
    <n v="6.29"/>
  </r>
  <r>
    <x v="5"/>
    <x v="2"/>
    <x v="27"/>
    <x v="4"/>
    <x v="4"/>
    <x v="0"/>
    <n v="43.67"/>
    <n v="59.93"/>
    <n v="5.07"/>
    <n v="40.17"/>
  </r>
  <r>
    <x v="5"/>
    <x v="2"/>
    <x v="27"/>
    <x v="3"/>
    <x v="4"/>
    <x v="0"/>
    <n v="1.97"/>
    <n v="2.71"/>
    <n v="0.39"/>
    <n v="1.89"/>
  </r>
  <r>
    <x v="5"/>
    <x v="2"/>
    <x v="27"/>
    <x v="3"/>
    <x v="0"/>
    <x v="0"/>
    <n v="0.11"/>
    <n v="0.15"/>
    <n v="7.0000000000000007E-2"/>
    <n v="0.1"/>
  </r>
  <r>
    <x v="5"/>
    <x v="2"/>
    <x v="27"/>
    <x v="2"/>
    <x v="3"/>
    <x v="1"/>
    <n v="0.21"/>
    <n v="0.28000000000000003"/>
    <n v="0"/>
    <n v="0.19"/>
  </r>
  <r>
    <x v="5"/>
    <x v="2"/>
    <x v="27"/>
    <x v="1"/>
    <x v="2"/>
    <x v="1"/>
    <n v="1.74"/>
    <n v="2.38"/>
    <n v="0.01"/>
    <n v="1.56"/>
  </r>
  <r>
    <x v="5"/>
    <x v="2"/>
    <x v="27"/>
    <x v="1"/>
    <x v="4"/>
    <x v="1"/>
    <n v="0.03"/>
    <n v="0.04"/>
    <n v="0"/>
    <n v="0.02"/>
  </r>
  <r>
    <x v="5"/>
    <x v="2"/>
    <x v="27"/>
    <x v="4"/>
    <x v="4"/>
    <x v="1"/>
    <n v="0.04"/>
    <n v="0.06"/>
    <n v="0"/>
    <n v="0.04"/>
  </r>
  <r>
    <x v="5"/>
    <x v="2"/>
    <x v="27"/>
    <x v="4"/>
    <x v="4"/>
    <x v="2"/>
    <n v="0.54"/>
    <n v="0.74"/>
    <n v="0.02"/>
    <n v="0.47"/>
  </r>
  <r>
    <x v="5"/>
    <x v="2"/>
    <x v="27"/>
    <x v="4"/>
    <x v="1"/>
    <x v="2"/>
    <n v="0.28999999999999998"/>
    <n v="0.39"/>
    <n v="0.01"/>
    <n v="0.25"/>
  </r>
  <r>
    <x v="5"/>
    <x v="2"/>
    <x v="27"/>
    <x v="4"/>
    <x v="2"/>
    <x v="2"/>
    <n v="0.77"/>
    <n v="1.06"/>
    <n v="0"/>
    <n v="0.67"/>
  </r>
  <r>
    <x v="5"/>
    <x v="2"/>
    <x v="27"/>
    <x v="1"/>
    <x v="4"/>
    <x v="2"/>
    <n v="0.02"/>
    <n v="0.03"/>
    <n v="0.01"/>
    <n v="0.02"/>
  </r>
  <r>
    <x v="5"/>
    <x v="2"/>
    <x v="27"/>
    <x v="1"/>
    <x v="1"/>
    <x v="1"/>
    <n v="0.12"/>
    <n v="0.16"/>
    <n v="0"/>
    <n v="0.11"/>
  </r>
  <r>
    <x v="5"/>
    <x v="2"/>
    <x v="27"/>
    <x v="2"/>
    <x v="3"/>
    <x v="3"/>
    <n v="0.57999999999999996"/>
    <n v="0.8"/>
    <n v="0"/>
    <n v="0.57999999999999996"/>
  </r>
  <r>
    <x v="5"/>
    <x v="2"/>
    <x v="27"/>
    <x v="4"/>
    <x v="1"/>
    <x v="1"/>
    <n v="0.02"/>
    <n v="0.03"/>
    <n v="0"/>
    <n v="0.02"/>
  </r>
  <r>
    <x v="5"/>
    <x v="2"/>
    <x v="27"/>
    <x v="0"/>
    <x v="0"/>
    <x v="1"/>
    <n v="0.6"/>
    <n v="0.83"/>
    <n v="0.02"/>
    <n v="0.54"/>
  </r>
  <r>
    <x v="5"/>
    <x v="2"/>
    <x v="27"/>
    <x v="2"/>
    <x v="4"/>
    <x v="0"/>
    <n v="1.1599999999999999"/>
    <n v="1.6"/>
    <n v="0.26"/>
    <n v="1.1100000000000001"/>
  </r>
  <r>
    <x v="5"/>
    <x v="2"/>
    <x v="27"/>
    <x v="2"/>
    <x v="0"/>
    <x v="0"/>
    <n v="2.09"/>
    <n v="2.87"/>
    <n v="1.1399999999999999"/>
    <n v="1.97"/>
  </r>
  <r>
    <x v="5"/>
    <x v="2"/>
    <x v="27"/>
    <x v="1"/>
    <x v="1"/>
    <x v="0"/>
    <n v="5.92"/>
    <n v="8.1199999999999992"/>
    <n v="0.41"/>
    <n v="5.47"/>
  </r>
  <r>
    <x v="5"/>
    <x v="2"/>
    <x v="27"/>
    <x v="0"/>
    <x v="4"/>
    <x v="1"/>
    <n v="0.03"/>
    <n v="0.04"/>
    <n v="0"/>
    <n v="0.02"/>
  </r>
  <r>
    <x v="5"/>
    <x v="5"/>
    <x v="28"/>
    <x v="1"/>
    <x v="0"/>
    <x v="0"/>
    <n v="14.01"/>
    <n v="16.73"/>
    <n v="7.3"/>
    <n v="13.37"/>
  </r>
  <r>
    <x v="5"/>
    <x v="5"/>
    <x v="28"/>
    <x v="2"/>
    <x v="0"/>
    <x v="0"/>
    <n v="10.19"/>
    <n v="12.17"/>
    <n v="5.55"/>
    <n v="9.66"/>
  </r>
  <r>
    <x v="5"/>
    <x v="5"/>
    <x v="28"/>
    <x v="2"/>
    <x v="4"/>
    <x v="0"/>
    <n v="3.8"/>
    <n v="4.53"/>
    <n v="0.87"/>
    <n v="3.65"/>
  </r>
  <r>
    <x v="5"/>
    <x v="5"/>
    <x v="28"/>
    <x v="0"/>
    <x v="0"/>
    <x v="1"/>
    <n v="3.53"/>
    <n v="4.21"/>
    <n v="0.11"/>
    <n v="3.29"/>
  </r>
  <r>
    <x v="5"/>
    <x v="5"/>
    <x v="28"/>
    <x v="1"/>
    <x v="2"/>
    <x v="1"/>
    <n v="9.39"/>
    <n v="11.21"/>
    <n v="0.05"/>
    <n v="8.68"/>
  </r>
  <r>
    <x v="5"/>
    <x v="5"/>
    <x v="28"/>
    <x v="2"/>
    <x v="3"/>
    <x v="1"/>
    <n v="0.78"/>
    <n v="0.93"/>
    <n v="0"/>
    <n v="0.72"/>
  </r>
  <r>
    <x v="5"/>
    <x v="5"/>
    <x v="28"/>
    <x v="3"/>
    <x v="0"/>
    <x v="0"/>
    <n v="0.34"/>
    <n v="0.41"/>
    <n v="0.15"/>
    <n v="0.33"/>
  </r>
  <r>
    <x v="5"/>
    <x v="5"/>
    <x v="28"/>
    <x v="3"/>
    <x v="4"/>
    <x v="0"/>
    <n v="3.46"/>
    <n v="4.13"/>
    <n v="0.72"/>
    <n v="3.31"/>
  </r>
  <r>
    <x v="5"/>
    <x v="5"/>
    <x v="28"/>
    <x v="3"/>
    <x v="1"/>
    <x v="0"/>
    <n v="0.04"/>
    <n v="0.05"/>
    <n v="0"/>
    <n v="0.04"/>
  </r>
  <r>
    <x v="5"/>
    <x v="5"/>
    <x v="28"/>
    <x v="4"/>
    <x v="4"/>
    <x v="0"/>
    <n v="43.18"/>
    <n v="51.55"/>
    <n v="6.03"/>
    <n v="40.64"/>
  </r>
  <r>
    <x v="5"/>
    <x v="5"/>
    <x v="28"/>
    <x v="4"/>
    <x v="1"/>
    <x v="0"/>
    <n v="9.8800000000000008"/>
    <n v="11.79"/>
    <n v="0.67"/>
    <n v="9.16"/>
  </r>
  <r>
    <x v="5"/>
    <x v="5"/>
    <x v="28"/>
    <x v="0"/>
    <x v="0"/>
    <x v="0"/>
    <n v="5.47"/>
    <n v="6.52"/>
    <n v="3.59"/>
    <n v="5.0199999999999996"/>
  </r>
  <r>
    <x v="5"/>
    <x v="5"/>
    <x v="28"/>
    <x v="1"/>
    <x v="4"/>
    <x v="1"/>
    <n v="0.73"/>
    <n v="0.88"/>
    <n v="0.01"/>
    <n v="0.72"/>
  </r>
  <r>
    <x v="5"/>
    <x v="5"/>
    <x v="28"/>
    <x v="1"/>
    <x v="0"/>
    <x v="1"/>
    <n v="1.1299999999999999"/>
    <n v="1.35"/>
    <n v="0.06"/>
    <n v="1.05"/>
  </r>
  <r>
    <x v="5"/>
    <x v="5"/>
    <x v="28"/>
    <x v="1"/>
    <x v="1"/>
    <x v="0"/>
    <n v="21.95"/>
    <n v="26.21"/>
    <n v="1.78"/>
    <n v="20.43"/>
  </r>
  <r>
    <x v="5"/>
    <x v="5"/>
    <x v="28"/>
    <x v="0"/>
    <x v="4"/>
    <x v="1"/>
    <n v="0.1"/>
    <n v="0.12"/>
    <n v="0"/>
    <n v="0.1"/>
  </r>
  <r>
    <x v="5"/>
    <x v="5"/>
    <x v="28"/>
    <x v="1"/>
    <x v="2"/>
    <x v="0"/>
    <n v="0.52"/>
    <n v="0.62"/>
    <n v="0.02"/>
    <n v="0.48"/>
  </r>
  <r>
    <x v="5"/>
    <x v="5"/>
    <x v="28"/>
    <x v="4"/>
    <x v="1"/>
    <x v="1"/>
    <n v="0.09"/>
    <n v="0.1"/>
    <n v="0"/>
    <n v="0.08"/>
  </r>
  <r>
    <x v="5"/>
    <x v="5"/>
    <x v="28"/>
    <x v="4"/>
    <x v="4"/>
    <x v="1"/>
    <n v="0.23"/>
    <n v="0.27"/>
    <n v="0"/>
    <n v="0.21"/>
  </r>
  <r>
    <x v="5"/>
    <x v="5"/>
    <x v="28"/>
    <x v="2"/>
    <x v="3"/>
    <x v="3"/>
    <n v="11.14"/>
    <n v="13.3"/>
    <n v="0.01"/>
    <n v="11.14"/>
  </r>
  <r>
    <x v="5"/>
    <x v="5"/>
    <x v="28"/>
    <x v="4"/>
    <x v="4"/>
    <x v="2"/>
    <n v="0.56999999999999995"/>
    <n v="0.68"/>
    <n v="0.03"/>
    <n v="0.5"/>
  </r>
  <r>
    <x v="5"/>
    <x v="5"/>
    <x v="28"/>
    <x v="2"/>
    <x v="3"/>
    <x v="2"/>
    <n v="8.3800000000000008"/>
    <n v="10"/>
    <n v="0.02"/>
    <n v="7.81"/>
  </r>
  <r>
    <x v="5"/>
    <x v="5"/>
    <x v="28"/>
    <x v="1"/>
    <x v="4"/>
    <x v="2"/>
    <n v="0.1"/>
    <n v="0.12"/>
    <n v="0.01"/>
    <n v="0.08"/>
  </r>
  <r>
    <x v="5"/>
    <x v="5"/>
    <x v="28"/>
    <x v="4"/>
    <x v="2"/>
    <x v="2"/>
    <n v="1.17"/>
    <n v="1.4"/>
    <n v="0.01"/>
    <n v="1.02"/>
  </r>
  <r>
    <x v="5"/>
    <x v="5"/>
    <x v="28"/>
    <x v="4"/>
    <x v="1"/>
    <x v="2"/>
    <n v="0.34"/>
    <n v="0.4"/>
    <n v="0.01"/>
    <n v="0.28999999999999998"/>
  </r>
  <r>
    <x v="5"/>
    <x v="5"/>
    <x v="28"/>
    <x v="0"/>
    <x v="4"/>
    <x v="0"/>
    <n v="15.13"/>
    <n v="18.07"/>
    <n v="3.79"/>
    <n v="14.37"/>
  </r>
  <r>
    <x v="5"/>
    <x v="5"/>
    <x v="28"/>
    <x v="1"/>
    <x v="1"/>
    <x v="1"/>
    <n v="0.93"/>
    <n v="1.1100000000000001"/>
    <n v="0.01"/>
    <n v="0.86"/>
  </r>
  <r>
    <x v="5"/>
    <x v="5"/>
    <x v="28"/>
    <x v="1"/>
    <x v="4"/>
    <x v="0"/>
    <n v="139.01"/>
    <n v="165.97"/>
    <n v="31.85"/>
    <n v="130.91"/>
  </r>
  <r>
    <x v="5"/>
    <x v="2"/>
    <x v="29"/>
    <x v="0"/>
    <x v="0"/>
    <x v="0"/>
    <n v="2.72"/>
    <n v="3.25"/>
    <n v="1.94"/>
    <n v="2.46"/>
  </r>
  <r>
    <x v="5"/>
    <x v="2"/>
    <x v="29"/>
    <x v="0"/>
    <x v="4"/>
    <x v="1"/>
    <n v="0.01"/>
    <n v="0.02"/>
    <n v="0"/>
    <n v="0.01"/>
  </r>
  <r>
    <x v="5"/>
    <x v="2"/>
    <x v="29"/>
    <x v="1"/>
    <x v="0"/>
    <x v="0"/>
    <n v="2.62"/>
    <n v="3.14"/>
    <n v="1.55"/>
    <n v="2.44"/>
  </r>
  <r>
    <x v="5"/>
    <x v="2"/>
    <x v="29"/>
    <x v="0"/>
    <x v="4"/>
    <x v="0"/>
    <n v="3.67"/>
    <n v="4.3899999999999997"/>
    <n v="0.89"/>
    <n v="3.4"/>
  </r>
  <r>
    <x v="5"/>
    <x v="2"/>
    <x v="29"/>
    <x v="4"/>
    <x v="1"/>
    <x v="0"/>
    <n v="1.75"/>
    <n v="2.09"/>
    <n v="0.11"/>
    <n v="1.62"/>
  </r>
  <r>
    <x v="5"/>
    <x v="2"/>
    <x v="29"/>
    <x v="3"/>
    <x v="4"/>
    <x v="0"/>
    <n v="0.66"/>
    <n v="0.79"/>
    <n v="0.12"/>
    <n v="0.63"/>
  </r>
  <r>
    <x v="5"/>
    <x v="2"/>
    <x v="29"/>
    <x v="0"/>
    <x v="2"/>
    <x v="0"/>
    <n v="0.11"/>
    <n v="0.14000000000000001"/>
    <n v="0"/>
    <n v="0.11"/>
  </r>
  <r>
    <x v="5"/>
    <x v="2"/>
    <x v="29"/>
    <x v="2"/>
    <x v="3"/>
    <x v="1"/>
    <n v="0.1"/>
    <n v="0.13"/>
    <n v="0"/>
    <n v="0.09"/>
  </r>
  <r>
    <x v="5"/>
    <x v="2"/>
    <x v="29"/>
    <x v="1"/>
    <x v="2"/>
    <x v="1"/>
    <n v="1.07"/>
    <n v="1.28"/>
    <n v="0"/>
    <n v="0.97"/>
  </r>
  <r>
    <x v="5"/>
    <x v="2"/>
    <x v="29"/>
    <x v="1"/>
    <x v="1"/>
    <x v="1"/>
    <n v="0.1"/>
    <n v="0.12"/>
    <n v="0"/>
    <n v="0.09"/>
  </r>
  <r>
    <x v="5"/>
    <x v="2"/>
    <x v="29"/>
    <x v="1"/>
    <x v="4"/>
    <x v="0"/>
    <n v="34.340000000000003"/>
    <n v="41.1"/>
    <n v="6.66"/>
    <n v="31.4"/>
  </r>
  <r>
    <x v="5"/>
    <x v="2"/>
    <x v="29"/>
    <x v="1"/>
    <x v="0"/>
    <x v="1"/>
    <n v="0.15"/>
    <n v="0.18"/>
    <n v="0.01"/>
    <n v="0.13"/>
  </r>
  <r>
    <x v="5"/>
    <x v="2"/>
    <x v="29"/>
    <x v="4"/>
    <x v="4"/>
    <x v="0"/>
    <n v="14.54"/>
    <n v="17.399999999999999"/>
    <n v="1.67"/>
    <n v="13.42"/>
  </r>
  <r>
    <x v="5"/>
    <x v="2"/>
    <x v="29"/>
    <x v="0"/>
    <x v="0"/>
    <x v="1"/>
    <n v="0.39"/>
    <n v="0.47"/>
    <n v="0.01"/>
    <n v="0.35"/>
  </r>
  <r>
    <x v="5"/>
    <x v="2"/>
    <x v="29"/>
    <x v="4"/>
    <x v="1"/>
    <x v="1"/>
    <n v="0.01"/>
    <n v="0.01"/>
    <n v="0"/>
    <n v="0.01"/>
  </r>
  <r>
    <x v="5"/>
    <x v="2"/>
    <x v="29"/>
    <x v="4"/>
    <x v="4"/>
    <x v="1"/>
    <n v="0.04"/>
    <n v="0.05"/>
    <n v="0"/>
    <n v="0.04"/>
  </r>
  <r>
    <x v="5"/>
    <x v="2"/>
    <x v="29"/>
    <x v="2"/>
    <x v="3"/>
    <x v="3"/>
    <n v="0.53"/>
    <n v="0.63"/>
    <n v="0"/>
    <n v="0.53"/>
  </r>
  <r>
    <x v="5"/>
    <x v="2"/>
    <x v="29"/>
    <x v="1"/>
    <x v="4"/>
    <x v="2"/>
    <n v="0.16"/>
    <n v="0.19"/>
    <n v="0.01"/>
    <n v="0.14000000000000001"/>
  </r>
  <r>
    <x v="5"/>
    <x v="2"/>
    <x v="29"/>
    <x v="4"/>
    <x v="2"/>
    <x v="2"/>
    <n v="0.66"/>
    <n v="0.79"/>
    <n v="0"/>
    <n v="0.56999999999999995"/>
  </r>
  <r>
    <x v="5"/>
    <x v="2"/>
    <x v="29"/>
    <x v="4"/>
    <x v="1"/>
    <x v="2"/>
    <n v="0.16"/>
    <n v="0.19"/>
    <n v="0.01"/>
    <n v="0.14000000000000001"/>
  </r>
  <r>
    <x v="5"/>
    <x v="2"/>
    <x v="29"/>
    <x v="4"/>
    <x v="4"/>
    <x v="2"/>
    <n v="0.31"/>
    <n v="0.37"/>
    <n v="0.02"/>
    <n v="0.27"/>
  </r>
  <r>
    <x v="5"/>
    <x v="2"/>
    <x v="29"/>
    <x v="1"/>
    <x v="4"/>
    <x v="1"/>
    <n v="0.02"/>
    <n v="0.02"/>
    <n v="0"/>
    <n v="0.02"/>
  </r>
  <r>
    <x v="5"/>
    <x v="2"/>
    <x v="29"/>
    <x v="1"/>
    <x v="2"/>
    <x v="0"/>
    <n v="0.09"/>
    <n v="0.11"/>
    <n v="0"/>
    <n v="0.08"/>
  </r>
  <r>
    <x v="5"/>
    <x v="2"/>
    <x v="29"/>
    <x v="2"/>
    <x v="0"/>
    <x v="0"/>
    <n v="1.59"/>
    <n v="1.9"/>
    <n v="1.23"/>
    <n v="1.51"/>
  </r>
  <r>
    <x v="5"/>
    <x v="2"/>
    <x v="29"/>
    <x v="2"/>
    <x v="4"/>
    <x v="0"/>
    <n v="0.44"/>
    <n v="0.53"/>
    <n v="0.1"/>
    <n v="0.43"/>
  </r>
  <r>
    <x v="5"/>
    <x v="2"/>
    <x v="29"/>
    <x v="1"/>
    <x v="1"/>
    <x v="0"/>
    <n v="2.48"/>
    <n v="2.97"/>
    <n v="0.25"/>
    <n v="2.31"/>
  </r>
  <r>
    <x v="5"/>
    <x v="2"/>
    <x v="29"/>
    <x v="3"/>
    <x v="0"/>
    <x v="0"/>
    <n v="0.04"/>
    <n v="0.05"/>
    <n v="0.02"/>
    <n v="0.04"/>
  </r>
  <r>
    <x v="5"/>
    <x v="5"/>
    <x v="30"/>
    <x v="2"/>
    <x v="3"/>
    <x v="3"/>
    <n v="8.11"/>
    <n v="9.7100000000000009"/>
    <n v="0"/>
    <n v="8.11"/>
  </r>
  <r>
    <x v="5"/>
    <x v="5"/>
    <x v="30"/>
    <x v="0"/>
    <x v="4"/>
    <x v="1"/>
    <n v="0.09"/>
    <n v="0.1"/>
    <n v="0"/>
    <n v="0.08"/>
  </r>
  <r>
    <x v="5"/>
    <x v="5"/>
    <x v="30"/>
    <x v="4"/>
    <x v="4"/>
    <x v="1"/>
    <n v="0.18"/>
    <n v="0.22"/>
    <n v="0"/>
    <n v="0.17"/>
  </r>
  <r>
    <x v="5"/>
    <x v="5"/>
    <x v="30"/>
    <x v="4"/>
    <x v="1"/>
    <x v="1"/>
    <n v="7.0000000000000007E-2"/>
    <n v="0.08"/>
    <n v="0"/>
    <n v="0.06"/>
  </r>
  <r>
    <x v="5"/>
    <x v="5"/>
    <x v="30"/>
    <x v="1"/>
    <x v="4"/>
    <x v="0"/>
    <n v="184.4"/>
    <n v="220.71"/>
    <n v="55.87"/>
    <n v="170.31"/>
  </r>
  <r>
    <x v="5"/>
    <x v="5"/>
    <x v="30"/>
    <x v="1"/>
    <x v="1"/>
    <x v="0"/>
    <n v="31.24"/>
    <n v="37.39"/>
    <n v="3.47"/>
    <n v="28.84"/>
  </r>
  <r>
    <x v="5"/>
    <x v="5"/>
    <x v="30"/>
    <x v="1"/>
    <x v="2"/>
    <x v="0"/>
    <n v="2.14"/>
    <n v="2.57"/>
    <n v="0.02"/>
    <n v="1.9"/>
  </r>
  <r>
    <x v="5"/>
    <x v="5"/>
    <x v="30"/>
    <x v="2"/>
    <x v="4"/>
    <x v="0"/>
    <n v="7.22"/>
    <n v="8.64"/>
    <n v="1.35"/>
    <n v="6.76"/>
  </r>
  <r>
    <x v="5"/>
    <x v="5"/>
    <x v="30"/>
    <x v="1"/>
    <x v="1"/>
    <x v="1"/>
    <n v="0.64"/>
    <n v="0.77"/>
    <n v="0.01"/>
    <n v="0.6"/>
  </r>
  <r>
    <x v="5"/>
    <x v="5"/>
    <x v="30"/>
    <x v="4"/>
    <x v="4"/>
    <x v="2"/>
    <n v="0.57999999999999996"/>
    <n v="0.69"/>
    <n v="0.03"/>
    <n v="0.5"/>
  </r>
  <r>
    <x v="5"/>
    <x v="5"/>
    <x v="30"/>
    <x v="4"/>
    <x v="1"/>
    <x v="2"/>
    <n v="0.34"/>
    <n v="0.4"/>
    <n v="0.01"/>
    <n v="0.28999999999999998"/>
  </r>
  <r>
    <x v="5"/>
    <x v="5"/>
    <x v="30"/>
    <x v="4"/>
    <x v="2"/>
    <x v="2"/>
    <n v="1"/>
    <n v="1.2"/>
    <n v="0"/>
    <n v="0.87"/>
  </r>
  <r>
    <x v="5"/>
    <x v="5"/>
    <x v="30"/>
    <x v="2"/>
    <x v="3"/>
    <x v="2"/>
    <n v="12.41"/>
    <n v="14.86"/>
    <n v="0.03"/>
    <n v="11.16"/>
  </r>
  <r>
    <x v="5"/>
    <x v="5"/>
    <x v="30"/>
    <x v="2"/>
    <x v="0"/>
    <x v="0"/>
    <n v="6.77"/>
    <n v="8.1"/>
    <n v="4.54"/>
    <n v="6.41"/>
  </r>
  <r>
    <x v="5"/>
    <x v="5"/>
    <x v="30"/>
    <x v="1"/>
    <x v="4"/>
    <x v="1"/>
    <n v="0.1"/>
    <n v="0.12"/>
    <n v="0"/>
    <n v="0.09"/>
  </r>
  <r>
    <x v="5"/>
    <x v="5"/>
    <x v="30"/>
    <x v="1"/>
    <x v="2"/>
    <x v="1"/>
    <n v="6.33"/>
    <n v="7.58"/>
    <n v="0.03"/>
    <n v="5.86"/>
  </r>
  <r>
    <x v="5"/>
    <x v="5"/>
    <x v="30"/>
    <x v="2"/>
    <x v="3"/>
    <x v="1"/>
    <n v="0.67"/>
    <n v="0.8"/>
    <n v="0"/>
    <n v="0.62"/>
  </r>
  <r>
    <x v="5"/>
    <x v="5"/>
    <x v="30"/>
    <x v="3"/>
    <x v="0"/>
    <x v="0"/>
    <n v="0.38"/>
    <n v="0.45"/>
    <n v="0.14000000000000001"/>
    <n v="0.35"/>
  </r>
  <r>
    <x v="5"/>
    <x v="5"/>
    <x v="30"/>
    <x v="3"/>
    <x v="4"/>
    <x v="0"/>
    <n v="5.73"/>
    <n v="6.86"/>
    <n v="1.1499999999999999"/>
    <n v="5.34"/>
  </r>
  <r>
    <x v="5"/>
    <x v="5"/>
    <x v="30"/>
    <x v="3"/>
    <x v="1"/>
    <x v="0"/>
    <n v="0.03"/>
    <n v="0.04"/>
    <n v="0"/>
    <n v="0.03"/>
  </r>
  <r>
    <x v="5"/>
    <x v="5"/>
    <x v="30"/>
    <x v="4"/>
    <x v="4"/>
    <x v="0"/>
    <n v="65.150000000000006"/>
    <n v="77.98"/>
    <n v="9.3699999999999992"/>
    <n v="60.43"/>
  </r>
  <r>
    <x v="5"/>
    <x v="5"/>
    <x v="30"/>
    <x v="4"/>
    <x v="1"/>
    <x v="0"/>
    <n v="12.52"/>
    <n v="14.98"/>
    <n v="0.84"/>
    <n v="11.56"/>
  </r>
  <r>
    <x v="5"/>
    <x v="5"/>
    <x v="30"/>
    <x v="4"/>
    <x v="2"/>
    <x v="0"/>
    <n v="1.17"/>
    <n v="1.4"/>
    <n v="0"/>
    <n v="1.07"/>
  </r>
  <r>
    <x v="5"/>
    <x v="5"/>
    <x v="30"/>
    <x v="0"/>
    <x v="0"/>
    <x v="0"/>
    <n v="7.43"/>
    <n v="8.9"/>
    <n v="5.25"/>
    <n v="6.75"/>
  </r>
  <r>
    <x v="5"/>
    <x v="5"/>
    <x v="30"/>
    <x v="0"/>
    <x v="4"/>
    <x v="0"/>
    <n v="20.07"/>
    <n v="24.02"/>
    <n v="5.84"/>
    <n v="18.71"/>
  </r>
  <r>
    <x v="5"/>
    <x v="5"/>
    <x v="30"/>
    <x v="0"/>
    <x v="0"/>
    <x v="1"/>
    <n v="2.21"/>
    <n v="2.64"/>
    <n v="0.06"/>
    <n v="2.04"/>
  </r>
  <r>
    <x v="5"/>
    <x v="5"/>
    <x v="30"/>
    <x v="1"/>
    <x v="0"/>
    <x v="0"/>
    <n v="13.95"/>
    <n v="16.690000000000001"/>
    <n v="8.93"/>
    <n v="13.14"/>
  </r>
  <r>
    <x v="5"/>
    <x v="5"/>
    <x v="30"/>
    <x v="1"/>
    <x v="0"/>
    <x v="1"/>
    <n v="0.83"/>
    <n v="1"/>
    <n v="0.04"/>
    <n v="0.77"/>
  </r>
  <r>
    <x v="5"/>
    <x v="6"/>
    <x v="31"/>
    <x v="2"/>
    <x v="3"/>
    <x v="3"/>
    <n v="3.39"/>
    <n v="3.39"/>
    <n v="0.01"/>
    <n v="2.87"/>
  </r>
  <r>
    <x v="5"/>
    <x v="6"/>
    <x v="31"/>
    <x v="0"/>
    <x v="0"/>
    <x v="1"/>
    <n v="5.28"/>
    <n v="5.28"/>
    <n v="0.12"/>
    <n v="4.76"/>
  </r>
  <r>
    <x v="5"/>
    <x v="6"/>
    <x v="31"/>
    <x v="2"/>
    <x v="4"/>
    <x v="0"/>
    <n v="11.63"/>
    <n v="11.63"/>
    <n v="3.42"/>
    <n v="10.61"/>
  </r>
  <r>
    <x v="5"/>
    <x v="6"/>
    <x v="31"/>
    <x v="4"/>
    <x v="1"/>
    <x v="2"/>
    <n v="0.49"/>
    <n v="0.49"/>
    <n v="0.01"/>
    <n v="0.44"/>
  </r>
  <r>
    <x v="5"/>
    <x v="6"/>
    <x v="31"/>
    <x v="4"/>
    <x v="2"/>
    <x v="2"/>
    <n v="3.1"/>
    <n v="3.1"/>
    <n v="0.06"/>
    <n v="2.73"/>
  </r>
  <r>
    <x v="5"/>
    <x v="6"/>
    <x v="31"/>
    <x v="1"/>
    <x v="4"/>
    <x v="2"/>
    <n v="0.47"/>
    <n v="0.47"/>
    <n v="0.02"/>
    <n v="0.39"/>
  </r>
  <r>
    <x v="5"/>
    <x v="6"/>
    <x v="31"/>
    <x v="1"/>
    <x v="1"/>
    <x v="2"/>
    <n v="0.56999999999999995"/>
    <n v="0.56999999999999995"/>
    <n v="0"/>
    <n v="0.47"/>
  </r>
  <r>
    <x v="5"/>
    <x v="6"/>
    <x v="31"/>
    <x v="2"/>
    <x v="3"/>
    <x v="2"/>
    <n v="15.12"/>
    <n v="15.12"/>
    <n v="0.04"/>
    <n v="14.51"/>
  </r>
  <r>
    <x v="5"/>
    <x v="6"/>
    <x v="31"/>
    <x v="4"/>
    <x v="4"/>
    <x v="1"/>
    <n v="0.94"/>
    <n v="0.94"/>
    <n v="0.06"/>
    <n v="0.86"/>
  </r>
  <r>
    <x v="5"/>
    <x v="6"/>
    <x v="31"/>
    <x v="4"/>
    <x v="1"/>
    <x v="1"/>
    <n v="0.23"/>
    <n v="0.23"/>
    <n v="0.01"/>
    <n v="0.21"/>
  </r>
  <r>
    <x v="5"/>
    <x v="6"/>
    <x v="31"/>
    <x v="0"/>
    <x v="4"/>
    <x v="1"/>
    <n v="2.2799999999999998"/>
    <n v="2.2799999999999998"/>
    <n v="0.06"/>
    <n v="2.0499999999999998"/>
  </r>
  <r>
    <x v="5"/>
    <x v="6"/>
    <x v="31"/>
    <x v="1"/>
    <x v="0"/>
    <x v="1"/>
    <n v="3.4"/>
    <n v="3.4"/>
    <n v="0.14000000000000001"/>
    <n v="3"/>
  </r>
  <r>
    <x v="5"/>
    <x v="6"/>
    <x v="31"/>
    <x v="1"/>
    <x v="4"/>
    <x v="1"/>
    <n v="1.0900000000000001"/>
    <n v="1.0900000000000001"/>
    <n v="0.04"/>
    <n v="0.96"/>
  </r>
  <r>
    <x v="5"/>
    <x v="6"/>
    <x v="31"/>
    <x v="1"/>
    <x v="1"/>
    <x v="1"/>
    <n v="7.32"/>
    <n v="7.32"/>
    <n v="7.0000000000000007E-2"/>
    <n v="6.4"/>
  </r>
  <r>
    <x v="5"/>
    <x v="6"/>
    <x v="31"/>
    <x v="1"/>
    <x v="2"/>
    <x v="1"/>
    <n v="19.86"/>
    <n v="19.86"/>
    <n v="0.06"/>
    <n v="18.13"/>
  </r>
  <r>
    <x v="5"/>
    <x v="6"/>
    <x v="31"/>
    <x v="1"/>
    <x v="1"/>
    <x v="0"/>
    <n v="24.79"/>
    <n v="24.79"/>
    <n v="1.67"/>
    <n v="21.77"/>
  </r>
  <r>
    <x v="5"/>
    <x v="6"/>
    <x v="31"/>
    <x v="2"/>
    <x v="0"/>
    <x v="0"/>
    <n v="4.5199999999999996"/>
    <n v="4.5199999999999996"/>
    <n v="3.64"/>
    <n v="4.26"/>
  </r>
  <r>
    <x v="5"/>
    <x v="6"/>
    <x v="31"/>
    <x v="4"/>
    <x v="0"/>
    <x v="1"/>
    <n v="0.36"/>
    <n v="0.36"/>
    <n v="0.02"/>
    <n v="0.3"/>
  </r>
  <r>
    <x v="5"/>
    <x v="6"/>
    <x v="31"/>
    <x v="1"/>
    <x v="2"/>
    <x v="0"/>
    <n v="2.4700000000000002"/>
    <n v="2.4700000000000002"/>
    <n v="0.03"/>
    <n v="2.08"/>
  </r>
  <r>
    <x v="5"/>
    <x v="6"/>
    <x v="31"/>
    <x v="3"/>
    <x v="0"/>
    <x v="0"/>
    <n v="0.06"/>
    <n v="0.06"/>
    <n v="0.04"/>
    <n v="0.05"/>
  </r>
  <r>
    <x v="5"/>
    <x v="6"/>
    <x v="31"/>
    <x v="1"/>
    <x v="4"/>
    <x v="0"/>
    <n v="150.91999999999999"/>
    <n v="150.91999999999999"/>
    <n v="37.64"/>
    <n v="136.9"/>
  </r>
  <r>
    <x v="5"/>
    <x v="6"/>
    <x v="31"/>
    <x v="1"/>
    <x v="0"/>
    <x v="0"/>
    <n v="9.9"/>
    <n v="9.9"/>
    <n v="5.49"/>
    <n v="8.7100000000000009"/>
  </r>
  <r>
    <x v="5"/>
    <x v="6"/>
    <x v="31"/>
    <x v="0"/>
    <x v="2"/>
    <x v="0"/>
    <n v="0.1"/>
    <n v="0.1"/>
    <n v="0"/>
    <n v="0.1"/>
  </r>
  <r>
    <x v="5"/>
    <x v="6"/>
    <x v="31"/>
    <x v="0"/>
    <x v="4"/>
    <x v="0"/>
    <n v="5.23"/>
    <n v="5.23"/>
    <n v="1.89"/>
    <n v="4.66"/>
  </r>
  <r>
    <x v="5"/>
    <x v="6"/>
    <x v="31"/>
    <x v="0"/>
    <x v="0"/>
    <x v="0"/>
    <n v="2.1800000000000002"/>
    <n v="2.1800000000000002"/>
    <n v="1.36"/>
    <n v="1.85"/>
  </r>
  <r>
    <x v="5"/>
    <x v="6"/>
    <x v="31"/>
    <x v="4"/>
    <x v="3"/>
    <x v="0"/>
    <n v="1.02"/>
    <n v="1.02"/>
    <n v="0.01"/>
    <n v="0.87"/>
  </r>
  <r>
    <x v="5"/>
    <x v="6"/>
    <x v="31"/>
    <x v="4"/>
    <x v="2"/>
    <x v="0"/>
    <n v="0.68"/>
    <n v="0.68"/>
    <n v="0.01"/>
    <n v="0.57999999999999996"/>
  </r>
  <r>
    <x v="5"/>
    <x v="6"/>
    <x v="31"/>
    <x v="4"/>
    <x v="1"/>
    <x v="0"/>
    <n v="6.08"/>
    <n v="6.08"/>
    <n v="0.4"/>
    <n v="5.78"/>
  </r>
  <r>
    <x v="5"/>
    <x v="6"/>
    <x v="31"/>
    <x v="4"/>
    <x v="4"/>
    <x v="0"/>
    <n v="45.77"/>
    <n v="45.77"/>
    <n v="12.57"/>
    <n v="41.28"/>
  </r>
  <r>
    <x v="5"/>
    <x v="6"/>
    <x v="31"/>
    <x v="3"/>
    <x v="4"/>
    <x v="0"/>
    <n v="2.77"/>
    <n v="2.77"/>
    <n v="0.55000000000000004"/>
    <n v="2.67"/>
  </r>
  <r>
    <x v="5"/>
    <x v="9"/>
    <x v="32"/>
    <x v="2"/>
    <x v="3"/>
    <x v="2"/>
    <n v="3.3"/>
    <n v="6.35"/>
    <n v="0.01"/>
    <n v="2.97"/>
  </r>
  <r>
    <x v="5"/>
    <x v="9"/>
    <x v="32"/>
    <x v="1"/>
    <x v="4"/>
    <x v="1"/>
    <n v="0.03"/>
    <n v="0.05"/>
    <n v="0"/>
    <n v="0.02"/>
  </r>
  <r>
    <x v="5"/>
    <x v="9"/>
    <x v="32"/>
    <x v="1"/>
    <x v="0"/>
    <x v="1"/>
    <n v="0.22"/>
    <n v="0.43"/>
    <n v="0.01"/>
    <n v="0.21"/>
  </r>
  <r>
    <x v="5"/>
    <x v="9"/>
    <x v="32"/>
    <x v="0"/>
    <x v="4"/>
    <x v="1"/>
    <n v="0.02"/>
    <n v="0.04"/>
    <n v="0"/>
    <n v="0.02"/>
  </r>
  <r>
    <x v="5"/>
    <x v="9"/>
    <x v="32"/>
    <x v="0"/>
    <x v="0"/>
    <x v="1"/>
    <n v="0.59"/>
    <n v="1.1299999999999999"/>
    <n v="0.02"/>
    <n v="0.54"/>
  </r>
  <r>
    <x v="5"/>
    <x v="9"/>
    <x v="32"/>
    <x v="4"/>
    <x v="1"/>
    <x v="1"/>
    <n v="0.02"/>
    <n v="0.03"/>
    <n v="0"/>
    <n v="0.02"/>
  </r>
  <r>
    <x v="5"/>
    <x v="9"/>
    <x v="32"/>
    <x v="4"/>
    <x v="4"/>
    <x v="1"/>
    <n v="0.05"/>
    <n v="0.09"/>
    <n v="0"/>
    <n v="0.05"/>
  </r>
  <r>
    <x v="5"/>
    <x v="9"/>
    <x v="32"/>
    <x v="4"/>
    <x v="4"/>
    <x v="2"/>
    <n v="0.15"/>
    <n v="0.28999999999999998"/>
    <n v="0.01"/>
    <n v="0.13"/>
  </r>
  <r>
    <x v="5"/>
    <x v="9"/>
    <x v="32"/>
    <x v="2"/>
    <x v="3"/>
    <x v="3"/>
    <n v="2.16"/>
    <n v="4.1500000000000004"/>
    <n v="0"/>
    <n v="2.16"/>
  </r>
  <r>
    <x v="5"/>
    <x v="9"/>
    <x v="32"/>
    <x v="1"/>
    <x v="1"/>
    <x v="1"/>
    <n v="0.17"/>
    <n v="0.33"/>
    <n v="0"/>
    <n v="0.16"/>
  </r>
  <r>
    <x v="5"/>
    <x v="9"/>
    <x v="32"/>
    <x v="4"/>
    <x v="2"/>
    <x v="2"/>
    <n v="0.27"/>
    <n v="0.51"/>
    <n v="0"/>
    <n v="0.23"/>
  </r>
  <r>
    <x v="5"/>
    <x v="9"/>
    <x v="32"/>
    <x v="4"/>
    <x v="1"/>
    <x v="2"/>
    <n v="0.09"/>
    <n v="0.17"/>
    <n v="0"/>
    <n v="0.08"/>
  </r>
  <r>
    <x v="5"/>
    <x v="9"/>
    <x v="32"/>
    <x v="1"/>
    <x v="4"/>
    <x v="0"/>
    <n v="49.02"/>
    <n v="94.28"/>
    <n v="14.85"/>
    <n v="45.27"/>
  </r>
  <r>
    <x v="5"/>
    <x v="9"/>
    <x v="32"/>
    <x v="2"/>
    <x v="4"/>
    <x v="0"/>
    <n v="1.92"/>
    <n v="3.69"/>
    <n v="0.36"/>
    <n v="1.8"/>
  </r>
  <r>
    <x v="5"/>
    <x v="9"/>
    <x v="32"/>
    <x v="1"/>
    <x v="0"/>
    <x v="0"/>
    <n v="3.71"/>
    <n v="7.13"/>
    <n v="2.37"/>
    <n v="3.49"/>
  </r>
  <r>
    <x v="5"/>
    <x v="9"/>
    <x v="32"/>
    <x v="2"/>
    <x v="0"/>
    <x v="0"/>
    <n v="1.8"/>
    <n v="3.46"/>
    <n v="1.21"/>
    <n v="1.7"/>
  </r>
  <r>
    <x v="5"/>
    <x v="9"/>
    <x v="32"/>
    <x v="1"/>
    <x v="2"/>
    <x v="0"/>
    <n v="0.56999999999999995"/>
    <n v="1.1000000000000001"/>
    <n v="0.01"/>
    <n v="0.51"/>
  </r>
  <r>
    <x v="5"/>
    <x v="9"/>
    <x v="32"/>
    <x v="0"/>
    <x v="4"/>
    <x v="0"/>
    <n v="5.34"/>
    <n v="10.26"/>
    <n v="1.55"/>
    <n v="4.97"/>
  </r>
  <r>
    <x v="5"/>
    <x v="9"/>
    <x v="32"/>
    <x v="1"/>
    <x v="1"/>
    <x v="0"/>
    <n v="8.3000000000000007"/>
    <n v="15.97"/>
    <n v="0.92"/>
    <n v="7.67"/>
  </r>
  <r>
    <x v="5"/>
    <x v="9"/>
    <x v="32"/>
    <x v="1"/>
    <x v="2"/>
    <x v="1"/>
    <n v="1.68"/>
    <n v="3.24"/>
    <n v="0.01"/>
    <n v="1.56"/>
  </r>
  <r>
    <x v="5"/>
    <x v="9"/>
    <x v="32"/>
    <x v="0"/>
    <x v="0"/>
    <x v="0"/>
    <n v="1.98"/>
    <n v="3.8"/>
    <n v="1.4"/>
    <n v="1.8"/>
  </r>
  <r>
    <x v="5"/>
    <x v="9"/>
    <x v="32"/>
    <x v="4"/>
    <x v="2"/>
    <x v="0"/>
    <n v="0.31"/>
    <n v="0.6"/>
    <n v="0"/>
    <n v="0.28000000000000003"/>
  </r>
  <r>
    <x v="5"/>
    <x v="9"/>
    <x v="32"/>
    <x v="4"/>
    <x v="1"/>
    <x v="0"/>
    <n v="3.33"/>
    <n v="6.4"/>
    <n v="0.22"/>
    <n v="3.07"/>
  </r>
  <r>
    <x v="5"/>
    <x v="9"/>
    <x v="32"/>
    <x v="4"/>
    <x v="4"/>
    <x v="0"/>
    <n v="17.32"/>
    <n v="33.31"/>
    <n v="2.4900000000000002"/>
    <n v="16.059999999999999"/>
  </r>
  <r>
    <x v="5"/>
    <x v="9"/>
    <x v="32"/>
    <x v="3"/>
    <x v="1"/>
    <x v="0"/>
    <n v="0.01"/>
    <n v="0.02"/>
    <n v="0"/>
    <n v="0.01"/>
  </r>
  <r>
    <x v="5"/>
    <x v="9"/>
    <x v="32"/>
    <x v="3"/>
    <x v="4"/>
    <x v="0"/>
    <n v="1.52"/>
    <n v="2.93"/>
    <n v="0.3"/>
    <n v="1.42"/>
  </r>
  <r>
    <x v="5"/>
    <x v="9"/>
    <x v="32"/>
    <x v="3"/>
    <x v="0"/>
    <x v="0"/>
    <n v="0.1"/>
    <n v="0.19"/>
    <n v="0.04"/>
    <n v="0.09"/>
  </r>
  <r>
    <x v="5"/>
    <x v="9"/>
    <x v="32"/>
    <x v="2"/>
    <x v="3"/>
    <x v="1"/>
    <n v="0.18"/>
    <n v="0.34"/>
    <n v="0"/>
    <n v="0.16"/>
  </r>
  <r>
    <x v="5"/>
    <x v="0"/>
    <x v="33"/>
    <x v="2"/>
    <x v="3"/>
    <x v="2"/>
    <n v="2.5"/>
    <n v="2.5"/>
    <n v="0"/>
    <n v="2.38"/>
  </r>
  <r>
    <x v="5"/>
    <x v="0"/>
    <x v="33"/>
    <x v="4"/>
    <x v="4"/>
    <x v="2"/>
    <n v="0.24"/>
    <n v="0.24"/>
    <n v="0.01"/>
    <n v="0.23"/>
  </r>
  <r>
    <x v="5"/>
    <x v="0"/>
    <x v="33"/>
    <x v="4"/>
    <x v="1"/>
    <x v="2"/>
    <n v="0.23"/>
    <n v="0.23"/>
    <n v="0.01"/>
    <n v="0.22"/>
  </r>
  <r>
    <x v="5"/>
    <x v="0"/>
    <x v="33"/>
    <x v="4"/>
    <x v="2"/>
    <x v="2"/>
    <n v="0.99"/>
    <n v="0.99"/>
    <n v="0.01"/>
    <n v="0.95"/>
  </r>
  <r>
    <x v="5"/>
    <x v="0"/>
    <x v="33"/>
    <x v="1"/>
    <x v="4"/>
    <x v="2"/>
    <n v="0.3"/>
    <n v="0.3"/>
    <n v="0.01"/>
    <n v="0.28999999999999998"/>
  </r>
  <r>
    <x v="5"/>
    <x v="0"/>
    <x v="33"/>
    <x v="2"/>
    <x v="1"/>
    <x v="2"/>
    <n v="0.16"/>
    <n v="0.16"/>
    <n v="0"/>
    <n v="0.15"/>
  </r>
  <r>
    <x v="5"/>
    <x v="0"/>
    <x v="33"/>
    <x v="2"/>
    <x v="2"/>
    <x v="2"/>
    <n v="0.41"/>
    <n v="0.41"/>
    <n v="0"/>
    <n v="0.39"/>
  </r>
  <r>
    <x v="5"/>
    <x v="0"/>
    <x v="33"/>
    <x v="4"/>
    <x v="2"/>
    <x v="0"/>
    <n v="0.16"/>
    <n v="0.16"/>
    <n v="0"/>
    <n v="0.14000000000000001"/>
  </r>
  <r>
    <x v="5"/>
    <x v="0"/>
    <x v="33"/>
    <x v="0"/>
    <x v="4"/>
    <x v="0"/>
    <n v="17.100000000000001"/>
    <n v="17.100000000000001"/>
    <n v="4.0599999999999996"/>
    <n v="16.04"/>
  </r>
  <r>
    <x v="5"/>
    <x v="0"/>
    <x v="33"/>
    <x v="2"/>
    <x v="4"/>
    <x v="0"/>
    <n v="16.329999999999998"/>
    <n v="16.329999999999998"/>
    <n v="4.01"/>
    <n v="15.67"/>
  </r>
  <r>
    <x v="5"/>
    <x v="0"/>
    <x v="33"/>
    <x v="2"/>
    <x v="0"/>
    <x v="0"/>
    <n v="6.35"/>
    <n v="6.35"/>
    <n v="4.75"/>
    <n v="5.95"/>
  </r>
  <r>
    <x v="5"/>
    <x v="0"/>
    <x v="33"/>
    <x v="1"/>
    <x v="2"/>
    <x v="0"/>
    <n v="3.98"/>
    <n v="3.98"/>
    <n v="0.05"/>
    <n v="3.77"/>
  </r>
  <r>
    <x v="5"/>
    <x v="0"/>
    <x v="33"/>
    <x v="1"/>
    <x v="1"/>
    <x v="0"/>
    <n v="10.19"/>
    <n v="10.19"/>
    <n v="1.33"/>
    <n v="9.67"/>
  </r>
  <r>
    <x v="5"/>
    <x v="0"/>
    <x v="33"/>
    <x v="4"/>
    <x v="4"/>
    <x v="0"/>
    <n v="36.6"/>
    <n v="36.6"/>
    <n v="7.54"/>
    <n v="34.76"/>
  </r>
  <r>
    <x v="5"/>
    <x v="0"/>
    <x v="33"/>
    <x v="1"/>
    <x v="0"/>
    <x v="0"/>
    <n v="7.18"/>
    <n v="7.18"/>
    <n v="4.8"/>
    <n v="6.81"/>
  </r>
  <r>
    <x v="5"/>
    <x v="0"/>
    <x v="33"/>
    <x v="2"/>
    <x v="3"/>
    <x v="3"/>
    <n v="40.07"/>
    <n v="40.07"/>
    <n v="0.01"/>
    <n v="38.6"/>
  </r>
  <r>
    <x v="5"/>
    <x v="0"/>
    <x v="33"/>
    <x v="0"/>
    <x v="0"/>
    <x v="0"/>
    <n v="8.83"/>
    <n v="8.83"/>
    <n v="7.3"/>
    <n v="8.19"/>
  </r>
  <r>
    <x v="5"/>
    <x v="0"/>
    <x v="33"/>
    <x v="4"/>
    <x v="3"/>
    <x v="0"/>
    <n v="0.21"/>
    <n v="0.21"/>
    <n v="0"/>
    <n v="0.19"/>
  </r>
  <r>
    <x v="5"/>
    <x v="0"/>
    <x v="33"/>
    <x v="4"/>
    <x v="1"/>
    <x v="0"/>
    <n v="9.43"/>
    <n v="9.43"/>
    <n v="0.6"/>
    <n v="8.64"/>
  </r>
  <r>
    <x v="5"/>
    <x v="0"/>
    <x v="33"/>
    <x v="3"/>
    <x v="4"/>
    <x v="0"/>
    <n v="1.93"/>
    <n v="1.93"/>
    <n v="0.75"/>
    <n v="1.82"/>
  </r>
  <r>
    <x v="5"/>
    <x v="0"/>
    <x v="33"/>
    <x v="0"/>
    <x v="4"/>
    <x v="1"/>
    <n v="0.01"/>
    <n v="0.01"/>
    <n v="0.01"/>
    <n v="0.01"/>
  </r>
  <r>
    <x v="5"/>
    <x v="0"/>
    <x v="33"/>
    <x v="1"/>
    <x v="4"/>
    <x v="0"/>
    <n v="78.61"/>
    <n v="78.61"/>
    <n v="23.7"/>
    <n v="74.66"/>
  </r>
  <r>
    <x v="5"/>
    <x v="0"/>
    <x v="33"/>
    <x v="3"/>
    <x v="0"/>
    <x v="0"/>
    <n v="0.19"/>
    <n v="0.19"/>
    <n v="0.17"/>
    <n v="0.19"/>
  </r>
  <r>
    <x v="5"/>
    <x v="0"/>
    <x v="33"/>
    <x v="4"/>
    <x v="4"/>
    <x v="1"/>
    <n v="0.57999999999999996"/>
    <n v="0.57999999999999996"/>
    <n v="0.03"/>
    <n v="0.55000000000000004"/>
  </r>
  <r>
    <x v="5"/>
    <x v="0"/>
    <x v="33"/>
    <x v="0"/>
    <x v="0"/>
    <x v="1"/>
    <n v="6.6"/>
    <n v="6.6"/>
    <n v="0.18"/>
    <n v="6.3"/>
  </r>
  <r>
    <x v="5"/>
    <x v="0"/>
    <x v="33"/>
    <x v="4"/>
    <x v="0"/>
    <x v="1"/>
    <n v="0.24"/>
    <n v="0.24"/>
    <n v="0.01"/>
    <n v="0.23"/>
  </r>
  <r>
    <x v="5"/>
    <x v="0"/>
    <x v="33"/>
    <x v="1"/>
    <x v="0"/>
    <x v="1"/>
    <n v="2.39"/>
    <n v="2.39"/>
    <n v="0.23"/>
    <n v="2.2799999999999998"/>
  </r>
  <r>
    <x v="5"/>
    <x v="0"/>
    <x v="33"/>
    <x v="1"/>
    <x v="4"/>
    <x v="1"/>
    <n v="1.1100000000000001"/>
    <n v="1.1100000000000001"/>
    <n v="0.02"/>
    <n v="1.05"/>
  </r>
  <r>
    <x v="5"/>
    <x v="0"/>
    <x v="33"/>
    <x v="1"/>
    <x v="1"/>
    <x v="1"/>
    <n v="6.15"/>
    <n v="6.15"/>
    <n v="0.05"/>
    <n v="5.86"/>
  </r>
  <r>
    <x v="5"/>
    <x v="0"/>
    <x v="33"/>
    <x v="1"/>
    <x v="2"/>
    <x v="1"/>
    <n v="28.43"/>
    <n v="28.43"/>
    <n v="7.0000000000000007E-2"/>
    <n v="27.12"/>
  </r>
  <r>
    <x v="5"/>
    <x v="0"/>
    <x v="33"/>
    <x v="2"/>
    <x v="3"/>
    <x v="1"/>
    <n v="1.1299999999999999"/>
    <n v="1.1299999999999999"/>
    <n v="0"/>
    <n v="1.08"/>
  </r>
  <r>
    <x v="5"/>
    <x v="0"/>
    <x v="33"/>
    <x v="4"/>
    <x v="1"/>
    <x v="1"/>
    <n v="0.43"/>
    <n v="0.43"/>
    <n v="0.02"/>
    <n v="0.41"/>
  </r>
  <r>
    <x v="5"/>
    <x v="7"/>
    <x v="34"/>
    <x v="0"/>
    <x v="4"/>
    <x v="1"/>
    <n v="0.37"/>
    <n v="0.41"/>
    <n v="0.01"/>
    <n v="0.34"/>
  </r>
  <r>
    <x v="5"/>
    <x v="7"/>
    <x v="34"/>
    <x v="2"/>
    <x v="3"/>
    <x v="3"/>
    <n v="18.489999999999998"/>
    <n v="20.309999999999999"/>
    <n v="0.01"/>
    <n v="18.489999999999998"/>
  </r>
  <r>
    <x v="5"/>
    <x v="7"/>
    <x v="34"/>
    <x v="4"/>
    <x v="4"/>
    <x v="1"/>
    <n v="0.8"/>
    <n v="0.88"/>
    <n v="0.01"/>
    <n v="0.75"/>
  </r>
  <r>
    <x v="5"/>
    <x v="7"/>
    <x v="34"/>
    <x v="4"/>
    <x v="1"/>
    <x v="1"/>
    <n v="0.28999999999999998"/>
    <n v="0.32"/>
    <n v="0"/>
    <n v="0.27"/>
  </r>
  <r>
    <x v="5"/>
    <x v="7"/>
    <x v="34"/>
    <x v="0"/>
    <x v="0"/>
    <x v="1"/>
    <n v="10.78"/>
    <n v="11.84"/>
    <n v="0.31"/>
    <n v="9.9700000000000006"/>
  </r>
  <r>
    <x v="5"/>
    <x v="7"/>
    <x v="34"/>
    <x v="0"/>
    <x v="1"/>
    <x v="1"/>
    <n v="0.06"/>
    <n v="7.0000000000000007E-2"/>
    <n v="0"/>
    <n v="0.06"/>
  </r>
  <r>
    <x v="5"/>
    <x v="7"/>
    <x v="34"/>
    <x v="1"/>
    <x v="0"/>
    <x v="1"/>
    <n v="4.57"/>
    <n v="5.01"/>
    <n v="0.19"/>
    <n v="4.2699999999999996"/>
  </r>
  <r>
    <x v="5"/>
    <x v="7"/>
    <x v="34"/>
    <x v="1"/>
    <x v="4"/>
    <x v="2"/>
    <n v="0.37"/>
    <n v="0.4"/>
    <n v="0.08"/>
    <n v="0.32"/>
  </r>
  <r>
    <x v="5"/>
    <x v="7"/>
    <x v="34"/>
    <x v="4"/>
    <x v="2"/>
    <x v="2"/>
    <n v="1.4"/>
    <n v="1.53"/>
    <n v="0.01"/>
    <n v="1.21"/>
  </r>
  <r>
    <x v="5"/>
    <x v="7"/>
    <x v="34"/>
    <x v="4"/>
    <x v="4"/>
    <x v="2"/>
    <n v="0.93"/>
    <n v="1.02"/>
    <n v="0.04"/>
    <n v="0.82"/>
  </r>
  <r>
    <x v="5"/>
    <x v="7"/>
    <x v="34"/>
    <x v="1"/>
    <x v="0"/>
    <x v="0"/>
    <n v="12.47"/>
    <n v="13.7"/>
    <n v="9.34"/>
    <n v="11.69"/>
  </r>
  <r>
    <x v="5"/>
    <x v="7"/>
    <x v="34"/>
    <x v="4"/>
    <x v="1"/>
    <x v="2"/>
    <n v="0.6"/>
    <n v="0.66"/>
    <n v="0.02"/>
    <n v="0.52"/>
  </r>
  <r>
    <x v="5"/>
    <x v="7"/>
    <x v="34"/>
    <x v="4"/>
    <x v="1"/>
    <x v="0"/>
    <n v="33.119999999999997"/>
    <n v="36.380000000000003"/>
    <n v="2.33"/>
    <n v="30.66"/>
  </r>
  <r>
    <x v="5"/>
    <x v="7"/>
    <x v="34"/>
    <x v="2"/>
    <x v="0"/>
    <x v="0"/>
    <n v="9.09"/>
    <n v="9.99"/>
    <n v="8.09"/>
    <n v="8.66"/>
  </r>
  <r>
    <x v="5"/>
    <x v="7"/>
    <x v="34"/>
    <x v="1"/>
    <x v="2"/>
    <x v="0"/>
    <n v="8.61"/>
    <n v="9.4600000000000009"/>
    <n v="0.08"/>
    <n v="8.08"/>
  </r>
  <r>
    <x v="5"/>
    <x v="7"/>
    <x v="34"/>
    <x v="1"/>
    <x v="4"/>
    <x v="0"/>
    <n v="220.99"/>
    <n v="242.75"/>
    <n v="42.47"/>
    <n v="205.95"/>
  </r>
  <r>
    <x v="5"/>
    <x v="7"/>
    <x v="34"/>
    <x v="1"/>
    <x v="1"/>
    <x v="0"/>
    <n v="42.7"/>
    <n v="46.9"/>
    <n v="2.71"/>
    <n v="39.64"/>
  </r>
  <r>
    <x v="5"/>
    <x v="7"/>
    <x v="34"/>
    <x v="0"/>
    <x v="2"/>
    <x v="0"/>
    <n v="0.46"/>
    <n v="0.51"/>
    <n v="0"/>
    <n v="0.45"/>
  </r>
  <r>
    <x v="5"/>
    <x v="7"/>
    <x v="34"/>
    <x v="0"/>
    <x v="4"/>
    <x v="0"/>
    <n v="27.01"/>
    <n v="29.66"/>
    <n v="7.55"/>
    <n v="25.37"/>
  </r>
  <r>
    <x v="5"/>
    <x v="7"/>
    <x v="34"/>
    <x v="0"/>
    <x v="0"/>
    <x v="0"/>
    <n v="15.86"/>
    <n v="17.420000000000002"/>
    <n v="11.37"/>
    <n v="14.33"/>
  </r>
  <r>
    <x v="5"/>
    <x v="7"/>
    <x v="34"/>
    <x v="2"/>
    <x v="4"/>
    <x v="0"/>
    <n v="6.38"/>
    <n v="7.01"/>
    <n v="2.21"/>
    <n v="6.08"/>
  </r>
  <r>
    <x v="5"/>
    <x v="7"/>
    <x v="34"/>
    <x v="4"/>
    <x v="2"/>
    <x v="0"/>
    <n v="1.98"/>
    <n v="2.17"/>
    <n v="0.01"/>
    <n v="1.81"/>
  </r>
  <r>
    <x v="5"/>
    <x v="7"/>
    <x v="34"/>
    <x v="2"/>
    <x v="3"/>
    <x v="2"/>
    <n v="12.64"/>
    <n v="13.88"/>
    <n v="0.04"/>
    <n v="11.47"/>
  </r>
  <r>
    <x v="5"/>
    <x v="7"/>
    <x v="34"/>
    <x v="4"/>
    <x v="4"/>
    <x v="0"/>
    <n v="138.72999999999999"/>
    <n v="152.38999999999999"/>
    <n v="22.88"/>
    <n v="129.91"/>
  </r>
  <r>
    <x v="5"/>
    <x v="7"/>
    <x v="34"/>
    <x v="3"/>
    <x v="1"/>
    <x v="0"/>
    <n v="0.01"/>
    <n v="0.01"/>
    <n v="0"/>
    <n v="0.01"/>
  </r>
  <r>
    <x v="5"/>
    <x v="7"/>
    <x v="34"/>
    <x v="3"/>
    <x v="4"/>
    <x v="0"/>
    <n v="16.28"/>
    <n v="17.88"/>
    <n v="3.55"/>
    <n v="15.05"/>
  </r>
  <r>
    <x v="5"/>
    <x v="7"/>
    <x v="34"/>
    <x v="3"/>
    <x v="0"/>
    <x v="0"/>
    <n v="1"/>
    <n v="1.0900000000000001"/>
    <n v="0.59"/>
    <n v="0.92"/>
  </r>
  <r>
    <x v="5"/>
    <x v="7"/>
    <x v="34"/>
    <x v="2"/>
    <x v="3"/>
    <x v="1"/>
    <n v="2.62"/>
    <n v="2.88"/>
    <n v="0"/>
    <n v="2.42"/>
  </r>
  <r>
    <x v="5"/>
    <x v="7"/>
    <x v="34"/>
    <x v="1"/>
    <x v="2"/>
    <x v="1"/>
    <n v="31.75"/>
    <n v="34.880000000000003"/>
    <n v="0.16"/>
    <n v="29.42"/>
  </r>
  <r>
    <x v="5"/>
    <x v="7"/>
    <x v="34"/>
    <x v="1"/>
    <x v="1"/>
    <x v="1"/>
    <n v="3.04"/>
    <n v="3.34"/>
    <n v="0.03"/>
    <n v="2.83"/>
  </r>
  <r>
    <x v="5"/>
    <x v="7"/>
    <x v="34"/>
    <x v="1"/>
    <x v="4"/>
    <x v="1"/>
    <n v="0.9"/>
    <n v="0.99"/>
    <n v="0.03"/>
    <n v="0.86"/>
  </r>
  <r>
    <x v="5"/>
    <x v="7"/>
    <x v="34"/>
    <x v="4"/>
    <x v="3"/>
    <x v="0"/>
    <n v="2.36"/>
    <n v="2.59"/>
    <n v="0"/>
    <n v="2.16"/>
  </r>
  <r>
    <x v="5"/>
    <x v="10"/>
    <x v="35"/>
    <x v="2"/>
    <x v="3"/>
    <x v="2"/>
    <n v="4.1500000000000004"/>
    <n v="4.5599999999999996"/>
    <n v="0.01"/>
    <n v="3.77"/>
  </r>
  <r>
    <x v="5"/>
    <x v="10"/>
    <x v="35"/>
    <x v="2"/>
    <x v="4"/>
    <x v="0"/>
    <n v="2.1"/>
    <n v="2.2999999999999998"/>
    <n v="0.73"/>
    <n v="1.99"/>
  </r>
  <r>
    <x v="5"/>
    <x v="10"/>
    <x v="35"/>
    <x v="1"/>
    <x v="0"/>
    <x v="1"/>
    <n v="1.5"/>
    <n v="1.65"/>
    <n v="0.06"/>
    <n v="1.4"/>
  </r>
  <r>
    <x v="5"/>
    <x v="10"/>
    <x v="35"/>
    <x v="1"/>
    <x v="4"/>
    <x v="1"/>
    <n v="0.3"/>
    <n v="0.32"/>
    <n v="0.01"/>
    <n v="0.28000000000000003"/>
  </r>
  <r>
    <x v="5"/>
    <x v="10"/>
    <x v="35"/>
    <x v="1"/>
    <x v="1"/>
    <x v="1"/>
    <n v="1"/>
    <n v="1.1000000000000001"/>
    <n v="0.01"/>
    <n v="0.93"/>
  </r>
  <r>
    <x v="5"/>
    <x v="10"/>
    <x v="35"/>
    <x v="1"/>
    <x v="2"/>
    <x v="1"/>
    <n v="10.43"/>
    <n v="11.45"/>
    <n v="0.05"/>
    <n v="9.66"/>
  </r>
  <r>
    <x v="5"/>
    <x v="10"/>
    <x v="35"/>
    <x v="2"/>
    <x v="3"/>
    <x v="1"/>
    <n v="0.86"/>
    <n v="0.94"/>
    <n v="0"/>
    <n v="0.79"/>
  </r>
  <r>
    <x v="5"/>
    <x v="10"/>
    <x v="35"/>
    <x v="3"/>
    <x v="0"/>
    <x v="0"/>
    <n v="0.33"/>
    <n v="0.36"/>
    <n v="0.19"/>
    <n v="0.3"/>
  </r>
  <r>
    <x v="5"/>
    <x v="10"/>
    <x v="35"/>
    <x v="3"/>
    <x v="4"/>
    <x v="0"/>
    <n v="5.35"/>
    <n v="5.87"/>
    <n v="1.17"/>
    <n v="4.9400000000000004"/>
  </r>
  <r>
    <x v="5"/>
    <x v="10"/>
    <x v="35"/>
    <x v="3"/>
    <x v="1"/>
    <x v="0"/>
    <n v="0"/>
    <n v="0"/>
    <n v="0"/>
    <n v="0"/>
  </r>
  <r>
    <x v="5"/>
    <x v="10"/>
    <x v="35"/>
    <x v="4"/>
    <x v="4"/>
    <x v="0"/>
    <n v="45.55"/>
    <n v="50.04"/>
    <n v="7.51"/>
    <n v="42.66"/>
  </r>
  <r>
    <x v="5"/>
    <x v="10"/>
    <x v="35"/>
    <x v="4"/>
    <x v="1"/>
    <x v="0"/>
    <n v="10.87"/>
    <n v="11.94"/>
    <n v="0.76"/>
    <n v="10.07"/>
  </r>
  <r>
    <x v="5"/>
    <x v="10"/>
    <x v="35"/>
    <x v="4"/>
    <x v="4"/>
    <x v="2"/>
    <n v="0.3"/>
    <n v="0.33"/>
    <n v="0.01"/>
    <n v="0.27"/>
  </r>
  <r>
    <x v="5"/>
    <x v="10"/>
    <x v="35"/>
    <x v="4"/>
    <x v="2"/>
    <x v="0"/>
    <n v="0.65"/>
    <n v="0.71"/>
    <n v="0"/>
    <n v="0.6"/>
  </r>
  <r>
    <x v="5"/>
    <x v="10"/>
    <x v="35"/>
    <x v="4"/>
    <x v="1"/>
    <x v="2"/>
    <n v="0.2"/>
    <n v="0.22"/>
    <n v="0.01"/>
    <n v="0.17"/>
  </r>
  <r>
    <x v="5"/>
    <x v="10"/>
    <x v="35"/>
    <x v="0"/>
    <x v="0"/>
    <x v="0"/>
    <n v="5.21"/>
    <n v="5.72"/>
    <n v="3.73"/>
    <n v="4.71"/>
  </r>
  <r>
    <x v="5"/>
    <x v="10"/>
    <x v="35"/>
    <x v="1"/>
    <x v="2"/>
    <x v="0"/>
    <n v="2.83"/>
    <n v="3.11"/>
    <n v="0.03"/>
    <n v="2.65"/>
  </r>
  <r>
    <x v="5"/>
    <x v="10"/>
    <x v="35"/>
    <x v="1"/>
    <x v="1"/>
    <x v="0"/>
    <n v="14.02"/>
    <n v="15.4"/>
    <n v="0.89"/>
    <n v="13.01"/>
  </r>
  <r>
    <x v="5"/>
    <x v="10"/>
    <x v="35"/>
    <x v="1"/>
    <x v="4"/>
    <x v="0"/>
    <n v="72.569999999999993"/>
    <n v="79.709999999999994"/>
    <n v="13.94"/>
    <n v="67.63"/>
  </r>
  <r>
    <x v="5"/>
    <x v="10"/>
    <x v="35"/>
    <x v="0"/>
    <x v="1"/>
    <x v="1"/>
    <n v="0.02"/>
    <n v="0.02"/>
    <n v="0"/>
    <n v="0.02"/>
  </r>
  <r>
    <x v="5"/>
    <x v="10"/>
    <x v="35"/>
    <x v="1"/>
    <x v="0"/>
    <x v="0"/>
    <n v="4.0999999999999996"/>
    <n v="4.5"/>
    <n v="3.07"/>
    <n v="3.84"/>
  </r>
  <r>
    <x v="5"/>
    <x v="10"/>
    <x v="35"/>
    <x v="4"/>
    <x v="2"/>
    <x v="2"/>
    <n v="0.46"/>
    <n v="0.5"/>
    <n v="0"/>
    <n v="0.4"/>
  </r>
  <r>
    <x v="5"/>
    <x v="10"/>
    <x v="35"/>
    <x v="0"/>
    <x v="4"/>
    <x v="0"/>
    <n v="8.8699999999999992"/>
    <n v="9.74"/>
    <n v="2.48"/>
    <n v="8.33"/>
  </r>
  <r>
    <x v="5"/>
    <x v="10"/>
    <x v="35"/>
    <x v="4"/>
    <x v="3"/>
    <x v="0"/>
    <n v="0.77"/>
    <n v="0.85"/>
    <n v="0"/>
    <n v="0.71"/>
  </r>
  <r>
    <x v="5"/>
    <x v="10"/>
    <x v="35"/>
    <x v="0"/>
    <x v="4"/>
    <x v="1"/>
    <n v="0.12"/>
    <n v="0.13"/>
    <n v="0"/>
    <n v="0.11"/>
  </r>
  <r>
    <x v="5"/>
    <x v="10"/>
    <x v="35"/>
    <x v="0"/>
    <x v="0"/>
    <x v="1"/>
    <n v="3.54"/>
    <n v="3.89"/>
    <n v="0.1"/>
    <n v="3.27"/>
  </r>
  <r>
    <x v="5"/>
    <x v="10"/>
    <x v="35"/>
    <x v="4"/>
    <x v="1"/>
    <x v="1"/>
    <n v="0.1"/>
    <n v="0.1"/>
    <n v="0"/>
    <n v="0.09"/>
  </r>
  <r>
    <x v="5"/>
    <x v="10"/>
    <x v="35"/>
    <x v="4"/>
    <x v="4"/>
    <x v="1"/>
    <n v="0.26"/>
    <n v="0.28999999999999998"/>
    <n v="0"/>
    <n v="0.25"/>
  </r>
  <r>
    <x v="5"/>
    <x v="10"/>
    <x v="35"/>
    <x v="2"/>
    <x v="3"/>
    <x v="3"/>
    <n v="6.07"/>
    <n v="6.67"/>
    <n v="0"/>
    <n v="6.07"/>
  </r>
  <r>
    <x v="5"/>
    <x v="10"/>
    <x v="35"/>
    <x v="2"/>
    <x v="0"/>
    <x v="0"/>
    <n v="2.99"/>
    <n v="3.28"/>
    <n v="2.66"/>
    <n v="2.84"/>
  </r>
  <r>
    <x v="5"/>
    <x v="10"/>
    <x v="35"/>
    <x v="0"/>
    <x v="2"/>
    <x v="0"/>
    <n v="0.15"/>
    <n v="0.17"/>
    <n v="0"/>
    <n v="0.15"/>
  </r>
  <r>
    <x v="5"/>
    <x v="10"/>
    <x v="35"/>
    <x v="1"/>
    <x v="4"/>
    <x v="2"/>
    <n v="0.12"/>
    <n v="0.13"/>
    <n v="0.03"/>
    <n v="0.1"/>
  </r>
  <r>
    <x v="5"/>
    <x v="2"/>
    <x v="36"/>
    <x v="0"/>
    <x v="1"/>
    <x v="1"/>
    <n v="0.02"/>
    <n v="0.02"/>
    <n v="0"/>
    <n v="0.02"/>
  </r>
  <r>
    <x v="5"/>
    <x v="2"/>
    <x v="36"/>
    <x v="2"/>
    <x v="3"/>
    <x v="2"/>
    <n v="1.79"/>
    <n v="2.14"/>
    <n v="0"/>
    <n v="1.62"/>
  </r>
  <r>
    <x v="5"/>
    <x v="2"/>
    <x v="36"/>
    <x v="1"/>
    <x v="3"/>
    <x v="1"/>
    <n v="0"/>
    <n v="0.01"/>
    <n v="0"/>
    <n v="0"/>
  </r>
  <r>
    <x v="5"/>
    <x v="2"/>
    <x v="36"/>
    <x v="1"/>
    <x v="2"/>
    <x v="1"/>
    <n v="2.89"/>
    <n v="3.46"/>
    <n v="0.02"/>
    <n v="2.65"/>
  </r>
  <r>
    <x v="5"/>
    <x v="2"/>
    <x v="36"/>
    <x v="1"/>
    <x v="1"/>
    <x v="1"/>
    <n v="0.46"/>
    <n v="0.56000000000000005"/>
    <n v="0.01"/>
    <n v="0.44"/>
  </r>
  <r>
    <x v="5"/>
    <x v="2"/>
    <x v="36"/>
    <x v="1"/>
    <x v="4"/>
    <x v="1"/>
    <n v="0.14000000000000001"/>
    <n v="0.17"/>
    <n v="0"/>
    <n v="0.13"/>
  </r>
  <r>
    <x v="5"/>
    <x v="2"/>
    <x v="36"/>
    <x v="3"/>
    <x v="0"/>
    <x v="0"/>
    <n v="0.15"/>
    <n v="0.18"/>
    <n v="0.08"/>
    <n v="0.14000000000000001"/>
  </r>
  <r>
    <x v="5"/>
    <x v="2"/>
    <x v="36"/>
    <x v="0"/>
    <x v="3"/>
    <x v="1"/>
    <n v="0"/>
    <n v="0"/>
    <n v="0"/>
    <n v="0"/>
  </r>
  <r>
    <x v="5"/>
    <x v="2"/>
    <x v="36"/>
    <x v="3"/>
    <x v="4"/>
    <x v="0"/>
    <n v="1.25"/>
    <n v="1.5"/>
    <n v="0.23"/>
    <n v="1.18"/>
  </r>
  <r>
    <x v="5"/>
    <x v="2"/>
    <x v="36"/>
    <x v="0"/>
    <x v="4"/>
    <x v="1"/>
    <n v="0.03"/>
    <n v="0.03"/>
    <n v="0"/>
    <n v="0.02"/>
  </r>
  <r>
    <x v="5"/>
    <x v="2"/>
    <x v="36"/>
    <x v="0"/>
    <x v="0"/>
    <x v="1"/>
    <n v="0.87"/>
    <n v="1.04"/>
    <n v="0.03"/>
    <n v="0.79"/>
  </r>
  <r>
    <x v="5"/>
    <x v="2"/>
    <x v="36"/>
    <x v="4"/>
    <x v="1"/>
    <x v="1"/>
    <n v="0.03"/>
    <n v="0.03"/>
    <n v="0"/>
    <n v="0.02"/>
  </r>
  <r>
    <x v="5"/>
    <x v="2"/>
    <x v="36"/>
    <x v="4"/>
    <x v="0"/>
    <x v="1"/>
    <n v="0.02"/>
    <n v="0.02"/>
    <n v="0"/>
    <n v="0.02"/>
  </r>
  <r>
    <x v="5"/>
    <x v="2"/>
    <x v="36"/>
    <x v="2"/>
    <x v="1"/>
    <x v="3"/>
    <n v="0.13"/>
    <n v="0.16"/>
    <n v="0"/>
    <n v="0.12"/>
  </r>
  <r>
    <x v="5"/>
    <x v="2"/>
    <x v="36"/>
    <x v="1"/>
    <x v="0"/>
    <x v="1"/>
    <n v="0.41"/>
    <n v="0.49"/>
    <n v="0.02"/>
    <n v="0.38"/>
  </r>
  <r>
    <x v="5"/>
    <x v="2"/>
    <x v="36"/>
    <x v="0"/>
    <x v="4"/>
    <x v="0"/>
    <n v="2.0299999999999998"/>
    <n v="2.4300000000000002"/>
    <n v="0.46"/>
    <n v="1.9"/>
  </r>
  <r>
    <x v="5"/>
    <x v="2"/>
    <x v="36"/>
    <x v="2"/>
    <x v="4"/>
    <x v="0"/>
    <n v="0.69"/>
    <n v="0.83"/>
    <n v="0.13"/>
    <n v="0.65"/>
  </r>
  <r>
    <x v="5"/>
    <x v="2"/>
    <x v="36"/>
    <x v="2"/>
    <x v="0"/>
    <x v="0"/>
    <n v="0.95"/>
    <n v="1.1399999999999999"/>
    <n v="0.47"/>
    <n v="0.89"/>
  </r>
  <r>
    <x v="5"/>
    <x v="2"/>
    <x v="36"/>
    <x v="1"/>
    <x v="2"/>
    <x v="0"/>
    <n v="0.34"/>
    <n v="0.41"/>
    <n v="0"/>
    <n v="0.31"/>
  </r>
  <r>
    <x v="5"/>
    <x v="2"/>
    <x v="36"/>
    <x v="1"/>
    <x v="1"/>
    <x v="0"/>
    <n v="4.03"/>
    <n v="4.83"/>
    <n v="0.21"/>
    <n v="3.77"/>
  </r>
  <r>
    <x v="5"/>
    <x v="2"/>
    <x v="36"/>
    <x v="1"/>
    <x v="4"/>
    <x v="0"/>
    <n v="23.44"/>
    <n v="28.06"/>
    <n v="3.85"/>
    <n v="21.77"/>
  </r>
  <r>
    <x v="5"/>
    <x v="2"/>
    <x v="36"/>
    <x v="2"/>
    <x v="3"/>
    <x v="1"/>
    <n v="0.23"/>
    <n v="0.27"/>
    <n v="0"/>
    <n v="0.21"/>
  </r>
  <r>
    <x v="5"/>
    <x v="2"/>
    <x v="36"/>
    <x v="0"/>
    <x v="2"/>
    <x v="0"/>
    <n v="0.01"/>
    <n v="0.01"/>
    <n v="0"/>
    <n v="0.01"/>
  </r>
  <r>
    <x v="5"/>
    <x v="2"/>
    <x v="36"/>
    <x v="2"/>
    <x v="3"/>
    <x v="3"/>
    <n v="5.0199999999999996"/>
    <n v="6"/>
    <n v="0"/>
    <n v="5.01"/>
  </r>
  <r>
    <x v="5"/>
    <x v="2"/>
    <x v="36"/>
    <x v="0"/>
    <x v="0"/>
    <x v="0"/>
    <n v="1.04"/>
    <n v="1.25"/>
    <n v="0.61"/>
    <n v="0.95"/>
  </r>
  <r>
    <x v="5"/>
    <x v="2"/>
    <x v="36"/>
    <x v="4"/>
    <x v="3"/>
    <x v="0"/>
    <n v="0.01"/>
    <n v="0.01"/>
    <n v="0"/>
    <n v="0.01"/>
  </r>
  <r>
    <x v="5"/>
    <x v="2"/>
    <x v="36"/>
    <x v="4"/>
    <x v="2"/>
    <x v="0"/>
    <n v="0.17"/>
    <n v="0.2"/>
    <n v="0"/>
    <n v="0.15"/>
  </r>
  <r>
    <x v="5"/>
    <x v="2"/>
    <x v="36"/>
    <x v="4"/>
    <x v="1"/>
    <x v="0"/>
    <n v="2.92"/>
    <n v="3.5"/>
    <n v="0.18"/>
    <n v="2.7"/>
  </r>
  <r>
    <x v="5"/>
    <x v="2"/>
    <x v="36"/>
    <x v="4"/>
    <x v="4"/>
    <x v="0"/>
    <n v="12.93"/>
    <n v="15.48"/>
    <n v="1.45"/>
    <n v="11.98"/>
  </r>
  <r>
    <x v="5"/>
    <x v="2"/>
    <x v="36"/>
    <x v="3"/>
    <x v="1"/>
    <x v="0"/>
    <n v="0"/>
    <n v="0"/>
    <n v="0"/>
    <n v="0"/>
  </r>
  <r>
    <x v="5"/>
    <x v="2"/>
    <x v="36"/>
    <x v="1"/>
    <x v="0"/>
    <x v="0"/>
    <n v="1.46"/>
    <n v="1.75"/>
    <n v="0.79"/>
    <n v="1.39"/>
  </r>
  <r>
    <x v="5"/>
    <x v="2"/>
    <x v="36"/>
    <x v="1"/>
    <x v="2"/>
    <x v="2"/>
    <n v="0.01"/>
    <n v="0.01"/>
    <n v="0"/>
    <n v="0.01"/>
  </r>
  <r>
    <x v="5"/>
    <x v="2"/>
    <x v="36"/>
    <x v="4"/>
    <x v="4"/>
    <x v="1"/>
    <n v="0.06"/>
    <n v="7.0000000000000007E-2"/>
    <n v="0"/>
    <n v="0.06"/>
  </r>
  <r>
    <x v="5"/>
    <x v="2"/>
    <x v="36"/>
    <x v="4"/>
    <x v="4"/>
    <x v="2"/>
    <n v="0.08"/>
    <n v="0.09"/>
    <n v="0"/>
    <n v="7.0000000000000007E-2"/>
  </r>
  <r>
    <x v="5"/>
    <x v="2"/>
    <x v="36"/>
    <x v="4"/>
    <x v="1"/>
    <x v="2"/>
    <n v="0.05"/>
    <n v="0.06"/>
    <n v="0"/>
    <n v="0.04"/>
  </r>
  <r>
    <x v="5"/>
    <x v="2"/>
    <x v="36"/>
    <x v="4"/>
    <x v="2"/>
    <x v="2"/>
    <n v="0.09"/>
    <n v="0.1"/>
    <n v="0"/>
    <n v="0.08"/>
  </r>
  <r>
    <x v="5"/>
    <x v="2"/>
    <x v="36"/>
    <x v="1"/>
    <x v="4"/>
    <x v="2"/>
    <n v="0.53"/>
    <n v="0.63"/>
    <n v="0.01"/>
    <n v="0.46"/>
  </r>
  <r>
    <x v="5"/>
    <x v="2"/>
    <x v="36"/>
    <x v="1"/>
    <x v="1"/>
    <x v="2"/>
    <n v="0"/>
    <n v="0"/>
    <n v="0"/>
    <n v="0"/>
  </r>
  <r>
    <x v="5"/>
    <x v="9"/>
    <x v="37"/>
    <x v="3"/>
    <x v="1"/>
    <x v="0"/>
    <n v="0.04"/>
    <n v="7.0000000000000007E-2"/>
    <n v="0"/>
    <n v="0.04"/>
  </r>
  <r>
    <x v="5"/>
    <x v="9"/>
    <x v="37"/>
    <x v="3"/>
    <x v="0"/>
    <x v="0"/>
    <n v="0.42"/>
    <n v="0.81"/>
    <n v="0.15"/>
    <n v="0.39"/>
  </r>
  <r>
    <x v="5"/>
    <x v="9"/>
    <x v="37"/>
    <x v="2"/>
    <x v="3"/>
    <x v="1"/>
    <n v="10.47"/>
    <n v="20.14"/>
    <n v="0.01"/>
    <n v="9.67"/>
  </r>
  <r>
    <x v="5"/>
    <x v="9"/>
    <x v="37"/>
    <x v="1"/>
    <x v="2"/>
    <x v="1"/>
    <n v="51.28"/>
    <n v="98.64"/>
    <n v="0.28000000000000003"/>
    <n v="47.4"/>
  </r>
  <r>
    <x v="5"/>
    <x v="9"/>
    <x v="37"/>
    <x v="1"/>
    <x v="1"/>
    <x v="1"/>
    <n v="3.29"/>
    <n v="6.33"/>
    <n v="0.03"/>
    <n v="3.05"/>
  </r>
  <r>
    <x v="5"/>
    <x v="9"/>
    <x v="37"/>
    <x v="1"/>
    <x v="4"/>
    <x v="1"/>
    <n v="1.05"/>
    <n v="2.02"/>
    <n v="0.04"/>
    <n v="0.96"/>
  </r>
  <r>
    <x v="5"/>
    <x v="9"/>
    <x v="37"/>
    <x v="4"/>
    <x v="1"/>
    <x v="0"/>
    <n v="17.37"/>
    <n v="33.409999999999997"/>
    <n v="1.27"/>
    <n v="16.13"/>
  </r>
  <r>
    <x v="5"/>
    <x v="9"/>
    <x v="37"/>
    <x v="0"/>
    <x v="3"/>
    <x v="1"/>
    <n v="0.12"/>
    <n v="0.22"/>
    <n v="0"/>
    <n v="0.11"/>
  </r>
  <r>
    <x v="5"/>
    <x v="9"/>
    <x v="37"/>
    <x v="1"/>
    <x v="0"/>
    <x v="0"/>
    <n v="32.26"/>
    <n v="62.05"/>
    <n v="13.53"/>
    <n v="31.75"/>
  </r>
  <r>
    <x v="5"/>
    <x v="9"/>
    <x v="37"/>
    <x v="1"/>
    <x v="0"/>
    <x v="1"/>
    <n v="6.26"/>
    <n v="12.03"/>
    <n v="0.28999999999999998"/>
    <n v="5.78"/>
  </r>
  <r>
    <x v="5"/>
    <x v="9"/>
    <x v="37"/>
    <x v="4"/>
    <x v="2"/>
    <x v="0"/>
    <n v="1.06"/>
    <n v="2.0299999999999998"/>
    <n v="0"/>
    <n v="0.97"/>
  </r>
  <r>
    <x v="5"/>
    <x v="9"/>
    <x v="37"/>
    <x v="0"/>
    <x v="0"/>
    <x v="0"/>
    <n v="7.23"/>
    <n v="13.9"/>
    <n v="5.18"/>
    <n v="6.56"/>
  </r>
  <r>
    <x v="5"/>
    <x v="9"/>
    <x v="37"/>
    <x v="0"/>
    <x v="4"/>
    <x v="1"/>
    <n v="1.03"/>
    <n v="1.99"/>
    <n v="0.02"/>
    <n v="0.95"/>
  </r>
  <r>
    <x v="5"/>
    <x v="9"/>
    <x v="37"/>
    <x v="0"/>
    <x v="2"/>
    <x v="0"/>
    <n v="2.06"/>
    <n v="3.97"/>
    <n v="0.02"/>
    <n v="2"/>
  </r>
  <r>
    <x v="5"/>
    <x v="9"/>
    <x v="37"/>
    <x v="3"/>
    <x v="4"/>
    <x v="0"/>
    <n v="18.329999999999998"/>
    <n v="35.25"/>
    <n v="5.65"/>
    <n v="17.28"/>
  </r>
  <r>
    <x v="5"/>
    <x v="9"/>
    <x v="37"/>
    <x v="1"/>
    <x v="4"/>
    <x v="0"/>
    <n v="242.01"/>
    <n v="465.46"/>
    <n v="50.5"/>
    <n v="228.96"/>
  </r>
  <r>
    <x v="5"/>
    <x v="9"/>
    <x v="37"/>
    <x v="1"/>
    <x v="1"/>
    <x v="0"/>
    <n v="32.56"/>
    <n v="62.62"/>
    <n v="3.15"/>
    <n v="30.67"/>
  </r>
  <r>
    <x v="5"/>
    <x v="9"/>
    <x v="37"/>
    <x v="1"/>
    <x v="2"/>
    <x v="0"/>
    <n v="2.25"/>
    <n v="4.33"/>
    <n v="0.05"/>
    <n v="2.08"/>
  </r>
  <r>
    <x v="5"/>
    <x v="9"/>
    <x v="37"/>
    <x v="2"/>
    <x v="0"/>
    <x v="0"/>
    <n v="4.74"/>
    <n v="9.1199999999999992"/>
    <n v="3.29"/>
    <n v="4.51"/>
  </r>
  <r>
    <x v="5"/>
    <x v="9"/>
    <x v="37"/>
    <x v="0"/>
    <x v="4"/>
    <x v="0"/>
    <n v="25.16"/>
    <n v="48.39"/>
    <n v="7.58"/>
    <n v="23.25"/>
  </r>
  <r>
    <x v="5"/>
    <x v="9"/>
    <x v="37"/>
    <x v="4"/>
    <x v="1"/>
    <x v="2"/>
    <n v="0.43"/>
    <n v="0.83"/>
    <n v="0.01"/>
    <n v="0.38"/>
  </r>
  <r>
    <x v="5"/>
    <x v="9"/>
    <x v="37"/>
    <x v="4"/>
    <x v="1"/>
    <x v="1"/>
    <n v="0.89"/>
    <n v="1.71"/>
    <n v="0.01"/>
    <n v="0.83"/>
  </r>
  <r>
    <x v="5"/>
    <x v="9"/>
    <x v="37"/>
    <x v="4"/>
    <x v="4"/>
    <x v="1"/>
    <n v="1.56"/>
    <n v="3.01"/>
    <n v="0.03"/>
    <n v="1.46"/>
  </r>
  <r>
    <x v="5"/>
    <x v="9"/>
    <x v="37"/>
    <x v="2"/>
    <x v="3"/>
    <x v="3"/>
    <n v="19.79"/>
    <n v="38.06"/>
    <n v="0.01"/>
    <n v="19.79"/>
  </r>
  <r>
    <x v="5"/>
    <x v="9"/>
    <x v="37"/>
    <x v="2"/>
    <x v="3"/>
    <x v="2"/>
    <n v="1.65"/>
    <n v="3.17"/>
    <n v="0.01"/>
    <n v="1.46"/>
  </r>
  <r>
    <x v="5"/>
    <x v="9"/>
    <x v="37"/>
    <x v="1"/>
    <x v="1"/>
    <x v="2"/>
    <n v="0.1"/>
    <n v="0.19"/>
    <n v="0.01"/>
    <n v="0.08"/>
  </r>
  <r>
    <x v="5"/>
    <x v="9"/>
    <x v="37"/>
    <x v="1"/>
    <x v="4"/>
    <x v="2"/>
    <n v="0.06"/>
    <n v="0.12"/>
    <n v="0.01"/>
    <n v="0.05"/>
  </r>
  <r>
    <x v="5"/>
    <x v="9"/>
    <x v="37"/>
    <x v="4"/>
    <x v="2"/>
    <x v="2"/>
    <n v="0.83"/>
    <n v="1.6"/>
    <n v="0"/>
    <n v="0.72"/>
  </r>
  <r>
    <x v="5"/>
    <x v="9"/>
    <x v="37"/>
    <x v="2"/>
    <x v="4"/>
    <x v="0"/>
    <n v="5.93"/>
    <n v="11.41"/>
    <n v="1.59"/>
    <n v="5.56"/>
  </r>
  <r>
    <x v="5"/>
    <x v="9"/>
    <x v="37"/>
    <x v="4"/>
    <x v="4"/>
    <x v="2"/>
    <n v="0.74"/>
    <n v="1.41"/>
    <n v="0.03"/>
    <n v="0.64"/>
  </r>
  <r>
    <x v="5"/>
    <x v="9"/>
    <x v="37"/>
    <x v="4"/>
    <x v="4"/>
    <x v="0"/>
    <n v="95.77"/>
    <n v="184.19"/>
    <n v="12.62"/>
    <n v="89.05"/>
  </r>
  <r>
    <x v="5"/>
    <x v="9"/>
    <x v="37"/>
    <x v="0"/>
    <x v="0"/>
    <x v="1"/>
    <n v="18.84"/>
    <n v="36.24"/>
    <n v="0.53"/>
    <n v="17.41"/>
  </r>
  <r>
    <x v="5"/>
    <x v="7"/>
    <x v="38"/>
    <x v="2"/>
    <x v="3"/>
    <x v="2"/>
    <n v="2.0699999999999998"/>
    <n v="2.08"/>
    <n v="0.01"/>
    <n v="1.88"/>
  </r>
  <r>
    <x v="5"/>
    <x v="7"/>
    <x v="38"/>
    <x v="2"/>
    <x v="3"/>
    <x v="3"/>
    <n v="3.03"/>
    <n v="3.04"/>
    <n v="0"/>
    <n v="3.03"/>
  </r>
  <r>
    <x v="5"/>
    <x v="7"/>
    <x v="38"/>
    <x v="4"/>
    <x v="1"/>
    <x v="0"/>
    <n v="5.44"/>
    <n v="5.44"/>
    <n v="0.38"/>
    <n v="5.03"/>
  </r>
  <r>
    <x v="5"/>
    <x v="7"/>
    <x v="38"/>
    <x v="1"/>
    <x v="4"/>
    <x v="2"/>
    <n v="0.06"/>
    <n v="0.06"/>
    <n v="0.01"/>
    <n v="0.05"/>
  </r>
  <r>
    <x v="5"/>
    <x v="7"/>
    <x v="38"/>
    <x v="3"/>
    <x v="1"/>
    <x v="0"/>
    <n v="0"/>
    <n v="0"/>
    <n v="0"/>
    <n v="0"/>
  </r>
  <r>
    <x v="5"/>
    <x v="7"/>
    <x v="38"/>
    <x v="4"/>
    <x v="4"/>
    <x v="0"/>
    <n v="22.78"/>
    <n v="22.79"/>
    <n v="3.76"/>
    <n v="21.33"/>
  </r>
  <r>
    <x v="5"/>
    <x v="7"/>
    <x v="38"/>
    <x v="4"/>
    <x v="2"/>
    <x v="2"/>
    <n v="0.23"/>
    <n v="0.23"/>
    <n v="0"/>
    <n v="0.2"/>
  </r>
  <r>
    <x v="5"/>
    <x v="7"/>
    <x v="38"/>
    <x v="4"/>
    <x v="1"/>
    <x v="2"/>
    <n v="0.1"/>
    <n v="0.1"/>
    <n v="0"/>
    <n v="0.09"/>
  </r>
  <r>
    <x v="5"/>
    <x v="7"/>
    <x v="38"/>
    <x v="4"/>
    <x v="4"/>
    <x v="2"/>
    <n v="0.15"/>
    <n v="0.15"/>
    <n v="0.01"/>
    <n v="0.14000000000000001"/>
  </r>
  <r>
    <x v="5"/>
    <x v="7"/>
    <x v="38"/>
    <x v="3"/>
    <x v="4"/>
    <x v="0"/>
    <n v="2.67"/>
    <n v="2.67"/>
    <n v="0.57999999999999996"/>
    <n v="2.4700000000000002"/>
  </r>
  <r>
    <x v="5"/>
    <x v="7"/>
    <x v="38"/>
    <x v="1"/>
    <x v="1"/>
    <x v="0"/>
    <n v="7.01"/>
    <n v="7.01"/>
    <n v="0.45"/>
    <n v="6.51"/>
  </r>
  <r>
    <x v="5"/>
    <x v="7"/>
    <x v="38"/>
    <x v="1"/>
    <x v="0"/>
    <x v="1"/>
    <n v="0.75"/>
    <n v="0.75"/>
    <n v="0.03"/>
    <n v="0.7"/>
  </r>
  <r>
    <x v="5"/>
    <x v="7"/>
    <x v="38"/>
    <x v="1"/>
    <x v="4"/>
    <x v="0"/>
    <n v="36.28"/>
    <n v="36.299999999999997"/>
    <n v="6.97"/>
    <n v="33.81"/>
  </r>
  <r>
    <x v="5"/>
    <x v="7"/>
    <x v="38"/>
    <x v="2"/>
    <x v="4"/>
    <x v="0"/>
    <n v="1.05"/>
    <n v="1.05"/>
    <n v="0.36"/>
    <n v="1"/>
  </r>
  <r>
    <x v="5"/>
    <x v="7"/>
    <x v="38"/>
    <x v="1"/>
    <x v="0"/>
    <x v="0"/>
    <n v="2.0499999999999998"/>
    <n v="2.0499999999999998"/>
    <n v="1.53"/>
    <n v="1.92"/>
  </r>
  <r>
    <x v="5"/>
    <x v="7"/>
    <x v="38"/>
    <x v="1"/>
    <x v="2"/>
    <x v="0"/>
    <n v="1.41"/>
    <n v="1.41"/>
    <n v="0.01"/>
    <n v="1.33"/>
  </r>
  <r>
    <x v="5"/>
    <x v="7"/>
    <x v="38"/>
    <x v="0"/>
    <x v="0"/>
    <x v="1"/>
    <n v="1.77"/>
    <n v="1.77"/>
    <n v="0.05"/>
    <n v="1.64"/>
  </r>
  <r>
    <x v="5"/>
    <x v="7"/>
    <x v="38"/>
    <x v="4"/>
    <x v="2"/>
    <x v="0"/>
    <n v="0.32"/>
    <n v="0.32"/>
    <n v="0"/>
    <n v="0.3"/>
  </r>
  <r>
    <x v="5"/>
    <x v="7"/>
    <x v="38"/>
    <x v="4"/>
    <x v="3"/>
    <x v="0"/>
    <n v="0.39"/>
    <n v="0.39"/>
    <n v="0"/>
    <n v="0.35"/>
  </r>
  <r>
    <x v="5"/>
    <x v="7"/>
    <x v="38"/>
    <x v="0"/>
    <x v="0"/>
    <x v="0"/>
    <n v="2.6"/>
    <n v="2.6"/>
    <n v="1.87"/>
    <n v="2.35"/>
  </r>
  <r>
    <x v="5"/>
    <x v="7"/>
    <x v="38"/>
    <x v="0"/>
    <x v="4"/>
    <x v="0"/>
    <n v="4.43"/>
    <n v="4.4400000000000004"/>
    <n v="1.24"/>
    <n v="4.17"/>
  </r>
  <r>
    <x v="5"/>
    <x v="7"/>
    <x v="38"/>
    <x v="1"/>
    <x v="4"/>
    <x v="1"/>
    <n v="0.15"/>
    <n v="0.15"/>
    <n v="0"/>
    <n v="0.14000000000000001"/>
  </r>
  <r>
    <x v="5"/>
    <x v="7"/>
    <x v="38"/>
    <x v="0"/>
    <x v="4"/>
    <x v="1"/>
    <n v="0.06"/>
    <n v="0.06"/>
    <n v="0"/>
    <n v="0.06"/>
  </r>
  <r>
    <x v="5"/>
    <x v="7"/>
    <x v="38"/>
    <x v="3"/>
    <x v="0"/>
    <x v="0"/>
    <n v="0.16"/>
    <n v="0.16"/>
    <n v="0.1"/>
    <n v="0.15"/>
  </r>
  <r>
    <x v="5"/>
    <x v="7"/>
    <x v="38"/>
    <x v="4"/>
    <x v="1"/>
    <x v="1"/>
    <n v="0.05"/>
    <n v="0.05"/>
    <n v="0"/>
    <n v="0.04"/>
  </r>
  <r>
    <x v="5"/>
    <x v="7"/>
    <x v="38"/>
    <x v="4"/>
    <x v="4"/>
    <x v="1"/>
    <n v="0.13"/>
    <n v="0.13"/>
    <n v="0"/>
    <n v="0.12"/>
  </r>
  <r>
    <x v="5"/>
    <x v="7"/>
    <x v="38"/>
    <x v="0"/>
    <x v="1"/>
    <x v="1"/>
    <n v="0.01"/>
    <n v="0.01"/>
    <n v="0"/>
    <n v="0.01"/>
  </r>
  <r>
    <x v="5"/>
    <x v="7"/>
    <x v="38"/>
    <x v="2"/>
    <x v="0"/>
    <x v="0"/>
    <n v="1.49"/>
    <n v="1.49"/>
    <n v="1.33"/>
    <n v="1.42"/>
  </r>
  <r>
    <x v="5"/>
    <x v="7"/>
    <x v="38"/>
    <x v="1"/>
    <x v="1"/>
    <x v="1"/>
    <n v="0.5"/>
    <n v="0.5"/>
    <n v="0.01"/>
    <n v="0.46"/>
  </r>
  <r>
    <x v="5"/>
    <x v="7"/>
    <x v="38"/>
    <x v="1"/>
    <x v="2"/>
    <x v="1"/>
    <n v="5.21"/>
    <n v="5.21"/>
    <n v="0.03"/>
    <n v="4.83"/>
  </r>
  <r>
    <x v="5"/>
    <x v="7"/>
    <x v="38"/>
    <x v="2"/>
    <x v="3"/>
    <x v="1"/>
    <n v="0.43"/>
    <n v="0.43"/>
    <n v="0"/>
    <n v="0.4"/>
  </r>
  <r>
    <x v="5"/>
    <x v="7"/>
    <x v="38"/>
    <x v="0"/>
    <x v="2"/>
    <x v="0"/>
    <n v="0.08"/>
    <n v="0.08"/>
    <n v="0"/>
    <n v="7.0000000000000007E-2"/>
  </r>
  <r>
    <x v="5"/>
    <x v="1"/>
    <x v="39"/>
    <x v="2"/>
    <x v="4"/>
    <x v="0"/>
    <n v="3.96"/>
    <n v="4.3499999999999996"/>
    <n v="0.66"/>
    <n v="3.68"/>
  </r>
  <r>
    <x v="5"/>
    <x v="1"/>
    <x v="39"/>
    <x v="4"/>
    <x v="3"/>
    <x v="0"/>
    <n v="0.38"/>
    <n v="0.42"/>
    <n v="0"/>
    <n v="0.33"/>
  </r>
  <r>
    <x v="5"/>
    <x v="1"/>
    <x v="39"/>
    <x v="1"/>
    <x v="1"/>
    <x v="2"/>
    <n v="0.28000000000000003"/>
    <n v="0.31"/>
    <n v="0"/>
    <n v="0.28000000000000003"/>
  </r>
  <r>
    <x v="5"/>
    <x v="1"/>
    <x v="39"/>
    <x v="0"/>
    <x v="4"/>
    <x v="0"/>
    <n v="3.25"/>
    <n v="3.57"/>
    <n v="0.74"/>
    <n v="2.94"/>
  </r>
  <r>
    <x v="5"/>
    <x v="1"/>
    <x v="39"/>
    <x v="2"/>
    <x v="0"/>
    <x v="0"/>
    <n v="3.56"/>
    <n v="3.91"/>
    <n v="2.54"/>
    <n v="3.17"/>
  </r>
  <r>
    <x v="5"/>
    <x v="1"/>
    <x v="39"/>
    <x v="0"/>
    <x v="4"/>
    <x v="1"/>
    <n v="2.3199999999999998"/>
    <n v="2.5499999999999998"/>
    <n v="0.05"/>
    <n v="1.93"/>
  </r>
  <r>
    <x v="5"/>
    <x v="1"/>
    <x v="39"/>
    <x v="0"/>
    <x v="0"/>
    <x v="1"/>
    <n v="4.0999999999999996"/>
    <n v="4.5"/>
    <n v="0.1"/>
    <n v="3.44"/>
  </r>
  <r>
    <x v="5"/>
    <x v="1"/>
    <x v="39"/>
    <x v="4"/>
    <x v="1"/>
    <x v="1"/>
    <n v="0.5"/>
    <n v="0.55000000000000004"/>
    <n v="0.01"/>
    <n v="0.41"/>
  </r>
  <r>
    <x v="5"/>
    <x v="1"/>
    <x v="39"/>
    <x v="4"/>
    <x v="4"/>
    <x v="1"/>
    <n v="1.1299999999999999"/>
    <n v="1.25"/>
    <n v="7.0000000000000007E-2"/>
    <n v="0.94"/>
  </r>
  <r>
    <x v="5"/>
    <x v="1"/>
    <x v="39"/>
    <x v="4"/>
    <x v="0"/>
    <x v="1"/>
    <n v="0.5"/>
    <n v="0.55000000000000004"/>
    <n v="0.04"/>
    <n v="0.41"/>
  </r>
  <r>
    <x v="5"/>
    <x v="1"/>
    <x v="39"/>
    <x v="2"/>
    <x v="3"/>
    <x v="2"/>
    <n v="6.43"/>
    <n v="7.06"/>
    <n v="0.02"/>
    <n v="6.43"/>
  </r>
  <r>
    <x v="5"/>
    <x v="1"/>
    <x v="39"/>
    <x v="1"/>
    <x v="4"/>
    <x v="2"/>
    <n v="0.98"/>
    <n v="1.07"/>
    <n v="0.05"/>
    <n v="0.89"/>
  </r>
  <r>
    <x v="5"/>
    <x v="1"/>
    <x v="39"/>
    <x v="4"/>
    <x v="2"/>
    <x v="2"/>
    <n v="0.81"/>
    <n v="0.89"/>
    <n v="0.01"/>
    <n v="0.65"/>
  </r>
  <r>
    <x v="5"/>
    <x v="1"/>
    <x v="39"/>
    <x v="4"/>
    <x v="1"/>
    <x v="2"/>
    <n v="0.38"/>
    <n v="0.42"/>
    <n v="0.01"/>
    <n v="0.3"/>
  </r>
  <r>
    <x v="5"/>
    <x v="1"/>
    <x v="39"/>
    <x v="1"/>
    <x v="0"/>
    <x v="1"/>
    <n v="3.38"/>
    <n v="3.71"/>
    <n v="0.14000000000000001"/>
    <n v="2.8"/>
  </r>
  <r>
    <x v="5"/>
    <x v="1"/>
    <x v="39"/>
    <x v="1"/>
    <x v="4"/>
    <x v="1"/>
    <n v="1.62"/>
    <n v="1.79"/>
    <n v="0.04"/>
    <n v="1.34"/>
  </r>
  <r>
    <x v="5"/>
    <x v="1"/>
    <x v="39"/>
    <x v="1"/>
    <x v="1"/>
    <x v="1"/>
    <n v="10.38"/>
    <n v="11.41"/>
    <n v="0.08"/>
    <n v="8.61"/>
  </r>
  <r>
    <x v="5"/>
    <x v="1"/>
    <x v="39"/>
    <x v="1"/>
    <x v="1"/>
    <x v="0"/>
    <n v="31.39"/>
    <n v="34.49"/>
    <n v="2.0299999999999998"/>
    <n v="27.33"/>
  </r>
  <r>
    <x v="5"/>
    <x v="1"/>
    <x v="39"/>
    <x v="2"/>
    <x v="3"/>
    <x v="3"/>
    <n v="2.14"/>
    <n v="2.35"/>
    <n v="0"/>
    <n v="1.87"/>
  </r>
  <r>
    <x v="5"/>
    <x v="1"/>
    <x v="39"/>
    <x v="1"/>
    <x v="2"/>
    <x v="0"/>
    <n v="4.33"/>
    <n v="4.76"/>
    <n v="0.03"/>
    <n v="3.57"/>
  </r>
  <r>
    <x v="5"/>
    <x v="1"/>
    <x v="39"/>
    <x v="1"/>
    <x v="2"/>
    <x v="1"/>
    <n v="16.350000000000001"/>
    <n v="17.96"/>
    <n v="0.06"/>
    <n v="13.61"/>
  </r>
  <r>
    <x v="5"/>
    <x v="1"/>
    <x v="39"/>
    <x v="1"/>
    <x v="4"/>
    <x v="0"/>
    <n v="200.79"/>
    <n v="220.62"/>
    <n v="32.28"/>
    <n v="176.78"/>
  </r>
  <r>
    <x v="5"/>
    <x v="1"/>
    <x v="39"/>
    <x v="1"/>
    <x v="0"/>
    <x v="0"/>
    <n v="5.15"/>
    <n v="5.65"/>
    <n v="3.21"/>
    <n v="4.8600000000000003"/>
  </r>
  <r>
    <x v="5"/>
    <x v="1"/>
    <x v="39"/>
    <x v="0"/>
    <x v="0"/>
    <x v="0"/>
    <n v="1.37"/>
    <n v="1.5"/>
    <n v="0.74"/>
    <n v="1.2"/>
  </r>
  <r>
    <x v="5"/>
    <x v="1"/>
    <x v="39"/>
    <x v="0"/>
    <x v="1"/>
    <x v="1"/>
    <n v="0.31"/>
    <n v="0.34"/>
    <n v="0.01"/>
    <n v="0.31"/>
  </r>
  <r>
    <x v="5"/>
    <x v="1"/>
    <x v="39"/>
    <x v="4"/>
    <x v="2"/>
    <x v="0"/>
    <n v="0.51"/>
    <n v="0.56000000000000005"/>
    <n v="0"/>
    <n v="0.43"/>
  </r>
  <r>
    <x v="5"/>
    <x v="1"/>
    <x v="39"/>
    <x v="4"/>
    <x v="1"/>
    <x v="0"/>
    <n v="16.97"/>
    <n v="18.649999999999999"/>
    <n v="1.05"/>
    <n v="15.09"/>
  </r>
  <r>
    <x v="5"/>
    <x v="1"/>
    <x v="39"/>
    <x v="4"/>
    <x v="4"/>
    <x v="0"/>
    <n v="56.71"/>
    <n v="62.31"/>
    <n v="8.11"/>
    <n v="50.01"/>
  </r>
  <r>
    <x v="5"/>
    <x v="1"/>
    <x v="39"/>
    <x v="3"/>
    <x v="4"/>
    <x v="0"/>
    <n v="42.22"/>
    <n v="46.39"/>
    <n v="7.9"/>
    <n v="36.340000000000003"/>
  </r>
  <r>
    <x v="5"/>
    <x v="1"/>
    <x v="39"/>
    <x v="3"/>
    <x v="0"/>
    <x v="0"/>
    <n v="0.01"/>
    <n v="0.01"/>
    <n v="0"/>
    <n v="0.01"/>
  </r>
  <r>
    <x v="5"/>
    <x v="1"/>
    <x v="39"/>
    <x v="2"/>
    <x v="4"/>
    <x v="1"/>
    <n v="1.34"/>
    <n v="1.47"/>
    <n v="0"/>
    <n v="1.34"/>
  </r>
  <r>
    <x v="5"/>
    <x v="1"/>
    <x v="39"/>
    <x v="1"/>
    <x v="3"/>
    <x v="1"/>
    <n v="1.17"/>
    <n v="1.28"/>
    <n v="0.01"/>
    <n v="0.96"/>
  </r>
  <r>
    <x v="5"/>
    <x v="10"/>
    <x v="40"/>
    <x v="1"/>
    <x v="2"/>
    <x v="0"/>
    <n v="0.47"/>
    <n v="0.62"/>
    <n v="0.01"/>
    <n v="0.41"/>
  </r>
  <r>
    <x v="5"/>
    <x v="10"/>
    <x v="40"/>
    <x v="3"/>
    <x v="4"/>
    <x v="0"/>
    <n v="3.13"/>
    <n v="4.1399999999999997"/>
    <n v="0.84"/>
    <n v="3"/>
  </r>
  <r>
    <x v="5"/>
    <x v="10"/>
    <x v="40"/>
    <x v="3"/>
    <x v="1"/>
    <x v="0"/>
    <n v="0.01"/>
    <n v="0.01"/>
    <n v="0"/>
    <n v="0.01"/>
  </r>
  <r>
    <x v="5"/>
    <x v="10"/>
    <x v="40"/>
    <x v="4"/>
    <x v="4"/>
    <x v="0"/>
    <n v="33.85"/>
    <n v="44.79"/>
    <n v="5.37"/>
    <n v="31.85"/>
  </r>
  <r>
    <x v="5"/>
    <x v="10"/>
    <x v="40"/>
    <x v="4"/>
    <x v="1"/>
    <x v="0"/>
    <n v="5.65"/>
    <n v="7.48"/>
    <n v="0.35"/>
    <n v="5.22"/>
  </r>
  <r>
    <x v="5"/>
    <x v="10"/>
    <x v="40"/>
    <x v="0"/>
    <x v="0"/>
    <x v="0"/>
    <n v="4.1100000000000003"/>
    <n v="5.44"/>
    <n v="2.74"/>
    <n v="3.7"/>
  </r>
  <r>
    <x v="5"/>
    <x v="10"/>
    <x v="40"/>
    <x v="0"/>
    <x v="4"/>
    <x v="0"/>
    <n v="10.92"/>
    <n v="14.45"/>
    <n v="2.61"/>
    <n v="10.050000000000001"/>
  </r>
  <r>
    <x v="5"/>
    <x v="10"/>
    <x v="40"/>
    <x v="0"/>
    <x v="2"/>
    <x v="0"/>
    <n v="0.57999999999999996"/>
    <n v="0.76"/>
    <n v="0"/>
    <n v="0.55000000000000004"/>
  </r>
  <r>
    <x v="5"/>
    <x v="10"/>
    <x v="40"/>
    <x v="1"/>
    <x v="0"/>
    <x v="0"/>
    <n v="5.39"/>
    <n v="7.13"/>
    <n v="4.29"/>
    <n v="5.09"/>
  </r>
  <r>
    <x v="5"/>
    <x v="10"/>
    <x v="40"/>
    <x v="2"/>
    <x v="4"/>
    <x v="0"/>
    <n v="3.65"/>
    <n v="4.83"/>
    <n v="0.83"/>
    <n v="3.58"/>
  </r>
  <r>
    <x v="5"/>
    <x v="10"/>
    <x v="40"/>
    <x v="1"/>
    <x v="1"/>
    <x v="0"/>
    <n v="16.7"/>
    <n v="22.09"/>
    <n v="2.16"/>
    <n v="15.84"/>
  </r>
  <r>
    <x v="5"/>
    <x v="10"/>
    <x v="40"/>
    <x v="3"/>
    <x v="0"/>
    <x v="0"/>
    <n v="0.17"/>
    <n v="0.23"/>
    <n v="0.18"/>
    <n v="0.17"/>
  </r>
  <r>
    <x v="5"/>
    <x v="10"/>
    <x v="40"/>
    <x v="2"/>
    <x v="0"/>
    <x v="0"/>
    <n v="2.89"/>
    <n v="3.82"/>
    <n v="2.0299999999999998"/>
    <n v="2.78"/>
  </r>
  <r>
    <x v="5"/>
    <x v="10"/>
    <x v="40"/>
    <x v="4"/>
    <x v="4"/>
    <x v="2"/>
    <n v="0.18"/>
    <n v="0.23"/>
    <n v="0.01"/>
    <n v="0.16"/>
  </r>
  <r>
    <x v="5"/>
    <x v="10"/>
    <x v="40"/>
    <x v="1"/>
    <x v="4"/>
    <x v="0"/>
    <n v="81.569999999999993"/>
    <n v="107.92"/>
    <n v="20"/>
    <n v="76.040000000000006"/>
  </r>
  <r>
    <x v="5"/>
    <x v="10"/>
    <x v="40"/>
    <x v="0"/>
    <x v="4"/>
    <x v="1"/>
    <n v="0.16"/>
    <n v="0.21"/>
    <n v="0"/>
    <n v="0.15"/>
  </r>
  <r>
    <x v="5"/>
    <x v="10"/>
    <x v="40"/>
    <x v="4"/>
    <x v="1"/>
    <x v="2"/>
    <n v="0.13"/>
    <n v="0.17"/>
    <n v="0.01"/>
    <n v="0.12"/>
  </r>
  <r>
    <x v="5"/>
    <x v="10"/>
    <x v="40"/>
    <x v="4"/>
    <x v="2"/>
    <x v="2"/>
    <n v="0.56000000000000005"/>
    <n v="0.75"/>
    <n v="0"/>
    <n v="0.49"/>
  </r>
  <r>
    <x v="5"/>
    <x v="10"/>
    <x v="40"/>
    <x v="1"/>
    <x v="4"/>
    <x v="2"/>
    <n v="1.88"/>
    <n v="2.4900000000000002"/>
    <n v="0.01"/>
    <n v="1.66"/>
  </r>
  <r>
    <x v="5"/>
    <x v="10"/>
    <x v="40"/>
    <x v="2"/>
    <x v="3"/>
    <x v="3"/>
    <n v="29.92"/>
    <n v="39.58"/>
    <n v="0.02"/>
    <n v="29.92"/>
  </r>
  <r>
    <x v="5"/>
    <x v="10"/>
    <x v="40"/>
    <x v="4"/>
    <x v="4"/>
    <x v="1"/>
    <n v="0.39"/>
    <n v="0.52"/>
    <n v="0.01"/>
    <n v="0.36"/>
  </r>
  <r>
    <x v="5"/>
    <x v="10"/>
    <x v="40"/>
    <x v="0"/>
    <x v="0"/>
    <x v="1"/>
    <n v="4.82"/>
    <n v="6.38"/>
    <n v="0.13"/>
    <n v="4.47"/>
  </r>
  <r>
    <x v="5"/>
    <x v="10"/>
    <x v="40"/>
    <x v="2"/>
    <x v="3"/>
    <x v="1"/>
    <n v="0.97"/>
    <n v="1.29"/>
    <n v="0"/>
    <n v="0.9"/>
  </r>
  <r>
    <x v="5"/>
    <x v="10"/>
    <x v="40"/>
    <x v="0"/>
    <x v="1"/>
    <x v="1"/>
    <n v="0.25"/>
    <n v="0.33"/>
    <n v="0.01"/>
    <n v="0.24"/>
  </r>
  <r>
    <x v="5"/>
    <x v="10"/>
    <x v="40"/>
    <x v="0"/>
    <x v="3"/>
    <x v="1"/>
    <n v="0.64"/>
    <n v="0.85"/>
    <n v="0"/>
    <n v="0.63"/>
  </r>
  <r>
    <x v="5"/>
    <x v="10"/>
    <x v="40"/>
    <x v="1"/>
    <x v="0"/>
    <x v="1"/>
    <n v="1.75"/>
    <n v="2.3199999999999998"/>
    <n v="0.08"/>
    <n v="1.62"/>
  </r>
  <r>
    <x v="5"/>
    <x v="10"/>
    <x v="40"/>
    <x v="1"/>
    <x v="4"/>
    <x v="1"/>
    <n v="0.21"/>
    <n v="0.28000000000000003"/>
    <n v="0.01"/>
    <n v="0.2"/>
  </r>
  <r>
    <x v="5"/>
    <x v="10"/>
    <x v="40"/>
    <x v="1"/>
    <x v="1"/>
    <x v="1"/>
    <n v="1.23"/>
    <n v="1.63"/>
    <n v="0.01"/>
    <n v="1.1399999999999999"/>
  </r>
  <r>
    <x v="5"/>
    <x v="10"/>
    <x v="40"/>
    <x v="1"/>
    <x v="2"/>
    <x v="1"/>
    <n v="13.33"/>
    <n v="17.63"/>
    <n v="0.06"/>
    <n v="12.32"/>
  </r>
  <r>
    <x v="5"/>
    <x v="10"/>
    <x v="40"/>
    <x v="4"/>
    <x v="1"/>
    <x v="1"/>
    <n v="0.11"/>
    <n v="0.15"/>
    <n v="0"/>
    <n v="0.11"/>
  </r>
  <r>
    <x v="5"/>
    <x v="1"/>
    <x v="41"/>
    <x v="1"/>
    <x v="1"/>
    <x v="1"/>
    <n v="31.02"/>
    <n v="32.049999999999997"/>
    <n v="0.23"/>
    <n v="25.85"/>
  </r>
  <r>
    <x v="5"/>
    <x v="1"/>
    <x v="41"/>
    <x v="1"/>
    <x v="4"/>
    <x v="1"/>
    <n v="4.1900000000000004"/>
    <n v="4.33"/>
    <n v="0.12"/>
    <n v="3.49"/>
  </r>
  <r>
    <x v="5"/>
    <x v="1"/>
    <x v="41"/>
    <x v="4"/>
    <x v="1"/>
    <x v="2"/>
    <n v="6.77"/>
    <n v="7"/>
    <n v="0.2"/>
    <n v="5.89"/>
  </r>
  <r>
    <x v="5"/>
    <x v="1"/>
    <x v="41"/>
    <x v="1"/>
    <x v="1"/>
    <x v="0"/>
    <n v="38.979999999999997"/>
    <n v="40.28"/>
    <n v="2.37"/>
    <n v="34.79"/>
  </r>
  <r>
    <x v="5"/>
    <x v="1"/>
    <x v="41"/>
    <x v="1"/>
    <x v="4"/>
    <x v="0"/>
    <n v="414.34"/>
    <n v="428.12"/>
    <n v="88.28"/>
    <n v="379.17"/>
  </r>
  <r>
    <x v="5"/>
    <x v="1"/>
    <x v="41"/>
    <x v="1"/>
    <x v="0"/>
    <x v="0"/>
    <n v="23.26"/>
    <n v="24.03"/>
    <n v="12.38"/>
    <n v="20.73"/>
  </r>
  <r>
    <x v="5"/>
    <x v="1"/>
    <x v="41"/>
    <x v="0"/>
    <x v="2"/>
    <x v="0"/>
    <n v="0.6"/>
    <n v="0.62"/>
    <n v="0.01"/>
    <n v="0.6"/>
  </r>
  <r>
    <x v="5"/>
    <x v="1"/>
    <x v="41"/>
    <x v="0"/>
    <x v="4"/>
    <x v="0"/>
    <n v="9.68"/>
    <n v="10"/>
    <n v="3.15"/>
    <n v="8.64"/>
  </r>
  <r>
    <x v="5"/>
    <x v="1"/>
    <x v="41"/>
    <x v="0"/>
    <x v="0"/>
    <x v="0"/>
    <n v="2.74"/>
    <n v="2.84"/>
    <n v="1.25"/>
    <n v="2.4"/>
  </r>
  <r>
    <x v="5"/>
    <x v="1"/>
    <x v="41"/>
    <x v="4"/>
    <x v="3"/>
    <x v="0"/>
    <n v="3.86"/>
    <n v="3.99"/>
    <n v="0.02"/>
    <n v="3.38"/>
  </r>
  <r>
    <x v="5"/>
    <x v="1"/>
    <x v="41"/>
    <x v="4"/>
    <x v="2"/>
    <x v="0"/>
    <n v="5.15"/>
    <n v="5.32"/>
    <n v="0.05"/>
    <n v="4.51"/>
  </r>
  <r>
    <x v="5"/>
    <x v="1"/>
    <x v="41"/>
    <x v="4"/>
    <x v="1"/>
    <x v="0"/>
    <n v="32.51"/>
    <n v="33.590000000000003"/>
    <n v="1.96"/>
    <n v="29.15"/>
  </r>
  <r>
    <x v="5"/>
    <x v="1"/>
    <x v="41"/>
    <x v="4"/>
    <x v="4"/>
    <x v="0"/>
    <n v="50.66"/>
    <n v="52.34"/>
    <n v="7.1"/>
    <n v="45.54"/>
  </r>
  <r>
    <x v="5"/>
    <x v="1"/>
    <x v="41"/>
    <x v="3"/>
    <x v="4"/>
    <x v="0"/>
    <n v="25.46"/>
    <n v="26.31"/>
    <n v="4.51"/>
    <n v="22.42"/>
  </r>
  <r>
    <x v="5"/>
    <x v="1"/>
    <x v="41"/>
    <x v="3"/>
    <x v="0"/>
    <x v="0"/>
    <n v="0.4"/>
    <n v="0.41"/>
    <n v="0.38"/>
    <n v="0.4"/>
  </r>
  <r>
    <x v="5"/>
    <x v="1"/>
    <x v="41"/>
    <x v="2"/>
    <x v="0"/>
    <x v="0"/>
    <n v="6.85"/>
    <n v="7.07"/>
    <n v="5.27"/>
    <n v="6.41"/>
  </r>
  <r>
    <x v="5"/>
    <x v="1"/>
    <x v="41"/>
    <x v="4"/>
    <x v="1"/>
    <x v="1"/>
    <n v="1.95"/>
    <n v="2.02"/>
    <n v="0.06"/>
    <n v="1.63"/>
  </r>
  <r>
    <x v="5"/>
    <x v="1"/>
    <x v="41"/>
    <x v="4"/>
    <x v="2"/>
    <x v="2"/>
    <n v="12.35"/>
    <n v="12.76"/>
    <n v="0.28000000000000003"/>
    <n v="10.74"/>
  </r>
  <r>
    <x v="5"/>
    <x v="1"/>
    <x v="41"/>
    <x v="1"/>
    <x v="4"/>
    <x v="2"/>
    <n v="17.46"/>
    <n v="18.04"/>
    <n v="0.78"/>
    <n v="15.18"/>
  </r>
  <r>
    <x v="5"/>
    <x v="1"/>
    <x v="41"/>
    <x v="1"/>
    <x v="2"/>
    <x v="2"/>
    <n v="0.2"/>
    <n v="0.2"/>
    <n v="0"/>
    <n v="0.17"/>
  </r>
  <r>
    <x v="5"/>
    <x v="1"/>
    <x v="41"/>
    <x v="2"/>
    <x v="3"/>
    <x v="2"/>
    <n v="47.75"/>
    <n v="49.34"/>
    <n v="0.13"/>
    <n v="47.75"/>
  </r>
  <r>
    <x v="5"/>
    <x v="1"/>
    <x v="41"/>
    <x v="2"/>
    <x v="3"/>
    <x v="3"/>
    <n v="14.73"/>
    <n v="15.22"/>
    <n v="0.01"/>
    <n v="14.73"/>
  </r>
  <r>
    <x v="5"/>
    <x v="1"/>
    <x v="41"/>
    <x v="2"/>
    <x v="4"/>
    <x v="1"/>
    <n v="1.02"/>
    <n v="1.05"/>
    <n v="0"/>
    <n v="1.02"/>
  </r>
  <r>
    <x v="5"/>
    <x v="1"/>
    <x v="41"/>
    <x v="4"/>
    <x v="4"/>
    <x v="1"/>
    <n v="2.2799999999999998"/>
    <n v="2.36"/>
    <n v="0.14000000000000001"/>
    <n v="1.9"/>
  </r>
  <r>
    <x v="5"/>
    <x v="1"/>
    <x v="41"/>
    <x v="1"/>
    <x v="2"/>
    <x v="1"/>
    <n v="70.27"/>
    <n v="72.61"/>
    <n v="0.21"/>
    <n v="58.56"/>
  </r>
  <r>
    <x v="5"/>
    <x v="1"/>
    <x v="41"/>
    <x v="0"/>
    <x v="0"/>
    <x v="1"/>
    <n v="24.3"/>
    <n v="25.11"/>
    <n v="0.67"/>
    <n v="21.41"/>
  </r>
  <r>
    <x v="5"/>
    <x v="1"/>
    <x v="41"/>
    <x v="0"/>
    <x v="4"/>
    <x v="1"/>
    <n v="4.67"/>
    <n v="4.83"/>
    <n v="0.14000000000000001"/>
    <n v="3.9"/>
  </r>
  <r>
    <x v="5"/>
    <x v="1"/>
    <x v="41"/>
    <x v="0"/>
    <x v="1"/>
    <x v="1"/>
    <n v="6.38"/>
    <n v="6.59"/>
    <n v="0.17"/>
    <n v="6.38"/>
  </r>
  <r>
    <x v="5"/>
    <x v="1"/>
    <x v="41"/>
    <x v="0"/>
    <x v="3"/>
    <x v="1"/>
    <n v="2.04"/>
    <n v="2.11"/>
    <n v="0.04"/>
    <n v="2.04"/>
  </r>
  <r>
    <x v="5"/>
    <x v="1"/>
    <x v="41"/>
    <x v="1"/>
    <x v="0"/>
    <x v="1"/>
    <n v="12.38"/>
    <n v="12.79"/>
    <n v="0.44"/>
    <n v="10.32"/>
  </r>
  <r>
    <x v="5"/>
    <x v="1"/>
    <x v="41"/>
    <x v="2"/>
    <x v="4"/>
    <x v="0"/>
    <n v="7.8"/>
    <n v="8.06"/>
    <n v="1.9"/>
    <n v="7.48"/>
  </r>
  <r>
    <x v="5"/>
    <x v="1"/>
    <x v="41"/>
    <x v="4"/>
    <x v="0"/>
    <x v="1"/>
    <n v="1"/>
    <n v="1.03"/>
    <n v="0.09"/>
    <n v="0.83"/>
  </r>
  <r>
    <x v="5"/>
    <x v="1"/>
    <x v="41"/>
    <x v="1"/>
    <x v="3"/>
    <x v="1"/>
    <n v="3.66"/>
    <n v="3.78"/>
    <n v="0.04"/>
    <n v="3.05"/>
  </r>
  <r>
    <x v="5"/>
    <x v="1"/>
    <x v="41"/>
    <x v="1"/>
    <x v="2"/>
    <x v="0"/>
    <n v="10.35"/>
    <n v="10.69"/>
    <n v="7.0000000000000007E-2"/>
    <n v="9"/>
  </r>
  <r>
    <x v="5"/>
    <x v="2"/>
    <x v="42"/>
    <x v="1"/>
    <x v="0"/>
    <x v="0"/>
    <n v="16.36"/>
    <n v="19.579999999999998"/>
    <n v="9.1"/>
    <n v="15.41"/>
  </r>
  <r>
    <x v="5"/>
    <x v="2"/>
    <x v="42"/>
    <x v="3"/>
    <x v="4"/>
    <x v="0"/>
    <n v="15.63"/>
    <n v="18.7"/>
    <n v="2.89"/>
    <n v="14.56"/>
  </r>
  <r>
    <x v="5"/>
    <x v="2"/>
    <x v="42"/>
    <x v="4"/>
    <x v="4"/>
    <x v="0"/>
    <n v="81.47"/>
    <n v="97.51"/>
    <n v="9.82"/>
    <n v="75.5"/>
  </r>
  <r>
    <x v="5"/>
    <x v="2"/>
    <x v="42"/>
    <x v="4"/>
    <x v="1"/>
    <x v="0"/>
    <n v="11.39"/>
    <n v="13.63"/>
    <n v="0.64"/>
    <n v="10.48"/>
  </r>
  <r>
    <x v="5"/>
    <x v="2"/>
    <x v="42"/>
    <x v="4"/>
    <x v="2"/>
    <x v="0"/>
    <n v="1.05"/>
    <n v="1.26"/>
    <n v="0"/>
    <n v="0.97"/>
  </r>
  <r>
    <x v="5"/>
    <x v="2"/>
    <x v="42"/>
    <x v="0"/>
    <x v="0"/>
    <x v="0"/>
    <n v="13.65"/>
    <n v="16.34"/>
    <n v="10.039999999999999"/>
    <n v="12.41"/>
  </r>
  <r>
    <x v="5"/>
    <x v="2"/>
    <x v="42"/>
    <x v="0"/>
    <x v="2"/>
    <x v="0"/>
    <n v="1.02"/>
    <n v="1.22"/>
    <n v="0.01"/>
    <n v="0.99"/>
  </r>
  <r>
    <x v="5"/>
    <x v="2"/>
    <x v="42"/>
    <x v="2"/>
    <x v="3"/>
    <x v="1"/>
    <n v="0.46"/>
    <n v="0.55000000000000004"/>
    <n v="0"/>
    <n v="0.42"/>
  </r>
  <r>
    <x v="5"/>
    <x v="2"/>
    <x v="42"/>
    <x v="1"/>
    <x v="4"/>
    <x v="0"/>
    <n v="232.95"/>
    <n v="278.81"/>
    <n v="37.799999999999997"/>
    <n v="216.16"/>
  </r>
  <r>
    <x v="5"/>
    <x v="2"/>
    <x v="42"/>
    <x v="1"/>
    <x v="1"/>
    <x v="0"/>
    <n v="28.54"/>
    <n v="34.159999999999997"/>
    <n v="1.54"/>
    <n v="26.52"/>
  </r>
  <r>
    <x v="5"/>
    <x v="2"/>
    <x v="42"/>
    <x v="1"/>
    <x v="2"/>
    <x v="0"/>
    <n v="12.01"/>
    <n v="14.37"/>
    <n v="0.14000000000000001"/>
    <n v="11.47"/>
  </r>
  <r>
    <x v="5"/>
    <x v="2"/>
    <x v="42"/>
    <x v="2"/>
    <x v="0"/>
    <x v="0"/>
    <n v="12.91"/>
    <n v="15.45"/>
    <n v="6.3"/>
    <n v="12.04"/>
  </r>
  <r>
    <x v="5"/>
    <x v="2"/>
    <x v="42"/>
    <x v="2"/>
    <x v="4"/>
    <x v="0"/>
    <n v="3.36"/>
    <n v="4.0199999999999996"/>
    <n v="0.92"/>
    <n v="3.2"/>
  </r>
  <r>
    <x v="5"/>
    <x v="2"/>
    <x v="42"/>
    <x v="0"/>
    <x v="4"/>
    <x v="0"/>
    <n v="22.21"/>
    <n v="26.58"/>
    <n v="5.18"/>
    <n v="20.63"/>
  </r>
  <r>
    <x v="5"/>
    <x v="2"/>
    <x v="42"/>
    <x v="0"/>
    <x v="4"/>
    <x v="1"/>
    <n v="0.15"/>
    <n v="0.18"/>
    <n v="0"/>
    <n v="0.14000000000000001"/>
  </r>
  <r>
    <x v="5"/>
    <x v="2"/>
    <x v="42"/>
    <x v="4"/>
    <x v="1"/>
    <x v="2"/>
    <n v="0.52"/>
    <n v="0.63"/>
    <n v="0.02"/>
    <n v="0.45"/>
  </r>
  <r>
    <x v="5"/>
    <x v="2"/>
    <x v="42"/>
    <x v="4"/>
    <x v="2"/>
    <x v="2"/>
    <n v="1.24"/>
    <n v="1.49"/>
    <n v="0"/>
    <n v="1.08"/>
  </r>
  <r>
    <x v="5"/>
    <x v="2"/>
    <x v="42"/>
    <x v="2"/>
    <x v="3"/>
    <x v="2"/>
    <n v="2.98"/>
    <n v="3.56"/>
    <n v="0.01"/>
    <n v="2.64"/>
  </r>
  <r>
    <x v="5"/>
    <x v="2"/>
    <x v="42"/>
    <x v="2"/>
    <x v="3"/>
    <x v="3"/>
    <n v="38.79"/>
    <n v="46.43"/>
    <n v="0.02"/>
    <n v="38.79"/>
  </r>
  <r>
    <x v="5"/>
    <x v="2"/>
    <x v="42"/>
    <x v="4"/>
    <x v="4"/>
    <x v="1"/>
    <n v="0.36"/>
    <n v="0.43"/>
    <n v="0.01"/>
    <n v="0.33"/>
  </r>
  <r>
    <x v="5"/>
    <x v="2"/>
    <x v="42"/>
    <x v="3"/>
    <x v="0"/>
    <x v="0"/>
    <n v="1.1399999999999999"/>
    <n v="1.36"/>
    <n v="0.44"/>
    <n v="1.07"/>
  </r>
  <r>
    <x v="5"/>
    <x v="2"/>
    <x v="42"/>
    <x v="0"/>
    <x v="0"/>
    <x v="1"/>
    <n v="5.27"/>
    <n v="6.3"/>
    <n v="0.14000000000000001"/>
    <n v="4.75"/>
  </r>
  <r>
    <x v="5"/>
    <x v="2"/>
    <x v="42"/>
    <x v="4"/>
    <x v="4"/>
    <x v="2"/>
    <n v="0.99"/>
    <n v="1.18"/>
    <n v="0.05"/>
    <n v="0.91"/>
  </r>
  <r>
    <x v="5"/>
    <x v="2"/>
    <x v="42"/>
    <x v="0"/>
    <x v="1"/>
    <x v="1"/>
    <n v="0.5"/>
    <n v="0.6"/>
    <n v="0"/>
    <n v="0.49"/>
  </r>
  <r>
    <x v="5"/>
    <x v="2"/>
    <x v="42"/>
    <x v="1"/>
    <x v="0"/>
    <x v="1"/>
    <n v="2.1"/>
    <n v="2.5099999999999998"/>
    <n v="0.09"/>
    <n v="1.9"/>
  </r>
  <r>
    <x v="5"/>
    <x v="2"/>
    <x v="42"/>
    <x v="1"/>
    <x v="4"/>
    <x v="1"/>
    <n v="1.53"/>
    <n v="1.83"/>
    <n v="0.03"/>
    <n v="1.42"/>
  </r>
  <r>
    <x v="5"/>
    <x v="2"/>
    <x v="42"/>
    <x v="1"/>
    <x v="1"/>
    <x v="1"/>
    <n v="1.6"/>
    <n v="1.91"/>
    <n v="0.03"/>
    <n v="1.47"/>
  </r>
  <r>
    <x v="5"/>
    <x v="2"/>
    <x v="42"/>
    <x v="1"/>
    <x v="2"/>
    <x v="1"/>
    <n v="16.11"/>
    <n v="19.28"/>
    <n v="0.08"/>
    <n v="14.66"/>
  </r>
  <r>
    <x v="5"/>
    <x v="2"/>
    <x v="42"/>
    <x v="1"/>
    <x v="4"/>
    <x v="2"/>
    <n v="0.2"/>
    <n v="0.24"/>
    <n v="0.04"/>
    <n v="0.17"/>
  </r>
  <r>
    <x v="5"/>
    <x v="2"/>
    <x v="42"/>
    <x v="4"/>
    <x v="1"/>
    <x v="1"/>
    <n v="0.09"/>
    <n v="0.11"/>
    <n v="0"/>
    <n v="0.08"/>
  </r>
  <r>
    <x v="5"/>
    <x v="2"/>
    <x v="42"/>
    <x v="2"/>
    <x v="1"/>
    <x v="3"/>
    <n v="4.67"/>
    <n v="5.59"/>
    <n v="0"/>
    <n v="4.54"/>
  </r>
  <r>
    <x v="5"/>
    <x v="2"/>
    <x v="43"/>
    <x v="4"/>
    <x v="1"/>
    <x v="1"/>
    <n v="7.0000000000000007E-2"/>
    <n v="0.09"/>
    <n v="0"/>
    <n v="0.06"/>
  </r>
  <r>
    <x v="5"/>
    <x v="2"/>
    <x v="43"/>
    <x v="2"/>
    <x v="0"/>
    <x v="0"/>
    <n v="5.0199999999999996"/>
    <n v="6.5"/>
    <n v="2.82"/>
    <n v="4.75"/>
  </r>
  <r>
    <x v="5"/>
    <x v="2"/>
    <x v="43"/>
    <x v="1"/>
    <x v="2"/>
    <x v="0"/>
    <n v="0.31"/>
    <n v="0.4"/>
    <n v="0.01"/>
    <n v="0.27"/>
  </r>
  <r>
    <x v="5"/>
    <x v="2"/>
    <x v="43"/>
    <x v="1"/>
    <x v="1"/>
    <x v="0"/>
    <n v="19.329999999999998"/>
    <n v="25.04"/>
    <n v="1.0900000000000001"/>
    <n v="18.010000000000002"/>
  </r>
  <r>
    <x v="5"/>
    <x v="2"/>
    <x v="43"/>
    <x v="1"/>
    <x v="4"/>
    <x v="0"/>
    <n v="130.94"/>
    <n v="169.56"/>
    <n v="23.07"/>
    <n v="121.07"/>
  </r>
  <r>
    <x v="5"/>
    <x v="2"/>
    <x v="43"/>
    <x v="1"/>
    <x v="0"/>
    <x v="0"/>
    <n v="8.67"/>
    <n v="11.22"/>
    <n v="5.0199999999999996"/>
    <n v="8.27"/>
  </r>
  <r>
    <x v="5"/>
    <x v="2"/>
    <x v="43"/>
    <x v="0"/>
    <x v="4"/>
    <x v="0"/>
    <n v="17.47"/>
    <n v="22.62"/>
    <n v="3.88"/>
    <n v="16.37"/>
  </r>
  <r>
    <x v="5"/>
    <x v="2"/>
    <x v="43"/>
    <x v="0"/>
    <x v="0"/>
    <x v="0"/>
    <n v="5.79"/>
    <n v="7.5"/>
    <n v="4.08"/>
    <n v="5.26"/>
  </r>
  <r>
    <x v="5"/>
    <x v="2"/>
    <x v="43"/>
    <x v="4"/>
    <x v="4"/>
    <x v="2"/>
    <n v="0.33"/>
    <n v="0.42"/>
    <n v="0.02"/>
    <n v="0.28000000000000003"/>
  </r>
  <r>
    <x v="5"/>
    <x v="2"/>
    <x v="43"/>
    <x v="4"/>
    <x v="1"/>
    <x v="2"/>
    <n v="0.16"/>
    <n v="0.21"/>
    <n v="0.01"/>
    <n v="0.14000000000000001"/>
  </r>
  <r>
    <x v="5"/>
    <x v="2"/>
    <x v="43"/>
    <x v="4"/>
    <x v="2"/>
    <x v="2"/>
    <n v="0.69"/>
    <n v="0.89"/>
    <n v="0"/>
    <n v="0.6"/>
  </r>
  <r>
    <x v="5"/>
    <x v="2"/>
    <x v="43"/>
    <x v="2"/>
    <x v="3"/>
    <x v="2"/>
    <n v="2.41"/>
    <n v="3.12"/>
    <n v="0"/>
    <n v="2.41"/>
  </r>
  <r>
    <x v="5"/>
    <x v="2"/>
    <x v="43"/>
    <x v="2"/>
    <x v="4"/>
    <x v="0"/>
    <n v="2.79"/>
    <n v="3.61"/>
    <n v="0.55000000000000004"/>
    <n v="2.68"/>
  </r>
  <r>
    <x v="5"/>
    <x v="2"/>
    <x v="43"/>
    <x v="4"/>
    <x v="4"/>
    <x v="1"/>
    <n v="0.2"/>
    <n v="0.26"/>
    <n v="0"/>
    <n v="0.18"/>
  </r>
  <r>
    <x v="5"/>
    <x v="2"/>
    <x v="43"/>
    <x v="1"/>
    <x v="4"/>
    <x v="2"/>
    <n v="2.4"/>
    <n v="3.11"/>
    <n v="0.01"/>
    <n v="2.09"/>
  </r>
  <r>
    <x v="5"/>
    <x v="2"/>
    <x v="43"/>
    <x v="0"/>
    <x v="0"/>
    <x v="1"/>
    <n v="2.96"/>
    <n v="3.83"/>
    <n v="0.08"/>
    <n v="2.67"/>
  </r>
  <r>
    <x v="5"/>
    <x v="2"/>
    <x v="43"/>
    <x v="0"/>
    <x v="4"/>
    <x v="1"/>
    <n v="0.11"/>
    <n v="0.14000000000000001"/>
    <n v="0"/>
    <n v="0.09"/>
  </r>
  <r>
    <x v="5"/>
    <x v="2"/>
    <x v="43"/>
    <x v="0"/>
    <x v="1"/>
    <x v="1"/>
    <n v="0.06"/>
    <n v="0.08"/>
    <n v="0"/>
    <n v="0.06"/>
  </r>
  <r>
    <x v="5"/>
    <x v="2"/>
    <x v="43"/>
    <x v="1"/>
    <x v="0"/>
    <x v="1"/>
    <n v="1.2"/>
    <n v="1.55"/>
    <n v="0.06"/>
    <n v="1.0900000000000001"/>
  </r>
  <r>
    <x v="5"/>
    <x v="2"/>
    <x v="43"/>
    <x v="1"/>
    <x v="4"/>
    <x v="1"/>
    <n v="0.13"/>
    <n v="0.16"/>
    <n v="0.01"/>
    <n v="0.11"/>
  </r>
  <r>
    <x v="5"/>
    <x v="2"/>
    <x v="43"/>
    <x v="1"/>
    <x v="1"/>
    <x v="1"/>
    <n v="0.76"/>
    <n v="0.99"/>
    <n v="0.02"/>
    <n v="0.71"/>
  </r>
  <r>
    <x v="5"/>
    <x v="2"/>
    <x v="43"/>
    <x v="1"/>
    <x v="2"/>
    <x v="1"/>
    <n v="8.58"/>
    <n v="11.11"/>
    <n v="0.04"/>
    <n v="7.81"/>
  </r>
  <r>
    <x v="5"/>
    <x v="2"/>
    <x v="43"/>
    <x v="2"/>
    <x v="3"/>
    <x v="1"/>
    <n v="0.56999999999999995"/>
    <n v="0.74"/>
    <n v="0"/>
    <n v="0.52"/>
  </r>
  <r>
    <x v="5"/>
    <x v="2"/>
    <x v="43"/>
    <x v="3"/>
    <x v="0"/>
    <x v="0"/>
    <n v="0.26"/>
    <n v="0.34"/>
    <n v="0.19"/>
    <n v="0.25"/>
  </r>
  <r>
    <x v="5"/>
    <x v="2"/>
    <x v="43"/>
    <x v="3"/>
    <x v="4"/>
    <x v="0"/>
    <n v="7.14"/>
    <n v="9.24"/>
    <n v="1.45"/>
    <n v="6.76"/>
  </r>
  <r>
    <x v="5"/>
    <x v="2"/>
    <x v="43"/>
    <x v="4"/>
    <x v="4"/>
    <x v="0"/>
    <n v="89.12"/>
    <n v="115.41"/>
    <n v="10.15"/>
    <n v="82"/>
  </r>
  <r>
    <x v="5"/>
    <x v="2"/>
    <x v="43"/>
    <x v="4"/>
    <x v="1"/>
    <x v="0"/>
    <n v="12.99"/>
    <n v="16.829999999999998"/>
    <n v="0.68"/>
    <n v="11.9"/>
  </r>
  <r>
    <x v="5"/>
    <x v="2"/>
    <x v="43"/>
    <x v="4"/>
    <x v="0"/>
    <x v="1"/>
    <n v="0.06"/>
    <n v="0.08"/>
    <n v="0.04"/>
    <n v="0.05"/>
  </r>
  <r>
    <x v="5"/>
    <x v="2"/>
    <x v="43"/>
    <x v="2"/>
    <x v="3"/>
    <x v="3"/>
    <n v="15.86"/>
    <n v="20.54"/>
    <n v="0.01"/>
    <n v="15.86"/>
  </r>
  <r>
    <x v="5"/>
    <x v="2"/>
    <x v="44"/>
    <x v="1"/>
    <x v="0"/>
    <x v="1"/>
    <n v="3.64"/>
    <n v="3.78"/>
    <n v="0.18"/>
    <n v="3.29"/>
  </r>
  <r>
    <x v="5"/>
    <x v="2"/>
    <x v="44"/>
    <x v="4"/>
    <x v="4"/>
    <x v="2"/>
    <n v="0.41"/>
    <n v="0.42"/>
    <n v="0.02"/>
    <n v="0.35"/>
  </r>
  <r>
    <x v="5"/>
    <x v="2"/>
    <x v="44"/>
    <x v="4"/>
    <x v="1"/>
    <x v="2"/>
    <n v="0.17"/>
    <n v="0.17"/>
    <n v="0"/>
    <n v="0.15"/>
  </r>
  <r>
    <x v="5"/>
    <x v="2"/>
    <x v="44"/>
    <x v="4"/>
    <x v="2"/>
    <x v="2"/>
    <n v="0.71"/>
    <n v="0.73"/>
    <n v="0"/>
    <n v="0.61"/>
  </r>
  <r>
    <x v="5"/>
    <x v="2"/>
    <x v="44"/>
    <x v="1"/>
    <x v="4"/>
    <x v="2"/>
    <n v="0.45"/>
    <n v="0.46"/>
    <n v="7.0000000000000007E-2"/>
    <n v="0.39"/>
  </r>
  <r>
    <x v="5"/>
    <x v="2"/>
    <x v="44"/>
    <x v="2"/>
    <x v="3"/>
    <x v="2"/>
    <n v="2.23"/>
    <n v="2.31"/>
    <n v="0.01"/>
    <n v="1.98"/>
  </r>
  <r>
    <x v="5"/>
    <x v="2"/>
    <x v="44"/>
    <x v="2"/>
    <x v="3"/>
    <x v="3"/>
    <n v="78.48"/>
    <n v="81.53"/>
    <n v="0.04"/>
    <n v="78.48"/>
  </r>
  <r>
    <x v="5"/>
    <x v="2"/>
    <x v="44"/>
    <x v="4"/>
    <x v="4"/>
    <x v="1"/>
    <n v="0.63"/>
    <n v="0.66"/>
    <n v="0.01"/>
    <n v="0.57999999999999996"/>
  </r>
  <r>
    <x v="5"/>
    <x v="2"/>
    <x v="44"/>
    <x v="4"/>
    <x v="1"/>
    <x v="1"/>
    <n v="0.18"/>
    <n v="0.19"/>
    <n v="0"/>
    <n v="0.17"/>
  </r>
  <r>
    <x v="5"/>
    <x v="2"/>
    <x v="44"/>
    <x v="2"/>
    <x v="4"/>
    <x v="0"/>
    <n v="2.15"/>
    <n v="2.2400000000000002"/>
    <n v="0.55000000000000004"/>
    <n v="2.04"/>
  </r>
  <r>
    <x v="5"/>
    <x v="2"/>
    <x v="44"/>
    <x v="0"/>
    <x v="4"/>
    <x v="1"/>
    <n v="0.23"/>
    <n v="0.24"/>
    <n v="0"/>
    <n v="0.21"/>
  </r>
  <r>
    <x v="5"/>
    <x v="2"/>
    <x v="44"/>
    <x v="1"/>
    <x v="4"/>
    <x v="1"/>
    <n v="0.56000000000000005"/>
    <n v="0.57999999999999996"/>
    <n v="0.03"/>
    <n v="0.51"/>
  </r>
  <r>
    <x v="5"/>
    <x v="2"/>
    <x v="44"/>
    <x v="1"/>
    <x v="1"/>
    <x v="1"/>
    <n v="3.41"/>
    <n v="3.54"/>
    <n v="0.04"/>
    <n v="3.09"/>
  </r>
  <r>
    <x v="5"/>
    <x v="2"/>
    <x v="44"/>
    <x v="1"/>
    <x v="4"/>
    <x v="0"/>
    <n v="136.47"/>
    <n v="141.77000000000001"/>
    <n v="23.99"/>
    <n v="125.77"/>
  </r>
  <r>
    <x v="5"/>
    <x v="2"/>
    <x v="44"/>
    <x v="2"/>
    <x v="0"/>
    <x v="0"/>
    <n v="2.72"/>
    <n v="2.83"/>
    <n v="1.95"/>
    <n v="2.56"/>
  </r>
  <r>
    <x v="5"/>
    <x v="2"/>
    <x v="44"/>
    <x v="0"/>
    <x v="0"/>
    <x v="1"/>
    <n v="9.83"/>
    <n v="10.210000000000001"/>
    <n v="0.28999999999999998"/>
    <n v="8.85"/>
  </r>
  <r>
    <x v="5"/>
    <x v="2"/>
    <x v="44"/>
    <x v="1"/>
    <x v="1"/>
    <x v="0"/>
    <n v="19.809999999999999"/>
    <n v="20.58"/>
    <n v="1.1299999999999999"/>
    <n v="18.38"/>
  </r>
  <r>
    <x v="5"/>
    <x v="2"/>
    <x v="44"/>
    <x v="1"/>
    <x v="2"/>
    <x v="1"/>
    <n v="29.64"/>
    <n v="30.8"/>
    <n v="0.16"/>
    <n v="27.01"/>
  </r>
  <r>
    <x v="5"/>
    <x v="2"/>
    <x v="44"/>
    <x v="1"/>
    <x v="0"/>
    <x v="0"/>
    <n v="7.46"/>
    <n v="7.75"/>
    <n v="4.1900000000000004"/>
    <n v="6.99"/>
  </r>
  <r>
    <x v="5"/>
    <x v="2"/>
    <x v="44"/>
    <x v="0"/>
    <x v="4"/>
    <x v="0"/>
    <n v="13.58"/>
    <n v="14.11"/>
    <n v="3.11"/>
    <n v="12.57"/>
  </r>
  <r>
    <x v="5"/>
    <x v="2"/>
    <x v="44"/>
    <x v="0"/>
    <x v="0"/>
    <x v="0"/>
    <n v="8.51"/>
    <n v="8.84"/>
    <n v="5.72"/>
    <n v="7.76"/>
  </r>
  <r>
    <x v="5"/>
    <x v="2"/>
    <x v="44"/>
    <x v="4"/>
    <x v="1"/>
    <x v="0"/>
    <n v="14.24"/>
    <n v="14.79"/>
    <n v="0.84"/>
    <n v="13.13"/>
  </r>
  <r>
    <x v="5"/>
    <x v="2"/>
    <x v="44"/>
    <x v="4"/>
    <x v="4"/>
    <x v="0"/>
    <n v="71.63"/>
    <n v="74.42"/>
    <n v="7.7"/>
    <n v="65.87"/>
  </r>
  <r>
    <x v="5"/>
    <x v="2"/>
    <x v="44"/>
    <x v="3"/>
    <x v="4"/>
    <x v="0"/>
    <n v="6.01"/>
    <n v="6.25"/>
    <n v="1.18"/>
    <n v="5.62"/>
  </r>
  <r>
    <x v="5"/>
    <x v="2"/>
    <x v="44"/>
    <x v="3"/>
    <x v="0"/>
    <x v="0"/>
    <n v="0.26"/>
    <n v="0.27"/>
    <n v="0.13"/>
    <n v="0.24"/>
  </r>
  <r>
    <x v="5"/>
    <x v="2"/>
    <x v="44"/>
    <x v="2"/>
    <x v="3"/>
    <x v="1"/>
    <n v="1.1000000000000001"/>
    <n v="1.1399999999999999"/>
    <n v="0"/>
    <n v="1"/>
  </r>
  <r>
    <x v="5"/>
    <x v="2"/>
    <x v="44"/>
    <x v="1"/>
    <x v="2"/>
    <x v="0"/>
    <n v="0.63"/>
    <n v="0.65"/>
    <n v="0.01"/>
    <n v="0.55000000000000004"/>
  </r>
  <r>
    <x v="5"/>
    <x v="4"/>
    <x v="45"/>
    <x v="0"/>
    <x v="0"/>
    <x v="0"/>
    <n v="1.01"/>
    <n v="1.08"/>
    <n v="0.66"/>
    <n v="0.87"/>
  </r>
  <r>
    <x v="5"/>
    <x v="4"/>
    <x v="45"/>
    <x v="2"/>
    <x v="4"/>
    <x v="0"/>
    <n v="16.04"/>
    <n v="17.16"/>
    <n v="5.17"/>
    <n v="14.73"/>
  </r>
  <r>
    <x v="5"/>
    <x v="4"/>
    <x v="45"/>
    <x v="2"/>
    <x v="0"/>
    <x v="0"/>
    <n v="12.57"/>
    <n v="13.45"/>
    <n v="7.84"/>
    <n v="11.16"/>
  </r>
  <r>
    <x v="5"/>
    <x v="4"/>
    <x v="45"/>
    <x v="4"/>
    <x v="1"/>
    <x v="2"/>
    <n v="0.64"/>
    <n v="0.69"/>
    <n v="0.02"/>
    <n v="0.54"/>
  </r>
  <r>
    <x v="5"/>
    <x v="4"/>
    <x v="45"/>
    <x v="1"/>
    <x v="2"/>
    <x v="0"/>
    <n v="2.13"/>
    <n v="2.2799999999999998"/>
    <n v="0.01"/>
    <n v="1.81"/>
  </r>
  <r>
    <x v="5"/>
    <x v="4"/>
    <x v="45"/>
    <x v="1"/>
    <x v="1"/>
    <x v="0"/>
    <n v="15.86"/>
    <n v="16.97"/>
    <n v="0.91"/>
    <n v="13.9"/>
  </r>
  <r>
    <x v="5"/>
    <x v="4"/>
    <x v="45"/>
    <x v="1"/>
    <x v="4"/>
    <x v="0"/>
    <n v="172.04"/>
    <n v="184.05"/>
    <n v="38.1"/>
    <n v="153.51"/>
  </r>
  <r>
    <x v="5"/>
    <x v="4"/>
    <x v="45"/>
    <x v="1"/>
    <x v="0"/>
    <x v="0"/>
    <n v="9.1199999999999992"/>
    <n v="9.76"/>
    <n v="5.71"/>
    <n v="8.26"/>
  </r>
  <r>
    <x v="5"/>
    <x v="4"/>
    <x v="45"/>
    <x v="4"/>
    <x v="1"/>
    <x v="1"/>
    <n v="0.5"/>
    <n v="0.54"/>
    <n v="0.01"/>
    <n v="0.42"/>
  </r>
  <r>
    <x v="5"/>
    <x v="4"/>
    <x v="45"/>
    <x v="4"/>
    <x v="2"/>
    <x v="2"/>
    <n v="2.0699999999999998"/>
    <n v="2.21"/>
    <n v="0.05"/>
    <n v="1.74"/>
  </r>
  <r>
    <x v="5"/>
    <x v="4"/>
    <x v="45"/>
    <x v="1"/>
    <x v="4"/>
    <x v="2"/>
    <n v="1.95"/>
    <n v="2.09"/>
    <n v="0.08"/>
    <n v="1.64"/>
  </r>
  <r>
    <x v="5"/>
    <x v="4"/>
    <x v="45"/>
    <x v="2"/>
    <x v="3"/>
    <x v="3"/>
    <n v="17.12"/>
    <n v="18.32"/>
    <n v="0.02"/>
    <n v="17.12"/>
  </r>
  <r>
    <x v="5"/>
    <x v="4"/>
    <x v="45"/>
    <x v="0"/>
    <x v="2"/>
    <x v="0"/>
    <n v="0.6"/>
    <n v="0.64"/>
    <n v="0.01"/>
    <n v="0.6"/>
  </r>
  <r>
    <x v="5"/>
    <x v="4"/>
    <x v="45"/>
    <x v="4"/>
    <x v="4"/>
    <x v="1"/>
    <n v="1.19"/>
    <n v="1.28"/>
    <n v="7.0000000000000007E-2"/>
    <n v="0.99"/>
  </r>
  <r>
    <x v="5"/>
    <x v="4"/>
    <x v="45"/>
    <x v="0"/>
    <x v="4"/>
    <x v="0"/>
    <n v="5.23"/>
    <n v="5.6"/>
    <n v="1.91"/>
    <n v="4.6900000000000004"/>
  </r>
  <r>
    <x v="5"/>
    <x v="4"/>
    <x v="45"/>
    <x v="0"/>
    <x v="0"/>
    <x v="1"/>
    <n v="4.96"/>
    <n v="5.31"/>
    <n v="0.12"/>
    <n v="4.16"/>
  </r>
  <r>
    <x v="5"/>
    <x v="4"/>
    <x v="45"/>
    <x v="0"/>
    <x v="4"/>
    <x v="1"/>
    <n v="2.4"/>
    <n v="2.57"/>
    <n v="0.06"/>
    <n v="2"/>
  </r>
  <r>
    <x v="5"/>
    <x v="4"/>
    <x v="45"/>
    <x v="0"/>
    <x v="1"/>
    <x v="1"/>
    <n v="0.2"/>
    <n v="0.21"/>
    <n v="0"/>
    <n v="0.2"/>
  </r>
  <r>
    <x v="5"/>
    <x v="4"/>
    <x v="45"/>
    <x v="0"/>
    <x v="3"/>
    <x v="1"/>
    <n v="0.18"/>
    <n v="0.19"/>
    <n v="0"/>
    <n v="0.18"/>
  </r>
  <r>
    <x v="5"/>
    <x v="4"/>
    <x v="45"/>
    <x v="3"/>
    <x v="4"/>
    <x v="0"/>
    <n v="3.97"/>
    <n v="4.24"/>
    <n v="1.99"/>
    <n v="3.82"/>
  </r>
  <r>
    <x v="5"/>
    <x v="4"/>
    <x v="45"/>
    <x v="4"/>
    <x v="0"/>
    <x v="1"/>
    <n v="0.54"/>
    <n v="0.57999999999999996"/>
    <n v="0.04"/>
    <n v="0.46"/>
  </r>
  <r>
    <x v="5"/>
    <x v="4"/>
    <x v="45"/>
    <x v="1"/>
    <x v="0"/>
    <x v="1"/>
    <n v="3.72"/>
    <n v="3.98"/>
    <n v="0.15"/>
    <n v="3.14"/>
  </r>
  <r>
    <x v="5"/>
    <x v="4"/>
    <x v="45"/>
    <x v="4"/>
    <x v="4"/>
    <x v="0"/>
    <n v="27.58"/>
    <n v="29.51"/>
    <n v="3.84"/>
    <n v="24.02"/>
  </r>
  <r>
    <x v="5"/>
    <x v="4"/>
    <x v="45"/>
    <x v="3"/>
    <x v="0"/>
    <x v="0"/>
    <n v="0.57999999999999996"/>
    <n v="0.62"/>
    <n v="0.47"/>
    <n v="0.56999999999999995"/>
  </r>
  <r>
    <x v="5"/>
    <x v="4"/>
    <x v="45"/>
    <x v="2"/>
    <x v="3"/>
    <x v="1"/>
    <n v="1.97"/>
    <n v="2.11"/>
    <n v="0"/>
    <n v="1.66"/>
  </r>
  <r>
    <x v="5"/>
    <x v="4"/>
    <x v="45"/>
    <x v="2"/>
    <x v="4"/>
    <x v="1"/>
    <n v="0.98"/>
    <n v="1.05"/>
    <n v="0"/>
    <n v="0.82"/>
  </r>
  <r>
    <x v="5"/>
    <x v="4"/>
    <x v="45"/>
    <x v="1"/>
    <x v="2"/>
    <x v="1"/>
    <n v="15.4"/>
    <n v="16.47"/>
    <n v="0.05"/>
    <n v="12.83"/>
  </r>
  <r>
    <x v="5"/>
    <x v="4"/>
    <x v="45"/>
    <x v="1"/>
    <x v="1"/>
    <x v="1"/>
    <n v="8.56"/>
    <n v="9.16"/>
    <n v="7.0000000000000007E-2"/>
    <n v="7.14"/>
  </r>
  <r>
    <x v="5"/>
    <x v="4"/>
    <x v="45"/>
    <x v="1"/>
    <x v="4"/>
    <x v="1"/>
    <n v="2.35"/>
    <n v="2.52"/>
    <n v="0.06"/>
    <n v="1.96"/>
  </r>
  <r>
    <x v="5"/>
    <x v="4"/>
    <x v="45"/>
    <x v="4"/>
    <x v="1"/>
    <x v="0"/>
    <n v="17.48"/>
    <n v="18.7"/>
    <n v="1.04"/>
    <n v="15.09"/>
  </r>
  <r>
    <x v="5"/>
    <x v="6"/>
    <x v="46"/>
    <x v="2"/>
    <x v="4"/>
    <x v="0"/>
    <n v="8.02"/>
    <n v="8.9499999999999993"/>
    <n v="1.9"/>
    <n v="7.23"/>
  </r>
  <r>
    <x v="5"/>
    <x v="6"/>
    <x v="46"/>
    <x v="0"/>
    <x v="0"/>
    <x v="0"/>
    <n v="2.63"/>
    <n v="2.93"/>
    <n v="1.49"/>
    <n v="2.2400000000000002"/>
  </r>
  <r>
    <x v="5"/>
    <x v="6"/>
    <x v="46"/>
    <x v="1"/>
    <x v="2"/>
    <x v="0"/>
    <n v="1.85"/>
    <n v="2.06"/>
    <n v="0.01"/>
    <n v="1.54"/>
  </r>
  <r>
    <x v="5"/>
    <x v="6"/>
    <x v="46"/>
    <x v="1"/>
    <x v="4"/>
    <x v="0"/>
    <n v="82.8"/>
    <n v="92.33"/>
    <n v="19.23"/>
    <n v="74.28"/>
  </r>
  <r>
    <x v="5"/>
    <x v="6"/>
    <x v="46"/>
    <x v="1"/>
    <x v="0"/>
    <x v="0"/>
    <n v="7.67"/>
    <n v="8.5500000000000007"/>
    <n v="4.1100000000000003"/>
    <n v="6.7"/>
  </r>
  <r>
    <x v="5"/>
    <x v="6"/>
    <x v="46"/>
    <x v="0"/>
    <x v="4"/>
    <x v="0"/>
    <n v="5.97"/>
    <n v="6.66"/>
    <n v="2.31"/>
    <n v="5.18"/>
  </r>
  <r>
    <x v="5"/>
    <x v="6"/>
    <x v="46"/>
    <x v="4"/>
    <x v="1"/>
    <x v="0"/>
    <n v="2.99"/>
    <n v="3.34"/>
    <n v="0.19"/>
    <n v="2.54"/>
  </r>
  <r>
    <x v="5"/>
    <x v="6"/>
    <x v="46"/>
    <x v="4"/>
    <x v="4"/>
    <x v="0"/>
    <n v="20.18"/>
    <n v="22.51"/>
    <n v="5.29"/>
    <n v="18.22"/>
  </r>
  <r>
    <x v="5"/>
    <x v="6"/>
    <x v="46"/>
    <x v="3"/>
    <x v="4"/>
    <x v="0"/>
    <n v="0.98"/>
    <n v="1.0900000000000001"/>
    <n v="0.1"/>
    <n v="0.85"/>
  </r>
  <r>
    <x v="5"/>
    <x v="6"/>
    <x v="46"/>
    <x v="3"/>
    <x v="0"/>
    <x v="0"/>
    <n v="0"/>
    <n v="0"/>
    <n v="0"/>
    <n v="0"/>
  </r>
  <r>
    <x v="5"/>
    <x v="6"/>
    <x v="46"/>
    <x v="1"/>
    <x v="3"/>
    <x v="1"/>
    <n v="0.67"/>
    <n v="0.74"/>
    <n v="0.01"/>
    <n v="0.55000000000000004"/>
  </r>
  <r>
    <x v="5"/>
    <x v="6"/>
    <x v="46"/>
    <x v="1"/>
    <x v="1"/>
    <x v="0"/>
    <n v="14.32"/>
    <n v="15.97"/>
    <n v="0.76"/>
    <n v="12.29"/>
  </r>
  <r>
    <x v="5"/>
    <x v="6"/>
    <x v="46"/>
    <x v="2"/>
    <x v="4"/>
    <x v="1"/>
    <n v="1.62"/>
    <n v="1.81"/>
    <n v="0"/>
    <n v="1.62"/>
  </r>
  <r>
    <x v="5"/>
    <x v="6"/>
    <x v="46"/>
    <x v="4"/>
    <x v="0"/>
    <x v="1"/>
    <n v="0.35"/>
    <n v="0.39"/>
    <n v="0.03"/>
    <n v="0.28999999999999998"/>
  </r>
  <r>
    <x v="5"/>
    <x v="6"/>
    <x v="46"/>
    <x v="2"/>
    <x v="0"/>
    <x v="0"/>
    <n v="4.76"/>
    <n v="5.31"/>
    <n v="3.32"/>
    <n v="4.3099999999999996"/>
  </r>
  <r>
    <x v="5"/>
    <x v="6"/>
    <x v="46"/>
    <x v="4"/>
    <x v="2"/>
    <x v="2"/>
    <n v="0.32"/>
    <n v="0.36"/>
    <n v="0.01"/>
    <n v="0.27"/>
  </r>
  <r>
    <x v="5"/>
    <x v="6"/>
    <x v="46"/>
    <x v="1"/>
    <x v="4"/>
    <x v="2"/>
    <n v="0.47"/>
    <n v="0.52"/>
    <n v="0.02"/>
    <n v="0.39"/>
  </r>
  <r>
    <x v="5"/>
    <x v="6"/>
    <x v="46"/>
    <x v="2"/>
    <x v="3"/>
    <x v="3"/>
    <n v="29.61"/>
    <n v="33.020000000000003"/>
    <n v="0.02"/>
    <n v="26.78"/>
  </r>
  <r>
    <x v="5"/>
    <x v="6"/>
    <x v="46"/>
    <x v="4"/>
    <x v="4"/>
    <x v="1"/>
    <n v="0.39"/>
    <n v="0.44"/>
    <n v="0.02"/>
    <n v="0.33"/>
  </r>
  <r>
    <x v="5"/>
    <x v="6"/>
    <x v="46"/>
    <x v="4"/>
    <x v="1"/>
    <x v="1"/>
    <n v="0.42"/>
    <n v="0.46"/>
    <n v="0.01"/>
    <n v="0.35"/>
  </r>
  <r>
    <x v="5"/>
    <x v="6"/>
    <x v="46"/>
    <x v="0"/>
    <x v="0"/>
    <x v="1"/>
    <n v="2.4500000000000002"/>
    <n v="2.73"/>
    <n v="0.05"/>
    <n v="2.09"/>
  </r>
  <r>
    <x v="5"/>
    <x v="6"/>
    <x v="46"/>
    <x v="1"/>
    <x v="1"/>
    <x v="1"/>
    <n v="5.56"/>
    <n v="6.19"/>
    <n v="0.05"/>
    <n v="4.6900000000000004"/>
  </r>
  <r>
    <x v="5"/>
    <x v="6"/>
    <x v="46"/>
    <x v="0"/>
    <x v="1"/>
    <x v="1"/>
    <n v="0.16"/>
    <n v="0.18"/>
    <n v="0"/>
    <n v="0.16"/>
  </r>
  <r>
    <x v="5"/>
    <x v="6"/>
    <x v="46"/>
    <x v="0"/>
    <x v="3"/>
    <x v="1"/>
    <n v="0.16"/>
    <n v="0.18"/>
    <n v="0"/>
    <n v="0.16"/>
  </r>
  <r>
    <x v="5"/>
    <x v="6"/>
    <x v="46"/>
    <x v="1"/>
    <x v="2"/>
    <x v="1"/>
    <n v="8.57"/>
    <n v="9.56"/>
    <n v="0.02"/>
    <n v="7.27"/>
  </r>
  <r>
    <x v="5"/>
    <x v="6"/>
    <x v="46"/>
    <x v="1"/>
    <x v="0"/>
    <x v="1"/>
    <n v="2.06"/>
    <n v="2.2999999999999998"/>
    <n v="0.09"/>
    <n v="1.74"/>
  </r>
  <r>
    <x v="5"/>
    <x v="6"/>
    <x v="46"/>
    <x v="1"/>
    <x v="4"/>
    <x v="1"/>
    <n v="0.55000000000000004"/>
    <n v="0.61"/>
    <n v="0.02"/>
    <n v="0.46"/>
  </r>
  <r>
    <x v="5"/>
    <x v="6"/>
    <x v="46"/>
    <x v="0"/>
    <x v="4"/>
    <x v="1"/>
    <n v="0.8"/>
    <n v="0.89"/>
    <n v="0.02"/>
    <n v="0.67"/>
  </r>
  <r>
    <x v="5"/>
    <x v="6"/>
    <x v="46"/>
    <x v="1"/>
    <x v="1"/>
    <x v="2"/>
    <n v="0.7"/>
    <n v="0.78"/>
    <n v="0.01"/>
    <n v="0.57999999999999996"/>
  </r>
  <r>
    <x v="5"/>
    <x v="7"/>
    <x v="47"/>
    <x v="3"/>
    <x v="4"/>
    <x v="0"/>
    <n v="2.69"/>
    <n v="3.85"/>
    <n v="0.49"/>
    <n v="2.57"/>
  </r>
  <r>
    <x v="5"/>
    <x v="7"/>
    <x v="47"/>
    <x v="3"/>
    <x v="0"/>
    <x v="0"/>
    <n v="0.19"/>
    <n v="0.27"/>
    <n v="0.11"/>
    <n v="0.18"/>
  </r>
  <r>
    <x v="5"/>
    <x v="7"/>
    <x v="47"/>
    <x v="2"/>
    <x v="3"/>
    <x v="1"/>
    <n v="0.3"/>
    <n v="0.43"/>
    <n v="0"/>
    <n v="0.28000000000000003"/>
  </r>
  <r>
    <x v="5"/>
    <x v="7"/>
    <x v="47"/>
    <x v="1"/>
    <x v="2"/>
    <x v="1"/>
    <n v="6.42"/>
    <n v="9.18"/>
    <n v="0.03"/>
    <n v="5.93"/>
  </r>
  <r>
    <x v="5"/>
    <x v="7"/>
    <x v="47"/>
    <x v="1"/>
    <x v="1"/>
    <x v="1"/>
    <n v="0.86"/>
    <n v="1.23"/>
    <n v="0.01"/>
    <n v="0.8"/>
  </r>
  <r>
    <x v="5"/>
    <x v="7"/>
    <x v="47"/>
    <x v="1"/>
    <x v="0"/>
    <x v="1"/>
    <n v="0.8"/>
    <n v="1.1499999999999999"/>
    <n v="0.04"/>
    <n v="0.74"/>
  </r>
  <r>
    <x v="5"/>
    <x v="7"/>
    <x v="47"/>
    <x v="4"/>
    <x v="4"/>
    <x v="0"/>
    <n v="32.159999999999997"/>
    <n v="45.98"/>
    <n v="4.59"/>
    <n v="29.83"/>
  </r>
  <r>
    <x v="5"/>
    <x v="7"/>
    <x v="47"/>
    <x v="2"/>
    <x v="4"/>
    <x v="0"/>
    <n v="1.88"/>
    <n v="2.68"/>
    <n v="0.64"/>
    <n v="1.8"/>
  </r>
  <r>
    <x v="5"/>
    <x v="7"/>
    <x v="47"/>
    <x v="1"/>
    <x v="4"/>
    <x v="1"/>
    <n v="0.12"/>
    <n v="0.18"/>
    <n v="0.01"/>
    <n v="0.11"/>
  </r>
  <r>
    <x v="5"/>
    <x v="7"/>
    <x v="47"/>
    <x v="4"/>
    <x v="1"/>
    <x v="0"/>
    <n v="7.64"/>
    <n v="10.93"/>
    <n v="0.51"/>
    <n v="7.06"/>
  </r>
  <r>
    <x v="5"/>
    <x v="7"/>
    <x v="47"/>
    <x v="0"/>
    <x v="0"/>
    <x v="0"/>
    <n v="8.1999999999999993"/>
    <n v="11.72"/>
    <n v="5.9"/>
    <n v="7.41"/>
  </r>
  <r>
    <x v="5"/>
    <x v="7"/>
    <x v="47"/>
    <x v="0"/>
    <x v="2"/>
    <x v="0"/>
    <n v="0.8"/>
    <n v="1.1499999999999999"/>
    <n v="0.01"/>
    <n v="0.78"/>
  </r>
  <r>
    <x v="5"/>
    <x v="7"/>
    <x v="47"/>
    <x v="1"/>
    <x v="4"/>
    <x v="0"/>
    <n v="73.31"/>
    <n v="104.83"/>
    <n v="13.73"/>
    <n v="67.790000000000006"/>
  </r>
  <r>
    <x v="5"/>
    <x v="7"/>
    <x v="47"/>
    <x v="1"/>
    <x v="1"/>
    <x v="0"/>
    <n v="12.64"/>
    <n v="18.079999999999998"/>
    <n v="0.69"/>
    <n v="11.61"/>
  </r>
  <r>
    <x v="5"/>
    <x v="7"/>
    <x v="47"/>
    <x v="0"/>
    <x v="4"/>
    <x v="1"/>
    <n v="0.06"/>
    <n v="0.08"/>
    <n v="0"/>
    <n v="0.05"/>
  </r>
  <r>
    <x v="5"/>
    <x v="7"/>
    <x v="47"/>
    <x v="2"/>
    <x v="0"/>
    <x v="0"/>
    <n v="3.66"/>
    <n v="5.24"/>
    <n v="3.35"/>
    <n v="3.49"/>
  </r>
  <r>
    <x v="5"/>
    <x v="7"/>
    <x v="47"/>
    <x v="0"/>
    <x v="4"/>
    <x v="0"/>
    <n v="9.65"/>
    <n v="13.8"/>
    <n v="2.79"/>
    <n v="9.0399999999999991"/>
  </r>
  <r>
    <x v="5"/>
    <x v="7"/>
    <x v="47"/>
    <x v="1"/>
    <x v="2"/>
    <x v="0"/>
    <n v="2.0099999999999998"/>
    <n v="2.87"/>
    <n v="0.03"/>
    <n v="1.85"/>
  </r>
  <r>
    <x v="5"/>
    <x v="7"/>
    <x v="47"/>
    <x v="4"/>
    <x v="1"/>
    <x v="1"/>
    <n v="0.04"/>
    <n v="0.06"/>
    <n v="0"/>
    <n v="0.04"/>
  </r>
  <r>
    <x v="5"/>
    <x v="7"/>
    <x v="47"/>
    <x v="4"/>
    <x v="4"/>
    <x v="1"/>
    <n v="0.16"/>
    <n v="0.22"/>
    <n v="0"/>
    <n v="0.14000000000000001"/>
  </r>
  <r>
    <x v="5"/>
    <x v="7"/>
    <x v="47"/>
    <x v="2"/>
    <x v="3"/>
    <x v="3"/>
    <n v="26.61"/>
    <n v="38.06"/>
    <n v="0.01"/>
    <n v="26.61"/>
  </r>
  <r>
    <x v="5"/>
    <x v="7"/>
    <x v="47"/>
    <x v="2"/>
    <x v="3"/>
    <x v="2"/>
    <n v="1.4"/>
    <n v="2"/>
    <n v="0.01"/>
    <n v="1.24"/>
  </r>
  <r>
    <x v="5"/>
    <x v="7"/>
    <x v="47"/>
    <x v="4"/>
    <x v="4"/>
    <x v="2"/>
    <n v="0.21"/>
    <n v="0.31"/>
    <n v="0.01"/>
    <n v="0.19"/>
  </r>
  <r>
    <x v="5"/>
    <x v="7"/>
    <x v="47"/>
    <x v="0"/>
    <x v="0"/>
    <x v="1"/>
    <n v="2.21"/>
    <n v="3.17"/>
    <n v="7.0000000000000007E-2"/>
    <n v="2.06"/>
  </r>
  <r>
    <x v="5"/>
    <x v="7"/>
    <x v="47"/>
    <x v="1"/>
    <x v="0"/>
    <x v="0"/>
    <n v="11.88"/>
    <n v="16.989999999999998"/>
    <n v="5.25"/>
    <n v="11.07"/>
  </r>
  <r>
    <x v="5"/>
    <x v="2"/>
    <x v="48"/>
    <x v="1"/>
    <x v="0"/>
    <x v="1"/>
    <n v="29.98"/>
    <n v="30.67"/>
    <n v="1.84"/>
    <n v="28.98"/>
  </r>
  <r>
    <x v="5"/>
    <x v="2"/>
    <x v="48"/>
    <x v="4"/>
    <x v="4"/>
    <x v="2"/>
    <n v="0.56000000000000005"/>
    <n v="0.56999999999999995"/>
    <n v="0.03"/>
    <n v="0.49"/>
  </r>
  <r>
    <x v="5"/>
    <x v="2"/>
    <x v="48"/>
    <x v="1"/>
    <x v="2"/>
    <x v="2"/>
    <n v="2.75"/>
    <n v="2.82"/>
    <n v="0.01"/>
    <n v="2.4500000000000002"/>
  </r>
  <r>
    <x v="5"/>
    <x v="2"/>
    <x v="48"/>
    <x v="2"/>
    <x v="3"/>
    <x v="2"/>
    <n v="6.62"/>
    <n v="6.77"/>
    <n v="0.01"/>
    <n v="5.76"/>
  </r>
  <r>
    <x v="5"/>
    <x v="2"/>
    <x v="48"/>
    <x v="2"/>
    <x v="1"/>
    <x v="3"/>
    <n v="31.1"/>
    <n v="31.83"/>
    <n v="0.01"/>
    <n v="28.97"/>
  </r>
  <r>
    <x v="5"/>
    <x v="2"/>
    <x v="48"/>
    <x v="2"/>
    <x v="3"/>
    <x v="3"/>
    <n v="94.02"/>
    <n v="96.2"/>
    <n v="0.05"/>
    <n v="94.02"/>
  </r>
  <r>
    <x v="5"/>
    <x v="2"/>
    <x v="48"/>
    <x v="2"/>
    <x v="0"/>
    <x v="0"/>
    <n v="23.31"/>
    <n v="23.85"/>
    <n v="10.49"/>
    <n v="22.21"/>
  </r>
  <r>
    <x v="5"/>
    <x v="2"/>
    <x v="48"/>
    <x v="2"/>
    <x v="4"/>
    <x v="0"/>
    <n v="29.02"/>
    <n v="29.7"/>
    <n v="3.17"/>
    <n v="27.19"/>
  </r>
  <r>
    <x v="5"/>
    <x v="2"/>
    <x v="48"/>
    <x v="1"/>
    <x v="2"/>
    <x v="0"/>
    <n v="18.13"/>
    <n v="18.55"/>
    <n v="0.18"/>
    <n v="16.510000000000002"/>
  </r>
  <r>
    <x v="5"/>
    <x v="2"/>
    <x v="48"/>
    <x v="1"/>
    <x v="4"/>
    <x v="1"/>
    <n v="8.89"/>
    <n v="9.09"/>
    <n v="0.49"/>
    <n v="8.7899999999999991"/>
  </r>
  <r>
    <x v="5"/>
    <x v="2"/>
    <x v="48"/>
    <x v="1"/>
    <x v="0"/>
    <x v="0"/>
    <n v="43.39"/>
    <n v="44.39"/>
    <n v="23.6"/>
    <n v="41.56"/>
  </r>
  <r>
    <x v="5"/>
    <x v="2"/>
    <x v="48"/>
    <x v="0"/>
    <x v="4"/>
    <x v="1"/>
    <n v="0.61"/>
    <n v="0.63"/>
    <n v="0.01"/>
    <n v="0.55000000000000004"/>
  </r>
  <r>
    <x v="5"/>
    <x v="2"/>
    <x v="48"/>
    <x v="0"/>
    <x v="0"/>
    <x v="1"/>
    <n v="19.54"/>
    <n v="19.989999999999998"/>
    <n v="0.57999999999999996"/>
    <n v="17.600000000000001"/>
  </r>
  <r>
    <x v="5"/>
    <x v="2"/>
    <x v="48"/>
    <x v="4"/>
    <x v="1"/>
    <x v="1"/>
    <n v="1.39"/>
    <n v="1.43"/>
    <n v="7.0000000000000007E-2"/>
    <n v="1.35"/>
  </r>
  <r>
    <x v="5"/>
    <x v="2"/>
    <x v="48"/>
    <x v="4"/>
    <x v="4"/>
    <x v="1"/>
    <n v="1.35"/>
    <n v="1.38"/>
    <n v="0.02"/>
    <n v="1.23"/>
  </r>
  <r>
    <x v="5"/>
    <x v="2"/>
    <x v="48"/>
    <x v="1"/>
    <x v="1"/>
    <x v="1"/>
    <n v="52.91"/>
    <n v="54.14"/>
    <n v="0.9"/>
    <n v="52.37"/>
  </r>
  <r>
    <x v="5"/>
    <x v="2"/>
    <x v="48"/>
    <x v="3"/>
    <x v="4"/>
    <x v="0"/>
    <n v="112.68"/>
    <n v="115.29"/>
    <n v="22.39"/>
    <n v="105.5"/>
  </r>
  <r>
    <x v="5"/>
    <x v="2"/>
    <x v="48"/>
    <x v="0"/>
    <x v="4"/>
    <x v="0"/>
    <n v="60.19"/>
    <n v="61.58"/>
    <n v="14.08"/>
    <n v="56.99"/>
  </r>
  <r>
    <x v="5"/>
    <x v="2"/>
    <x v="48"/>
    <x v="0"/>
    <x v="0"/>
    <x v="0"/>
    <n v="12.08"/>
    <n v="12.36"/>
    <n v="7.13"/>
    <n v="11.11"/>
  </r>
  <r>
    <x v="5"/>
    <x v="2"/>
    <x v="48"/>
    <x v="4"/>
    <x v="3"/>
    <x v="0"/>
    <n v="3.05"/>
    <n v="3.12"/>
    <n v="0"/>
    <n v="2.81"/>
  </r>
  <r>
    <x v="5"/>
    <x v="2"/>
    <x v="48"/>
    <x v="4"/>
    <x v="2"/>
    <x v="0"/>
    <n v="2.29"/>
    <n v="2.35"/>
    <n v="0.01"/>
    <n v="2.11"/>
  </r>
  <r>
    <x v="5"/>
    <x v="2"/>
    <x v="48"/>
    <x v="4"/>
    <x v="1"/>
    <x v="0"/>
    <n v="59.73"/>
    <n v="61.11"/>
    <n v="3.25"/>
    <n v="55.38"/>
  </r>
  <r>
    <x v="5"/>
    <x v="2"/>
    <x v="48"/>
    <x v="4"/>
    <x v="4"/>
    <x v="0"/>
    <n v="363.98"/>
    <n v="372.41"/>
    <n v="41.02"/>
    <n v="339.86"/>
  </r>
  <r>
    <x v="5"/>
    <x v="2"/>
    <x v="48"/>
    <x v="4"/>
    <x v="2"/>
    <x v="2"/>
    <n v="1.1299999999999999"/>
    <n v="1.1499999999999999"/>
    <n v="0"/>
    <n v="0.98"/>
  </r>
  <r>
    <x v="5"/>
    <x v="2"/>
    <x v="48"/>
    <x v="1"/>
    <x v="1"/>
    <x v="0"/>
    <n v="123.99"/>
    <n v="126.87"/>
    <n v="9.74"/>
    <n v="116.91"/>
  </r>
  <r>
    <x v="5"/>
    <x v="2"/>
    <x v="48"/>
    <x v="4"/>
    <x v="1"/>
    <x v="2"/>
    <n v="0.15"/>
    <n v="0.15"/>
    <n v="0"/>
    <n v="0.13"/>
  </r>
  <r>
    <x v="5"/>
    <x v="2"/>
    <x v="48"/>
    <x v="1"/>
    <x v="4"/>
    <x v="2"/>
    <n v="6.15"/>
    <n v="6.29"/>
    <n v="0.09"/>
    <n v="5.35"/>
  </r>
  <r>
    <x v="5"/>
    <x v="2"/>
    <x v="48"/>
    <x v="3"/>
    <x v="0"/>
    <x v="0"/>
    <n v="16.16"/>
    <n v="16.53"/>
    <n v="11.75"/>
    <n v="15.91"/>
  </r>
  <r>
    <x v="5"/>
    <x v="2"/>
    <x v="48"/>
    <x v="2"/>
    <x v="3"/>
    <x v="1"/>
    <n v="12.53"/>
    <n v="12.82"/>
    <n v="0.03"/>
    <n v="12.13"/>
  </r>
  <r>
    <x v="5"/>
    <x v="2"/>
    <x v="48"/>
    <x v="1"/>
    <x v="3"/>
    <x v="1"/>
    <n v="1.1399999999999999"/>
    <n v="1.17"/>
    <n v="0.01"/>
    <n v="1.1399999999999999"/>
  </r>
  <r>
    <x v="5"/>
    <x v="2"/>
    <x v="48"/>
    <x v="1"/>
    <x v="2"/>
    <x v="1"/>
    <n v="92.22"/>
    <n v="94.36"/>
    <n v="0.74"/>
    <n v="87.1"/>
  </r>
  <r>
    <x v="5"/>
    <x v="2"/>
    <x v="48"/>
    <x v="1"/>
    <x v="4"/>
    <x v="0"/>
    <n v="841.23"/>
    <n v="860.73"/>
    <n v="141.29"/>
    <n v="792.41"/>
  </r>
  <r>
    <x v="5"/>
    <x v="2"/>
    <x v="48"/>
    <x v="4"/>
    <x v="0"/>
    <x v="1"/>
    <n v="4.24"/>
    <n v="4.34"/>
    <n v="0.35"/>
    <n v="3.98"/>
  </r>
  <r>
    <x v="5"/>
    <x v="2"/>
    <x v="48"/>
    <x v="3"/>
    <x v="1"/>
    <x v="0"/>
    <n v="0.19"/>
    <n v="0.19"/>
    <n v="0.02"/>
    <n v="0.18"/>
  </r>
  <r>
    <x v="5"/>
    <x v="3"/>
    <x v="49"/>
    <x v="4"/>
    <x v="4"/>
    <x v="0"/>
    <n v="3001.37"/>
    <n v="3001.37"/>
    <n v="336.98"/>
    <n v="2910.21"/>
  </r>
  <r>
    <x v="5"/>
    <x v="3"/>
    <x v="49"/>
    <x v="4"/>
    <x v="0"/>
    <x v="0"/>
    <n v="8.07"/>
    <n v="8.07"/>
    <n v="6.89"/>
    <n v="7.78"/>
  </r>
  <r>
    <x v="5"/>
    <x v="3"/>
    <x v="49"/>
    <x v="4"/>
    <x v="4"/>
    <x v="2"/>
    <n v="69"/>
    <n v="69"/>
    <n v="2.12"/>
    <n v="62.5"/>
  </r>
  <r>
    <x v="5"/>
    <x v="3"/>
    <x v="49"/>
    <x v="4"/>
    <x v="1"/>
    <x v="2"/>
    <n v="8.58"/>
    <n v="8.58"/>
    <n v="0.08"/>
    <n v="7.77"/>
  </r>
  <r>
    <x v="5"/>
    <x v="3"/>
    <x v="49"/>
    <x v="3"/>
    <x v="1"/>
    <x v="0"/>
    <n v="15.78"/>
    <n v="15.78"/>
    <n v="1.9"/>
    <n v="15.71"/>
  </r>
  <r>
    <x v="5"/>
    <x v="3"/>
    <x v="49"/>
    <x v="1"/>
    <x v="4"/>
    <x v="2"/>
    <n v="20.69"/>
    <n v="20.69"/>
    <n v="0.86"/>
    <n v="18.739999999999998"/>
  </r>
  <r>
    <x v="5"/>
    <x v="3"/>
    <x v="49"/>
    <x v="1"/>
    <x v="1"/>
    <x v="2"/>
    <n v="0.83"/>
    <n v="0.83"/>
    <n v="0.1"/>
    <n v="0.76"/>
  </r>
  <r>
    <x v="5"/>
    <x v="3"/>
    <x v="49"/>
    <x v="1"/>
    <x v="2"/>
    <x v="2"/>
    <n v="0.96"/>
    <n v="0.96"/>
    <n v="0.02"/>
    <n v="0.87"/>
  </r>
  <r>
    <x v="5"/>
    <x v="3"/>
    <x v="49"/>
    <x v="4"/>
    <x v="2"/>
    <x v="2"/>
    <n v="7.4"/>
    <n v="7.4"/>
    <n v="0.03"/>
    <n v="6.7"/>
  </r>
  <r>
    <x v="5"/>
    <x v="3"/>
    <x v="49"/>
    <x v="3"/>
    <x v="0"/>
    <x v="0"/>
    <n v="240.25"/>
    <n v="240.25"/>
    <n v="215.59"/>
    <n v="231.94"/>
  </r>
  <r>
    <x v="5"/>
    <x v="3"/>
    <x v="49"/>
    <x v="2"/>
    <x v="4"/>
    <x v="1"/>
    <n v="4.24"/>
    <n v="4.24"/>
    <n v="0.01"/>
    <n v="4.05"/>
  </r>
  <r>
    <x v="5"/>
    <x v="3"/>
    <x v="49"/>
    <x v="1"/>
    <x v="2"/>
    <x v="1"/>
    <n v="482.66"/>
    <n v="482.66"/>
    <n v="2.27"/>
    <n v="439.85"/>
  </r>
  <r>
    <x v="5"/>
    <x v="3"/>
    <x v="49"/>
    <x v="1"/>
    <x v="1"/>
    <x v="1"/>
    <n v="279.81"/>
    <n v="279.81"/>
    <n v="4.1399999999999997"/>
    <n v="250.8"/>
  </r>
  <r>
    <x v="5"/>
    <x v="3"/>
    <x v="49"/>
    <x v="1"/>
    <x v="4"/>
    <x v="1"/>
    <n v="42.77"/>
    <n v="42.77"/>
    <n v="1.7"/>
    <n v="38.24"/>
  </r>
  <r>
    <x v="5"/>
    <x v="3"/>
    <x v="49"/>
    <x v="0"/>
    <x v="4"/>
    <x v="1"/>
    <n v="6.98"/>
    <n v="6.98"/>
    <n v="0.12"/>
    <n v="6.41"/>
  </r>
  <r>
    <x v="5"/>
    <x v="3"/>
    <x v="49"/>
    <x v="1"/>
    <x v="0"/>
    <x v="1"/>
    <n v="165.46"/>
    <n v="165.46"/>
    <n v="9.35"/>
    <n v="148.74"/>
  </r>
  <r>
    <x v="5"/>
    <x v="3"/>
    <x v="49"/>
    <x v="0"/>
    <x v="1"/>
    <x v="1"/>
    <n v="2.0099999999999998"/>
    <n v="2.0099999999999998"/>
    <n v="0.03"/>
    <n v="1.75"/>
  </r>
  <r>
    <x v="5"/>
    <x v="3"/>
    <x v="49"/>
    <x v="2"/>
    <x v="1"/>
    <x v="2"/>
    <n v="9.35"/>
    <n v="9.35"/>
    <n v="0.02"/>
    <n v="8.92"/>
  </r>
  <r>
    <x v="5"/>
    <x v="3"/>
    <x v="49"/>
    <x v="3"/>
    <x v="4"/>
    <x v="0"/>
    <n v="4585.91"/>
    <n v="4585.91"/>
    <n v="1557.55"/>
    <n v="4518.3599999999997"/>
  </r>
  <r>
    <x v="5"/>
    <x v="3"/>
    <x v="49"/>
    <x v="1"/>
    <x v="3"/>
    <x v="1"/>
    <n v="5.99"/>
    <n v="5.99"/>
    <n v="0.05"/>
    <n v="5.25"/>
  </r>
  <r>
    <x v="5"/>
    <x v="3"/>
    <x v="49"/>
    <x v="4"/>
    <x v="0"/>
    <x v="1"/>
    <n v="15.92"/>
    <n v="15.92"/>
    <n v="2.56"/>
    <n v="13.95"/>
  </r>
  <r>
    <x v="5"/>
    <x v="3"/>
    <x v="49"/>
    <x v="2"/>
    <x v="3"/>
    <x v="1"/>
    <n v="28.81"/>
    <n v="28.81"/>
    <n v="0.05"/>
    <n v="26.91"/>
  </r>
  <r>
    <x v="5"/>
    <x v="3"/>
    <x v="49"/>
    <x v="4"/>
    <x v="1"/>
    <x v="0"/>
    <n v="619.11"/>
    <n v="619.11"/>
    <n v="29.83"/>
    <n v="603.04999999999995"/>
  </r>
  <r>
    <x v="5"/>
    <x v="3"/>
    <x v="49"/>
    <x v="0"/>
    <x v="0"/>
    <x v="1"/>
    <n v="182.64"/>
    <n v="182.64"/>
    <n v="6.58"/>
    <n v="167.51"/>
  </r>
  <r>
    <x v="5"/>
    <x v="3"/>
    <x v="49"/>
    <x v="4"/>
    <x v="4"/>
    <x v="1"/>
    <n v="3.59"/>
    <n v="3.59"/>
    <n v="0.33"/>
    <n v="3.29"/>
  </r>
  <r>
    <x v="5"/>
    <x v="3"/>
    <x v="49"/>
    <x v="2"/>
    <x v="3"/>
    <x v="3"/>
    <n v="2723.37"/>
    <n v="2723.37"/>
    <n v="0.92"/>
    <n v="2465.15"/>
  </r>
  <r>
    <x v="5"/>
    <x v="3"/>
    <x v="49"/>
    <x v="2"/>
    <x v="1"/>
    <x v="3"/>
    <n v="58.83"/>
    <n v="58.83"/>
    <n v="0.02"/>
    <n v="58.83"/>
  </r>
  <r>
    <x v="5"/>
    <x v="3"/>
    <x v="49"/>
    <x v="2"/>
    <x v="3"/>
    <x v="2"/>
    <n v="99.31"/>
    <n v="99.31"/>
    <n v="0.12"/>
    <n v="93.13"/>
  </r>
  <r>
    <x v="5"/>
    <x v="3"/>
    <x v="49"/>
    <x v="2"/>
    <x v="2"/>
    <x v="2"/>
    <n v="5.77"/>
    <n v="5.77"/>
    <n v="0.02"/>
    <n v="5.51"/>
  </r>
  <r>
    <x v="5"/>
    <x v="3"/>
    <x v="49"/>
    <x v="2"/>
    <x v="4"/>
    <x v="0"/>
    <n v="398.63"/>
    <n v="398.63"/>
    <n v="103.73"/>
    <n v="390.17"/>
  </r>
  <r>
    <x v="5"/>
    <x v="3"/>
    <x v="49"/>
    <x v="2"/>
    <x v="0"/>
    <x v="0"/>
    <n v="302.70999999999998"/>
    <n v="302.70999999999998"/>
    <n v="150.1"/>
    <n v="289.27"/>
  </r>
  <r>
    <x v="5"/>
    <x v="3"/>
    <x v="49"/>
    <x v="0"/>
    <x v="4"/>
    <x v="0"/>
    <n v="493.05"/>
    <n v="493.05"/>
    <n v="178.48"/>
    <n v="478.03"/>
  </r>
  <r>
    <x v="5"/>
    <x v="3"/>
    <x v="49"/>
    <x v="4"/>
    <x v="3"/>
    <x v="0"/>
    <n v="24.64"/>
    <n v="24.64"/>
    <n v="0.19"/>
    <n v="22.85"/>
  </r>
  <r>
    <x v="5"/>
    <x v="3"/>
    <x v="49"/>
    <x v="1"/>
    <x v="2"/>
    <x v="0"/>
    <n v="288.39"/>
    <n v="288.39"/>
    <n v="1.97"/>
    <n v="263.17"/>
  </r>
  <r>
    <x v="5"/>
    <x v="3"/>
    <x v="49"/>
    <x v="1"/>
    <x v="1"/>
    <x v="0"/>
    <n v="1191.92"/>
    <n v="1191.92"/>
    <n v="101.31"/>
    <n v="1144.96"/>
  </r>
  <r>
    <x v="5"/>
    <x v="3"/>
    <x v="49"/>
    <x v="1"/>
    <x v="4"/>
    <x v="0"/>
    <n v="7263.01"/>
    <n v="7263.01"/>
    <n v="1451.26"/>
    <n v="6973.88"/>
  </r>
  <r>
    <x v="5"/>
    <x v="3"/>
    <x v="49"/>
    <x v="1"/>
    <x v="0"/>
    <x v="0"/>
    <n v="508.56"/>
    <n v="508.56"/>
    <n v="375.58"/>
    <n v="492.95"/>
  </r>
  <r>
    <x v="5"/>
    <x v="3"/>
    <x v="49"/>
    <x v="0"/>
    <x v="2"/>
    <x v="0"/>
    <n v="2.02"/>
    <n v="2.02"/>
    <n v="0.02"/>
    <n v="2.02"/>
  </r>
  <r>
    <x v="5"/>
    <x v="3"/>
    <x v="49"/>
    <x v="4"/>
    <x v="1"/>
    <x v="1"/>
    <n v="7.01"/>
    <n v="7.01"/>
    <n v="0.37"/>
    <n v="6.31"/>
  </r>
  <r>
    <x v="5"/>
    <x v="3"/>
    <x v="49"/>
    <x v="4"/>
    <x v="2"/>
    <x v="0"/>
    <n v="41.06"/>
    <n v="41.06"/>
    <n v="0.94"/>
    <n v="38.47"/>
  </r>
  <r>
    <x v="5"/>
    <x v="3"/>
    <x v="49"/>
    <x v="0"/>
    <x v="0"/>
    <x v="0"/>
    <n v="79.2"/>
    <n v="79.2"/>
    <n v="26.07"/>
    <n v="73.55"/>
  </r>
  <r>
    <x v="6"/>
    <x v="0"/>
    <x v="0"/>
    <x v="3"/>
    <x v="4"/>
    <x v="0"/>
    <n v="1.57"/>
    <n v="4.2300000000000004"/>
    <n v="0.44"/>
    <n v="1.52"/>
  </r>
  <r>
    <x v="6"/>
    <x v="0"/>
    <x v="0"/>
    <x v="4"/>
    <x v="1"/>
    <x v="2"/>
    <n v="0.51"/>
    <n v="1.38"/>
    <n v="0.01"/>
    <n v="0.48"/>
  </r>
  <r>
    <x v="6"/>
    <x v="0"/>
    <x v="0"/>
    <x v="4"/>
    <x v="2"/>
    <x v="2"/>
    <n v="0.32"/>
    <n v="0.86"/>
    <n v="0"/>
    <n v="0.3"/>
  </r>
  <r>
    <x v="6"/>
    <x v="0"/>
    <x v="0"/>
    <x v="1"/>
    <x v="4"/>
    <x v="2"/>
    <n v="0.35"/>
    <n v="0.93"/>
    <n v="0.02"/>
    <n v="0.33"/>
  </r>
  <r>
    <x v="6"/>
    <x v="0"/>
    <x v="0"/>
    <x v="2"/>
    <x v="3"/>
    <x v="3"/>
    <n v="22"/>
    <n v="59.35"/>
    <n v="0.01"/>
    <n v="21.2"/>
  </r>
  <r>
    <x v="6"/>
    <x v="0"/>
    <x v="0"/>
    <x v="4"/>
    <x v="0"/>
    <x v="1"/>
    <n v="0.38"/>
    <n v="1.02"/>
    <n v="0.03"/>
    <n v="0.36"/>
  </r>
  <r>
    <x v="6"/>
    <x v="0"/>
    <x v="0"/>
    <x v="4"/>
    <x v="4"/>
    <x v="1"/>
    <n v="0.26"/>
    <n v="0.7"/>
    <n v="0.01"/>
    <n v="0.25"/>
  </r>
  <r>
    <x v="6"/>
    <x v="0"/>
    <x v="0"/>
    <x v="4"/>
    <x v="1"/>
    <x v="1"/>
    <n v="0.34"/>
    <n v="0.92"/>
    <n v="0.02"/>
    <n v="0.32"/>
  </r>
  <r>
    <x v="6"/>
    <x v="0"/>
    <x v="0"/>
    <x v="0"/>
    <x v="0"/>
    <x v="1"/>
    <n v="2.31"/>
    <n v="6.22"/>
    <n v="0.05"/>
    <n v="2.2000000000000002"/>
  </r>
  <r>
    <x v="6"/>
    <x v="0"/>
    <x v="0"/>
    <x v="1"/>
    <x v="4"/>
    <x v="1"/>
    <n v="0.53"/>
    <n v="1.42"/>
    <n v="0.02"/>
    <n v="0.49"/>
  </r>
  <r>
    <x v="6"/>
    <x v="0"/>
    <x v="0"/>
    <x v="4"/>
    <x v="4"/>
    <x v="2"/>
    <n v="0.45"/>
    <n v="1.22"/>
    <n v="0.02"/>
    <n v="0.42"/>
  </r>
  <r>
    <x v="6"/>
    <x v="0"/>
    <x v="0"/>
    <x v="3"/>
    <x v="0"/>
    <x v="0"/>
    <n v="0.26"/>
    <n v="0.7"/>
    <n v="0.12"/>
    <n v="0.26"/>
  </r>
  <r>
    <x v="6"/>
    <x v="0"/>
    <x v="0"/>
    <x v="1"/>
    <x v="0"/>
    <x v="1"/>
    <n v="2.02"/>
    <n v="5.44"/>
    <n v="0.12"/>
    <n v="1.92"/>
  </r>
  <r>
    <x v="6"/>
    <x v="0"/>
    <x v="0"/>
    <x v="4"/>
    <x v="4"/>
    <x v="0"/>
    <n v="12.22"/>
    <n v="32.97"/>
    <n v="4.42"/>
    <n v="11.93"/>
  </r>
  <r>
    <x v="6"/>
    <x v="0"/>
    <x v="0"/>
    <x v="4"/>
    <x v="1"/>
    <x v="0"/>
    <n v="4.87"/>
    <n v="13.12"/>
    <n v="0.37"/>
    <n v="4.72"/>
  </r>
  <r>
    <x v="6"/>
    <x v="0"/>
    <x v="0"/>
    <x v="0"/>
    <x v="0"/>
    <x v="0"/>
    <n v="1.02"/>
    <n v="2.76"/>
    <n v="1.93"/>
    <n v="0.97"/>
  </r>
  <r>
    <x v="6"/>
    <x v="0"/>
    <x v="0"/>
    <x v="0"/>
    <x v="4"/>
    <x v="0"/>
    <n v="2.93"/>
    <n v="7.91"/>
    <n v="1.03"/>
    <n v="2.83"/>
  </r>
  <r>
    <x v="6"/>
    <x v="0"/>
    <x v="0"/>
    <x v="1"/>
    <x v="0"/>
    <x v="0"/>
    <n v="2.48"/>
    <n v="6.69"/>
    <n v="1.0900000000000001"/>
    <n v="2.39"/>
  </r>
  <r>
    <x v="6"/>
    <x v="0"/>
    <x v="0"/>
    <x v="1"/>
    <x v="4"/>
    <x v="0"/>
    <n v="32.94"/>
    <n v="88.84"/>
    <n v="5.1100000000000003"/>
    <n v="31.51"/>
  </r>
  <r>
    <x v="6"/>
    <x v="0"/>
    <x v="0"/>
    <x v="1"/>
    <x v="1"/>
    <x v="0"/>
    <n v="5.0199999999999996"/>
    <n v="13.54"/>
    <n v="0.28000000000000003"/>
    <n v="4.7"/>
  </r>
  <r>
    <x v="6"/>
    <x v="0"/>
    <x v="0"/>
    <x v="1"/>
    <x v="2"/>
    <x v="0"/>
    <n v="5.34"/>
    <n v="14.4"/>
    <n v="0.06"/>
    <n v="5.04"/>
  </r>
  <r>
    <x v="6"/>
    <x v="0"/>
    <x v="0"/>
    <x v="2"/>
    <x v="0"/>
    <x v="0"/>
    <n v="1.54"/>
    <n v="4.1500000000000004"/>
    <n v="1.65"/>
    <n v="1.45"/>
  </r>
  <r>
    <x v="6"/>
    <x v="0"/>
    <x v="0"/>
    <x v="2"/>
    <x v="4"/>
    <x v="0"/>
    <n v="1.1200000000000001"/>
    <n v="3.03"/>
    <n v="0.4"/>
    <n v="1.07"/>
  </r>
  <r>
    <x v="6"/>
    <x v="0"/>
    <x v="0"/>
    <x v="1"/>
    <x v="2"/>
    <x v="1"/>
    <n v="11.48"/>
    <n v="30.97"/>
    <n v="0.03"/>
    <n v="10.94"/>
  </r>
  <r>
    <x v="6"/>
    <x v="0"/>
    <x v="0"/>
    <x v="1"/>
    <x v="1"/>
    <x v="1"/>
    <n v="3.36"/>
    <n v="9.07"/>
    <n v="0.05"/>
    <n v="3.19"/>
  </r>
  <r>
    <x v="6"/>
    <x v="1"/>
    <x v="1"/>
    <x v="4"/>
    <x v="2"/>
    <x v="0"/>
    <n v="1.17"/>
    <n v="1.51"/>
    <n v="0.01"/>
    <n v="0.99"/>
  </r>
  <r>
    <x v="6"/>
    <x v="1"/>
    <x v="1"/>
    <x v="1"/>
    <x v="4"/>
    <x v="1"/>
    <n v="3.8"/>
    <n v="4.9400000000000004"/>
    <n v="0.1"/>
    <n v="3.23"/>
  </r>
  <r>
    <x v="6"/>
    <x v="1"/>
    <x v="1"/>
    <x v="1"/>
    <x v="1"/>
    <x v="1"/>
    <n v="15.82"/>
    <n v="20.54"/>
    <n v="0.14000000000000001"/>
    <n v="13.38"/>
  </r>
  <r>
    <x v="6"/>
    <x v="1"/>
    <x v="1"/>
    <x v="1"/>
    <x v="2"/>
    <x v="1"/>
    <n v="18.8"/>
    <n v="24.41"/>
    <n v="0.06"/>
    <n v="16.12"/>
  </r>
  <r>
    <x v="6"/>
    <x v="1"/>
    <x v="1"/>
    <x v="1"/>
    <x v="3"/>
    <x v="1"/>
    <n v="1.48"/>
    <n v="1.92"/>
    <n v="0.01"/>
    <n v="1.38"/>
  </r>
  <r>
    <x v="6"/>
    <x v="1"/>
    <x v="1"/>
    <x v="2"/>
    <x v="4"/>
    <x v="1"/>
    <n v="0.8"/>
    <n v="1.04"/>
    <n v="0"/>
    <n v="0.8"/>
  </r>
  <r>
    <x v="6"/>
    <x v="1"/>
    <x v="1"/>
    <x v="2"/>
    <x v="3"/>
    <x v="1"/>
    <n v="10.09"/>
    <n v="13.1"/>
    <n v="0.03"/>
    <n v="8.91"/>
  </r>
  <r>
    <x v="6"/>
    <x v="1"/>
    <x v="1"/>
    <x v="3"/>
    <x v="0"/>
    <x v="0"/>
    <n v="0.05"/>
    <n v="7.0000000000000007E-2"/>
    <n v="0.02"/>
    <n v="0.04"/>
  </r>
  <r>
    <x v="6"/>
    <x v="1"/>
    <x v="1"/>
    <x v="3"/>
    <x v="4"/>
    <x v="0"/>
    <n v="47.62"/>
    <n v="61.84"/>
    <n v="7.62"/>
    <n v="41.1"/>
  </r>
  <r>
    <x v="6"/>
    <x v="1"/>
    <x v="1"/>
    <x v="1"/>
    <x v="0"/>
    <x v="1"/>
    <n v="6.95"/>
    <n v="9.02"/>
    <n v="0.25"/>
    <n v="5.99"/>
  </r>
  <r>
    <x v="6"/>
    <x v="1"/>
    <x v="1"/>
    <x v="4"/>
    <x v="1"/>
    <x v="0"/>
    <n v="41.41"/>
    <n v="53.77"/>
    <n v="2.16"/>
    <n v="35.39"/>
  </r>
  <r>
    <x v="6"/>
    <x v="1"/>
    <x v="1"/>
    <x v="1"/>
    <x v="1"/>
    <x v="0"/>
    <n v="31.15"/>
    <n v="40.450000000000003"/>
    <n v="2.46"/>
    <n v="27.38"/>
  </r>
  <r>
    <x v="6"/>
    <x v="1"/>
    <x v="1"/>
    <x v="4"/>
    <x v="3"/>
    <x v="0"/>
    <n v="1.17"/>
    <n v="1.51"/>
    <n v="0.01"/>
    <n v="0.99"/>
  </r>
  <r>
    <x v="6"/>
    <x v="1"/>
    <x v="1"/>
    <x v="0"/>
    <x v="0"/>
    <x v="0"/>
    <n v="8.1999999999999993"/>
    <n v="10.65"/>
    <n v="5.35"/>
    <n v="7.02"/>
  </r>
  <r>
    <x v="6"/>
    <x v="1"/>
    <x v="1"/>
    <x v="0"/>
    <x v="4"/>
    <x v="0"/>
    <n v="10.35"/>
    <n v="13.44"/>
    <n v="2.99"/>
    <n v="8.99"/>
  </r>
  <r>
    <x v="6"/>
    <x v="1"/>
    <x v="1"/>
    <x v="1"/>
    <x v="0"/>
    <x v="0"/>
    <n v="3.23"/>
    <n v="4.2"/>
    <n v="2.54"/>
    <n v="3.19"/>
  </r>
  <r>
    <x v="6"/>
    <x v="1"/>
    <x v="1"/>
    <x v="1"/>
    <x v="4"/>
    <x v="0"/>
    <n v="277.77"/>
    <n v="360.69"/>
    <n v="49.04"/>
    <n v="250.57"/>
  </r>
  <r>
    <x v="6"/>
    <x v="1"/>
    <x v="1"/>
    <x v="4"/>
    <x v="1"/>
    <x v="1"/>
    <n v="1.59"/>
    <n v="2.0699999999999998"/>
    <n v="0.06"/>
    <n v="1.35"/>
  </r>
  <r>
    <x v="6"/>
    <x v="1"/>
    <x v="1"/>
    <x v="1"/>
    <x v="2"/>
    <x v="0"/>
    <n v="11.68"/>
    <n v="15.17"/>
    <n v="0.09"/>
    <n v="9.9600000000000009"/>
  </r>
  <r>
    <x v="6"/>
    <x v="1"/>
    <x v="1"/>
    <x v="2"/>
    <x v="4"/>
    <x v="0"/>
    <n v="4.49"/>
    <n v="5.83"/>
    <n v="1.63"/>
    <n v="4.26"/>
  </r>
  <r>
    <x v="6"/>
    <x v="1"/>
    <x v="1"/>
    <x v="4"/>
    <x v="4"/>
    <x v="0"/>
    <n v="112.48"/>
    <n v="146.06"/>
    <n v="15.22"/>
    <n v="98.16"/>
  </r>
  <r>
    <x v="6"/>
    <x v="1"/>
    <x v="1"/>
    <x v="0"/>
    <x v="0"/>
    <x v="1"/>
    <n v="4.6900000000000004"/>
    <n v="6.09"/>
    <n v="0.11"/>
    <n v="4.1399999999999997"/>
  </r>
  <r>
    <x v="6"/>
    <x v="1"/>
    <x v="1"/>
    <x v="0"/>
    <x v="4"/>
    <x v="1"/>
    <n v="0.09"/>
    <n v="0.12"/>
    <n v="0"/>
    <n v="0.08"/>
  </r>
  <r>
    <x v="6"/>
    <x v="1"/>
    <x v="1"/>
    <x v="2"/>
    <x v="0"/>
    <x v="0"/>
    <n v="3.22"/>
    <n v="4.17"/>
    <n v="2.76"/>
    <n v="3.08"/>
  </r>
  <r>
    <x v="6"/>
    <x v="1"/>
    <x v="1"/>
    <x v="4"/>
    <x v="4"/>
    <x v="1"/>
    <n v="0.11"/>
    <n v="0.15"/>
    <n v="0"/>
    <n v="0.1"/>
  </r>
  <r>
    <x v="6"/>
    <x v="1"/>
    <x v="1"/>
    <x v="4"/>
    <x v="0"/>
    <x v="1"/>
    <n v="2.14"/>
    <n v="2.78"/>
    <n v="0.24"/>
    <n v="1.83"/>
  </r>
  <r>
    <x v="6"/>
    <x v="1"/>
    <x v="1"/>
    <x v="2"/>
    <x v="3"/>
    <x v="3"/>
    <n v="74.27"/>
    <n v="96.44"/>
    <n v="0.03"/>
    <n v="71.97"/>
  </r>
  <r>
    <x v="6"/>
    <x v="1"/>
    <x v="1"/>
    <x v="1"/>
    <x v="1"/>
    <x v="2"/>
    <n v="2.29"/>
    <n v="2.97"/>
    <n v="0.02"/>
    <n v="1.88"/>
  </r>
  <r>
    <x v="6"/>
    <x v="1"/>
    <x v="1"/>
    <x v="1"/>
    <x v="4"/>
    <x v="2"/>
    <n v="0.11"/>
    <n v="0.15"/>
    <n v="0"/>
    <n v="0.09"/>
  </r>
  <r>
    <x v="6"/>
    <x v="1"/>
    <x v="1"/>
    <x v="4"/>
    <x v="2"/>
    <x v="2"/>
    <n v="1.1499999999999999"/>
    <n v="1.49"/>
    <n v="0.02"/>
    <n v="1.1499999999999999"/>
  </r>
  <r>
    <x v="6"/>
    <x v="1"/>
    <x v="1"/>
    <x v="4"/>
    <x v="1"/>
    <x v="2"/>
    <n v="0.11"/>
    <n v="0.14000000000000001"/>
    <n v="0"/>
    <n v="0.09"/>
  </r>
  <r>
    <x v="6"/>
    <x v="2"/>
    <x v="2"/>
    <x v="3"/>
    <x v="4"/>
    <x v="0"/>
    <n v="4.4400000000000004"/>
    <n v="5.33"/>
    <n v="0.95"/>
    <n v="4.1500000000000004"/>
  </r>
  <r>
    <x v="6"/>
    <x v="2"/>
    <x v="2"/>
    <x v="0"/>
    <x v="0"/>
    <x v="1"/>
    <n v="1.85"/>
    <n v="2.2200000000000002"/>
    <n v="0.05"/>
    <n v="1.68"/>
  </r>
  <r>
    <x v="6"/>
    <x v="2"/>
    <x v="2"/>
    <x v="1"/>
    <x v="4"/>
    <x v="1"/>
    <n v="0.24"/>
    <n v="0.28999999999999998"/>
    <n v="0.01"/>
    <n v="0.22"/>
  </r>
  <r>
    <x v="6"/>
    <x v="2"/>
    <x v="2"/>
    <x v="1"/>
    <x v="1"/>
    <x v="1"/>
    <n v="1.06"/>
    <n v="1.27"/>
    <n v="0.01"/>
    <n v="0.95"/>
  </r>
  <r>
    <x v="6"/>
    <x v="2"/>
    <x v="2"/>
    <x v="4"/>
    <x v="4"/>
    <x v="1"/>
    <n v="7.0000000000000007E-2"/>
    <n v="0.09"/>
    <n v="0"/>
    <n v="7.0000000000000007E-2"/>
  </r>
  <r>
    <x v="6"/>
    <x v="2"/>
    <x v="2"/>
    <x v="3"/>
    <x v="0"/>
    <x v="0"/>
    <n v="0.84"/>
    <n v="1.01"/>
    <n v="0.16"/>
    <n v="0.78"/>
  </r>
  <r>
    <x v="6"/>
    <x v="2"/>
    <x v="2"/>
    <x v="4"/>
    <x v="1"/>
    <x v="1"/>
    <n v="0.02"/>
    <n v="0.02"/>
    <n v="0"/>
    <n v="0.02"/>
  </r>
  <r>
    <x v="6"/>
    <x v="2"/>
    <x v="2"/>
    <x v="4"/>
    <x v="4"/>
    <x v="0"/>
    <n v="41.19"/>
    <n v="49.44"/>
    <n v="4.6100000000000003"/>
    <n v="37.67"/>
  </r>
  <r>
    <x v="6"/>
    <x v="2"/>
    <x v="2"/>
    <x v="4"/>
    <x v="1"/>
    <x v="0"/>
    <n v="3.45"/>
    <n v="4.1399999999999997"/>
    <n v="0.2"/>
    <n v="3.19"/>
  </r>
  <r>
    <x v="6"/>
    <x v="2"/>
    <x v="2"/>
    <x v="0"/>
    <x v="0"/>
    <x v="0"/>
    <n v="4.07"/>
    <n v="4.8899999999999997"/>
    <n v="2.2400000000000002"/>
    <n v="3.7"/>
  </r>
  <r>
    <x v="6"/>
    <x v="2"/>
    <x v="2"/>
    <x v="0"/>
    <x v="4"/>
    <x v="0"/>
    <n v="18.82"/>
    <n v="22.59"/>
    <n v="5.31"/>
    <n v="17.190000000000001"/>
  </r>
  <r>
    <x v="6"/>
    <x v="2"/>
    <x v="2"/>
    <x v="0"/>
    <x v="2"/>
    <x v="0"/>
    <n v="0.11"/>
    <n v="0.14000000000000001"/>
    <n v="0"/>
    <n v="0.11"/>
  </r>
  <r>
    <x v="6"/>
    <x v="2"/>
    <x v="2"/>
    <x v="1"/>
    <x v="0"/>
    <x v="0"/>
    <n v="3.91"/>
    <n v="4.7"/>
    <n v="1.85"/>
    <n v="3.69"/>
  </r>
  <r>
    <x v="6"/>
    <x v="2"/>
    <x v="2"/>
    <x v="1"/>
    <x v="4"/>
    <x v="0"/>
    <n v="113.77"/>
    <n v="136.57"/>
    <n v="17.48"/>
    <n v="103.98"/>
  </r>
  <r>
    <x v="6"/>
    <x v="2"/>
    <x v="2"/>
    <x v="1"/>
    <x v="1"/>
    <x v="0"/>
    <n v="6.58"/>
    <n v="7.9"/>
    <n v="0.39"/>
    <n v="6.12"/>
  </r>
  <r>
    <x v="6"/>
    <x v="2"/>
    <x v="2"/>
    <x v="1"/>
    <x v="2"/>
    <x v="0"/>
    <n v="1.26"/>
    <n v="1.51"/>
    <n v="0.03"/>
    <n v="1.1399999999999999"/>
  </r>
  <r>
    <x v="6"/>
    <x v="2"/>
    <x v="2"/>
    <x v="2"/>
    <x v="0"/>
    <x v="0"/>
    <n v="2.97"/>
    <n v="3.56"/>
    <n v="1.75"/>
    <n v="2.77"/>
  </r>
  <r>
    <x v="6"/>
    <x v="2"/>
    <x v="2"/>
    <x v="2"/>
    <x v="4"/>
    <x v="0"/>
    <n v="1.97"/>
    <n v="2.36"/>
    <n v="0.35"/>
    <n v="1.85"/>
  </r>
  <r>
    <x v="6"/>
    <x v="2"/>
    <x v="2"/>
    <x v="1"/>
    <x v="2"/>
    <x v="1"/>
    <n v="3.91"/>
    <n v="4.6900000000000004"/>
    <n v="0.02"/>
    <n v="3.54"/>
  </r>
  <r>
    <x v="6"/>
    <x v="2"/>
    <x v="2"/>
    <x v="2"/>
    <x v="1"/>
    <x v="3"/>
    <n v="0.67"/>
    <n v="0.8"/>
    <n v="0"/>
    <n v="0.67"/>
  </r>
  <r>
    <x v="6"/>
    <x v="2"/>
    <x v="2"/>
    <x v="1"/>
    <x v="4"/>
    <x v="2"/>
    <n v="0.46"/>
    <n v="0.56000000000000005"/>
    <n v="0.01"/>
    <n v="0.4"/>
  </r>
  <r>
    <x v="6"/>
    <x v="2"/>
    <x v="2"/>
    <x v="4"/>
    <x v="2"/>
    <x v="2"/>
    <n v="0.21"/>
    <n v="0.26"/>
    <n v="0"/>
    <n v="0.19"/>
  </r>
  <r>
    <x v="6"/>
    <x v="2"/>
    <x v="2"/>
    <x v="4"/>
    <x v="1"/>
    <x v="2"/>
    <n v="0.15"/>
    <n v="0.18"/>
    <n v="0.01"/>
    <n v="0.13"/>
  </r>
  <r>
    <x v="6"/>
    <x v="2"/>
    <x v="2"/>
    <x v="4"/>
    <x v="4"/>
    <x v="2"/>
    <n v="0.22"/>
    <n v="0.27"/>
    <n v="0.02"/>
    <n v="0.19"/>
  </r>
  <r>
    <x v="6"/>
    <x v="2"/>
    <x v="2"/>
    <x v="1"/>
    <x v="0"/>
    <x v="1"/>
    <n v="0.81"/>
    <n v="0.97"/>
    <n v="0.04"/>
    <n v="0.74"/>
  </r>
  <r>
    <x v="6"/>
    <x v="2"/>
    <x v="2"/>
    <x v="2"/>
    <x v="3"/>
    <x v="3"/>
    <n v="6.97"/>
    <n v="8.36"/>
    <n v="0"/>
    <n v="6.97"/>
  </r>
  <r>
    <x v="6"/>
    <x v="2"/>
    <x v="3"/>
    <x v="1"/>
    <x v="0"/>
    <x v="1"/>
    <n v="1.34"/>
    <n v="1.61"/>
    <n v="0.06"/>
    <n v="1.25"/>
  </r>
  <r>
    <x v="6"/>
    <x v="2"/>
    <x v="3"/>
    <x v="4"/>
    <x v="2"/>
    <x v="2"/>
    <n v="2.52"/>
    <n v="3.02"/>
    <n v="0.01"/>
    <n v="2.19"/>
  </r>
  <r>
    <x v="6"/>
    <x v="2"/>
    <x v="3"/>
    <x v="1"/>
    <x v="4"/>
    <x v="2"/>
    <n v="1.27"/>
    <n v="1.52"/>
    <n v="0.1"/>
    <n v="1.1000000000000001"/>
  </r>
  <r>
    <x v="6"/>
    <x v="2"/>
    <x v="3"/>
    <x v="2"/>
    <x v="3"/>
    <x v="2"/>
    <n v="7.43"/>
    <n v="8.92"/>
    <n v="0.01"/>
    <n v="6.95"/>
  </r>
  <r>
    <x v="6"/>
    <x v="2"/>
    <x v="3"/>
    <x v="2"/>
    <x v="3"/>
    <x v="3"/>
    <n v="12.81"/>
    <n v="15.38"/>
    <n v="0.01"/>
    <n v="12.61"/>
  </r>
  <r>
    <x v="6"/>
    <x v="2"/>
    <x v="3"/>
    <x v="4"/>
    <x v="4"/>
    <x v="1"/>
    <n v="0.08"/>
    <n v="0.09"/>
    <n v="0"/>
    <n v="7.0000000000000007E-2"/>
  </r>
  <r>
    <x v="6"/>
    <x v="2"/>
    <x v="3"/>
    <x v="4"/>
    <x v="1"/>
    <x v="2"/>
    <n v="1.36"/>
    <n v="1.64"/>
    <n v="0.01"/>
    <n v="1.2"/>
  </r>
  <r>
    <x v="6"/>
    <x v="2"/>
    <x v="3"/>
    <x v="0"/>
    <x v="0"/>
    <x v="1"/>
    <n v="2.2200000000000002"/>
    <n v="2.66"/>
    <n v="0.06"/>
    <n v="2"/>
  </r>
  <r>
    <x v="6"/>
    <x v="2"/>
    <x v="3"/>
    <x v="4"/>
    <x v="2"/>
    <x v="0"/>
    <n v="0.35"/>
    <n v="0.42"/>
    <n v="0"/>
    <n v="0.32"/>
  </r>
  <r>
    <x v="6"/>
    <x v="2"/>
    <x v="3"/>
    <x v="1"/>
    <x v="4"/>
    <x v="1"/>
    <n v="1.1299999999999999"/>
    <n v="1.36"/>
    <n v="0.02"/>
    <n v="1.1000000000000001"/>
  </r>
  <r>
    <x v="6"/>
    <x v="2"/>
    <x v="3"/>
    <x v="1"/>
    <x v="1"/>
    <x v="1"/>
    <n v="1.18"/>
    <n v="1.42"/>
    <n v="0.01"/>
    <n v="1.07"/>
  </r>
  <r>
    <x v="6"/>
    <x v="2"/>
    <x v="3"/>
    <x v="1"/>
    <x v="2"/>
    <x v="1"/>
    <n v="4.75"/>
    <n v="5.71"/>
    <n v="0.03"/>
    <n v="4.32"/>
  </r>
  <r>
    <x v="6"/>
    <x v="2"/>
    <x v="3"/>
    <x v="4"/>
    <x v="1"/>
    <x v="1"/>
    <n v="0.03"/>
    <n v="0.03"/>
    <n v="0"/>
    <n v="0.02"/>
  </r>
  <r>
    <x v="6"/>
    <x v="2"/>
    <x v="3"/>
    <x v="4"/>
    <x v="4"/>
    <x v="2"/>
    <n v="2.41"/>
    <n v="2.89"/>
    <n v="0.02"/>
    <n v="2.12"/>
  </r>
  <r>
    <x v="6"/>
    <x v="2"/>
    <x v="3"/>
    <x v="3"/>
    <x v="4"/>
    <x v="0"/>
    <n v="3.8"/>
    <n v="4.5599999999999996"/>
    <n v="0.86"/>
    <n v="3.6"/>
  </r>
  <r>
    <x v="6"/>
    <x v="2"/>
    <x v="3"/>
    <x v="4"/>
    <x v="1"/>
    <x v="0"/>
    <n v="10.36"/>
    <n v="12.44"/>
    <n v="0.64"/>
    <n v="9.57"/>
  </r>
  <r>
    <x v="6"/>
    <x v="2"/>
    <x v="3"/>
    <x v="0"/>
    <x v="0"/>
    <x v="0"/>
    <n v="3.01"/>
    <n v="3.61"/>
    <n v="1.68"/>
    <n v="2.73"/>
  </r>
  <r>
    <x v="6"/>
    <x v="2"/>
    <x v="3"/>
    <x v="0"/>
    <x v="4"/>
    <x v="0"/>
    <n v="6.67"/>
    <n v="8.01"/>
    <n v="1.82"/>
    <n v="6.2"/>
  </r>
  <r>
    <x v="6"/>
    <x v="2"/>
    <x v="3"/>
    <x v="3"/>
    <x v="0"/>
    <x v="0"/>
    <n v="0.73"/>
    <n v="0.88"/>
    <n v="0.14000000000000001"/>
    <n v="0.68"/>
  </r>
  <r>
    <x v="6"/>
    <x v="2"/>
    <x v="3"/>
    <x v="1"/>
    <x v="0"/>
    <x v="0"/>
    <n v="6.94"/>
    <n v="8.33"/>
    <n v="2.92"/>
    <n v="6.53"/>
  </r>
  <r>
    <x v="6"/>
    <x v="2"/>
    <x v="3"/>
    <x v="1"/>
    <x v="4"/>
    <x v="0"/>
    <n v="95.51"/>
    <n v="114.66"/>
    <n v="14.68"/>
    <n v="88.71"/>
  </r>
  <r>
    <x v="6"/>
    <x v="2"/>
    <x v="3"/>
    <x v="1"/>
    <x v="1"/>
    <x v="0"/>
    <n v="21.64"/>
    <n v="25.97"/>
    <n v="1.07"/>
    <n v="20.14"/>
  </r>
  <r>
    <x v="6"/>
    <x v="2"/>
    <x v="3"/>
    <x v="1"/>
    <x v="2"/>
    <x v="0"/>
    <n v="1.22"/>
    <n v="1.47"/>
    <n v="0"/>
    <n v="1.1200000000000001"/>
  </r>
  <r>
    <x v="6"/>
    <x v="2"/>
    <x v="3"/>
    <x v="2"/>
    <x v="0"/>
    <x v="0"/>
    <n v="2.3199999999999998"/>
    <n v="2.79"/>
    <n v="1.52"/>
    <n v="2.1800000000000002"/>
  </r>
  <r>
    <x v="6"/>
    <x v="2"/>
    <x v="3"/>
    <x v="2"/>
    <x v="4"/>
    <x v="0"/>
    <n v="1.8"/>
    <n v="2.16"/>
    <n v="0.28999999999999998"/>
    <n v="1.69"/>
  </r>
  <r>
    <x v="6"/>
    <x v="2"/>
    <x v="3"/>
    <x v="4"/>
    <x v="4"/>
    <x v="0"/>
    <n v="43.15"/>
    <n v="51.8"/>
    <n v="4.6900000000000004"/>
    <n v="39.979999999999997"/>
  </r>
  <r>
    <x v="6"/>
    <x v="0"/>
    <x v="4"/>
    <x v="4"/>
    <x v="4"/>
    <x v="0"/>
    <n v="94.38"/>
    <n v="152.61000000000001"/>
    <n v="9.1999999999999993"/>
    <n v="91.15"/>
  </r>
  <r>
    <x v="6"/>
    <x v="0"/>
    <x v="4"/>
    <x v="1"/>
    <x v="1"/>
    <x v="1"/>
    <n v="10.31"/>
    <n v="16.670000000000002"/>
    <n v="0.2"/>
    <n v="9.75"/>
  </r>
  <r>
    <x v="6"/>
    <x v="0"/>
    <x v="4"/>
    <x v="2"/>
    <x v="0"/>
    <x v="0"/>
    <n v="18.68"/>
    <n v="30.21"/>
    <n v="19.579999999999998"/>
    <n v="17.41"/>
  </r>
  <r>
    <x v="6"/>
    <x v="0"/>
    <x v="4"/>
    <x v="1"/>
    <x v="1"/>
    <x v="0"/>
    <n v="46.81"/>
    <n v="75.7"/>
    <n v="2.69"/>
    <n v="43.67"/>
  </r>
  <r>
    <x v="6"/>
    <x v="0"/>
    <x v="4"/>
    <x v="4"/>
    <x v="2"/>
    <x v="0"/>
    <n v="2.77"/>
    <n v="4.47"/>
    <n v="0.02"/>
    <n v="2.67"/>
  </r>
  <r>
    <x v="6"/>
    <x v="0"/>
    <x v="4"/>
    <x v="1"/>
    <x v="0"/>
    <x v="0"/>
    <n v="18.71"/>
    <n v="30.25"/>
    <n v="11.56"/>
    <n v="18.23"/>
  </r>
  <r>
    <x v="6"/>
    <x v="0"/>
    <x v="4"/>
    <x v="0"/>
    <x v="2"/>
    <x v="0"/>
    <n v="2.8"/>
    <n v="4.5199999999999996"/>
    <n v="0.01"/>
    <n v="2.6"/>
  </r>
  <r>
    <x v="6"/>
    <x v="0"/>
    <x v="4"/>
    <x v="0"/>
    <x v="4"/>
    <x v="0"/>
    <n v="36.200000000000003"/>
    <n v="58.53"/>
    <n v="7.63"/>
    <n v="35.26"/>
  </r>
  <r>
    <x v="6"/>
    <x v="0"/>
    <x v="4"/>
    <x v="0"/>
    <x v="0"/>
    <x v="0"/>
    <n v="14.07"/>
    <n v="22.75"/>
    <n v="9.98"/>
    <n v="13.59"/>
  </r>
  <r>
    <x v="6"/>
    <x v="0"/>
    <x v="4"/>
    <x v="4"/>
    <x v="3"/>
    <x v="0"/>
    <n v="3.71"/>
    <n v="5.99"/>
    <n v="0.02"/>
    <n v="3.58"/>
  </r>
  <r>
    <x v="6"/>
    <x v="0"/>
    <x v="4"/>
    <x v="4"/>
    <x v="1"/>
    <x v="0"/>
    <n v="25.92"/>
    <n v="41.92"/>
    <n v="1.29"/>
    <n v="24.42"/>
  </r>
  <r>
    <x v="6"/>
    <x v="0"/>
    <x v="4"/>
    <x v="3"/>
    <x v="4"/>
    <x v="0"/>
    <n v="12.56"/>
    <n v="20.309999999999999"/>
    <n v="2.87"/>
    <n v="12.2"/>
  </r>
  <r>
    <x v="6"/>
    <x v="0"/>
    <x v="4"/>
    <x v="3"/>
    <x v="0"/>
    <x v="0"/>
    <n v="2.12"/>
    <n v="3.42"/>
    <n v="1.22"/>
    <n v="2.12"/>
  </r>
  <r>
    <x v="6"/>
    <x v="0"/>
    <x v="4"/>
    <x v="2"/>
    <x v="3"/>
    <x v="1"/>
    <n v="3.31"/>
    <n v="5.36"/>
    <n v="0"/>
    <n v="3.28"/>
  </r>
  <r>
    <x v="6"/>
    <x v="0"/>
    <x v="4"/>
    <x v="2"/>
    <x v="4"/>
    <x v="0"/>
    <n v="22.46"/>
    <n v="36.32"/>
    <n v="7.44"/>
    <n v="21.79"/>
  </r>
  <r>
    <x v="6"/>
    <x v="0"/>
    <x v="4"/>
    <x v="1"/>
    <x v="2"/>
    <x v="1"/>
    <n v="40.299999999999997"/>
    <n v="65.180000000000007"/>
    <n v="0.1"/>
    <n v="38.42"/>
  </r>
  <r>
    <x v="6"/>
    <x v="0"/>
    <x v="4"/>
    <x v="1"/>
    <x v="2"/>
    <x v="0"/>
    <n v="12.71"/>
    <n v="20.56"/>
    <n v="0.17"/>
    <n v="12.02"/>
  </r>
  <r>
    <x v="6"/>
    <x v="0"/>
    <x v="4"/>
    <x v="1"/>
    <x v="4"/>
    <x v="1"/>
    <n v="1.28"/>
    <n v="2.08"/>
    <n v="0.05"/>
    <n v="1.21"/>
  </r>
  <r>
    <x v="6"/>
    <x v="0"/>
    <x v="4"/>
    <x v="1"/>
    <x v="0"/>
    <x v="1"/>
    <n v="6.41"/>
    <n v="10.37"/>
    <n v="0.36"/>
    <n v="6.1"/>
  </r>
  <r>
    <x v="6"/>
    <x v="0"/>
    <x v="4"/>
    <x v="0"/>
    <x v="0"/>
    <x v="1"/>
    <n v="6.72"/>
    <n v="10.86"/>
    <n v="0.16"/>
    <n v="6.4"/>
  </r>
  <r>
    <x v="6"/>
    <x v="0"/>
    <x v="4"/>
    <x v="4"/>
    <x v="1"/>
    <x v="1"/>
    <n v="0.75"/>
    <n v="1.22"/>
    <n v="0.05"/>
    <n v="0.71"/>
  </r>
  <r>
    <x v="6"/>
    <x v="0"/>
    <x v="4"/>
    <x v="4"/>
    <x v="4"/>
    <x v="1"/>
    <n v="0.75"/>
    <n v="1.21"/>
    <n v="7.0000000000000007E-2"/>
    <n v="0.71"/>
  </r>
  <r>
    <x v="6"/>
    <x v="0"/>
    <x v="4"/>
    <x v="4"/>
    <x v="0"/>
    <x v="1"/>
    <n v="0.84"/>
    <n v="1.35"/>
    <n v="0.06"/>
    <n v="0.79"/>
  </r>
  <r>
    <x v="6"/>
    <x v="0"/>
    <x v="4"/>
    <x v="2"/>
    <x v="3"/>
    <x v="3"/>
    <n v="174.31"/>
    <n v="281.87"/>
    <n v="0.06"/>
    <n v="170.23"/>
  </r>
  <r>
    <x v="6"/>
    <x v="0"/>
    <x v="4"/>
    <x v="2"/>
    <x v="3"/>
    <x v="2"/>
    <n v="3.33"/>
    <n v="5.38"/>
    <n v="0.01"/>
    <n v="3.2"/>
  </r>
  <r>
    <x v="6"/>
    <x v="0"/>
    <x v="4"/>
    <x v="1"/>
    <x v="4"/>
    <x v="2"/>
    <n v="0.74"/>
    <n v="1.2"/>
    <n v="0.04"/>
    <n v="0.71"/>
  </r>
  <r>
    <x v="6"/>
    <x v="0"/>
    <x v="4"/>
    <x v="4"/>
    <x v="2"/>
    <x v="2"/>
    <n v="0.57999999999999996"/>
    <n v="0.94"/>
    <n v="0.01"/>
    <n v="0.56000000000000005"/>
  </r>
  <r>
    <x v="6"/>
    <x v="0"/>
    <x v="4"/>
    <x v="4"/>
    <x v="1"/>
    <x v="2"/>
    <n v="0.96"/>
    <n v="1.55"/>
    <n v="0.02"/>
    <n v="0.92"/>
  </r>
  <r>
    <x v="6"/>
    <x v="0"/>
    <x v="4"/>
    <x v="4"/>
    <x v="4"/>
    <x v="2"/>
    <n v="0.99"/>
    <n v="1.6"/>
    <n v="0.04"/>
    <n v="0.95"/>
  </r>
  <r>
    <x v="6"/>
    <x v="0"/>
    <x v="4"/>
    <x v="2"/>
    <x v="4"/>
    <x v="1"/>
    <n v="0.15"/>
    <n v="0.25"/>
    <n v="0"/>
    <n v="0.15"/>
  </r>
  <r>
    <x v="6"/>
    <x v="0"/>
    <x v="4"/>
    <x v="1"/>
    <x v="4"/>
    <x v="0"/>
    <n v="178.31"/>
    <n v="288.35000000000002"/>
    <n v="49.75"/>
    <n v="172.89"/>
  </r>
  <r>
    <x v="6"/>
    <x v="3"/>
    <x v="5"/>
    <x v="2"/>
    <x v="1"/>
    <x v="2"/>
    <n v="0.62"/>
    <n v="0.79"/>
    <n v="0"/>
    <n v="0.59"/>
  </r>
  <r>
    <x v="6"/>
    <x v="3"/>
    <x v="5"/>
    <x v="2"/>
    <x v="3"/>
    <x v="1"/>
    <n v="2.2599999999999998"/>
    <n v="2.91"/>
    <n v="0.01"/>
    <n v="2.15"/>
  </r>
  <r>
    <x v="6"/>
    <x v="3"/>
    <x v="5"/>
    <x v="2"/>
    <x v="4"/>
    <x v="1"/>
    <n v="1.46"/>
    <n v="1.88"/>
    <n v="0.01"/>
    <n v="1.4"/>
  </r>
  <r>
    <x v="6"/>
    <x v="3"/>
    <x v="5"/>
    <x v="4"/>
    <x v="4"/>
    <x v="2"/>
    <n v="2.46"/>
    <n v="3.16"/>
    <n v="0.08"/>
    <n v="2.2200000000000002"/>
  </r>
  <r>
    <x v="6"/>
    <x v="3"/>
    <x v="5"/>
    <x v="4"/>
    <x v="1"/>
    <x v="2"/>
    <n v="0.87"/>
    <n v="1.1200000000000001"/>
    <n v="0.02"/>
    <n v="0.79"/>
  </r>
  <r>
    <x v="6"/>
    <x v="3"/>
    <x v="5"/>
    <x v="4"/>
    <x v="2"/>
    <x v="2"/>
    <n v="0.57999999999999996"/>
    <n v="0.74"/>
    <n v="0"/>
    <n v="0.52"/>
  </r>
  <r>
    <x v="6"/>
    <x v="3"/>
    <x v="5"/>
    <x v="1"/>
    <x v="4"/>
    <x v="2"/>
    <n v="1.72"/>
    <n v="2.21"/>
    <n v="0.04"/>
    <n v="1.55"/>
  </r>
  <r>
    <x v="6"/>
    <x v="3"/>
    <x v="5"/>
    <x v="3"/>
    <x v="4"/>
    <x v="0"/>
    <n v="74.760000000000005"/>
    <n v="96.21"/>
    <n v="22.19"/>
    <n v="71.11"/>
  </r>
  <r>
    <x v="6"/>
    <x v="3"/>
    <x v="5"/>
    <x v="1"/>
    <x v="2"/>
    <x v="2"/>
    <n v="0"/>
    <n v="0"/>
    <n v="0"/>
    <n v="0"/>
  </r>
  <r>
    <x v="6"/>
    <x v="3"/>
    <x v="5"/>
    <x v="4"/>
    <x v="0"/>
    <x v="0"/>
    <n v="0.83"/>
    <n v="1.06"/>
    <n v="0.76"/>
    <n v="0.8"/>
  </r>
  <r>
    <x v="6"/>
    <x v="3"/>
    <x v="5"/>
    <x v="2"/>
    <x v="2"/>
    <x v="2"/>
    <n v="1"/>
    <n v="1.29"/>
    <n v="0.01"/>
    <n v="0.96"/>
  </r>
  <r>
    <x v="6"/>
    <x v="3"/>
    <x v="5"/>
    <x v="2"/>
    <x v="3"/>
    <x v="2"/>
    <n v="3.86"/>
    <n v="4.96"/>
    <n v="0"/>
    <n v="3.67"/>
  </r>
  <r>
    <x v="6"/>
    <x v="3"/>
    <x v="5"/>
    <x v="2"/>
    <x v="4"/>
    <x v="0"/>
    <n v="64.7"/>
    <n v="83.27"/>
    <n v="21.1"/>
    <n v="63.59"/>
  </r>
  <r>
    <x v="6"/>
    <x v="3"/>
    <x v="5"/>
    <x v="2"/>
    <x v="0"/>
    <x v="0"/>
    <n v="18.940000000000001"/>
    <n v="24.37"/>
    <n v="14.34"/>
    <n v="18.100000000000001"/>
  </r>
  <r>
    <x v="6"/>
    <x v="3"/>
    <x v="5"/>
    <x v="1"/>
    <x v="2"/>
    <x v="0"/>
    <n v="9.0399999999999991"/>
    <n v="11.64"/>
    <n v="0.14000000000000001"/>
    <n v="8.3800000000000008"/>
  </r>
  <r>
    <x v="6"/>
    <x v="3"/>
    <x v="5"/>
    <x v="1"/>
    <x v="1"/>
    <x v="0"/>
    <n v="120.72"/>
    <n v="155.37"/>
    <n v="6.84"/>
    <n v="118.49"/>
  </r>
  <r>
    <x v="6"/>
    <x v="3"/>
    <x v="5"/>
    <x v="1"/>
    <x v="4"/>
    <x v="0"/>
    <n v="423.81"/>
    <n v="545.41999999999996"/>
    <n v="115.9"/>
    <n v="406.67"/>
  </r>
  <r>
    <x v="6"/>
    <x v="3"/>
    <x v="5"/>
    <x v="1"/>
    <x v="1"/>
    <x v="2"/>
    <n v="0.01"/>
    <n v="0.01"/>
    <n v="0"/>
    <n v="0.01"/>
  </r>
  <r>
    <x v="6"/>
    <x v="3"/>
    <x v="5"/>
    <x v="0"/>
    <x v="4"/>
    <x v="0"/>
    <n v="42.47"/>
    <n v="54.65"/>
    <n v="21.8"/>
    <n v="41.27"/>
  </r>
  <r>
    <x v="6"/>
    <x v="3"/>
    <x v="5"/>
    <x v="1"/>
    <x v="4"/>
    <x v="1"/>
    <n v="1.06"/>
    <n v="1.37"/>
    <n v="0.09"/>
    <n v="0.98"/>
  </r>
  <r>
    <x v="6"/>
    <x v="3"/>
    <x v="5"/>
    <x v="1"/>
    <x v="0"/>
    <x v="1"/>
    <n v="6.45"/>
    <n v="8.31"/>
    <n v="0.63"/>
    <n v="5.96"/>
  </r>
  <r>
    <x v="6"/>
    <x v="3"/>
    <x v="5"/>
    <x v="2"/>
    <x v="3"/>
    <x v="3"/>
    <n v="48.55"/>
    <n v="62.48"/>
    <n v="0.04"/>
    <n v="43.23"/>
  </r>
  <r>
    <x v="6"/>
    <x v="3"/>
    <x v="5"/>
    <x v="0"/>
    <x v="4"/>
    <x v="1"/>
    <n v="0.01"/>
    <n v="0.01"/>
    <n v="0"/>
    <n v="0.01"/>
  </r>
  <r>
    <x v="6"/>
    <x v="3"/>
    <x v="5"/>
    <x v="1"/>
    <x v="2"/>
    <x v="1"/>
    <n v="26.37"/>
    <n v="33.94"/>
    <n v="0.14000000000000001"/>
    <n v="24.22"/>
  </r>
  <r>
    <x v="6"/>
    <x v="3"/>
    <x v="5"/>
    <x v="0"/>
    <x v="0"/>
    <x v="1"/>
    <n v="11.97"/>
    <n v="15.41"/>
    <n v="0.61"/>
    <n v="10.98"/>
  </r>
  <r>
    <x v="6"/>
    <x v="3"/>
    <x v="5"/>
    <x v="4"/>
    <x v="1"/>
    <x v="1"/>
    <n v="0.28999999999999998"/>
    <n v="0.38"/>
    <n v="0.05"/>
    <n v="0.27"/>
  </r>
  <r>
    <x v="6"/>
    <x v="3"/>
    <x v="5"/>
    <x v="3"/>
    <x v="0"/>
    <x v="0"/>
    <n v="30.38"/>
    <n v="39.090000000000003"/>
    <n v="29.36"/>
    <n v="29.15"/>
  </r>
  <r>
    <x v="6"/>
    <x v="3"/>
    <x v="5"/>
    <x v="4"/>
    <x v="0"/>
    <x v="1"/>
    <n v="3.14"/>
    <n v="4.04"/>
    <n v="0.16"/>
    <n v="2.91"/>
  </r>
  <r>
    <x v="6"/>
    <x v="3"/>
    <x v="5"/>
    <x v="1"/>
    <x v="1"/>
    <x v="1"/>
    <n v="14.93"/>
    <n v="19.22"/>
    <n v="0.31"/>
    <n v="13.72"/>
  </r>
  <r>
    <x v="6"/>
    <x v="3"/>
    <x v="5"/>
    <x v="1"/>
    <x v="0"/>
    <x v="0"/>
    <n v="47.58"/>
    <n v="61.24"/>
    <n v="34.479999999999997"/>
    <n v="46.24"/>
  </r>
  <r>
    <x v="6"/>
    <x v="3"/>
    <x v="5"/>
    <x v="0"/>
    <x v="0"/>
    <x v="0"/>
    <n v="3.6"/>
    <n v="4.6399999999999997"/>
    <n v="0.56000000000000005"/>
    <n v="3.34"/>
  </r>
  <r>
    <x v="6"/>
    <x v="3"/>
    <x v="5"/>
    <x v="4"/>
    <x v="3"/>
    <x v="0"/>
    <n v="1.63"/>
    <n v="2.09"/>
    <n v="0.02"/>
    <n v="1.51"/>
  </r>
  <r>
    <x v="6"/>
    <x v="3"/>
    <x v="5"/>
    <x v="4"/>
    <x v="2"/>
    <x v="0"/>
    <n v="1"/>
    <n v="1.29"/>
    <n v="0.02"/>
    <n v="0.93"/>
  </r>
  <r>
    <x v="6"/>
    <x v="3"/>
    <x v="5"/>
    <x v="4"/>
    <x v="1"/>
    <x v="0"/>
    <n v="24.67"/>
    <n v="31.74"/>
    <n v="1.1399999999999999"/>
    <n v="24.38"/>
  </r>
  <r>
    <x v="6"/>
    <x v="3"/>
    <x v="5"/>
    <x v="4"/>
    <x v="4"/>
    <x v="0"/>
    <n v="182.16"/>
    <n v="234.44"/>
    <n v="24.21"/>
    <n v="176.99"/>
  </r>
  <r>
    <x v="6"/>
    <x v="3"/>
    <x v="5"/>
    <x v="4"/>
    <x v="4"/>
    <x v="1"/>
    <n v="0.03"/>
    <n v="0.04"/>
    <n v="0"/>
    <n v="0.03"/>
  </r>
  <r>
    <x v="6"/>
    <x v="0"/>
    <x v="6"/>
    <x v="4"/>
    <x v="2"/>
    <x v="2"/>
    <n v="0.14000000000000001"/>
    <n v="0.19"/>
    <n v="0"/>
    <n v="0.13"/>
  </r>
  <r>
    <x v="6"/>
    <x v="0"/>
    <x v="6"/>
    <x v="2"/>
    <x v="4"/>
    <x v="1"/>
    <n v="0.23"/>
    <n v="0.32"/>
    <n v="0"/>
    <n v="0.23"/>
  </r>
  <r>
    <x v="6"/>
    <x v="0"/>
    <x v="6"/>
    <x v="4"/>
    <x v="4"/>
    <x v="2"/>
    <n v="0.24"/>
    <n v="0.32"/>
    <n v="0.01"/>
    <n v="0.22"/>
  </r>
  <r>
    <x v="6"/>
    <x v="0"/>
    <x v="6"/>
    <x v="4"/>
    <x v="1"/>
    <x v="2"/>
    <n v="0.23"/>
    <n v="0.31"/>
    <n v="0"/>
    <n v="0.21"/>
  </r>
  <r>
    <x v="6"/>
    <x v="0"/>
    <x v="6"/>
    <x v="1"/>
    <x v="4"/>
    <x v="2"/>
    <n v="0.18"/>
    <n v="0.25"/>
    <n v="0.01"/>
    <n v="0.17"/>
  </r>
  <r>
    <x v="6"/>
    <x v="0"/>
    <x v="6"/>
    <x v="2"/>
    <x v="3"/>
    <x v="2"/>
    <n v="3.95"/>
    <n v="5.39"/>
    <n v="0"/>
    <n v="3.8"/>
  </r>
  <r>
    <x v="6"/>
    <x v="0"/>
    <x v="6"/>
    <x v="2"/>
    <x v="3"/>
    <x v="3"/>
    <n v="5.22"/>
    <n v="7.12"/>
    <n v="0"/>
    <n v="5.0999999999999996"/>
  </r>
  <r>
    <x v="6"/>
    <x v="0"/>
    <x v="6"/>
    <x v="4"/>
    <x v="0"/>
    <x v="1"/>
    <n v="0.95"/>
    <n v="1.3"/>
    <n v="7.0000000000000007E-2"/>
    <n v="0.9"/>
  </r>
  <r>
    <x v="6"/>
    <x v="0"/>
    <x v="6"/>
    <x v="4"/>
    <x v="4"/>
    <x v="1"/>
    <n v="0.28999999999999998"/>
    <n v="0.4"/>
    <n v="0.02"/>
    <n v="0.28000000000000003"/>
  </r>
  <r>
    <x v="6"/>
    <x v="0"/>
    <x v="6"/>
    <x v="4"/>
    <x v="1"/>
    <x v="1"/>
    <n v="0.86"/>
    <n v="1.17"/>
    <n v="0.05"/>
    <n v="0.81"/>
  </r>
  <r>
    <x v="6"/>
    <x v="0"/>
    <x v="6"/>
    <x v="0"/>
    <x v="0"/>
    <x v="1"/>
    <n v="1.91"/>
    <n v="2.61"/>
    <n v="0.05"/>
    <n v="1.83"/>
  </r>
  <r>
    <x v="6"/>
    <x v="0"/>
    <x v="6"/>
    <x v="1"/>
    <x v="0"/>
    <x v="1"/>
    <n v="2.97"/>
    <n v="4.05"/>
    <n v="0.23"/>
    <n v="2.81"/>
  </r>
  <r>
    <x v="6"/>
    <x v="0"/>
    <x v="6"/>
    <x v="1"/>
    <x v="4"/>
    <x v="1"/>
    <n v="1.03"/>
    <n v="1.4"/>
    <n v="0.04"/>
    <n v="0.97"/>
  </r>
  <r>
    <x v="6"/>
    <x v="0"/>
    <x v="6"/>
    <x v="2"/>
    <x v="1"/>
    <x v="2"/>
    <n v="0.39"/>
    <n v="0.53"/>
    <n v="0.01"/>
    <n v="0.38"/>
  </r>
  <r>
    <x v="6"/>
    <x v="0"/>
    <x v="6"/>
    <x v="1"/>
    <x v="2"/>
    <x v="1"/>
    <n v="15.29"/>
    <n v="20.87"/>
    <n v="0.04"/>
    <n v="14.54"/>
  </r>
  <r>
    <x v="6"/>
    <x v="0"/>
    <x v="6"/>
    <x v="0"/>
    <x v="0"/>
    <x v="0"/>
    <n v="1.63"/>
    <n v="2.23"/>
    <n v="1.61"/>
    <n v="1.52"/>
  </r>
  <r>
    <x v="6"/>
    <x v="0"/>
    <x v="6"/>
    <x v="2"/>
    <x v="0"/>
    <x v="0"/>
    <n v="2.12"/>
    <n v="2.9"/>
    <n v="2.2200000000000002"/>
    <n v="1.99"/>
  </r>
  <r>
    <x v="6"/>
    <x v="0"/>
    <x v="6"/>
    <x v="1"/>
    <x v="2"/>
    <x v="0"/>
    <n v="13.82"/>
    <n v="18.87"/>
    <n v="0.17"/>
    <n v="13.05"/>
  </r>
  <r>
    <x v="6"/>
    <x v="0"/>
    <x v="6"/>
    <x v="1"/>
    <x v="1"/>
    <x v="0"/>
    <n v="5.0999999999999996"/>
    <n v="6.96"/>
    <n v="0.35"/>
    <n v="4.7300000000000004"/>
  </r>
  <r>
    <x v="6"/>
    <x v="0"/>
    <x v="6"/>
    <x v="1"/>
    <x v="4"/>
    <x v="0"/>
    <n v="45.06"/>
    <n v="61.52"/>
    <n v="8.49"/>
    <n v="42.96"/>
  </r>
  <r>
    <x v="6"/>
    <x v="0"/>
    <x v="6"/>
    <x v="1"/>
    <x v="1"/>
    <x v="1"/>
    <n v="4.75"/>
    <n v="6.49"/>
    <n v="0.1"/>
    <n v="4.49"/>
  </r>
  <r>
    <x v="6"/>
    <x v="0"/>
    <x v="6"/>
    <x v="0"/>
    <x v="4"/>
    <x v="0"/>
    <n v="3.53"/>
    <n v="4.82"/>
    <n v="0.87"/>
    <n v="3.36"/>
  </r>
  <r>
    <x v="6"/>
    <x v="0"/>
    <x v="6"/>
    <x v="2"/>
    <x v="4"/>
    <x v="0"/>
    <n v="2.13"/>
    <n v="2.91"/>
    <n v="0.5"/>
    <n v="2.0699999999999998"/>
  </r>
  <r>
    <x v="6"/>
    <x v="0"/>
    <x v="6"/>
    <x v="4"/>
    <x v="3"/>
    <x v="0"/>
    <n v="1.22"/>
    <n v="1.66"/>
    <n v="0.01"/>
    <n v="1.1399999999999999"/>
  </r>
  <r>
    <x v="6"/>
    <x v="0"/>
    <x v="6"/>
    <x v="4"/>
    <x v="2"/>
    <x v="0"/>
    <n v="0.91"/>
    <n v="1.24"/>
    <n v="0.01"/>
    <n v="0.85"/>
  </r>
  <r>
    <x v="6"/>
    <x v="0"/>
    <x v="6"/>
    <x v="4"/>
    <x v="1"/>
    <x v="0"/>
    <n v="8.7100000000000009"/>
    <n v="11.89"/>
    <n v="0.51"/>
    <n v="8.52"/>
  </r>
  <r>
    <x v="6"/>
    <x v="0"/>
    <x v="6"/>
    <x v="4"/>
    <x v="4"/>
    <x v="0"/>
    <n v="11.38"/>
    <n v="15.54"/>
    <n v="1.83"/>
    <n v="10.79"/>
  </r>
  <r>
    <x v="6"/>
    <x v="0"/>
    <x v="6"/>
    <x v="3"/>
    <x v="4"/>
    <x v="0"/>
    <n v="1.68"/>
    <n v="2.2999999999999998"/>
    <n v="0.4"/>
    <n v="1.59"/>
  </r>
  <r>
    <x v="6"/>
    <x v="0"/>
    <x v="6"/>
    <x v="3"/>
    <x v="0"/>
    <x v="0"/>
    <n v="0.32"/>
    <n v="0.44"/>
    <n v="0.17"/>
    <n v="0.32"/>
  </r>
  <r>
    <x v="6"/>
    <x v="0"/>
    <x v="6"/>
    <x v="1"/>
    <x v="0"/>
    <x v="0"/>
    <n v="3.34"/>
    <n v="4.57"/>
    <n v="1.75"/>
    <n v="3.2"/>
  </r>
  <r>
    <x v="6"/>
    <x v="4"/>
    <x v="7"/>
    <x v="0"/>
    <x v="3"/>
    <x v="1"/>
    <n v="1.36"/>
    <n v="1.47"/>
    <n v="0.01"/>
    <n v="1.0900000000000001"/>
  </r>
  <r>
    <x v="6"/>
    <x v="4"/>
    <x v="7"/>
    <x v="1"/>
    <x v="0"/>
    <x v="1"/>
    <n v="63.03"/>
    <n v="68.09"/>
    <n v="2.16"/>
    <n v="52.14"/>
  </r>
  <r>
    <x v="6"/>
    <x v="4"/>
    <x v="7"/>
    <x v="1"/>
    <x v="4"/>
    <x v="2"/>
    <n v="15.07"/>
    <n v="16.28"/>
    <n v="0.36"/>
    <n v="12.56"/>
  </r>
  <r>
    <x v="6"/>
    <x v="4"/>
    <x v="7"/>
    <x v="1"/>
    <x v="4"/>
    <x v="1"/>
    <n v="20.059999999999999"/>
    <n v="21.67"/>
    <n v="0.53"/>
    <n v="16.62"/>
  </r>
  <r>
    <x v="6"/>
    <x v="4"/>
    <x v="7"/>
    <x v="4"/>
    <x v="4"/>
    <x v="1"/>
    <n v="2.44"/>
    <n v="2.63"/>
    <n v="0.09"/>
    <n v="2.0099999999999998"/>
  </r>
  <r>
    <x v="6"/>
    <x v="4"/>
    <x v="7"/>
    <x v="1"/>
    <x v="1"/>
    <x v="1"/>
    <n v="140.07"/>
    <n v="151.32"/>
    <n v="1.29"/>
    <n v="115.89"/>
  </r>
  <r>
    <x v="6"/>
    <x v="4"/>
    <x v="7"/>
    <x v="1"/>
    <x v="2"/>
    <x v="1"/>
    <n v="192.51"/>
    <n v="207.97"/>
    <n v="0.62"/>
    <n v="159.27000000000001"/>
  </r>
  <r>
    <x v="6"/>
    <x v="4"/>
    <x v="7"/>
    <x v="1"/>
    <x v="2"/>
    <x v="0"/>
    <n v="260.89"/>
    <n v="281.83999999999997"/>
    <n v="5.98"/>
    <n v="242.09"/>
  </r>
  <r>
    <x v="6"/>
    <x v="4"/>
    <x v="7"/>
    <x v="1"/>
    <x v="1"/>
    <x v="2"/>
    <n v="46.92"/>
    <n v="50.69"/>
    <n v="0.4"/>
    <n v="45.88"/>
  </r>
  <r>
    <x v="6"/>
    <x v="4"/>
    <x v="7"/>
    <x v="2"/>
    <x v="3"/>
    <x v="2"/>
    <n v="11.76"/>
    <n v="12.7"/>
    <n v="0.04"/>
    <n v="11.76"/>
  </r>
  <r>
    <x v="6"/>
    <x v="4"/>
    <x v="7"/>
    <x v="4"/>
    <x v="0"/>
    <x v="1"/>
    <n v="1.78"/>
    <n v="1.93"/>
    <n v="0.16"/>
    <n v="1.49"/>
  </r>
  <r>
    <x v="6"/>
    <x v="4"/>
    <x v="7"/>
    <x v="0"/>
    <x v="1"/>
    <x v="1"/>
    <n v="1.87"/>
    <n v="2.02"/>
    <n v="0.03"/>
    <n v="1.5"/>
  </r>
  <r>
    <x v="6"/>
    <x v="4"/>
    <x v="7"/>
    <x v="4"/>
    <x v="1"/>
    <x v="1"/>
    <n v="3.27"/>
    <n v="3.53"/>
    <n v="0.12"/>
    <n v="2.72"/>
  </r>
  <r>
    <x v="6"/>
    <x v="4"/>
    <x v="7"/>
    <x v="0"/>
    <x v="0"/>
    <x v="1"/>
    <n v="93.55"/>
    <n v="101.06"/>
    <n v="2.12"/>
    <n v="77.3"/>
  </r>
  <r>
    <x v="6"/>
    <x v="4"/>
    <x v="7"/>
    <x v="1"/>
    <x v="3"/>
    <x v="1"/>
    <n v="6.63"/>
    <n v="7.16"/>
    <n v="7.0000000000000007E-2"/>
    <n v="5.55"/>
  </r>
  <r>
    <x v="6"/>
    <x v="4"/>
    <x v="7"/>
    <x v="0"/>
    <x v="1"/>
    <x v="0"/>
    <n v="0.06"/>
    <n v="7.0000000000000007E-2"/>
    <n v="0"/>
    <n v="0.05"/>
  </r>
  <r>
    <x v="6"/>
    <x v="4"/>
    <x v="7"/>
    <x v="0"/>
    <x v="4"/>
    <x v="1"/>
    <n v="1.82"/>
    <n v="1.97"/>
    <n v="0.01"/>
    <n v="1.5"/>
  </r>
  <r>
    <x v="6"/>
    <x v="4"/>
    <x v="7"/>
    <x v="2"/>
    <x v="3"/>
    <x v="3"/>
    <n v="376.71"/>
    <n v="406.96"/>
    <n v="0.2"/>
    <n v="376.71"/>
  </r>
  <r>
    <x v="6"/>
    <x v="4"/>
    <x v="7"/>
    <x v="0"/>
    <x v="2"/>
    <x v="0"/>
    <n v="0.94"/>
    <n v="1.01"/>
    <n v="0.01"/>
    <n v="0.75"/>
  </r>
  <r>
    <x v="6"/>
    <x v="4"/>
    <x v="7"/>
    <x v="4"/>
    <x v="2"/>
    <x v="2"/>
    <n v="44.17"/>
    <n v="47.72"/>
    <n v="0.97"/>
    <n v="36.81"/>
  </r>
  <r>
    <x v="6"/>
    <x v="4"/>
    <x v="7"/>
    <x v="4"/>
    <x v="1"/>
    <x v="2"/>
    <n v="3.57"/>
    <n v="3.85"/>
    <n v="0.13"/>
    <n v="2.97"/>
  </r>
  <r>
    <x v="6"/>
    <x v="4"/>
    <x v="7"/>
    <x v="2"/>
    <x v="0"/>
    <x v="0"/>
    <n v="118.12"/>
    <n v="127.61"/>
    <n v="201.53"/>
    <n v="112.8"/>
  </r>
  <r>
    <x v="6"/>
    <x v="4"/>
    <x v="7"/>
    <x v="2"/>
    <x v="4"/>
    <x v="0"/>
    <n v="95.44"/>
    <n v="103.11"/>
    <n v="41.34"/>
    <n v="91.08"/>
  </r>
  <r>
    <x v="6"/>
    <x v="4"/>
    <x v="7"/>
    <x v="2"/>
    <x v="3"/>
    <x v="0"/>
    <n v="13.66"/>
    <n v="14.76"/>
    <n v="7.0000000000000007E-2"/>
    <n v="13.66"/>
  </r>
  <r>
    <x v="6"/>
    <x v="4"/>
    <x v="7"/>
    <x v="1"/>
    <x v="1"/>
    <x v="0"/>
    <n v="1995.16"/>
    <n v="2155.35"/>
    <n v="181.49"/>
    <n v="1776.18"/>
  </r>
  <r>
    <x v="6"/>
    <x v="4"/>
    <x v="7"/>
    <x v="1"/>
    <x v="4"/>
    <x v="0"/>
    <n v="5784.43"/>
    <n v="6248.86"/>
    <n v="1514.95"/>
    <n v="5370.44"/>
  </r>
  <r>
    <x v="6"/>
    <x v="4"/>
    <x v="7"/>
    <x v="0"/>
    <x v="0"/>
    <x v="0"/>
    <n v="32.53"/>
    <n v="35.15"/>
    <n v="26.34"/>
    <n v="29.32"/>
  </r>
  <r>
    <x v="6"/>
    <x v="4"/>
    <x v="7"/>
    <x v="1"/>
    <x v="0"/>
    <x v="0"/>
    <n v="115.14"/>
    <n v="124.39"/>
    <n v="91.71"/>
    <n v="107.02"/>
  </r>
  <r>
    <x v="6"/>
    <x v="4"/>
    <x v="7"/>
    <x v="2"/>
    <x v="4"/>
    <x v="1"/>
    <n v="1.31"/>
    <n v="1.42"/>
    <n v="0"/>
    <n v="1.31"/>
  </r>
  <r>
    <x v="6"/>
    <x v="4"/>
    <x v="7"/>
    <x v="0"/>
    <x v="4"/>
    <x v="0"/>
    <n v="274.76"/>
    <n v="296.82"/>
    <n v="110.7"/>
    <n v="242.6"/>
  </r>
  <r>
    <x v="6"/>
    <x v="4"/>
    <x v="7"/>
    <x v="4"/>
    <x v="3"/>
    <x v="0"/>
    <n v="3.16"/>
    <n v="3.41"/>
    <n v="0.02"/>
    <n v="2.72"/>
  </r>
  <r>
    <x v="6"/>
    <x v="4"/>
    <x v="7"/>
    <x v="4"/>
    <x v="2"/>
    <x v="0"/>
    <n v="1.45"/>
    <n v="1.57"/>
    <n v="0.01"/>
    <n v="1.25"/>
  </r>
  <r>
    <x v="6"/>
    <x v="4"/>
    <x v="7"/>
    <x v="4"/>
    <x v="1"/>
    <x v="0"/>
    <n v="201.98"/>
    <n v="218.2"/>
    <n v="19.2"/>
    <n v="185.26"/>
  </r>
  <r>
    <x v="6"/>
    <x v="4"/>
    <x v="7"/>
    <x v="4"/>
    <x v="4"/>
    <x v="0"/>
    <n v="592.1"/>
    <n v="639.64"/>
    <n v="156.24"/>
    <n v="543.72"/>
  </r>
  <r>
    <x v="6"/>
    <x v="4"/>
    <x v="7"/>
    <x v="3"/>
    <x v="4"/>
    <x v="0"/>
    <n v="796.52"/>
    <n v="860.47"/>
    <n v="194.64"/>
    <n v="755.86"/>
  </r>
  <r>
    <x v="6"/>
    <x v="4"/>
    <x v="7"/>
    <x v="3"/>
    <x v="0"/>
    <x v="0"/>
    <n v="9.52"/>
    <n v="10.28"/>
    <n v="5.21"/>
    <n v="9.1999999999999993"/>
  </r>
  <r>
    <x v="6"/>
    <x v="4"/>
    <x v="7"/>
    <x v="2"/>
    <x v="3"/>
    <x v="1"/>
    <n v="8.61"/>
    <n v="9.3000000000000007"/>
    <n v="0.03"/>
    <n v="7.18"/>
  </r>
  <r>
    <x v="6"/>
    <x v="0"/>
    <x v="8"/>
    <x v="2"/>
    <x v="0"/>
    <x v="0"/>
    <n v="1.65"/>
    <n v="2.69"/>
    <n v="1.63"/>
    <n v="1.53"/>
  </r>
  <r>
    <x v="6"/>
    <x v="0"/>
    <x v="8"/>
    <x v="1"/>
    <x v="1"/>
    <x v="1"/>
    <n v="3.74"/>
    <n v="6.11"/>
    <n v="7.0000000000000007E-2"/>
    <n v="3.53"/>
  </r>
  <r>
    <x v="6"/>
    <x v="0"/>
    <x v="8"/>
    <x v="1"/>
    <x v="2"/>
    <x v="0"/>
    <n v="6.41"/>
    <n v="10.47"/>
    <n v="7.0000000000000007E-2"/>
    <n v="6.05"/>
  </r>
  <r>
    <x v="6"/>
    <x v="0"/>
    <x v="8"/>
    <x v="1"/>
    <x v="1"/>
    <x v="0"/>
    <n v="4"/>
    <n v="6.53"/>
    <n v="0.27"/>
    <n v="3.66"/>
  </r>
  <r>
    <x v="6"/>
    <x v="0"/>
    <x v="8"/>
    <x v="1"/>
    <x v="4"/>
    <x v="0"/>
    <n v="37.5"/>
    <n v="61.24"/>
    <n v="7.21"/>
    <n v="35.92"/>
  </r>
  <r>
    <x v="6"/>
    <x v="0"/>
    <x v="8"/>
    <x v="1"/>
    <x v="0"/>
    <x v="0"/>
    <n v="1.65"/>
    <n v="2.69"/>
    <n v="0.81"/>
    <n v="1.55"/>
  </r>
  <r>
    <x v="6"/>
    <x v="0"/>
    <x v="8"/>
    <x v="0"/>
    <x v="4"/>
    <x v="0"/>
    <n v="4.97"/>
    <n v="8.1199999999999992"/>
    <n v="1.17"/>
    <n v="4.57"/>
  </r>
  <r>
    <x v="6"/>
    <x v="0"/>
    <x v="8"/>
    <x v="0"/>
    <x v="0"/>
    <x v="0"/>
    <n v="2.58"/>
    <n v="4.21"/>
    <n v="2.71"/>
    <n v="2.34"/>
  </r>
  <r>
    <x v="6"/>
    <x v="0"/>
    <x v="8"/>
    <x v="4"/>
    <x v="1"/>
    <x v="0"/>
    <n v="16.14"/>
    <n v="26.37"/>
    <n v="1.18"/>
    <n v="15.92"/>
  </r>
  <r>
    <x v="6"/>
    <x v="0"/>
    <x v="8"/>
    <x v="4"/>
    <x v="4"/>
    <x v="0"/>
    <n v="10.27"/>
    <n v="16.78"/>
    <n v="2.63"/>
    <n v="9.73"/>
  </r>
  <r>
    <x v="6"/>
    <x v="0"/>
    <x v="8"/>
    <x v="3"/>
    <x v="4"/>
    <x v="0"/>
    <n v="1.62"/>
    <n v="2.64"/>
    <n v="0.39"/>
    <n v="1.53"/>
  </r>
  <r>
    <x v="6"/>
    <x v="0"/>
    <x v="8"/>
    <x v="2"/>
    <x v="4"/>
    <x v="0"/>
    <n v="1.29"/>
    <n v="2.11"/>
    <n v="0.61"/>
    <n v="1.25"/>
  </r>
  <r>
    <x v="6"/>
    <x v="0"/>
    <x v="8"/>
    <x v="1"/>
    <x v="2"/>
    <x v="1"/>
    <n v="14.25"/>
    <n v="23.27"/>
    <n v="0.03"/>
    <n v="13.57"/>
  </r>
  <r>
    <x v="6"/>
    <x v="0"/>
    <x v="8"/>
    <x v="2"/>
    <x v="3"/>
    <x v="3"/>
    <n v="3.77"/>
    <n v="6.15"/>
    <n v="0"/>
    <n v="3.68"/>
  </r>
  <r>
    <x v="6"/>
    <x v="0"/>
    <x v="8"/>
    <x v="1"/>
    <x v="4"/>
    <x v="1"/>
    <n v="0.54"/>
    <n v="0.88"/>
    <n v="0.02"/>
    <n v="0.51"/>
  </r>
  <r>
    <x v="6"/>
    <x v="0"/>
    <x v="8"/>
    <x v="1"/>
    <x v="0"/>
    <x v="1"/>
    <n v="2.23"/>
    <n v="3.64"/>
    <n v="0.14000000000000001"/>
    <n v="2.12"/>
  </r>
  <r>
    <x v="6"/>
    <x v="0"/>
    <x v="8"/>
    <x v="0"/>
    <x v="0"/>
    <x v="1"/>
    <n v="1.51"/>
    <n v="2.4700000000000002"/>
    <n v="0.04"/>
    <n v="1.44"/>
  </r>
  <r>
    <x v="6"/>
    <x v="0"/>
    <x v="8"/>
    <x v="4"/>
    <x v="1"/>
    <x v="1"/>
    <n v="0.41"/>
    <n v="0.67"/>
    <n v="0.03"/>
    <n v="0.39"/>
  </r>
  <r>
    <x v="6"/>
    <x v="0"/>
    <x v="8"/>
    <x v="4"/>
    <x v="4"/>
    <x v="1"/>
    <n v="0.31"/>
    <n v="0.51"/>
    <n v="0.02"/>
    <n v="0.3"/>
  </r>
  <r>
    <x v="6"/>
    <x v="0"/>
    <x v="8"/>
    <x v="4"/>
    <x v="0"/>
    <x v="1"/>
    <n v="0.46"/>
    <n v="0.74"/>
    <n v="0.03"/>
    <n v="0.43"/>
  </r>
  <r>
    <x v="6"/>
    <x v="0"/>
    <x v="8"/>
    <x v="2"/>
    <x v="3"/>
    <x v="2"/>
    <n v="1.91"/>
    <n v="3.12"/>
    <n v="0"/>
    <n v="1.8"/>
  </r>
  <r>
    <x v="6"/>
    <x v="0"/>
    <x v="8"/>
    <x v="4"/>
    <x v="2"/>
    <x v="2"/>
    <n v="0.16"/>
    <n v="0.26"/>
    <n v="0"/>
    <n v="0.15"/>
  </r>
  <r>
    <x v="6"/>
    <x v="0"/>
    <x v="8"/>
    <x v="4"/>
    <x v="1"/>
    <x v="2"/>
    <n v="0.27"/>
    <n v="0.43"/>
    <n v="0.01"/>
    <n v="0.24"/>
  </r>
  <r>
    <x v="6"/>
    <x v="0"/>
    <x v="8"/>
    <x v="4"/>
    <x v="4"/>
    <x v="2"/>
    <n v="0.27"/>
    <n v="0.44"/>
    <n v="0.01"/>
    <n v="0.25"/>
  </r>
  <r>
    <x v="6"/>
    <x v="0"/>
    <x v="8"/>
    <x v="3"/>
    <x v="0"/>
    <x v="0"/>
    <n v="0.26"/>
    <n v="0.43"/>
    <n v="0.13"/>
    <n v="0.26"/>
  </r>
  <r>
    <x v="6"/>
    <x v="0"/>
    <x v="8"/>
    <x v="1"/>
    <x v="4"/>
    <x v="2"/>
    <n v="0.2"/>
    <n v="0.32"/>
    <n v="0.01"/>
    <n v="0.18"/>
  </r>
  <r>
    <x v="6"/>
    <x v="5"/>
    <x v="9"/>
    <x v="1"/>
    <x v="4"/>
    <x v="0"/>
    <n v="70.17"/>
    <n v="87.69"/>
    <n v="14.71"/>
    <n v="65.64"/>
  </r>
  <r>
    <x v="6"/>
    <x v="5"/>
    <x v="9"/>
    <x v="3"/>
    <x v="0"/>
    <x v="0"/>
    <n v="0.16"/>
    <n v="0.21"/>
    <n v="0.03"/>
    <n v="0.15"/>
  </r>
  <r>
    <x v="6"/>
    <x v="5"/>
    <x v="9"/>
    <x v="4"/>
    <x v="4"/>
    <x v="2"/>
    <n v="0.72"/>
    <n v="0.9"/>
    <n v="0.03"/>
    <n v="0.64"/>
  </r>
  <r>
    <x v="6"/>
    <x v="5"/>
    <x v="9"/>
    <x v="4"/>
    <x v="1"/>
    <x v="2"/>
    <n v="0.34"/>
    <n v="0.43"/>
    <n v="0.01"/>
    <n v="0.31"/>
  </r>
  <r>
    <x v="6"/>
    <x v="5"/>
    <x v="9"/>
    <x v="4"/>
    <x v="2"/>
    <x v="2"/>
    <n v="0.55000000000000004"/>
    <n v="0.69"/>
    <n v="0"/>
    <n v="0.48"/>
  </r>
  <r>
    <x v="6"/>
    <x v="5"/>
    <x v="9"/>
    <x v="1"/>
    <x v="4"/>
    <x v="2"/>
    <n v="1.33"/>
    <n v="1.66"/>
    <n v="0.02"/>
    <n v="1.1499999999999999"/>
  </r>
  <r>
    <x v="6"/>
    <x v="5"/>
    <x v="9"/>
    <x v="2"/>
    <x v="3"/>
    <x v="3"/>
    <n v="0.99"/>
    <n v="1.24"/>
    <n v="0"/>
    <n v="0.99"/>
  </r>
  <r>
    <x v="6"/>
    <x v="5"/>
    <x v="9"/>
    <x v="4"/>
    <x v="4"/>
    <x v="1"/>
    <n v="0.05"/>
    <n v="0.06"/>
    <n v="0"/>
    <n v="0.04"/>
  </r>
  <r>
    <x v="6"/>
    <x v="5"/>
    <x v="9"/>
    <x v="4"/>
    <x v="1"/>
    <x v="1"/>
    <n v="0.01"/>
    <n v="0.02"/>
    <n v="0"/>
    <n v="0.01"/>
  </r>
  <r>
    <x v="6"/>
    <x v="5"/>
    <x v="9"/>
    <x v="0"/>
    <x v="0"/>
    <x v="1"/>
    <n v="1.18"/>
    <n v="1.48"/>
    <n v="0.03"/>
    <n v="1.0900000000000001"/>
  </r>
  <r>
    <x v="6"/>
    <x v="5"/>
    <x v="9"/>
    <x v="1"/>
    <x v="0"/>
    <x v="1"/>
    <n v="0.53"/>
    <n v="0.67"/>
    <n v="0.03"/>
    <n v="0.49"/>
  </r>
  <r>
    <x v="6"/>
    <x v="5"/>
    <x v="9"/>
    <x v="1"/>
    <x v="4"/>
    <x v="1"/>
    <n v="0.16"/>
    <n v="0.19"/>
    <n v="0.01"/>
    <n v="0.14000000000000001"/>
  </r>
  <r>
    <x v="6"/>
    <x v="5"/>
    <x v="9"/>
    <x v="1"/>
    <x v="2"/>
    <x v="0"/>
    <n v="0.01"/>
    <n v="0.01"/>
    <n v="0"/>
    <n v="0.01"/>
  </r>
  <r>
    <x v="6"/>
    <x v="5"/>
    <x v="9"/>
    <x v="1"/>
    <x v="2"/>
    <x v="1"/>
    <n v="2.65"/>
    <n v="3.31"/>
    <n v="0.02"/>
    <n v="2.4700000000000002"/>
  </r>
  <r>
    <x v="6"/>
    <x v="5"/>
    <x v="9"/>
    <x v="2"/>
    <x v="3"/>
    <x v="0"/>
    <n v="0.7"/>
    <n v="0.87"/>
    <n v="0"/>
    <n v="0.7"/>
  </r>
  <r>
    <x v="6"/>
    <x v="5"/>
    <x v="9"/>
    <x v="3"/>
    <x v="4"/>
    <x v="0"/>
    <n v="1.98"/>
    <n v="2.48"/>
    <n v="0.61"/>
    <n v="1.91"/>
  </r>
  <r>
    <x v="6"/>
    <x v="5"/>
    <x v="9"/>
    <x v="4"/>
    <x v="4"/>
    <x v="0"/>
    <n v="17.46"/>
    <n v="21.82"/>
    <n v="2.08"/>
    <n v="16.38"/>
  </r>
  <r>
    <x v="6"/>
    <x v="5"/>
    <x v="9"/>
    <x v="4"/>
    <x v="1"/>
    <x v="0"/>
    <n v="3.53"/>
    <n v="4.41"/>
    <n v="0.23"/>
    <n v="3.27"/>
  </r>
  <r>
    <x v="6"/>
    <x v="5"/>
    <x v="9"/>
    <x v="0"/>
    <x v="0"/>
    <x v="0"/>
    <n v="2.8"/>
    <n v="3.5"/>
    <n v="1.77"/>
    <n v="2.57"/>
  </r>
  <r>
    <x v="6"/>
    <x v="5"/>
    <x v="9"/>
    <x v="0"/>
    <x v="4"/>
    <x v="0"/>
    <n v="8.08"/>
    <n v="10.09"/>
    <n v="2.25"/>
    <n v="7.71"/>
  </r>
  <r>
    <x v="6"/>
    <x v="5"/>
    <x v="9"/>
    <x v="0"/>
    <x v="2"/>
    <x v="0"/>
    <n v="0.36"/>
    <n v="0.45"/>
    <n v="0"/>
    <n v="0.33"/>
  </r>
  <r>
    <x v="6"/>
    <x v="5"/>
    <x v="9"/>
    <x v="1"/>
    <x v="0"/>
    <x v="0"/>
    <n v="6.49"/>
    <n v="8.11"/>
    <n v="3.39"/>
    <n v="6.22"/>
  </r>
  <r>
    <x v="6"/>
    <x v="5"/>
    <x v="9"/>
    <x v="1"/>
    <x v="1"/>
    <x v="0"/>
    <n v="10.06"/>
    <n v="12.57"/>
    <n v="0.72"/>
    <n v="9.31"/>
  </r>
  <r>
    <x v="6"/>
    <x v="5"/>
    <x v="9"/>
    <x v="2"/>
    <x v="0"/>
    <x v="0"/>
    <n v="2.48"/>
    <n v="3.11"/>
    <n v="2.1800000000000002"/>
    <n v="2.37"/>
  </r>
  <r>
    <x v="6"/>
    <x v="5"/>
    <x v="9"/>
    <x v="2"/>
    <x v="4"/>
    <x v="0"/>
    <n v="1.68"/>
    <n v="2.1"/>
    <n v="0.36"/>
    <n v="1.63"/>
  </r>
  <r>
    <x v="6"/>
    <x v="5"/>
    <x v="9"/>
    <x v="1"/>
    <x v="1"/>
    <x v="1"/>
    <n v="0.64"/>
    <n v="0.81"/>
    <n v="0.01"/>
    <n v="0.6"/>
  </r>
  <r>
    <x v="6"/>
    <x v="2"/>
    <x v="10"/>
    <x v="1"/>
    <x v="1"/>
    <x v="1"/>
    <n v="1.62"/>
    <n v="1.94"/>
    <n v="0.01"/>
    <n v="1.46"/>
  </r>
  <r>
    <x v="6"/>
    <x v="2"/>
    <x v="10"/>
    <x v="4"/>
    <x v="4"/>
    <x v="1"/>
    <n v="0.11"/>
    <n v="0.13"/>
    <n v="0"/>
    <n v="0.1"/>
  </r>
  <r>
    <x v="6"/>
    <x v="2"/>
    <x v="10"/>
    <x v="1"/>
    <x v="2"/>
    <x v="0"/>
    <n v="0.38"/>
    <n v="0.46"/>
    <n v="0"/>
    <n v="0.35"/>
  </r>
  <r>
    <x v="6"/>
    <x v="2"/>
    <x v="10"/>
    <x v="1"/>
    <x v="1"/>
    <x v="0"/>
    <n v="10.75"/>
    <n v="12.89"/>
    <n v="0.59"/>
    <n v="9.9499999999999993"/>
  </r>
  <r>
    <x v="6"/>
    <x v="2"/>
    <x v="10"/>
    <x v="1"/>
    <x v="4"/>
    <x v="0"/>
    <n v="69.569999999999993"/>
    <n v="83.38"/>
    <n v="11.83"/>
    <n v="64.55"/>
  </r>
  <r>
    <x v="6"/>
    <x v="2"/>
    <x v="10"/>
    <x v="1"/>
    <x v="0"/>
    <x v="0"/>
    <n v="2.82"/>
    <n v="3.38"/>
    <n v="1.55"/>
    <n v="2.69"/>
  </r>
  <r>
    <x v="6"/>
    <x v="2"/>
    <x v="10"/>
    <x v="0"/>
    <x v="4"/>
    <x v="0"/>
    <n v="5.6"/>
    <n v="6.71"/>
    <n v="1.64"/>
    <n v="5.25"/>
  </r>
  <r>
    <x v="6"/>
    <x v="2"/>
    <x v="10"/>
    <x v="0"/>
    <x v="0"/>
    <x v="0"/>
    <n v="3.07"/>
    <n v="3.68"/>
    <n v="1.56"/>
    <n v="2.82"/>
  </r>
  <r>
    <x v="6"/>
    <x v="2"/>
    <x v="10"/>
    <x v="4"/>
    <x v="1"/>
    <x v="0"/>
    <n v="11.17"/>
    <n v="13.39"/>
    <n v="0.63"/>
    <n v="10.31"/>
  </r>
  <r>
    <x v="6"/>
    <x v="2"/>
    <x v="10"/>
    <x v="4"/>
    <x v="4"/>
    <x v="0"/>
    <n v="56.75"/>
    <n v="68.02"/>
    <n v="5.82"/>
    <n v="52.59"/>
  </r>
  <r>
    <x v="6"/>
    <x v="2"/>
    <x v="10"/>
    <x v="3"/>
    <x v="4"/>
    <x v="0"/>
    <n v="3.27"/>
    <n v="3.92"/>
    <n v="0.76"/>
    <n v="3.13"/>
  </r>
  <r>
    <x v="6"/>
    <x v="2"/>
    <x v="10"/>
    <x v="2"/>
    <x v="0"/>
    <x v="0"/>
    <n v="2.2000000000000002"/>
    <n v="2.63"/>
    <n v="1.06"/>
    <n v="2.06"/>
  </r>
  <r>
    <x v="6"/>
    <x v="2"/>
    <x v="10"/>
    <x v="1"/>
    <x v="2"/>
    <x v="1"/>
    <n v="6.5"/>
    <n v="7.79"/>
    <n v="0.03"/>
    <n v="5.85"/>
  </r>
  <r>
    <x v="6"/>
    <x v="2"/>
    <x v="10"/>
    <x v="2"/>
    <x v="4"/>
    <x v="0"/>
    <n v="1.49"/>
    <n v="1.79"/>
    <n v="0.34"/>
    <n v="1.41"/>
  </r>
  <r>
    <x v="6"/>
    <x v="2"/>
    <x v="10"/>
    <x v="1"/>
    <x v="4"/>
    <x v="1"/>
    <n v="0.44"/>
    <n v="0.53"/>
    <n v="0.02"/>
    <n v="0.4"/>
  </r>
  <r>
    <x v="6"/>
    <x v="2"/>
    <x v="10"/>
    <x v="1"/>
    <x v="0"/>
    <x v="1"/>
    <n v="1.39"/>
    <n v="1.66"/>
    <n v="0.06"/>
    <n v="1.25"/>
  </r>
  <r>
    <x v="6"/>
    <x v="2"/>
    <x v="10"/>
    <x v="0"/>
    <x v="0"/>
    <x v="1"/>
    <n v="3.19"/>
    <n v="3.83"/>
    <n v="0.09"/>
    <n v="2.88"/>
  </r>
  <r>
    <x v="6"/>
    <x v="2"/>
    <x v="10"/>
    <x v="4"/>
    <x v="1"/>
    <x v="1"/>
    <n v="0.04"/>
    <n v="0.05"/>
    <n v="0"/>
    <n v="0.04"/>
  </r>
  <r>
    <x v="6"/>
    <x v="2"/>
    <x v="10"/>
    <x v="4"/>
    <x v="4"/>
    <x v="2"/>
    <n v="0.32"/>
    <n v="0.38"/>
    <n v="0.01"/>
    <n v="0.28000000000000003"/>
  </r>
  <r>
    <x v="6"/>
    <x v="2"/>
    <x v="10"/>
    <x v="4"/>
    <x v="1"/>
    <x v="2"/>
    <n v="0.24"/>
    <n v="0.28999999999999998"/>
    <n v="0.01"/>
    <n v="0.21"/>
  </r>
  <r>
    <x v="6"/>
    <x v="2"/>
    <x v="10"/>
    <x v="1"/>
    <x v="4"/>
    <x v="2"/>
    <n v="1.1000000000000001"/>
    <n v="1.32"/>
    <n v="0.02"/>
    <n v="0.96"/>
  </r>
  <r>
    <x v="6"/>
    <x v="2"/>
    <x v="10"/>
    <x v="2"/>
    <x v="3"/>
    <x v="2"/>
    <n v="0.41"/>
    <n v="0.49"/>
    <n v="0"/>
    <n v="0.41"/>
  </r>
  <r>
    <x v="6"/>
    <x v="2"/>
    <x v="10"/>
    <x v="2"/>
    <x v="3"/>
    <x v="3"/>
    <n v="26.74"/>
    <n v="32.049999999999997"/>
    <n v="0.02"/>
    <n v="26.68"/>
  </r>
  <r>
    <x v="6"/>
    <x v="2"/>
    <x v="10"/>
    <x v="3"/>
    <x v="0"/>
    <x v="0"/>
    <n v="0.1"/>
    <n v="0.12"/>
    <n v="0.02"/>
    <n v="0.09"/>
  </r>
  <r>
    <x v="6"/>
    <x v="2"/>
    <x v="11"/>
    <x v="0"/>
    <x v="2"/>
    <x v="0"/>
    <n v="0.35"/>
    <n v="0.42"/>
    <n v="0"/>
    <n v="0.34"/>
  </r>
  <r>
    <x v="6"/>
    <x v="2"/>
    <x v="11"/>
    <x v="1"/>
    <x v="0"/>
    <x v="1"/>
    <n v="0.51"/>
    <n v="0.61"/>
    <n v="0.02"/>
    <n v="0.46"/>
  </r>
  <r>
    <x v="6"/>
    <x v="2"/>
    <x v="11"/>
    <x v="0"/>
    <x v="0"/>
    <x v="1"/>
    <n v="1.18"/>
    <n v="1.42"/>
    <n v="0.03"/>
    <n v="1.07"/>
  </r>
  <r>
    <x v="6"/>
    <x v="2"/>
    <x v="11"/>
    <x v="4"/>
    <x v="1"/>
    <x v="1"/>
    <n v="0.01"/>
    <n v="0.02"/>
    <n v="0"/>
    <n v="0.01"/>
  </r>
  <r>
    <x v="6"/>
    <x v="2"/>
    <x v="11"/>
    <x v="4"/>
    <x v="4"/>
    <x v="1"/>
    <n v="0.05"/>
    <n v="0.06"/>
    <n v="0"/>
    <n v="0.04"/>
  </r>
  <r>
    <x v="6"/>
    <x v="2"/>
    <x v="11"/>
    <x v="2"/>
    <x v="3"/>
    <x v="3"/>
    <n v="1.44"/>
    <n v="1.72"/>
    <n v="0"/>
    <n v="1.44"/>
  </r>
  <r>
    <x v="6"/>
    <x v="2"/>
    <x v="11"/>
    <x v="1"/>
    <x v="4"/>
    <x v="1"/>
    <n v="0.16"/>
    <n v="0.19"/>
    <n v="0.01"/>
    <n v="0.14000000000000001"/>
  </r>
  <r>
    <x v="6"/>
    <x v="2"/>
    <x v="11"/>
    <x v="2"/>
    <x v="0"/>
    <x v="0"/>
    <n v="5.98"/>
    <n v="7.18"/>
    <n v="2.19"/>
    <n v="5.53"/>
  </r>
  <r>
    <x v="6"/>
    <x v="2"/>
    <x v="11"/>
    <x v="2"/>
    <x v="3"/>
    <x v="2"/>
    <n v="0.39"/>
    <n v="0.47"/>
    <n v="0"/>
    <n v="0.39"/>
  </r>
  <r>
    <x v="6"/>
    <x v="2"/>
    <x v="11"/>
    <x v="1"/>
    <x v="1"/>
    <x v="0"/>
    <n v="12.72"/>
    <n v="15.28"/>
    <n v="0.68"/>
    <n v="11.66"/>
  </r>
  <r>
    <x v="6"/>
    <x v="2"/>
    <x v="11"/>
    <x v="1"/>
    <x v="4"/>
    <x v="0"/>
    <n v="92.74"/>
    <n v="111.33"/>
    <n v="16.53"/>
    <n v="84.99"/>
  </r>
  <r>
    <x v="6"/>
    <x v="2"/>
    <x v="11"/>
    <x v="4"/>
    <x v="4"/>
    <x v="2"/>
    <n v="0.4"/>
    <n v="0.48"/>
    <n v="0.01"/>
    <n v="0.35"/>
  </r>
  <r>
    <x v="6"/>
    <x v="2"/>
    <x v="11"/>
    <x v="1"/>
    <x v="0"/>
    <x v="0"/>
    <n v="4.38"/>
    <n v="5.26"/>
    <n v="2.2599999999999998"/>
    <n v="4.12"/>
  </r>
  <r>
    <x v="6"/>
    <x v="2"/>
    <x v="11"/>
    <x v="0"/>
    <x v="4"/>
    <x v="0"/>
    <n v="9.66"/>
    <n v="11.59"/>
    <n v="2.97"/>
    <n v="8.81"/>
  </r>
  <r>
    <x v="6"/>
    <x v="2"/>
    <x v="11"/>
    <x v="0"/>
    <x v="0"/>
    <x v="0"/>
    <n v="5.35"/>
    <n v="6.43"/>
    <n v="3.25"/>
    <n v="4.8600000000000003"/>
  </r>
  <r>
    <x v="6"/>
    <x v="2"/>
    <x v="11"/>
    <x v="4"/>
    <x v="1"/>
    <x v="0"/>
    <n v="7.48"/>
    <n v="8.98"/>
    <n v="0.36"/>
    <n v="6.84"/>
  </r>
  <r>
    <x v="6"/>
    <x v="2"/>
    <x v="11"/>
    <x v="4"/>
    <x v="4"/>
    <x v="0"/>
    <n v="70.86"/>
    <n v="85.06"/>
    <n v="7.94"/>
    <n v="65.099999999999994"/>
  </r>
  <r>
    <x v="6"/>
    <x v="2"/>
    <x v="11"/>
    <x v="1"/>
    <x v="4"/>
    <x v="2"/>
    <n v="1.1499999999999999"/>
    <n v="1.37"/>
    <n v="0.01"/>
    <n v="1"/>
  </r>
  <r>
    <x v="6"/>
    <x v="2"/>
    <x v="11"/>
    <x v="3"/>
    <x v="4"/>
    <x v="0"/>
    <n v="2.87"/>
    <n v="3.44"/>
    <n v="0.72"/>
    <n v="2.7"/>
  </r>
  <r>
    <x v="6"/>
    <x v="2"/>
    <x v="11"/>
    <x v="3"/>
    <x v="0"/>
    <x v="0"/>
    <n v="0.27"/>
    <n v="0.33"/>
    <n v="0.06"/>
    <n v="0.25"/>
  </r>
  <r>
    <x v="6"/>
    <x v="2"/>
    <x v="11"/>
    <x v="1"/>
    <x v="2"/>
    <x v="1"/>
    <n v="2.4"/>
    <n v="2.89"/>
    <n v="0.01"/>
    <n v="2.17"/>
  </r>
  <r>
    <x v="6"/>
    <x v="2"/>
    <x v="11"/>
    <x v="1"/>
    <x v="1"/>
    <x v="1"/>
    <n v="0.78"/>
    <n v="0.93"/>
    <n v="0.01"/>
    <n v="0.71"/>
  </r>
  <r>
    <x v="6"/>
    <x v="2"/>
    <x v="11"/>
    <x v="4"/>
    <x v="2"/>
    <x v="2"/>
    <n v="0.05"/>
    <n v="0.06"/>
    <n v="0"/>
    <n v="0.05"/>
  </r>
  <r>
    <x v="6"/>
    <x v="2"/>
    <x v="11"/>
    <x v="4"/>
    <x v="1"/>
    <x v="2"/>
    <n v="0.05"/>
    <n v="0.06"/>
    <n v="0"/>
    <n v="0.05"/>
  </r>
  <r>
    <x v="6"/>
    <x v="2"/>
    <x v="11"/>
    <x v="2"/>
    <x v="4"/>
    <x v="0"/>
    <n v="0.47"/>
    <n v="0.56999999999999995"/>
    <n v="0.1"/>
    <n v="0.45"/>
  </r>
  <r>
    <x v="6"/>
    <x v="2"/>
    <x v="12"/>
    <x v="1"/>
    <x v="4"/>
    <x v="1"/>
    <n v="15.95"/>
    <n v="19.149999999999999"/>
    <n v="0.18"/>
    <n v="15.75"/>
  </r>
  <r>
    <x v="6"/>
    <x v="2"/>
    <x v="12"/>
    <x v="1"/>
    <x v="2"/>
    <x v="2"/>
    <n v="0.46"/>
    <n v="0.55000000000000004"/>
    <n v="0.01"/>
    <n v="0.4"/>
  </r>
  <r>
    <x v="6"/>
    <x v="2"/>
    <x v="12"/>
    <x v="4"/>
    <x v="4"/>
    <x v="2"/>
    <n v="2.0099999999999998"/>
    <n v="2.41"/>
    <n v="0.06"/>
    <n v="1.76"/>
  </r>
  <r>
    <x v="6"/>
    <x v="2"/>
    <x v="12"/>
    <x v="4"/>
    <x v="1"/>
    <x v="2"/>
    <n v="1.04"/>
    <n v="1.25"/>
    <n v="0.02"/>
    <n v="0.91"/>
  </r>
  <r>
    <x v="6"/>
    <x v="2"/>
    <x v="12"/>
    <x v="4"/>
    <x v="2"/>
    <x v="2"/>
    <n v="0.8"/>
    <n v="0.96"/>
    <n v="0.01"/>
    <n v="0.7"/>
  </r>
  <r>
    <x v="6"/>
    <x v="2"/>
    <x v="12"/>
    <x v="1"/>
    <x v="4"/>
    <x v="2"/>
    <n v="1.45"/>
    <n v="1.74"/>
    <n v="0.11"/>
    <n v="1.26"/>
  </r>
  <r>
    <x v="6"/>
    <x v="2"/>
    <x v="12"/>
    <x v="1"/>
    <x v="1"/>
    <x v="2"/>
    <n v="0.27"/>
    <n v="0.32"/>
    <n v="0"/>
    <n v="0.27"/>
  </r>
  <r>
    <x v="6"/>
    <x v="2"/>
    <x v="12"/>
    <x v="4"/>
    <x v="1"/>
    <x v="0"/>
    <n v="28.84"/>
    <n v="34.619999999999997"/>
    <n v="1.68"/>
    <n v="26.79"/>
  </r>
  <r>
    <x v="6"/>
    <x v="2"/>
    <x v="12"/>
    <x v="2"/>
    <x v="4"/>
    <x v="0"/>
    <n v="16.97"/>
    <n v="20.37"/>
    <n v="3.05"/>
    <n v="16.29"/>
  </r>
  <r>
    <x v="6"/>
    <x v="2"/>
    <x v="12"/>
    <x v="2"/>
    <x v="0"/>
    <x v="0"/>
    <n v="24.84"/>
    <n v="29.82"/>
    <n v="17.600000000000001"/>
    <n v="23.83"/>
  </r>
  <r>
    <x v="6"/>
    <x v="2"/>
    <x v="12"/>
    <x v="1"/>
    <x v="2"/>
    <x v="0"/>
    <n v="26.25"/>
    <n v="31.51"/>
    <n v="0.56999999999999995"/>
    <n v="24.91"/>
  </r>
  <r>
    <x v="6"/>
    <x v="2"/>
    <x v="12"/>
    <x v="1"/>
    <x v="1"/>
    <x v="0"/>
    <n v="90.77"/>
    <n v="108.97"/>
    <n v="4.67"/>
    <n v="84.96"/>
  </r>
  <r>
    <x v="6"/>
    <x v="2"/>
    <x v="12"/>
    <x v="1"/>
    <x v="4"/>
    <x v="0"/>
    <n v="772.26"/>
    <n v="927.07"/>
    <n v="111"/>
    <n v="738.82"/>
  </r>
  <r>
    <x v="6"/>
    <x v="2"/>
    <x v="12"/>
    <x v="1"/>
    <x v="2"/>
    <x v="1"/>
    <n v="31.21"/>
    <n v="37.47"/>
    <n v="0.15"/>
    <n v="28.2"/>
  </r>
  <r>
    <x v="6"/>
    <x v="2"/>
    <x v="12"/>
    <x v="1"/>
    <x v="0"/>
    <x v="0"/>
    <n v="50.2"/>
    <n v="60.26"/>
    <n v="29.55"/>
    <n v="48.5"/>
  </r>
  <r>
    <x v="6"/>
    <x v="2"/>
    <x v="12"/>
    <x v="4"/>
    <x v="4"/>
    <x v="0"/>
    <n v="202.2"/>
    <n v="242.74"/>
    <n v="22.19"/>
    <n v="192.14"/>
  </r>
  <r>
    <x v="6"/>
    <x v="2"/>
    <x v="12"/>
    <x v="0"/>
    <x v="2"/>
    <x v="0"/>
    <n v="0.17"/>
    <n v="0.21"/>
    <n v="0.01"/>
    <n v="0.17"/>
  </r>
  <r>
    <x v="6"/>
    <x v="2"/>
    <x v="12"/>
    <x v="0"/>
    <x v="4"/>
    <x v="0"/>
    <n v="65.28"/>
    <n v="78.37"/>
    <n v="17.18"/>
    <n v="62.33"/>
  </r>
  <r>
    <x v="6"/>
    <x v="2"/>
    <x v="12"/>
    <x v="0"/>
    <x v="0"/>
    <x v="0"/>
    <n v="18.59"/>
    <n v="22.32"/>
    <n v="10.63"/>
    <n v="17.04"/>
  </r>
  <r>
    <x v="6"/>
    <x v="2"/>
    <x v="12"/>
    <x v="2"/>
    <x v="3"/>
    <x v="2"/>
    <n v="4.75"/>
    <n v="5.7"/>
    <n v="0.01"/>
    <n v="4.24"/>
  </r>
  <r>
    <x v="6"/>
    <x v="2"/>
    <x v="12"/>
    <x v="2"/>
    <x v="3"/>
    <x v="3"/>
    <n v="109.28"/>
    <n v="131.19"/>
    <n v="0.06"/>
    <n v="109.28"/>
  </r>
  <r>
    <x v="6"/>
    <x v="2"/>
    <x v="12"/>
    <x v="4"/>
    <x v="4"/>
    <x v="1"/>
    <n v="0.56999999999999995"/>
    <n v="0.68"/>
    <n v="0.01"/>
    <n v="0.52"/>
  </r>
  <r>
    <x v="6"/>
    <x v="2"/>
    <x v="12"/>
    <x v="4"/>
    <x v="1"/>
    <x v="1"/>
    <n v="0.16"/>
    <n v="0.2"/>
    <n v="0"/>
    <n v="0.15"/>
  </r>
  <r>
    <x v="6"/>
    <x v="2"/>
    <x v="12"/>
    <x v="0"/>
    <x v="0"/>
    <x v="1"/>
    <n v="14.96"/>
    <n v="17.96"/>
    <n v="0.41"/>
    <n v="13.48"/>
  </r>
  <r>
    <x v="6"/>
    <x v="2"/>
    <x v="12"/>
    <x v="1"/>
    <x v="0"/>
    <x v="1"/>
    <n v="25.07"/>
    <n v="30.1"/>
    <n v="1.1200000000000001"/>
    <n v="24.43"/>
  </r>
  <r>
    <x v="6"/>
    <x v="2"/>
    <x v="12"/>
    <x v="1"/>
    <x v="1"/>
    <x v="1"/>
    <n v="31.68"/>
    <n v="38.04"/>
    <n v="0.42"/>
    <n v="30.86"/>
  </r>
  <r>
    <x v="6"/>
    <x v="2"/>
    <x v="12"/>
    <x v="3"/>
    <x v="0"/>
    <x v="0"/>
    <n v="8.83"/>
    <n v="10.6"/>
    <n v="3.57"/>
    <n v="8.44"/>
  </r>
  <r>
    <x v="6"/>
    <x v="2"/>
    <x v="12"/>
    <x v="3"/>
    <x v="4"/>
    <x v="0"/>
    <n v="61.83"/>
    <n v="74.23"/>
    <n v="19.579999999999998"/>
    <n v="58.23"/>
  </r>
  <r>
    <x v="6"/>
    <x v="2"/>
    <x v="12"/>
    <x v="4"/>
    <x v="2"/>
    <x v="0"/>
    <n v="1.51"/>
    <n v="1.81"/>
    <n v="0"/>
    <n v="1.38"/>
  </r>
  <r>
    <x v="6"/>
    <x v="2"/>
    <x v="13"/>
    <x v="4"/>
    <x v="0"/>
    <x v="1"/>
    <n v="1.75"/>
    <n v="2.1"/>
    <n v="0.19"/>
    <n v="1.75"/>
  </r>
  <r>
    <x v="6"/>
    <x v="2"/>
    <x v="13"/>
    <x v="0"/>
    <x v="2"/>
    <x v="0"/>
    <n v="8.91"/>
    <n v="10.69"/>
    <n v="0.1"/>
    <n v="8.5"/>
  </r>
  <r>
    <x v="6"/>
    <x v="2"/>
    <x v="13"/>
    <x v="3"/>
    <x v="0"/>
    <x v="0"/>
    <n v="12.93"/>
    <n v="15.53"/>
    <n v="2.06"/>
    <n v="11.98"/>
  </r>
  <r>
    <x v="6"/>
    <x v="2"/>
    <x v="13"/>
    <x v="3"/>
    <x v="1"/>
    <x v="0"/>
    <n v="15.59"/>
    <n v="18.72"/>
    <n v="5.57"/>
    <n v="15.59"/>
  </r>
  <r>
    <x v="6"/>
    <x v="2"/>
    <x v="13"/>
    <x v="4"/>
    <x v="1"/>
    <x v="0"/>
    <n v="54.11"/>
    <n v="64.95"/>
    <n v="2.95"/>
    <n v="49.9"/>
  </r>
  <r>
    <x v="6"/>
    <x v="2"/>
    <x v="13"/>
    <x v="4"/>
    <x v="2"/>
    <x v="0"/>
    <n v="7.38"/>
    <n v="8.86"/>
    <n v="0.01"/>
    <n v="6.77"/>
  </r>
  <r>
    <x v="6"/>
    <x v="2"/>
    <x v="13"/>
    <x v="4"/>
    <x v="3"/>
    <x v="0"/>
    <n v="11.16"/>
    <n v="13.4"/>
    <n v="0.01"/>
    <n v="10.24"/>
  </r>
  <r>
    <x v="6"/>
    <x v="2"/>
    <x v="13"/>
    <x v="2"/>
    <x v="1"/>
    <x v="3"/>
    <n v="56.36"/>
    <n v="67.650000000000006"/>
    <n v="0.04"/>
    <n v="55.31"/>
  </r>
  <r>
    <x v="6"/>
    <x v="2"/>
    <x v="13"/>
    <x v="0"/>
    <x v="4"/>
    <x v="0"/>
    <n v="96.28"/>
    <n v="115.58"/>
    <n v="26.25"/>
    <n v="90.15"/>
  </r>
  <r>
    <x v="6"/>
    <x v="2"/>
    <x v="13"/>
    <x v="1"/>
    <x v="3"/>
    <x v="1"/>
    <n v="1.89"/>
    <n v="2.27"/>
    <n v="0.02"/>
    <n v="1.89"/>
  </r>
  <r>
    <x v="6"/>
    <x v="2"/>
    <x v="13"/>
    <x v="1"/>
    <x v="0"/>
    <x v="0"/>
    <n v="55.5"/>
    <n v="66.63"/>
    <n v="27.83"/>
    <n v="52.28"/>
  </r>
  <r>
    <x v="6"/>
    <x v="2"/>
    <x v="13"/>
    <x v="1"/>
    <x v="4"/>
    <x v="0"/>
    <n v="923.51"/>
    <n v="1108.6400000000001"/>
    <n v="159.94999999999999"/>
    <n v="859.07"/>
  </r>
  <r>
    <x v="6"/>
    <x v="2"/>
    <x v="13"/>
    <x v="1"/>
    <x v="1"/>
    <x v="0"/>
    <n v="152.91999999999999"/>
    <n v="183.57"/>
    <n v="7.99"/>
    <n v="142.54"/>
  </r>
  <r>
    <x v="6"/>
    <x v="2"/>
    <x v="13"/>
    <x v="1"/>
    <x v="2"/>
    <x v="0"/>
    <n v="64.14"/>
    <n v="76.989999999999995"/>
    <n v="1.03"/>
    <n v="59.95"/>
  </r>
  <r>
    <x v="6"/>
    <x v="2"/>
    <x v="13"/>
    <x v="2"/>
    <x v="0"/>
    <x v="0"/>
    <n v="35.369999999999997"/>
    <n v="42.46"/>
    <n v="19.75"/>
    <n v="33.04"/>
  </r>
  <r>
    <x v="6"/>
    <x v="2"/>
    <x v="13"/>
    <x v="2"/>
    <x v="4"/>
    <x v="0"/>
    <n v="37.549999999999997"/>
    <n v="45.07"/>
    <n v="5.0599999999999996"/>
    <n v="35.119999999999997"/>
  </r>
  <r>
    <x v="6"/>
    <x v="2"/>
    <x v="13"/>
    <x v="0"/>
    <x v="0"/>
    <x v="0"/>
    <n v="46.23"/>
    <n v="55.5"/>
    <n v="20.47"/>
    <n v="42.36"/>
  </r>
  <r>
    <x v="6"/>
    <x v="2"/>
    <x v="13"/>
    <x v="0"/>
    <x v="1"/>
    <x v="1"/>
    <n v="0.46"/>
    <n v="0.55000000000000004"/>
    <n v="0.01"/>
    <n v="0.44"/>
  </r>
  <r>
    <x v="6"/>
    <x v="2"/>
    <x v="13"/>
    <x v="4"/>
    <x v="1"/>
    <x v="2"/>
    <n v="3.88"/>
    <n v="4.66"/>
    <n v="0.04"/>
    <n v="3.38"/>
  </r>
  <r>
    <x v="6"/>
    <x v="2"/>
    <x v="13"/>
    <x v="1"/>
    <x v="4"/>
    <x v="2"/>
    <n v="0.95"/>
    <n v="1.1399999999999999"/>
    <n v="0.06"/>
    <n v="0.83"/>
  </r>
  <r>
    <x v="6"/>
    <x v="2"/>
    <x v="13"/>
    <x v="2"/>
    <x v="3"/>
    <x v="2"/>
    <n v="18.309999999999999"/>
    <n v="21.98"/>
    <n v="0.05"/>
    <n v="15.84"/>
  </r>
  <r>
    <x v="6"/>
    <x v="2"/>
    <x v="13"/>
    <x v="2"/>
    <x v="3"/>
    <x v="3"/>
    <n v="230.41"/>
    <n v="276.60000000000002"/>
    <n v="0.12"/>
    <n v="229.58"/>
  </r>
  <r>
    <x v="6"/>
    <x v="2"/>
    <x v="13"/>
    <x v="3"/>
    <x v="4"/>
    <x v="0"/>
    <n v="171.99"/>
    <n v="206.46"/>
    <n v="57.1"/>
    <n v="165.43"/>
  </r>
  <r>
    <x v="6"/>
    <x v="2"/>
    <x v="13"/>
    <x v="4"/>
    <x v="4"/>
    <x v="1"/>
    <n v="0.89"/>
    <n v="1.06"/>
    <n v="0.02"/>
    <n v="0.81"/>
  </r>
  <r>
    <x v="6"/>
    <x v="2"/>
    <x v="13"/>
    <x v="2"/>
    <x v="3"/>
    <x v="1"/>
    <n v="18.46"/>
    <n v="22.16"/>
    <n v="0.05"/>
    <n v="18.46"/>
  </r>
  <r>
    <x v="6"/>
    <x v="2"/>
    <x v="13"/>
    <x v="0"/>
    <x v="0"/>
    <x v="1"/>
    <n v="24.84"/>
    <n v="29.82"/>
    <n v="0.7"/>
    <n v="22.48"/>
  </r>
  <r>
    <x v="6"/>
    <x v="2"/>
    <x v="13"/>
    <x v="2"/>
    <x v="2"/>
    <x v="1"/>
    <n v="4.87"/>
    <n v="5.85"/>
    <n v="0.05"/>
    <n v="4.87"/>
  </r>
  <r>
    <x v="6"/>
    <x v="2"/>
    <x v="13"/>
    <x v="0"/>
    <x v="3"/>
    <x v="1"/>
    <n v="0.26"/>
    <n v="0.32"/>
    <n v="0"/>
    <n v="0.26"/>
  </r>
  <r>
    <x v="6"/>
    <x v="2"/>
    <x v="13"/>
    <x v="1"/>
    <x v="0"/>
    <x v="1"/>
    <n v="21.18"/>
    <n v="25.42"/>
    <n v="1.1599999999999999"/>
    <n v="20.18"/>
  </r>
  <r>
    <x v="6"/>
    <x v="2"/>
    <x v="13"/>
    <x v="1"/>
    <x v="4"/>
    <x v="1"/>
    <n v="7.47"/>
    <n v="8.9700000000000006"/>
    <n v="0.42"/>
    <n v="7.11"/>
  </r>
  <r>
    <x v="6"/>
    <x v="2"/>
    <x v="13"/>
    <x v="1"/>
    <x v="1"/>
    <x v="1"/>
    <n v="47.07"/>
    <n v="56.5"/>
    <n v="0.84"/>
    <n v="45.74"/>
  </r>
  <r>
    <x v="6"/>
    <x v="2"/>
    <x v="13"/>
    <x v="1"/>
    <x v="2"/>
    <x v="1"/>
    <n v="89.38"/>
    <n v="107.3"/>
    <n v="0.7"/>
    <n v="84.67"/>
  </r>
  <r>
    <x v="6"/>
    <x v="2"/>
    <x v="13"/>
    <x v="4"/>
    <x v="4"/>
    <x v="2"/>
    <n v="5.92"/>
    <n v="7.11"/>
    <n v="0.11"/>
    <n v="5.15"/>
  </r>
  <r>
    <x v="6"/>
    <x v="2"/>
    <x v="13"/>
    <x v="4"/>
    <x v="1"/>
    <x v="1"/>
    <n v="0.25"/>
    <n v="0.3"/>
    <n v="0"/>
    <n v="0.22"/>
  </r>
  <r>
    <x v="6"/>
    <x v="2"/>
    <x v="13"/>
    <x v="4"/>
    <x v="4"/>
    <x v="0"/>
    <n v="362.94"/>
    <n v="435.7"/>
    <n v="40.06"/>
    <n v="337.26"/>
  </r>
  <r>
    <x v="6"/>
    <x v="2"/>
    <x v="14"/>
    <x v="4"/>
    <x v="1"/>
    <x v="0"/>
    <n v="2.41"/>
    <n v="2.89"/>
    <n v="0.15"/>
    <n v="2.23"/>
  </r>
  <r>
    <x v="6"/>
    <x v="2"/>
    <x v="14"/>
    <x v="2"/>
    <x v="4"/>
    <x v="0"/>
    <n v="0.83"/>
    <n v="0.99"/>
    <n v="0.18"/>
    <n v="0.8"/>
  </r>
  <r>
    <x v="6"/>
    <x v="2"/>
    <x v="14"/>
    <x v="2"/>
    <x v="0"/>
    <x v="0"/>
    <n v="1.34"/>
    <n v="1.61"/>
    <n v="1.02"/>
    <n v="1.3"/>
  </r>
  <r>
    <x v="6"/>
    <x v="2"/>
    <x v="14"/>
    <x v="1"/>
    <x v="2"/>
    <x v="0"/>
    <n v="0.36"/>
    <n v="0.44"/>
    <n v="0"/>
    <n v="0.32"/>
  </r>
  <r>
    <x v="6"/>
    <x v="2"/>
    <x v="14"/>
    <x v="1"/>
    <x v="1"/>
    <x v="0"/>
    <n v="7.95"/>
    <n v="9.5399999999999991"/>
    <n v="0.69"/>
    <n v="7.36"/>
  </r>
  <r>
    <x v="6"/>
    <x v="2"/>
    <x v="14"/>
    <x v="1"/>
    <x v="4"/>
    <x v="0"/>
    <n v="28.99"/>
    <n v="34.799999999999997"/>
    <n v="5.62"/>
    <n v="27.12"/>
  </r>
  <r>
    <x v="6"/>
    <x v="2"/>
    <x v="14"/>
    <x v="1"/>
    <x v="0"/>
    <x v="0"/>
    <n v="2.77"/>
    <n v="3.33"/>
    <n v="1.63"/>
    <n v="2.68"/>
  </r>
  <r>
    <x v="6"/>
    <x v="2"/>
    <x v="14"/>
    <x v="1"/>
    <x v="2"/>
    <x v="1"/>
    <n v="2.87"/>
    <n v="3.44"/>
    <n v="0.01"/>
    <n v="2.58"/>
  </r>
  <r>
    <x v="6"/>
    <x v="2"/>
    <x v="14"/>
    <x v="0"/>
    <x v="0"/>
    <x v="0"/>
    <n v="1.72"/>
    <n v="2.06"/>
    <n v="1.01"/>
    <n v="1.57"/>
  </r>
  <r>
    <x v="6"/>
    <x v="2"/>
    <x v="14"/>
    <x v="4"/>
    <x v="4"/>
    <x v="0"/>
    <n v="11.72"/>
    <n v="14.06"/>
    <n v="1.49"/>
    <n v="10.91"/>
  </r>
  <r>
    <x v="6"/>
    <x v="2"/>
    <x v="14"/>
    <x v="4"/>
    <x v="1"/>
    <x v="1"/>
    <n v="0.02"/>
    <n v="0.02"/>
    <n v="0"/>
    <n v="0.02"/>
  </r>
  <r>
    <x v="6"/>
    <x v="2"/>
    <x v="14"/>
    <x v="1"/>
    <x v="1"/>
    <x v="1"/>
    <n v="0.71"/>
    <n v="0.85"/>
    <n v="0.01"/>
    <n v="0.64"/>
  </r>
  <r>
    <x v="6"/>
    <x v="2"/>
    <x v="14"/>
    <x v="1"/>
    <x v="4"/>
    <x v="1"/>
    <n v="0.2"/>
    <n v="0.24"/>
    <n v="0.01"/>
    <n v="0.18"/>
  </r>
  <r>
    <x v="6"/>
    <x v="2"/>
    <x v="14"/>
    <x v="0"/>
    <x v="4"/>
    <x v="0"/>
    <n v="3.94"/>
    <n v="4.7300000000000004"/>
    <n v="1.1200000000000001"/>
    <n v="3.77"/>
  </r>
  <r>
    <x v="6"/>
    <x v="2"/>
    <x v="14"/>
    <x v="0"/>
    <x v="0"/>
    <x v="1"/>
    <n v="1.41"/>
    <n v="1.69"/>
    <n v="0.04"/>
    <n v="1.27"/>
  </r>
  <r>
    <x v="6"/>
    <x v="2"/>
    <x v="14"/>
    <x v="3"/>
    <x v="4"/>
    <x v="0"/>
    <n v="1.01"/>
    <n v="1.21"/>
    <n v="0.32"/>
    <n v="0.97"/>
  </r>
  <r>
    <x v="6"/>
    <x v="2"/>
    <x v="14"/>
    <x v="4"/>
    <x v="4"/>
    <x v="1"/>
    <n v="0.04"/>
    <n v="0.05"/>
    <n v="0"/>
    <n v="0.04"/>
  </r>
  <r>
    <x v="6"/>
    <x v="2"/>
    <x v="14"/>
    <x v="2"/>
    <x v="3"/>
    <x v="3"/>
    <n v="3.83"/>
    <n v="4.5999999999999996"/>
    <n v="0"/>
    <n v="3.83"/>
  </r>
  <r>
    <x v="6"/>
    <x v="2"/>
    <x v="14"/>
    <x v="2"/>
    <x v="3"/>
    <x v="2"/>
    <n v="1.1000000000000001"/>
    <n v="1.32"/>
    <n v="0"/>
    <n v="1.1000000000000001"/>
  </r>
  <r>
    <x v="6"/>
    <x v="2"/>
    <x v="14"/>
    <x v="1"/>
    <x v="4"/>
    <x v="2"/>
    <n v="7.0000000000000007E-2"/>
    <n v="0.09"/>
    <n v="0"/>
    <n v="7.0000000000000007E-2"/>
  </r>
  <r>
    <x v="6"/>
    <x v="2"/>
    <x v="14"/>
    <x v="3"/>
    <x v="0"/>
    <x v="0"/>
    <n v="0.14000000000000001"/>
    <n v="0.17"/>
    <n v="0.03"/>
    <n v="0.13"/>
  </r>
  <r>
    <x v="6"/>
    <x v="2"/>
    <x v="14"/>
    <x v="1"/>
    <x v="0"/>
    <x v="1"/>
    <n v="0.61"/>
    <n v="0.73"/>
    <n v="0.03"/>
    <n v="0.55000000000000004"/>
  </r>
  <r>
    <x v="6"/>
    <x v="4"/>
    <x v="15"/>
    <x v="4"/>
    <x v="3"/>
    <x v="0"/>
    <n v="0.67"/>
    <n v="0.67"/>
    <n v="0"/>
    <n v="0.56999999999999995"/>
  </r>
  <r>
    <x v="6"/>
    <x v="4"/>
    <x v="15"/>
    <x v="0"/>
    <x v="2"/>
    <x v="0"/>
    <n v="0.1"/>
    <n v="0.1"/>
    <n v="0"/>
    <n v="0.1"/>
  </r>
  <r>
    <x v="6"/>
    <x v="4"/>
    <x v="15"/>
    <x v="4"/>
    <x v="1"/>
    <x v="0"/>
    <n v="8.5500000000000007"/>
    <n v="8.56"/>
    <n v="0.45"/>
    <n v="7.54"/>
  </r>
  <r>
    <x v="6"/>
    <x v="4"/>
    <x v="15"/>
    <x v="3"/>
    <x v="4"/>
    <x v="0"/>
    <n v="28.1"/>
    <n v="28.13"/>
    <n v="4.59"/>
    <n v="24.21"/>
  </r>
  <r>
    <x v="6"/>
    <x v="4"/>
    <x v="15"/>
    <x v="4"/>
    <x v="4"/>
    <x v="0"/>
    <n v="28.63"/>
    <n v="28.65"/>
    <n v="4.49"/>
    <n v="25.67"/>
  </r>
  <r>
    <x v="6"/>
    <x v="4"/>
    <x v="15"/>
    <x v="4"/>
    <x v="2"/>
    <x v="0"/>
    <n v="0.44"/>
    <n v="0.44"/>
    <n v="0"/>
    <n v="0.38"/>
  </r>
  <r>
    <x v="6"/>
    <x v="4"/>
    <x v="15"/>
    <x v="0"/>
    <x v="0"/>
    <x v="0"/>
    <n v="1.31"/>
    <n v="1.31"/>
    <n v="0.92"/>
    <n v="1.1399999999999999"/>
  </r>
  <r>
    <x v="6"/>
    <x v="4"/>
    <x v="15"/>
    <x v="2"/>
    <x v="4"/>
    <x v="1"/>
    <n v="0.26"/>
    <n v="0.26"/>
    <n v="0"/>
    <n v="0.21"/>
  </r>
  <r>
    <x v="6"/>
    <x v="4"/>
    <x v="15"/>
    <x v="2"/>
    <x v="3"/>
    <x v="0"/>
    <n v="0.12"/>
    <n v="0.12"/>
    <n v="0"/>
    <n v="0.12"/>
  </r>
  <r>
    <x v="6"/>
    <x v="4"/>
    <x v="15"/>
    <x v="1"/>
    <x v="3"/>
    <x v="1"/>
    <n v="0.55000000000000004"/>
    <n v="0.55000000000000004"/>
    <n v="0.01"/>
    <n v="0.47"/>
  </r>
  <r>
    <x v="6"/>
    <x v="4"/>
    <x v="15"/>
    <x v="1"/>
    <x v="0"/>
    <x v="0"/>
    <n v="4.87"/>
    <n v="4.88"/>
    <n v="3.08"/>
    <n v="4.51"/>
  </r>
  <r>
    <x v="6"/>
    <x v="4"/>
    <x v="15"/>
    <x v="1"/>
    <x v="4"/>
    <x v="0"/>
    <n v="187.71"/>
    <n v="187.85"/>
    <n v="40.450000000000003"/>
    <n v="168.87"/>
  </r>
  <r>
    <x v="6"/>
    <x v="4"/>
    <x v="15"/>
    <x v="1"/>
    <x v="1"/>
    <x v="0"/>
    <n v="23.3"/>
    <n v="23.31"/>
    <n v="1.62"/>
    <n v="21.36"/>
  </r>
  <r>
    <x v="6"/>
    <x v="4"/>
    <x v="15"/>
    <x v="1"/>
    <x v="2"/>
    <x v="0"/>
    <n v="2.4300000000000002"/>
    <n v="2.4300000000000002"/>
    <n v="0.02"/>
    <n v="2.13"/>
  </r>
  <r>
    <x v="6"/>
    <x v="4"/>
    <x v="15"/>
    <x v="2"/>
    <x v="0"/>
    <x v="0"/>
    <n v="1.92"/>
    <n v="1.92"/>
    <n v="1.79"/>
    <n v="1.89"/>
  </r>
  <r>
    <x v="6"/>
    <x v="4"/>
    <x v="15"/>
    <x v="2"/>
    <x v="4"/>
    <x v="0"/>
    <n v="3.03"/>
    <n v="3.04"/>
    <n v="1.06"/>
    <n v="2.96"/>
  </r>
  <r>
    <x v="6"/>
    <x v="4"/>
    <x v="15"/>
    <x v="0"/>
    <x v="4"/>
    <x v="0"/>
    <n v="2.11"/>
    <n v="2.11"/>
    <n v="0.39"/>
    <n v="2.0499999999999998"/>
  </r>
  <r>
    <x v="6"/>
    <x v="4"/>
    <x v="15"/>
    <x v="0"/>
    <x v="0"/>
    <x v="1"/>
    <n v="5.39"/>
    <n v="5.39"/>
    <n v="0.12"/>
    <n v="4.53"/>
  </r>
  <r>
    <x v="6"/>
    <x v="4"/>
    <x v="15"/>
    <x v="4"/>
    <x v="2"/>
    <x v="2"/>
    <n v="1.05"/>
    <n v="1.05"/>
    <n v="0.02"/>
    <n v="0.85"/>
  </r>
  <r>
    <x v="6"/>
    <x v="4"/>
    <x v="15"/>
    <x v="1"/>
    <x v="4"/>
    <x v="2"/>
    <n v="0.24"/>
    <n v="0.24"/>
    <n v="0.01"/>
    <n v="0.19"/>
  </r>
  <r>
    <x v="6"/>
    <x v="4"/>
    <x v="15"/>
    <x v="1"/>
    <x v="1"/>
    <x v="2"/>
    <n v="0.49"/>
    <n v="0.49"/>
    <n v="0.01"/>
    <n v="0.4"/>
  </r>
  <r>
    <x v="6"/>
    <x v="4"/>
    <x v="15"/>
    <x v="2"/>
    <x v="3"/>
    <x v="3"/>
    <n v="17.98"/>
    <n v="18"/>
    <n v="0.01"/>
    <n v="16.43"/>
  </r>
  <r>
    <x v="6"/>
    <x v="4"/>
    <x v="15"/>
    <x v="4"/>
    <x v="0"/>
    <x v="1"/>
    <n v="0.32"/>
    <n v="0.32"/>
    <n v="0.03"/>
    <n v="0.27"/>
  </r>
  <r>
    <x v="6"/>
    <x v="4"/>
    <x v="15"/>
    <x v="3"/>
    <x v="0"/>
    <x v="0"/>
    <n v="0.02"/>
    <n v="0.02"/>
    <n v="0.01"/>
    <n v="0.02"/>
  </r>
  <r>
    <x v="6"/>
    <x v="4"/>
    <x v="15"/>
    <x v="4"/>
    <x v="1"/>
    <x v="1"/>
    <n v="0.21"/>
    <n v="0.21"/>
    <n v="0.01"/>
    <n v="0.18"/>
  </r>
  <r>
    <x v="6"/>
    <x v="4"/>
    <x v="15"/>
    <x v="4"/>
    <x v="1"/>
    <x v="2"/>
    <n v="0.33"/>
    <n v="0.33"/>
    <n v="0.01"/>
    <n v="0.27"/>
  </r>
  <r>
    <x v="6"/>
    <x v="4"/>
    <x v="15"/>
    <x v="0"/>
    <x v="4"/>
    <x v="1"/>
    <n v="0.09"/>
    <n v="0.09"/>
    <n v="0"/>
    <n v="0.08"/>
  </r>
  <r>
    <x v="6"/>
    <x v="4"/>
    <x v="15"/>
    <x v="0"/>
    <x v="1"/>
    <x v="1"/>
    <n v="0.1"/>
    <n v="0.1"/>
    <n v="0"/>
    <n v="0.1"/>
  </r>
  <r>
    <x v="6"/>
    <x v="4"/>
    <x v="15"/>
    <x v="1"/>
    <x v="0"/>
    <x v="1"/>
    <n v="4.25"/>
    <n v="4.25"/>
    <n v="0.15"/>
    <n v="3.58"/>
  </r>
  <r>
    <x v="6"/>
    <x v="4"/>
    <x v="15"/>
    <x v="1"/>
    <x v="4"/>
    <x v="1"/>
    <n v="1.2"/>
    <n v="1.2"/>
    <n v="0.03"/>
    <n v="1.02"/>
  </r>
  <r>
    <x v="6"/>
    <x v="4"/>
    <x v="15"/>
    <x v="1"/>
    <x v="1"/>
    <x v="1"/>
    <n v="10.96"/>
    <n v="10.97"/>
    <n v="0.11"/>
    <n v="9.26"/>
  </r>
  <r>
    <x v="6"/>
    <x v="4"/>
    <x v="15"/>
    <x v="1"/>
    <x v="2"/>
    <x v="1"/>
    <n v="10.93"/>
    <n v="10.94"/>
    <n v="0.04"/>
    <n v="9.19"/>
  </r>
  <r>
    <x v="6"/>
    <x v="4"/>
    <x v="15"/>
    <x v="4"/>
    <x v="4"/>
    <x v="1"/>
    <n v="0.15"/>
    <n v="0.15"/>
    <n v="0.01"/>
    <n v="0.12"/>
  </r>
  <r>
    <x v="6"/>
    <x v="5"/>
    <x v="16"/>
    <x v="0"/>
    <x v="0"/>
    <x v="1"/>
    <n v="0.45"/>
    <n v="0.56000000000000005"/>
    <n v="0.01"/>
    <n v="0.41"/>
  </r>
  <r>
    <x v="6"/>
    <x v="5"/>
    <x v="16"/>
    <x v="1"/>
    <x v="1"/>
    <x v="0"/>
    <n v="7.06"/>
    <n v="8.89"/>
    <n v="0.56999999999999995"/>
    <n v="6.51"/>
  </r>
  <r>
    <x v="6"/>
    <x v="5"/>
    <x v="16"/>
    <x v="1"/>
    <x v="4"/>
    <x v="1"/>
    <n v="0.06"/>
    <n v="7.0000000000000007E-2"/>
    <n v="0"/>
    <n v="0.05"/>
  </r>
  <r>
    <x v="6"/>
    <x v="5"/>
    <x v="16"/>
    <x v="2"/>
    <x v="4"/>
    <x v="0"/>
    <n v="1.0900000000000001"/>
    <n v="1.37"/>
    <n v="0.23"/>
    <n v="1.05"/>
  </r>
  <r>
    <x v="6"/>
    <x v="5"/>
    <x v="16"/>
    <x v="1"/>
    <x v="2"/>
    <x v="0"/>
    <n v="0.11"/>
    <n v="0.14000000000000001"/>
    <n v="0"/>
    <n v="0.1"/>
  </r>
  <r>
    <x v="6"/>
    <x v="5"/>
    <x v="16"/>
    <x v="1"/>
    <x v="4"/>
    <x v="0"/>
    <n v="48.62"/>
    <n v="61.24"/>
    <n v="11.52"/>
    <n v="44.95"/>
  </r>
  <r>
    <x v="6"/>
    <x v="5"/>
    <x v="16"/>
    <x v="1"/>
    <x v="0"/>
    <x v="0"/>
    <n v="3.11"/>
    <n v="3.91"/>
    <n v="1.81"/>
    <n v="2.95"/>
  </r>
  <r>
    <x v="6"/>
    <x v="5"/>
    <x v="16"/>
    <x v="0"/>
    <x v="4"/>
    <x v="0"/>
    <n v="5.57"/>
    <n v="7.02"/>
    <n v="1.64"/>
    <n v="5.3"/>
  </r>
  <r>
    <x v="6"/>
    <x v="5"/>
    <x v="16"/>
    <x v="0"/>
    <x v="0"/>
    <x v="0"/>
    <n v="1.66"/>
    <n v="2.09"/>
    <n v="1.04"/>
    <n v="1.51"/>
  </r>
  <r>
    <x v="6"/>
    <x v="5"/>
    <x v="16"/>
    <x v="4"/>
    <x v="1"/>
    <x v="0"/>
    <n v="1.97"/>
    <n v="2.4900000000000002"/>
    <n v="0.12"/>
    <n v="1.83"/>
  </r>
  <r>
    <x v="6"/>
    <x v="5"/>
    <x v="16"/>
    <x v="4"/>
    <x v="4"/>
    <x v="0"/>
    <n v="9.69"/>
    <n v="12.2"/>
    <n v="1.41"/>
    <n v="9.08"/>
  </r>
  <r>
    <x v="6"/>
    <x v="5"/>
    <x v="16"/>
    <x v="3"/>
    <x v="4"/>
    <x v="0"/>
    <n v="1.22"/>
    <n v="1.54"/>
    <n v="0.45"/>
    <n v="1.18"/>
  </r>
  <r>
    <x v="6"/>
    <x v="5"/>
    <x v="16"/>
    <x v="1"/>
    <x v="4"/>
    <x v="2"/>
    <n v="0.66"/>
    <n v="0.83"/>
    <n v="0.01"/>
    <n v="0.57999999999999996"/>
  </r>
  <r>
    <x v="6"/>
    <x v="5"/>
    <x v="16"/>
    <x v="4"/>
    <x v="4"/>
    <x v="2"/>
    <n v="7.0000000000000007E-2"/>
    <n v="0.09"/>
    <n v="0"/>
    <n v="0.06"/>
  </r>
  <r>
    <x v="6"/>
    <x v="5"/>
    <x v="16"/>
    <x v="2"/>
    <x v="0"/>
    <x v="0"/>
    <n v="1.44"/>
    <n v="1.82"/>
    <n v="1.31"/>
    <n v="1.38"/>
  </r>
  <r>
    <x v="6"/>
    <x v="5"/>
    <x v="16"/>
    <x v="3"/>
    <x v="0"/>
    <x v="0"/>
    <n v="7.0000000000000007E-2"/>
    <n v="0.09"/>
    <n v="0.01"/>
    <n v="7.0000000000000007E-2"/>
  </r>
  <r>
    <x v="6"/>
    <x v="5"/>
    <x v="16"/>
    <x v="4"/>
    <x v="1"/>
    <x v="2"/>
    <n v="0.08"/>
    <n v="0.1"/>
    <n v="0"/>
    <n v="7.0000000000000007E-2"/>
  </r>
  <r>
    <x v="6"/>
    <x v="5"/>
    <x v="16"/>
    <x v="2"/>
    <x v="3"/>
    <x v="3"/>
    <n v="0.03"/>
    <n v="0.04"/>
    <n v="0"/>
    <n v="0.03"/>
  </r>
  <r>
    <x v="6"/>
    <x v="5"/>
    <x v="16"/>
    <x v="4"/>
    <x v="4"/>
    <x v="1"/>
    <n v="0.02"/>
    <n v="0.02"/>
    <n v="0"/>
    <n v="0.02"/>
  </r>
  <r>
    <x v="6"/>
    <x v="5"/>
    <x v="16"/>
    <x v="4"/>
    <x v="1"/>
    <x v="1"/>
    <n v="0"/>
    <n v="0.01"/>
    <n v="0"/>
    <n v="0"/>
  </r>
  <r>
    <x v="6"/>
    <x v="5"/>
    <x v="16"/>
    <x v="1"/>
    <x v="0"/>
    <x v="1"/>
    <n v="0.19"/>
    <n v="0.24"/>
    <n v="0.01"/>
    <n v="0.18"/>
  </r>
  <r>
    <x v="6"/>
    <x v="5"/>
    <x v="16"/>
    <x v="1"/>
    <x v="1"/>
    <x v="1"/>
    <n v="0.25"/>
    <n v="0.32"/>
    <n v="0"/>
    <n v="0.24"/>
  </r>
  <r>
    <x v="6"/>
    <x v="5"/>
    <x v="16"/>
    <x v="1"/>
    <x v="2"/>
    <x v="1"/>
    <n v="0.91"/>
    <n v="1.1399999999999999"/>
    <n v="0"/>
    <n v="0.84"/>
  </r>
  <r>
    <x v="6"/>
    <x v="6"/>
    <x v="17"/>
    <x v="4"/>
    <x v="0"/>
    <x v="1"/>
    <n v="1.31"/>
    <n v="1.5"/>
    <n v="0.13"/>
    <n v="1.1299999999999999"/>
  </r>
  <r>
    <x v="6"/>
    <x v="6"/>
    <x v="17"/>
    <x v="4"/>
    <x v="1"/>
    <x v="2"/>
    <n v="1.99"/>
    <n v="2.29"/>
    <n v="7.0000000000000007E-2"/>
    <n v="1.73"/>
  </r>
  <r>
    <x v="6"/>
    <x v="6"/>
    <x v="17"/>
    <x v="4"/>
    <x v="2"/>
    <x v="2"/>
    <n v="1.54"/>
    <n v="1.77"/>
    <n v="0.03"/>
    <n v="1.34"/>
  </r>
  <r>
    <x v="6"/>
    <x v="6"/>
    <x v="17"/>
    <x v="1"/>
    <x v="4"/>
    <x v="2"/>
    <n v="2.0699999999999998"/>
    <n v="2.38"/>
    <n v="0.06"/>
    <n v="1.8"/>
  </r>
  <r>
    <x v="6"/>
    <x v="6"/>
    <x v="17"/>
    <x v="1"/>
    <x v="1"/>
    <x v="2"/>
    <n v="4"/>
    <n v="4.59"/>
    <n v="0.05"/>
    <n v="3.7"/>
  </r>
  <r>
    <x v="6"/>
    <x v="6"/>
    <x v="17"/>
    <x v="4"/>
    <x v="0"/>
    <x v="0"/>
    <n v="1.96"/>
    <n v="2.25"/>
    <n v="2.0699999999999998"/>
    <n v="1.96"/>
  </r>
  <r>
    <x v="6"/>
    <x v="6"/>
    <x v="17"/>
    <x v="2"/>
    <x v="4"/>
    <x v="0"/>
    <n v="15.19"/>
    <n v="17.43"/>
    <n v="5.31"/>
    <n v="13.99"/>
  </r>
  <r>
    <x v="6"/>
    <x v="6"/>
    <x v="17"/>
    <x v="2"/>
    <x v="0"/>
    <x v="0"/>
    <n v="16.29"/>
    <n v="18.7"/>
    <n v="12.08"/>
    <n v="14.96"/>
  </r>
  <r>
    <x v="6"/>
    <x v="6"/>
    <x v="17"/>
    <x v="1"/>
    <x v="2"/>
    <x v="0"/>
    <n v="11.32"/>
    <n v="12.99"/>
    <n v="0.11"/>
    <n v="9.85"/>
  </r>
  <r>
    <x v="6"/>
    <x v="6"/>
    <x v="17"/>
    <x v="1"/>
    <x v="1"/>
    <x v="0"/>
    <n v="31.17"/>
    <n v="35.770000000000003"/>
    <n v="1.85"/>
    <n v="28.52"/>
  </r>
  <r>
    <x v="6"/>
    <x v="6"/>
    <x v="17"/>
    <x v="1"/>
    <x v="4"/>
    <x v="0"/>
    <n v="323.88"/>
    <n v="371.66"/>
    <n v="68.31"/>
    <n v="299.24"/>
  </r>
  <r>
    <x v="6"/>
    <x v="6"/>
    <x v="17"/>
    <x v="1"/>
    <x v="0"/>
    <x v="0"/>
    <n v="13"/>
    <n v="14.92"/>
    <n v="7.74"/>
    <n v="11.73"/>
  </r>
  <r>
    <x v="6"/>
    <x v="6"/>
    <x v="17"/>
    <x v="0"/>
    <x v="2"/>
    <x v="0"/>
    <n v="0.78"/>
    <n v="0.89"/>
    <n v="0.01"/>
    <n v="0.78"/>
  </r>
  <r>
    <x v="6"/>
    <x v="6"/>
    <x v="17"/>
    <x v="0"/>
    <x v="4"/>
    <x v="0"/>
    <n v="11.85"/>
    <n v="13.59"/>
    <n v="3.79"/>
    <n v="11.28"/>
  </r>
  <r>
    <x v="6"/>
    <x v="6"/>
    <x v="17"/>
    <x v="0"/>
    <x v="0"/>
    <x v="0"/>
    <n v="9.74"/>
    <n v="11.18"/>
    <n v="7.61"/>
    <n v="8.8000000000000007"/>
  </r>
  <r>
    <x v="6"/>
    <x v="6"/>
    <x v="17"/>
    <x v="4"/>
    <x v="3"/>
    <x v="0"/>
    <n v="0.87"/>
    <n v="0.99"/>
    <n v="0"/>
    <n v="0.77"/>
  </r>
  <r>
    <x v="6"/>
    <x v="6"/>
    <x v="17"/>
    <x v="4"/>
    <x v="2"/>
    <x v="0"/>
    <n v="0.57999999999999996"/>
    <n v="0.66"/>
    <n v="0"/>
    <n v="0.52"/>
  </r>
  <r>
    <x v="6"/>
    <x v="6"/>
    <x v="17"/>
    <x v="2"/>
    <x v="3"/>
    <x v="2"/>
    <n v="18.82"/>
    <n v="21.59"/>
    <n v="0.04"/>
    <n v="18.82"/>
  </r>
  <r>
    <x v="6"/>
    <x v="6"/>
    <x v="17"/>
    <x v="4"/>
    <x v="4"/>
    <x v="0"/>
    <n v="120.18"/>
    <n v="137.9"/>
    <n v="17.95"/>
    <n v="107.32"/>
  </r>
  <r>
    <x v="6"/>
    <x v="6"/>
    <x v="17"/>
    <x v="2"/>
    <x v="3"/>
    <x v="3"/>
    <n v="0.28999999999999998"/>
    <n v="0.33"/>
    <n v="0"/>
    <n v="0.24"/>
  </r>
  <r>
    <x v="6"/>
    <x v="6"/>
    <x v="17"/>
    <x v="3"/>
    <x v="4"/>
    <x v="0"/>
    <n v="44.7"/>
    <n v="51.3"/>
    <n v="5.46"/>
    <n v="39.35"/>
  </r>
  <r>
    <x v="6"/>
    <x v="6"/>
    <x v="17"/>
    <x v="3"/>
    <x v="0"/>
    <x v="0"/>
    <n v="0.02"/>
    <n v="0.03"/>
    <n v="0.01"/>
    <n v="0.02"/>
  </r>
  <r>
    <x v="6"/>
    <x v="6"/>
    <x v="17"/>
    <x v="2"/>
    <x v="3"/>
    <x v="1"/>
    <n v="3.12"/>
    <n v="3.58"/>
    <n v="0.01"/>
    <n v="2.99"/>
  </r>
  <r>
    <x v="6"/>
    <x v="6"/>
    <x v="17"/>
    <x v="2"/>
    <x v="4"/>
    <x v="1"/>
    <n v="2.09"/>
    <n v="2.4"/>
    <n v="0.01"/>
    <n v="2.09"/>
  </r>
  <r>
    <x v="6"/>
    <x v="6"/>
    <x v="17"/>
    <x v="1"/>
    <x v="3"/>
    <x v="1"/>
    <n v="0.89"/>
    <n v="1.02"/>
    <n v="0.01"/>
    <n v="0.78"/>
  </r>
  <r>
    <x v="6"/>
    <x v="6"/>
    <x v="17"/>
    <x v="1"/>
    <x v="1"/>
    <x v="1"/>
    <n v="27.35"/>
    <n v="31.38"/>
    <n v="0.26"/>
    <n v="23.52"/>
  </r>
  <r>
    <x v="6"/>
    <x v="6"/>
    <x v="17"/>
    <x v="1"/>
    <x v="0"/>
    <x v="1"/>
    <n v="11.74"/>
    <n v="13.47"/>
    <n v="0.4"/>
    <n v="10.07"/>
  </r>
  <r>
    <x v="6"/>
    <x v="6"/>
    <x v="17"/>
    <x v="0"/>
    <x v="0"/>
    <x v="1"/>
    <n v="13.81"/>
    <n v="15.85"/>
    <n v="0.31"/>
    <n v="11.8"/>
  </r>
  <r>
    <x v="6"/>
    <x v="6"/>
    <x v="17"/>
    <x v="4"/>
    <x v="1"/>
    <x v="1"/>
    <n v="1.1000000000000001"/>
    <n v="1.26"/>
    <n v="0.04"/>
    <n v="0.96"/>
  </r>
  <r>
    <x v="6"/>
    <x v="6"/>
    <x v="17"/>
    <x v="4"/>
    <x v="4"/>
    <x v="1"/>
    <n v="0.49"/>
    <n v="0.56000000000000005"/>
    <n v="0.02"/>
    <n v="0.42"/>
  </r>
  <r>
    <x v="6"/>
    <x v="6"/>
    <x v="17"/>
    <x v="1"/>
    <x v="4"/>
    <x v="1"/>
    <n v="4.46"/>
    <n v="5.1100000000000003"/>
    <n v="0.11"/>
    <n v="3.85"/>
  </r>
  <r>
    <x v="6"/>
    <x v="6"/>
    <x v="17"/>
    <x v="4"/>
    <x v="1"/>
    <x v="0"/>
    <n v="35.159999999999997"/>
    <n v="40.340000000000003"/>
    <n v="1.62"/>
    <n v="30.93"/>
  </r>
  <r>
    <x v="6"/>
    <x v="6"/>
    <x v="17"/>
    <x v="1"/>
    <x v="2"/>
    <x v="1"/>
    <n v="33.119999999999997"/>
    <n v="38"/>
    <n v="0.11"/>
    <n v="28.45"/>
  </r>
  <r>
    <x v="6"/>
    <x v="6"/>
    <x v="18"/>
    <x v="3"/>
    <x v="0"/>
    <x v="0"/>
    <n v="0.02"/>
    <n v="0.03"/>
    <n v="0.01"/>
    <n v="0.02"/>
  </r>
  <r>
    <x v="6"/>
    <x v="6"/>
    <x v="18"/>
    <x v="4"/>
    <x v="2"/>
    <x v="2"/>
    <n v="0.81"/>
    <n v="1.03"/>
    <n v="0.01"/>
    <n v="0.68"/>
  </r>
  <r>
    <x v="6"/>
    <x v="6"/>
    <x v="18"/>
    <x v="1"/>
    <x v="4"/>
    <x v="2"/>
    <n v="0.06"/>
    <n v="0.08"/>
    <n v="0"/>
    <n v="0.05"/>
  </r>
  <r>
    <x v="6"/>
    <x v="6"/>
    <x v="18"/>
    <x v="1"/>
    <x v="1"/>
    <x v="2"/>
    <n v="0.38"/>
    <n v="0.48"/>
    <n v="0"/>
    <n v="0.31"/>
  </r>
  <r>
    <x v="6"/>
    <x v="6"/>
    <x v="18"/>
    <x v="2"/>
    <x v="3"/>
    <x v="3"/>
    <n v="3.16"/>
    <n v="4.03"/>
    <n v="0"/>
    <n v="2.5299999999999998"/>
  </r>
  <r>
    <x v="6"/>
    <x v="6"/>
    <x v="18"/>
    <x v="4"/>
    <x v="0"/>
    <x v="1"/>
    <n v="0.49"/>
    <n v="0.62"/>
    <n v="0.03"/>
    <n v="0.4"/>
  </r>
  <r>
    <x v="6"/>
    <x v="6"/>
    <x v="18"/>
    <x v="0"/>
    <x v="0"/>
    <x v="1"/>
    <n v="3.43"/>
    <n v="4.37"/>
    <n v="7.0000000000000007E-2"/>
    <n v="2.99"/>
  </r>
  <r>
    <x v="6"/>
    <x v="6"/>
    <x v="18"/>
    <x v="1"/>
    <x v="4"/>
    <x v="1"/>
    <n v="0.62"/>
    <n v="0.79"/>
    <n v="0.02"/>
    <n v="0.53"/>
  </r>
  <r>
    <x v="6"/>
    <x v="6"/>
    <x v="18"/>
    <x v="1"/>
    <x v="1"/>
    <x v="1"/>
    <n v="5.05"/>
    <n v="6.43"/>
    <n v="0.03"/>
    <n v="4.3600000000000003"/>
  </r>
  <r>
    <x v="6"/>
    <x v="6"/>
    <x v="18"/>
    <x v="1"/>
    <x v="2"/>
    <x v="1"/>
    <n v="7.32"/>
    <n v="9.31"/>
    <n v="0.03"/>
    <n v="6.36"/>
  </r>
  <r>
    <x v="6"/>
    <x v="6"/>
    <x v="18"/>
    <x v="1"/>
    <x v="3"/>
    <x v="1"/>
    <n v="0.93"/>
    <n v="1.18"/>
    <n v="0.01"/>
    <n v="0.75"/>
  </r>
  <r>
    <x v="6"/>
    <x v="6"/>
    <x v="18"/>
    <x v="4"/>
    <x v="1"/>
    <x v="2"/>
    <n v="0.79"/>
    <n v="1.01"/>
    <n v="0.02"/>
    <n v="0.66"/>
  </r>
  <r>
    <x v="6"/>
    <x v="6"/>
    <x v="18"/>
    <x v="2"/>
    <x v="3"/>
    <x v="1"/>
    <n v="7.12"/>
    <n v="9.06"/>
    <n v="0.01"/>
    <n v="7.12"/>
  </r>
  <r>
    <x v="6"/>
    <x v="6"/>
    <x v="18"/>
    <x v="4"/>
    <x v="1"/>
    <x v="1"/>
    <n v="0.19"/>
    <n v="0.24"/>
    <n v="0.01"/>
    <n v="0.15"/>
  </r>
  <r>
    <x v="6"/>
    <x v="6"/>
    <x v="18"/>
    <x v="3"/>
    <x v="4"/>
    <x v="0"/>
    <n v="9.6199999999999992"/>
    <n v="12.24"/>
    <n v="1.39"/>
    <n v="8.33"/>
  </r>
  <r>
    <x v="6"/>
    <x v="6"/>
    <x v="18"/>
    <x v="4"/>
    <x v="4"/>
    <x v="0"/>
    <n v="18.98"/>
    <n v="24.16"/>
    <n v="3.89"/>
    <n v="16.95"/>
  </r>
  <r>
    <x v="6"/>
    <x v="6"/>
    <x v="18"/>
    <x v="4"/>
    <x v="1"/>
    <x v="0"/>
    <n v="4.04"/>
    <n v="5.14"/>
    <n v="0.21"/>
    <n v="3.46"/>
  </r>
  <r>
    <x v="6"/>
    <x v="6"/>
    <x v="18"/>
    <x v="0"/>
    <x v="0"/>
    <x v="0"/>
    <n v="2.76"/>
    <n v="3.51"/>
    <n v="2.09"/>
    <n v="2.3199999999999998"/>
  </r>
  <r>
    <x v="6"/>
    <x v="6"/>
    <x v="18"/>
    <x v="0"/>
    <x v="4"/>
    <x v="0"/>
    <n v="7.57"/>
    <n v="9.6300000000000008"/>
    <n v="2.44"/>
    <n v="6.53"/>
  </r>
  <r>
    <x v="6"/>
    <x v="6"/>
    <x v="18"/>
    <x v="0"/>
    <x v="2"/>
    <x v="0"/>
    <n v="2.1"/>
    <n v="2.67"/>
    <n v="0.02"/>
    <n v="2.1"/>
  </r>
  <r>
    <x v="6"/>
    <x v="6"/>
    <x v="18"/>
    <x v="1"/>
    <x v="0"/>
    <x v="0"/>
    <n v="7.7"/>
    <n v="9.8000000000000007"/>
    <n v="3.97"/>
    <n v="6.62"/>
  </r>
  <r>
    <x v="6"/>
    <x v="6"/>
    <x v="18"/>
    <x v="1"/>
    <x v="4"/>
    <x v="0"/>
    <n v="83.91"/>
    <n v="106.83"/>
    <n v="20.73"/>
    <n v="75.72"/>
  </r>
  <r>
    <x v="6"/>
    <x v="6"/>
    <x v="18"/>
    <x v="1"/>
    <x v="1"/>
    <x v="0"/>
    <n v="16.25"/>
    <n v="20.68"/>
    <n v="0.93"/>
    <n v="14.07"/>
  </r>
  <r>
    <x v="6"/>
    <x v="6"/>
    <x v="18"/>
    <x v="1"/>
    <x v="2"/>
    <x v="0"/>
    <n v="1.97"/>
    <n v="2.5099999999999998"/>
    <n v="0.01"/>
    <n v="1.61"/>
  </r>
  <r>
    <x v="6"/>
    <x v="6"/>
    <x v="18"/>
    <x v="2"/>
    <x v="0"/>
    <x v="0"/>
    <n v="6.28"/>
    <n v="7.99"/>
    <n v="4.3499999999999996"/>
    <n v="5.71"/>
  </r>
  <r>
    <x v="6"/>
    <x v="6"/>
    <x v="18"/>
    <x v="2"/>
    <x v="4"/>
    <x v="0"/>
    <n v="3.87"/>
    <n v="4.93"/>
    <n v="1.33"/>
    <n v="3.53"/>
  </r>
  <r>
    <x v="6"/>
    <x v="6"/>
    <x v="18"/>
    <x v="2"/>
    <x v="4"/>
    <x v="1"/>
    <n v="1.79"/>
    <n v="2.27"/>
    <n v="0.01"/>
    <n v="1.79"/>
  </r>
  <r>
    <x v="6"/>
    <x v="6"/>
    <x v="18"/>
    <x v="1"/>
    <x v="0"/>
    <x v="1"/>
    <n v="2.96"/>
    <n v="3.77"/>
    <n v="0.1"/>
    <n v="2.54"/>
  </r>
  <r>
    <x v="6"/>
    <x v="2"/>
    <x v="19"/>
    <x v="1"/>
    <x v="1"/>
    <x v="1"/>
    <n v="0.19"/>
    <n v="0.22"/>
    <n v="0"/>
    <n v="0.17"/>
  </r>
  <r>
    <x v="6"/>
    <x v="2"/>
    <x v="19"/>
    <x v="4"/>
    <x v="1"/>
    <x v="0"/>
    <n v="3.28"/>
    <n v="3.94"/>
    <n v="0.18"/>
    <n v="3.03"/>
  </r>
  <r>
    <x v="6"/>
    <x v="2"/>
    <x v="19"/>
    <x v="4"/>
    <x v="4"/>
    <x v="0"/>
    <n v="28.9"/>
    <n v="34.69"/>
    <n v="3.31"/>
    <n v="26.91"/>
  </r>
  <r>
    <x v="6"/>
    <x v="2"/>
    <x v="19"/>
    <x v="3"/>
    <x v="4"/>
    <x v="0"/>
    <n v="7.27"/>
    <n v="8.7200000000000006"/>
    <n v="2.25"/>
    <n v="7.07"/>
  </r>
  <r>
    <x v="6"/>
    <x v="2"/>
    <x v="19"/>
    <x v="3"/>
    <x v="0"/>
    <x v="0"/>
    <n v="0.1"/>
    <n v="0.12"/>
    <n v="0.02"/>
    <n v="0.1"/>
  </r>
  <r>
    <x v="6"/>
    <x v="2"/>
    <x v="19"/>
    <x v="0"/>
    <x v="0"/>
    <x v="0"/>
    <n v="6.69"/>
    <n v="8.0299999999999994"/>
    <n v="4.43"/>
    <n v="6.07"/>
  </r>
  <r>
    <x v="6"/>
    <x v="2"/>
    <x v="19"/>
    <x v="1"/>
    <x v="2"/>
    <x v="1"/>
    <n v="0.9"/>
    <n v="1.08"/>
    <n v="0.01"/>
    <n v="0.83"/>
  </r>
  <r>
    <x v="6"/>
    <x v="2"/>
    <x v="19"/>
    <x v="1"/>
    <x v="4"/>
    <x v="1"/>
    <n v="0.05"/>
    <n v="0.06"/>
    <n v="0"/>
    <n v="0.04"/>
  </r>
  <r>
    <x v="6"/>
    <x v="2"/>
    <x v="19"/>
    <x v="1"/>
    <x v="0"/>
    <x v="1"/>
    <n v="0.16"/>
    <n v="0.19"/>
    <n v="0.01"/>
    <n v="0.14000000000000001"/>
  </r>
  <r>
    <x v="6"/>
    <x v="2"/>
    <x v="19"/>
    <x v="0"/>
    <x v="1"/>
    <x v="1"/>
    <n v="0.04"/>
    <n v="0.05"/>
    <n v="0"/>
    <n v="0.04"/>
  </r>
  <r>
    <x v="6"/>
    <x v="2"/>
    <x v="19"/>
    <x v="0"/>
    <x v="0"/>
    <x v="1"/>
    <n v="0.39"/>
    <n v="0.47"/>
    <n v="0.01"/>
    <n v="0.35"/>
  </r>
  <r>
    <x v="6"/>
    <x v="2"/>
    <x v="19"/>
    <x v="4"/>
    <x v="1"/>
    <x v="1"/>
    <n v="0"/>
    <n v="0.01"/>
    <n v="0"/>
    <n v="0"/>
  </r>
  <r>
    <x v="6"/>
    <x v="2"/>
    <x v="19"/>
    <x v="1"/>
    <x v="4"/>
    <x v="0"/>
    <n v="111.82"/>
    <n v="134.22999999999999"/>
    <n v="17.13"/>
    <n v="105.03"/>
  </r>
  <r>
    <x v="6"/>
    <x v="2"/>
    <x v="19"/>
    <x v="1"/>
    <x v="0"/>
    <x v="0"/>
    <n v="7.7"/>
    <n v="9.25"/>
    <n v="4.1900000000000004"/>
    <n v="7.4"/>
  </r>
  <r>
    <x v="6"/>
    <x v="2"/>
    <x v="19"/>
    <x v="4"/>
    <x v="4"/>
    <x v="1"/>
    <n v="0.01"/>
    <n v="0.02"/>
    <n v="0"/>
    <n v="0.01"/>
  </r>
  <r>
    <x v="6"/>
    <x v="2"/>
    <x v="19"/>
    <x v="1"/>
    <x v="1"/>
    <x v="0"/>
    <n v="12.88"/>
    <n v="15.46"/>
    <n v="0.51"/>
    <n v="12.08"/>
  </r>
  <r>
    <x v="6"/>
    <x v="2"/>
    <x v="19"/>
    <x v="1"/>
    <x v="2"/>
    <x v="0"/>
    <n v="0.33"/>
    <n v="0.4"/>
    <n v="0"/>
    <n v="0.28999999999999998"/>
  </r>
  <r>
    <x v="6"/>
    <x v="2"/>
    <x v="19"/>
    <x v="2"/>
    <x v="0"/>
    <x v="0"/>
    <n v="3.6"/>
    <n v="4.33"/>
    <n v="2.5099999999999998"/>
    <n v="3.51"/>
  </r>
  <r>
    <x v="6"/>
    <x v="2"/>
    <x v="19"/>
    <x v="0"/>
    <x v="4"/>
    <x v="0"/>
    <n v="16.829999999999998"/>
    <n v="20.2"/>
    <n v="4.3"/>
    <n v="16.059999999999999"/>
  </r>
  <r>
    <x v="6"/>
    <x v="2"/>
    <x v="19"/>
    <x v="4"/>
    <x v="4"/>
    <x v="2"/>
    <n v="0.9"/>
    <n v="1.08"/>
    <n v="0"/>
    <n v="0.8"/>
  </r>
  <r>
    <x v="6"/>
    <x v="2"/>
    <x v="19"/>
    <x v="1"/>
    <x v="4"/>
    <x v="2"/>
    <n v="0.44"/>
    <n v="0.53"/>
    <n v="0.01"/>
    <n v="0.39"/>
  </r>
  <r>
    <x v="6"/>
    <x v="2"/>
    <x v="19"/>
    <x v="2"/>
    <x v="3"/>
    <x v="3"/>
    <n v="7.67"/>
    <n v="9.1999999999999993"/>
    <n v="0"/>
    <n v="7.67"/>
  </r>
  <r>
    <x v="6"/>
    <x v="2"/>
    <x v="19"/>
    <x v="2"/>
    <x v="4"/>
    <x v="0"/>
    <n v="2.88"/>
    <n v="3.46"/>
    <n v="0.64"/>
    <n v="2.84"/>
  </r>
  <r>
    <x v="6"/>
    <x v="7"/>
    <x v="20"/>
    <x v="4"/>
    <x v="4"/>
    <x v="1"/>
    <n v="0.05"/>
    <n v="0.05"/>
    <n v="0"/>
    <n v="0.05"/>
  </r>
  <r>
    <x v="6"/>
    <x v="7"/>
    <x v="20"/>
    <x v="4"/>
    <x v="1"/>
    <x v="0"/>
    <n v="13.33"/>
    <n v="14.18"/>
    <n v="0.79"/>
    <n v="12.28"/>
  </r>
  <r>
    <x v="6"/>
    <x v="7"/>
    <x v="20"/>
    <x v="3"/>
    <x v="4"/>
    <x v="0"/>
    <n v="5.38"/>
    <n v="5.72"/>
    <n v="1.98"/>
    <n v="5.1100000000000003"/>
  </r>
  <r>
    <x v="6"/>
    <x v="7"/>
    <x v="20"/>
    <x v="3"/>
    <x v="0"/>
    <x v="0"/>
    <n v="0.56999999999999995"/>
    <n v="0.6"/>
    <n v="0.11"/>
    <n v="0.52"/>
  </r>
  <r>
    <x v="6"/>
    <x v="7"/>
    <x v="20"/>
    <x v="1"/>
    <x v="2"/>
    <x v="1"/>
    <n v="2.04"/>
    <n v="2.17"/>
    <n v="0.01"/>
    <n v="1.9"/>
  </r>
  <r>
    <x v="6"/>
    <x v="7"/>
    <x v="20"/>
    <x v="1"/>
    <x v="1"/>
    <x v="1"/>
    <n v="0.65"/>
    <n v="0.69"/>
    <n v="0.01"/>
    <n v="0.61"/>
  </r>
  <r>
    <x v="6"/>
    <x v="7"/>
    <x v="20"/>
    <x v="1"/>
    <x v="4"/>
    <x v="1"/>
    <n v="0.1"/>
    <n v="0.11"/>
    <n v="0"/>
    <n v="0.09"/>
  </r>
  <r>
    <x v="6"/>
    <x v="7"/>
    <x v="20"/>
    <x v="1"/>
    <x v="0"/>
    <x v="1"/>
    <n v="0.4"/>
    <n v="0.42"/>
    <n v="0.02"/>
    <n v="0.37"/>
  </r>
  <r>
    <x v="6"/>
    <x v="7"/>
    <x v="20"/>
    <x v="2"/>
    <x v="3"/>
    <x v="3"/>
    <n v="10.8"/>
    <n v="11.49"/>
    <n v="0.01"/>
    <n v="10.8"/>
  </r>
  <r>
    <x v="6"/>
    <x v="7"/>
    <x v="20"/>
    <x v="4"/>
    <x v="1"/>
    <x v="1"/>
    <n v="0.01"/>
    <n v="0.01"/>
    <n v="0"/>
    <n v="0.01"/>
  </r>
  <r>
    <x v="6"/>
    <x v="7"/>
    <x v="20"/>
    <x v="2"/>
    <x v="4"/>
    <x v="0"/>
    <n v="2.02"/>
    <n v="2.15"/>
    <n v="0.61"/>
    <n v="1.93"/>
  </r>
  <r>
    <x v="6"/>
    <x v="7"/>
    <x v="20"/>
    <x v="0"/>
    <x v="0"/>
    <x v="0"/>
    <n v="3.75"/>
    <n v="3.99"/>
    <n v="2.35"/>
    <n v="3.39"/>
  </r>
  <r>
    <x v="6"/>
    <x v="7"/>
    <x v="20"/>
    <x v="0"/>
    <x v="4"/>
    <x v="0"/>
    <n v="10.69"/>
    <n v="11.37"/>
    <n v="3.62"/>
    <n v="9.9600000000000009"/>
  </r>
  <r>
    <x v="6"/>
    <x v="7"/>
    <x v="20"/>
    <x v="0"/>
    <x v="0"/>
    <x v="1"/>
    <n v="0.88"/>
    <n v="0.94"/>
    <n v="0.03"/>
    <n v="0.82"/>
  </r>
  <r>
    <x v="6"/>
    <x v="7"/>
    <x v="20"/>
    <x v="1"/>
    <x v="4"/>
    <x v="0"/>
    <n v="112.85"/>
    <n v="120.04"/>
    <n v="23.06"/>
    <n v="104.06"/>
  </r>
  <r>
    <x v="6"/>
    <x v="7"/>
    <x v="20"/>
    <x v="1"/>
    <x v="0"/>
    <x v="0"/>
    <n v="4.9000000000000004"/>
    <n v="5.21"/>
    <n v="3.73"/>
    <n v="4.63"/>
  </r>
  <r>
    <x v="6"/>
    <x v="7"/>
    <x v="20"/>
    <x v="1"/>
    <x v="1"/>
    <x v="0"/>
    <n v="22.32"/>
    <n v="23.74"/>
    <n v="1.1399999999999999"/>
    <n v="20.61"/>
  </r>
  <r>
    <x v="6"/>
    <x v="7"/>
    <x v="20"/>
    <x v="1"/>
    <x v="2"/>
    <x v="0"/>
    <n v="0.34"/>
    <n v="0.36"/>
    <n v="0.01"/>
    <n v="0.3"/>
  </r>
  <r>
    <x v="6"/>
    <x v="7"/>
    <x v="20"/>
    <x v="2"/>
    <x v="0"/>
    <x v="0"/>
    <n v="1.81"/>
    <n v="1.93"/>
    <n v="2.06"/>
    <n v="1.71"/>
  </r>
  <r>
    <x v="6"/>
    <x v="7"/>
    <x v="20"/>
    <x v="4"/>
    <x v="4"/>
    <x v="0"/>
    <n v="66.09"/>
    <n v="70.3"/>
    <n v="7.63"/>
    <n v="60.59"/>
  </r>
  <r>
    <x v="6"/>
    <x v="2"/>
    <x v="21"/>
    <x v="2"/>
    <x v="3"/>
    <x v="2"/>
    <n v="8.9"/>
    <n v="10.69"/>
    <n v="0.02"/>
    <n v="7.88"/>
  </r>
  <r>
    <x v="6"/>
    <x v="2"/>
    <x v="21"/>
    <x v="1"/>
    <x v="4"/>
    <x v="1"/>
    <n v="1.32"/>
    <n v="1.58"/>
    <n v="0.06"/>
    <n v="1.19"/>
  </r>
  <r>
    <x v="6"/>
    <x v="2"/>
    <x v="21"/>
    <x v="1"/>
    <x v="0"/>
    <x v="1"/>
    <n v="4.41"/>
    <n v="5.29"/>
    <n v="0.2"/>
    <n v="3.97"/>
  </r>
  <r>
    <x v="6"/>
    <x v="2"/>
    <x v="21"/>
    <x v="0"/>
    <x v="0"/>
    <x v="1"/>
    <n v="10.18"/>
    <n v="12.22"/>
    <n v="0.28000000000000003"/>
    <n v="9.17"/>
  </r>
  <r>
    <x v="6"/>
    <x v="2"/>
    <x v="21"/>
    <x v="4"/>
    <x v="1"/>
    <x v="1"/>
    <n v="0.11"/>
    <n v="0.13"/>
    <n v="0"/>
    <n v="0.1"/>
  </r>
  <r>
    <x v="6"/>
    <x v="2"/>
    <x v="21"/>
    <x v="4"/>
    <x v="4"/>
    <x v="1"/>
    <n v="0.41"/>
    <n v="0.5"/>
    <n v="0.01"/>
    <n v="0.38"/>
  </r>
  <r>
    <x v="6"/>
    <x v="2"/>
    <x v="21"/>
    <x v="1"/>
    <x v="2"/>
    <x v="1"/>
    <n v="20.82"/>
    <n v="25"/>
    <n v="0.09"/>
    <n v="18.78"/>
  </r>
  <r>
    <x v="6"/>
    <x v="2"/>
    <x v="21"/>
    <x v="2"/>
    <x v="3"/>
    <x v="3"/>
    <n v="81.58"/>
    <n v="97.94"/>
    <n v="0.05"/>
    <n v="81.58"/>
  </r>
  <r>
    <x v="6"/>
    <x v="2"/>
    <x v="21"/>
    <x v="1"/>
    <x v="1"/>
    <x v="1"/>
    <n v="5.88"/>
    <n v="7.06"/>
    <n v="0.06"/>
    <n v="5.31"/>
  </r>
  <r>
    <x v="6"/>
    <x v="2"/>
    <x v="21"/>
    <x v="1"/>
    <x v="4"/>
    <x v="2"/>
    <n v="0.89"/>
    <n v="1.06"/>
    <n v="7.0000000000000007E-2"/>
    <n v="0.77"/>
  </r>
  <r>
    <x v="6"/>
    <x v="2"/>
    <x v="21"/>
    <x v="4"/>
    <x v="2"/>
    <x v="2"/>
    <n v="1.0900000000000001"/>
    <n v="1.31"/>
    <n v="0"/>
    <n v="1"/>
  </r>
  <r>
    <x v="6"/>
    <x v="2"/>
    <x v="21"/>
    <x v="4"/>
    <x v="1"/>
    <x v="2"/>
    <n v="1.88"/>
    <n v="2.25"/>
    <n v="0.01"/>
    <n v="1.73"/>
  </r>
  <r>
    <x v="6"/>
    <x v="2"/>
    <x v="21"/>
    <x v="4"/>
    <x v="4"/>
    <x v="2"/>
    <n v="2.89"/>
    <n v="3.47"/>
    <n v="0.04"/>
    <n v="2.66"/>
  </r>
  <r>
    <x v="6"/>
    <x v="2"/>
    <x v="21"/>
    <x v="4"/>
    <x v="0"/>
    <x v="1"/>
    <n v="0.06"/>
    <n v="7.0000000000000007E-2"/>
    <n v="0.04"/>
    <n v="0.05"/>
  </r>
  <r>
    <x v="6"/>
    <x v="2"/>
    <x v="21"/>
    <x v="2"/>
    <x v="0"/>
    <x v="0"/>
    <n v="15.64"/>
    <n v="18.77"/>
    <n v="11.61"/>
    <n v="14.63"/>
  </r>
  <r>
    <x v="6"/>
    <x v="2"/>
    <x v="21"/>
    <x v="2"/>
    <x v="4"/>
    <x v="0"/>
    <n v="8.59"/>
    <n v="10.31"/>
    <n v="1.68"/>
    <n v="8.2100000000000009"/>
  </r>
  <r>
    <x v="6"/>
    <x v="2"/>
    <x v="21"/>
    <x v="3"/>
    <x v="0"/>
    <x v="0"/>
    <n v="9.6300000000000008"/>
    <n v="11.56"/>
    <n v="1.88"/>
    <n v="8.9499999999999993"/>
  </r>
  <r>
    <x v="6"/>
    <x v="2"/>
    <x v="21"/>
    <x v="1"/>
    <x v="2"/>
    <x v="0"/>
    <n v="1.0900000000000001"/>
    <n v="1.3"/>
    <n v="0.02"/>
    <n v="0.98"/>
  </r>
  <r>
    <x v="6"/>
    <x v="2"/>
    <x v="21"/>
    <x v="1"/>
    <x v="1"/>
    <x v="0"/>
    <n v="49.91"/>
    <n v="59.91"/>
    <n v="2.5299999999999998"/>
    <n v="46.49"/>
  </r>
  <r>
    <x v="6"/>
    <x v="2"/>
    <x v="21"/>
    <x v="1"/>
    <x v="4"/>
    <x v="0"/>
    <n v="283.13"/>
    <n v="339.88"/>
    <n v="50.72"/>
    <n v="262.43"/>
  </r>
  <r>
    <x v="6"/>
    <x v="2"/>
    <x v="21"/>
    <x v="1"/>
    <x v="0"/>
    <x v="0"/>
    <n v="16.21"/>
    <n v="19.46"/>
    <n v="8.6199999999999992"/>
    <n v="15.24"/>
  </r>
  <r>
    <x v="6"/>
    <x v="2"/>
    <x v="21"/>
    <x v="0"/>
    <x v="4"/>
    <x v="0"/>
    <n v="30.76"/>
    <n v="36.93"/>
    <n v="8.39"/>
    <n v="29.07"/>
  </r>
  <r>
    <x v="6"/>
    <x v="2"/>
    <x v="21"/>
    <x v="0"/>
    <x v="0"/>
    <x v="0"/>
    <n v="12"/>
    <n v="14.4"/>
    <n v="6.97"/>
    <n v="10.92"/>
  </r>
  <r>
    <x v="6"/>
    <x v="2"/>
    <x v="21"/>
    <x v="4"/>
    <x v="1"/>
    <x v="0"/>
    <n v="14.86"/>
    <n v="17.84"/>
    <n v="0.93"/>
    <n v="13.78"/>
  </r>
  <r>
    <x v="6"/>
    <x v="2"/>
    <x v="21"/>
    <x v="4"/>
    <x v="4"/>
    <x v="0"/>
    <n v="72.64"/>
    <n v="87.2"/>
    <n v="8.43"/>
    <n v="67.95"/>
  </r>
  <r>
    <x v="6"/>
    <x v="2"/>
    <x v="21"/>
    <x v="3"/>
    <x v="4"/>
    <x v="0"/>
    <n v="24.13"/>
    <n v="28.97"/>
    <n v="5.38"/>
    <n v="22.65"/>
  </r>
  <r>
    <x v="6"/>
    <x v="2"/>
    <x v="21"/>
    <x v="0"/>
    <x v="2"/>
    <x v="0"/>
    <n v="0.69"/>
    <n v="0.82"/>
    <n v="0.01"/>
    <n v="0.67"/>
  </r>
  <r>
    <x v="6"/>
    <x v="8"/>
    <x v="22"/>
    <x v="2"/>
    <x v="4"/>
    <x v="0"/>
    <n v="64.83"/>
    <n v="72.260000000000005"/>
    <n v="9.23"/>
    <n v="60.98"/>
  </r>
  <r>
    <x v="6"/>
    <x v="8"/>
    <x v="22"/>
    <x v="0"/>
    <x v="1"/>
    <x v="0"/>
    <n v="26.87"/>
    <n v="29.96"/>
    <n v="0.23"/>
    <n v="26.87"/>
  </r>
  <r>
    <x v="6"/>
    <x v="8"/>
    <x v="22"/>
    <x v="0"/>
    <x v="2"/>
    <x v="0"/>
    <n v="6.03"/>
    <n v="6.73"/>
    <n v="0.02"/>
    <n v="6.03"/>
  </r>
  <r>
    <x v="6"/>
    <x v="8"/>
    <x v="22"/>
    <x v="1"/>
    <x v="0"/>
    <x v="0"/>
    <n v="274.97000000000003"/>
    <n v="306.51"/>
    <n v="73.569999999999993"/>
    <n v="247.35"/>
  </r>
  <r>
    <x v="6"/>
    <x v="8"/>
    <x v="22"/>
    <x v="1"/>
    <x v="4"/>
    <x v="0"/>
    <n v="1451.88"/>
    <n v="1618.41"/>
    <n v="182.23"/>
    <n v="1315.44"/>
  </r>
  <r>
    <x v="6"/>
    <x v="8"/>
    <x v="22"/>
    <x v="1"/>
    <x v="1"/>
    <x v="0"/>
    <n v="91.54"/>
    <n v="102.04"/>
    <n v="7.57"/>
    <n v="88.02"/>
  </r>
  <r>
    <x v="6"/>
    <x v="8"/>
    <x v="22"/>
    <x v="1"/>
    <x v="4"/>
    <x v="2"/>
    <n v="22.57"/>
    <n v="25.16"/>
    <n v="0.82"/>
    <n v="20.37"/>
  </r>
  <r>
    <x v="6"/>
    <x v="8"/>
    <x v="22"/>
    <x v="2"/>
    <x v="3"/>
    <x v="0"/>
    <n v="0.37"/>
    <n v="0.41"/>
    <n v="0"/>
    <n v="0.37"/>
  </r>
  <r>
    <x v="6"/>
    <x v="8"/>
    <x v="22"/>
    <x v="0"/>
    <x v="0"/>
    <x v="0"/>
    <n v="156.31"/>
    <n v="174.24"/>
    <n v="36.74"/>
    <n v="138.47"/>
  </r>
  <r>
    <x v="6"/>
    <x v="8"/>
    <x v="22"/>
    <x v="2"/>
    <x v="1"/>
    <x v="0"/>
    <n v="1.63"/>
    <n v="1.82"/>
    <n v="0"/>
    <n v="1.51"/>
  </r>
  <r>
    <x v="6"/>
    <x v="8"/>
    <x v="22"/>
    <x v="0"/>
    <x v="4"/>
    <x v="0"/>
    <n v="78.09"/>
    <n v="87.04"/>
    <n v="7.96"/>
    <n v="70.489999999999995"/>
  </r>
  <r>
    <x v="6"/>
    <x v="8"/>
    <x v="22"/>
    <x v="1"/>
    <x v="3"/>
    <x v="0"/>
    <n v="6.44"/>
    <n v="7.18"/>
    <n v="0.02"/>
    <n v="6.28"/>
  </r>
  <r>
    <x v="6"/>
    <x v="8"/>
    <x v="22"/>
    <x v="0"/>
    <x v="1"/>
    <x v="1"/>
    <n v="19.66"/>
    <n v="21.91"/>
    <n v="0.15"/>
    <n v="18.649999999999999"/>
  </r>
  <r>
    <x v="6"/>
    <x v="8"/>
    <x v="22"/>
    <x v="4"/>
    <x v="1"/>
    <x v="2"/>
    <n v="4.13"/>
    <n v="4.6100000000000003"/>
    <n v="0.13"/>
    <n v="3.74"/>
  </r>
  <r>
    <x v="6"/>
    <x v="8"/>
    <x v="22"/>
    <x v="4"/>
    <x v="2"/>
    <x v="2"/>
    <n v="4.03"/>
    <n v="4.5"/>
    <n v="0.04"/>
    <n v="3.67"/>
  </r>
  <r>
    <x v="6"/>
    <x v="8"/>
    <x v="22"/>
    <x v="2"/>
    <x v="0"/>
    <x v="0"/>
    <n v="552.07000000000005"/>
    <n v="615.4"/>
    <n v="109.29"/>
    <n v="526.9"/>
  </r>
  <r>
    <x v="6"/>
    <x v="8"/>
    <x v="22"/>
    <x v="1"/>
    <x v="1"/>
    <x v="2"/>
    <n v="1.45"/>
    <n v="1.62"/>
    <n v="0.02"/>
    <n v="1.45"/>
  </r>
  <r>
    <x v="6"/>
    <x v="8"/>
    <x v="22"/>
    <x v="2"/>
    <x v="1"/>
    <x v="2"/>
    <n v="6"/>
    <n v="6.69"/>
    <n v="0.01"/>
    <n v="6"/>
  </r>
  <r>
    <x v="6"/>
    <x v="8"/>
    <x v="22"/>
    <x v="2"/>
    <x v="2"/>
    <x v="2"/>
    <n v="2.62"/>
    <n v="2.92"/>
    <n v="0.01"/>
    <n v="2.62"/>
  </r>
  <r>
    <x v="6"/>
    <x v="8"/>
    <x v="22"/>
    <x v="2"/>
    <x v="3"/>
    <x v="2"/>
    <n v="73.55"/>
    <n v="81.99"/>
    <n v="0.06"/>
    <n v="73.55"/>
  </r>
  <r>
    <x v="6"/>
    <x v="8"/>
    <x v="22"/>
    <x v="2"/>
    <x v="1"/>
    <x v="3"/>
    <n v="117.99"/>
    <n v="131.52000000000001"/>
    <n v="0.1"/>
    <n v="117.99"/>
  </r>
  <r>
    <x v="6"/>
    <x v="8"/>
    <x v="22"/>
    <x v="2"/>
    <x v="2"/>
    <x v="3"/>
    <n v="29.44"/>
    <n v="32.82"/>
    <n v="0.01"/>
    <n v="29.44"/>
  </r>
  <r>
    <x v="6"/>
    <x v="8"/>
    <x v="22"/>
    <x v="2"/>
    <x v="3"/>
    <x v="3"/>
    <n v="288.82"/>
    <n v="321.94"/>
    <n v="0.1"/>
    <n v="282.07"/>
  </r>
  <r>
    <x v="6"/>
    <x v="8"/>
    <x v="22"/>
    <x v="4"/>
    <x v="0"/>
    <x v="1"/>
    <n v="6.83"/>
    <n v="7.61"/>
    <n v="0.47"/>
    <n v="5.48"/>
  </r>
  <r>
    <x v="6"/>
    <x v="8"/>
    <x v="22"/>
    <x v="4"/>
    <x v="4"/>
    <x v="1"/>
    <n v="0.43"/>
    <n v="0.48"/>
    <n v="0.01"/>
    <n v="0.4"/>
  </r>
  <r>
    <x v="6"/>
    <x v="8"/>
    <x v="22"/>
    <x v="1"/>
    <x v="2"/>
    <x v="2"/>
    <n v="0.65"/>
    <n v="0.73"/>
    <n v="0.01"/>
    <n v="0.65"/>
  </r>
  <r>
    <x v="6"/>
    <x v="8"/>
    <x v="22"/>
    <x v="0"/>
    <x v="0"/>
    <x v="1"/>
    <n v="110.28"/>
    <n v="122.93"/>
    <n v="2.5299999999999998"/>
    <n v="102.28"/>
  </r>
  <r>
    <x v="6"/>
    <x v="8"/>
    <x v="22"/>
    <x v="4"/>
    <x v="3"/>
    <x v="0"/>
    <n v="12.33"/>
    <n v="13.75"/>
    <n v="0.06"/>
    <n v="12.2"/>
  </r>
  <r>
    <x v="6"/>
    <x v="8"/>
    <x v="22"/>
    <x v="0"/>
    <x v="3"/>
    <x v="1"/>
    <n v="8.98"/>
    <n v="10.01"/>
    <n v="0.02"/>
    <n v="8.52"/>
  </r>
  <r>
    <x v="6"/>
    <x v="8"/>
    <x v="22"/>
    <x v="1"/>
    <x v="0"/>
    <x v="1"/>
    <n v="7.35"/>
    <n v="8.19"/>
    <n v="0.65"/>
    <n v="6.24"/>
  </r>
  <r>
    <x v="6"/>
    <x v="8"/>
    <x v="22"/>
    <x v="1"/>
    <x v="4"/>
    <x v="1"/>
    <n v="3.74"/>
    <n v="4.16"/>
    <n v="0.15"/>
    <n v="3.1"/>
  </r>
  <r>
    <x v="6"/>
    <x v="8"/>
    <x v="22"/>
    <x v="1"/>
    <x v="1"/>
    <x v="1"/>
    <n v="27.35"/>
    <n v="30.49"/>
    <n v="0.2"/>
    <n v="24.29"/>
  </r>
  <r>
    <x v="6"/>
    <x v="8"/>
    <x v="22"/>
    <x v="1"/>
    <x v="2"/>
    <x v="1"/>
    <n v="39.57"/>
    <n v="44.11"/>
    <n v="0.08"/>
    <n v="35.64"/>
  </r>
  <r>
    <x v="6"/>
    <x v="8"/>
    <x v="22"/>
    <x v="1"/>
    <x v="3"/>
    <x v="1"/>
    <n v="50.61"/>
    <n v="56.41"/>
    <n v="0.31"/>
    <n v="50.24"/>
  </r>
  <r>
    <x v="6"/>
    <x v="8"/>
    <x v="22"/>
    <x v="2"/>
    <x v="3"/>
    <x v="1"/>
    <n v="16.37"/>
    <n v="18.25"/>
    <n v="0.03"/>
    <n v="16.37"/>
  </r>
  <r>
    <x v="6"/>
    <x v="8"/>
    <x v="22"/>
    <x v="3"/>
    <x v="0"/>
    <x v="0"/>
    <n v="84.45"/>
    <n v="94.13"/>
    <n v="22.39"/>
    <n v="83.33"/>
  </r>
  <r>
    <x v="6"/>
    <x v="8"/>
    <x v="22"/>
    <x v="3"/>
    <x v="4"/>
    <x v="0"/>
    <n v="99.1"/>
    <n v="110.47"/>
    <n v="14.46"/>
    <n v="92.39"/>
  </r>
  <r>
    <x v="6"/>
    <x v="8"/>
    <x v="22"/>
    <x v="4"/>
    <x v="0"/>
    <x v="0"/>
    <n v="0.54"/>
    <n v="0.6"/>
    <n v="0.13"/>
    <n v="0.53"/>
  </r>
  <r>
    <x v="6"/>
    <x v="8"/>
    <x v="22"/>
    <x v="4"/>
    <x v="4"/>
    <x v="0"/>
    <n v="175.85"/>
    <n v="196.02"/>
    <n v="14.7"/>
    <n v="164.5"/>
  </r>
  <r>
    <x v="6"/>
    <x v="8"/>
    <x v="22"/>
    <x v="4"/>
    <x v="1"/>
    <x v="0"/>
    <n v="24.64"/>
    <n v="27.47"/>
    <n v="1.1200000000000001"/>
    <n v="23.22"/>
  </r>
  <r>
    <x v="6"/>
    <x v="8"/>
    <x v="22"/>
    <x v="4"/>
    <x v="2"/>
    <x v="0"/>
    <n v="19.16"/>
    <n v="21.35"/>
    <n v="0.35"/>
    <n v="18.66"/>
  </r>
  <r>
    <x v="6"/>
    <x v="8"/>
    <x v="22"/>
    <x v="4"/>
    <x v="1"/>
    <x v="1"/>
    <n v="6.81"/>
    <n v="7.59"/>
    <n v="1.5"/>
    <n v="6.3"/>
  </r>
  <r>
    <x v="6"/>
    <x v="8"/>
    <x v="22"/>
    <x v="1"/>
    <x v="2"/>
    <x v="0"/>
    <n v="21.32"/>
    <n v="23.77"/>
    <n v="0.09"/>
    <n v="17.12"/>
  </r>
  <r>
    <x v="6"/>
    <x v="6"/>
    <x v="23"/>
    <x v="1"/>
    <x v="3"/>
    <x v="1"/>
    <n v="0.66"/>
    <n v="0.87"/>
    <n v="0.01"/>
    <n v="0.56000000000000005"/>
  </r>
  <r>
    <x v="6"/>
    <x v="6"/>
    <x v="23"/>
    <x v="4"/>
    <x v="2"/>
    <x v="2"/>
    <n v="1.33"/>
    <n v="1.74"/>
    <n v="0.02"/>
    <n v="1.33"/>
  </r>
  <r>
    <x v="6"/>
    <x v="6"/>
    <x v="23"/>
    <x v="1"/>
    <x v="4"/>
    <x v="2"/>
    <n v="0.51"/>
    <n v="0.67"/>
    <n v="0.01"/>
    <n v="0.41"/>
  </r>
  <r>
    <x v="6"/>
    <x v="6"/>
    <x v="23"/>
    <x v="1"/>
    <x v="1"/>
    <x v="2"/>
    <n v="0.7"/>
    <n v="0.92"/>
    <n v="0.01"/>
    <n v="0.56000000000000005"/>
  </r>
  <r>
    <x v="6"/>
    <x v="6"/>
    <x v="23"/>
    <x v="2"/>
    <x v="3"/>
    <x v="2"/>
    <n v="0.27"/>
    <n v="0.36"/>
    <n v="0"/>
    <n v="0.27"/>
  </r>
  <r>
    <x v="6"/>
    <x v="6"/>
    <x v="23"/>
    <x v="2"/>
    <x v="3"/>
    <x v="3"/>
    <n v="16.989999999999998"/>
    <n v="22.34"/>
    <n v="0.01"/>
    <n v="15.08"/>
  </r>
  <r>
    <x v="6"/>
    <x v="6"/>
    <x v="23"/>
    <x v="4"/>
    <x v="0"/>
    <x v="1"/>
    <n v="0.34"/>
    <n v="0.44"/>
    <n v="0.03"/>
    <n v="0.3"/>
  </r>
  <r>
    <x v="6"/>
    <x v="6"/>
    <x v="23"/>
    <x v="4"/>
    <x v="4"/>
    <x v="1"/>
    <n v="0.16"/>
    <n v="0.21"/>
    <n v="0.01"/>
    <n v="0.13"/>
  </r>
  <r>
    <x v="6"/>
    <x v="6"/>
    <x v="23"/>
    <x v="4"/>
    <x v="1"/>
    <x v="1"/>
    <n v="0.18"/>
    <n v="0.23"/>
    <n v="0.01"/>
    <n v="0.15"/>
  </r>
  <r>
    <x v="6"/>
    <x v="6"/>
    <x v="23"/>
    <x v="0"/>
    <x v="0"/>
    <x v="1"/>
    <n v="3.97"/>
    <n v="5.22"/>
    <n v="0.08"/>
    <n v="3.26"/>
  </r>
  <r>
    <x v="6"/>
    <x v="6"/>
    <x v="23"/>
    <x v="1"/>
    <x v="0"/>
    <x v="1"/>
    <n v="3.32"/>
    <n v="4.3600000000000003"/>
    <n v="0.11"/>
    <n v="2.77"/>
  </r>
  <r>
    <x v="6"/>
    <x v="6"/>
    <x v="23"/>
    <x v="1"/>
    <x v="4"/>
    <x v="1"/>
    <n v="0.81"/>
    <n v="1.07"/>
    <n v="0.02"/>
    <n v="0.67"/>
  </r>
  <r>
    <x v="6"/>
    <x v="6"/>
    <x v="23"/>
    <x v="4"/>
    <x v="1"/>
    <x v="2"/>
    <n v="0.03"/>
    <n v="0.04"/>
    <n v="0"/>
    <n v="0.03"/>
  </r>
  <r>
    <x v="6"/>
    <x v="6"/>
    <x v="23"/>
    <x v="1"/>
    <x v="2"/>
    <x v="1"/>
    <n v="7.84"/>
    <n v="10.31"/>
    <n v="0.03"/>
    <n v="6.43"/>
  </r>
  <r>
    <x v="6"/>
    <x v="6"/>
    <x v="23"/>
    <x v="1"/>
    <x v="0"/>
    <x v="0"/>
    <n v="3.1"/>
    <n v="4.08"/>
    <n v="1.71"/>
    <n v="2.75"/>
  </r>
  <r>
    <x v="6"/>
    <x v="6"/>
    <x v="23"/>
    <x v="3"/>
    <x v="0"/>
    <x v="0"/>
    <n v="0.02"/>
    <n v="0.02"/>
    <n v="0"/>
    <n v="0.01"/>
  </r>
  <r>
    <x v="6"/>
    <x v="6"/>
    <x v="23"/>
    <x v="3"/>
    <x v="4"/>
    <x v="0"/>
    <n v="12.6"/>
    <n v="16.57"/>
    <n v="1.56"/>
    <n v="10.87"/>
  </r>
  <r>
    <x v="6"/>
    <x v="6"/>
    <x v="23"/>
    <x v="4"/>
    <x v="4"/>
    <x v="0"/>
    <n v="13.81"/>
    <n v="18.149999999999999"/>
    <n v="2.6"/>
    <n v="12.52"/>
  </r>
  <r>
    <x v="6"/>
    <x v="6"/>
    <x v="23"/>
    <x v="4"/>
    <x v="1"/>
    <x v="0"/>
    <n v="3.61"/>
    <n v="4.74"/>
    <n v="0.19"/>
    <n v="3.13"/>
  </r>
  <r>
    <x v="6"/>
    <x v="6"/>
    <x v="23"/>
    <x v="0"/>
    <x v="0"/>
    <x v="0"/>
    <n v="1.93"/>
    <n v="2.5299999999999998"/>
    <n v="1.42"/>
    <n v="1.64"/>
  </r>
  <r>
    <x v="6"/>
    <x v="6"/>
    <x v="23"/>
    <x v="0"/>
    <x v="4"/>
    <x v="0"/>
    <n v="3.3"/>
    <n v="4.34"/>
    <n v="1.02"/>
    <n v="2.94"/>
  </r>
  <r>
    <x v="6"/>
    <x v="6"/>
    <x v="23"/>
    <x v="1"/>
    <x v="4"/>
    <x v="0"/>
    <n v="73.709999999999994"/>
    <n v="96.92"/>
    <n v="16.739999999999998"/>
    <n v="66.72"/>
  </r>
  <r>
    <x v="6"/>
    <x v="6"/>
    <x v="23"/>
    <x v="1"/>
    <x v="2"/>
    <x v="0"/>
    <n v="1.42"/>
    <n v="1.87"/>
    <n v="0.01"/>
    <n v="1.19"/>
  </r>
  <r>
    <x v="6"/>
    <x v="6"/>
    <x v="23"/>
    <x v="2"/>
    <x v="0"/>
    <x v="0"/>
    <n v="2.14"/>
    <n v="2.82"/>
    <n v="1.4"/>
    <n v="1.91"/>
  </r>
  <r>
    <x v="6"/>
    <x v="6"/>
    <x v="23"/>
    <x v="2"/>
    <x v="4"/>
    <x v="0"/>
    <n v="2.63"/>
    <n v="3.46"/>
    <n v="0.84"/>
    <n v="2.4900000000000002"/>
  </r>
  <r>
    <x v="6"/>
    <x v="6"/>
    <x v="23"/>
    <x v="1"/>
    <x v="1"/>
    <x v="1"/>
    <n v="5.94"/>
    <n v="7.81"/>
    <n v="0.04"/>
    <n v="4.8899999999999997"/>
  </r>
  <r>
    <x v="6"/>
    <x v="6"/>
    <x v="23"/>
    <x v="1"/>
    <x v="1"/>
    <x v="0"/>
    <n v="17.7"/>
    <n v="23.27"/>
    <n v="0.93"/>
    <n v="15.38"/>
  </r>
  <r>
    <x v="6"/>
    <x v="0"/>
    <x v="24"/>
    <x v="4"/>
    <x v="3"/>
    <x v="0"/>
    <n v="1.66"/>
    <n v="2.4300000000000002"/>
    <n v="0.01"/>
    <n v="1.61"/>
  </r>
  <r>
    <x v="6"/>
    <x v="0"/>
    <x v="24"/>
    <x v="0"/>
    <x v="4"/>
    <x v="0"/>
    <n v="12.66"/>
    <n v="18.53"/>
    <n v="3.92"/>
    <n v="12.29"/>
  </r>
  <r>
    <x v="6"/>
    <x v="0"/>
    <x v="24"/>
    <x v="3"/>
    <x v="0"/>
    <x v="0"/>
    <n v="1.4"/>
    <n v="2.04"/>
    <n v="0.41"/>
    <n v="1.4"/>
  </r>
  <r>
    <x v="6"/>
    <x v="0"/>
    <x v="24"/>
    <x v="1"/>
    <x v="4"/>
    <x v="2"/>
    <n v="0.6"/>
    <n v="0.88"/>
    <n v="0.03"/>
    <n v="0.57999999999999996"/>
  </r>
  <r>
    <x v="6"/>
    <x v="0"/>
    <x v="24"/>
    <x v="3"/>
    <x v="4"/>
    <x v="0"/>
    <n v="4.1500000000000004"/>
    <n v="6.08"/>
    <n v="1.1200000000000001"/>
    <n v="4.0599999999999996"/>
  </r>
  <r>
    <x v="6"/>
    <x v="0"/>
    <x v="24"/>
    <x v="4"/>
    <x v="4"/>
    <x v="0"/>
    <n v="32.29"/>
    <n v="47.25"/>
    <n v="6.1"/>
    <n v="31.51"/>
  </r>
  <r>
    <x v="6"/>
    <x v="0"/>
    <x v="24"/>
    <x v="2"/>
    <x v="4"/>
    <x v="1"/>
    <n v="0.24"/>
    <n v="0.35"/>
    <n v="0"/>
    <n v="0.23"/>
  </r>
  <r>
    <x v="6"/>
    <x v="0"/>
    <x v="24"/>
    <x v="4"/>
    <x v="2"/>
    <x v="0"/>
    <n v="1.24"/>
    <n v="1.82"/>
    <n v="0.01"/>
    <n v="1.2"/>
  </r>
  <r>
    <x v="6"/>
    <x v="0"/>
    <x v="24"/>
    <x v="1"/>
    <x v="2"/>
    <x v="1"/>
    <n v="25.39"/>
    <n v="37.159999999999997"/>
    <n v="7.0000000000000007E-2"/>
    <n v="24.18"/>
  </r>
  <r>
    <x v="6"/>
    <x v="0"/>
    <x v="24"/>
    <x v="0"/>
    <x v="0"/>
    <x v="0"/>
    <n v="3.08"/>
    <n v="4.5"/>
    <n v="7.93"/>
    <n v="2.96"/>
  </r>
  <r>
    <x v="6"/>
    <x v="0"/>
    <x v="24"/>
    <x v="2"/>
    <x v="3"/>
    <x v="3"/>
    <n v="23.6"/>
    <n v="34.53"/>
    <n v="0.01"/>
    <n v="23.04"/>
  </r>
  <r>
    <x v="6"/>
    <x v="0"/>
    <x v="24"/>
    <x v="1"/>
    <x v="2"/>
    <x v="0"/>
    <n v="15.17"/>
    <n v="22.2"/>
    <n v="0.17"/>
    <n v="14.33"/>
  </r>
  <r>
    <x v="6"/>
    <x v="0"/>
    <x v="24"/>
    <x v="1"/>
    <x v="1"/>
    <x v="0"/>
    <n v="27.96"/>
    <n v="40.92"/>
    <n v="1.94"/>
    <n v="26.67"/>
  </r>
  <r>
    <x v="6"/>
    <x v="0"/>
    <x v="24"/>
    <x v="1"/>
    <x v="4"/>
    <x v="0"/>
    <n v="105.26"/>
    <n v="154.03"/>
    <n v="18.420000000000002"/>
    <n v="102.12"/>
  </r>
  <r>
    <x v="6"/>
    <x v="0"/>
    <x v="24"/>
    <x v="1"/>
    <x v="0"/>
    <x v="0"/>
    <n v="7.3"/>
    <n v="10.67"/>
    <n v="4.54"/>
    <n v="7.12"/>
  </r>
  <r>
    <x v="6"/>
    <x v="0"/>
    <x v="24"/>
    <x v="4"/>
    <x v="1"/>
    <x v="0"/>
    <n v="16.899999999999999"/>
    <n v="24.73"/>
    <n v="1.25"/>
    <n v="16.43"/>
  </r>
  <r>
    <x v="6"/>
    <x v="0"/>
    <x v="24"/>
    <x v="4"/>
    <x v="1"/>
    <x v="1"/>
    <n v="0.92"/>
    <n v="1.35"/>
    <n v="0.06"/>
    <n v="0.87"/>
  </r>
  <r>
    <x v="6"/>
    <x v="0"/>
    <x v="24"/>
    <x v="4"/>
    <x v="2"/>
    <x v="2"/>
    <n v="0.46"/>
    <n v="0.68"/>
    <n v="0.01"/>
    <n v="0.45"/>
  </r>
  <r>
    <x v="6"/>
    <x v="0"/>
    <x v="24"/>
    <x v="4"/>
    <x v="1"/>
    <x v="2"/>
    <n v="0.77"/>
    <n v="1.1200000000000001"/>
    <n v="0.02"/>
    <n v="0.75"/>
  </r>
  <r>
    <x v="6"/>
    <x v="0"/>
    <x v="24"/>
    <x v="4"/>
    <x v="0"/>
    <x v="1"/>
    <n v="1.03"/>
    <n v="1.5"/>
    <n v="7.0000000000000007E-2"/>
    <n v="0.97"/>
  </r>
  <r>
    <x v="6"/>
    <x v="0"/>
    <x v="24"/>
    <x v="4"/>
    <x v="4"/>
    <x v="2"/>
    <n v="0.81"/>
    <n v="1.19"/>
    <n v="0.03"/>
    <n v="0.79"/>
  </r>
  <r>
    <x v="6"/>
    <x v="0"/>
    <x v="24"/>
    <x v="4"/>
    <x v="4"/>
    <x v="1"/>
    <n v="0.47"/>
    <n v="0.69"/>
    <n v="0.04"/>
    <n v="0.45"/>
  </r>
  <r>
    <x v="6"/>
    <x v="0"/>
    <x v="24"/>
    <x v="2"/>
    <x v="3"/>
    <x v="1"/>
    <n v="6.07"/>
    <n v="8.89"/>
    <n v="0.01"/>
    <n v="5.84"/>
  </r>
  <r>
    <x v="6"/>
    <x v="0"/>
    <x v="24"/>
    <x v="2"/>
    <x v="4"/>
    <x v="0"/>
    <n v="6.05"/>
    <n v="8.86"/>
    <n v="2.12"/>
    <n v="5.83"/>
  </r>
  <r>
    <x v="6"/>
    <x v="0"/>
    <x v="24"/>
    <x v="2"/>
    <x v="0"/>
    <x v="0"/>
    <n v="6.74"/>
    <n v="9.8699999999999992"/>
    <n v="7.36"/>
    <n v="6.31"/>
  </r>
  <r>
    <x v="6"/>
    <x v="0"/>
    <x v="24"/>
    <x v="2"/>
    <x v="3"/>
    <x v="2"/>
    <n v="4.42"/>
    <n v="6.47"/>
    <n v="0.01"/>
    <n v="4.3"/>
  </r>
  <r>
    <x v="6"/>
    <x v="0"/>
    <x v="24"/>
    <x v="2"/>
    <x v="1"/>
    <x v="2"/>
    <n v="0.32"/>
    <n v="0.46"/>
    <n v="0"/>
    <n v="0.3"/>
  </r>
  <r>
    <x v="6"/>
    <x v="0"/>
    <x v="24"/>
    <x v="0"/>
    <x v="0"/>
    <x v="1"/>
    <n v="4.1500000000000004"/>
    <n v="6.08"/>
    <n v="0.11"/>
    <n v="3.96"/>
  </r>
  <r>
    <x v="6"/>
    <x v="0"/>
    <x v="24"/>
    <x v="1"/>
    <x v="0"/>
    <x v="1"/>
    <n v="4.53"/>
    <n v="6.63"/>
    <n v="0.31"/>
    <n v="4.3"/>
  </r>
  <r>
    <x v="6"/>
    <x v="0"/>
    <x v="24"/>
    <x v="1"/>
    <x v="4"/>
    <x v="1"/>
    <n v="1.21"/>
    <n v="1.78"/>
    <n v="0.05"/>
    <n v="1.1399999999999999"/>
  </r>
  <r>
    <x v="6"/>
    <x v="0"/>
    <x v="24"/>
    <x v="1"/>
    <x v="1"/>
    <x v="1"/>
    <n v="7.46"/>
    <n v="10.91"/>
    <n v="0.16"/>
    <n v="7.05"/>
  </r>
  <r>
    <x v="6"/>
    <x v="2"/>
    <x v="25"/>
    <x v="4"/>
    <x v="1"/>
    <x v="2"/>
    <n v="0.13"/>
    <n v="0.16"/>
    <n v="0"/>
    <n v="0.12"/>
  </r>
  <r>
    <x v="6"/>
    <x v="2"/>
    <x v="25"/>
    <x v="1"/>
    <x v="4"/>
    <x v="2"/>
    <n v="0.66"/>
    <n v="0.79"/>
    <n v="0.01"/>
    <n v="0.56999999999999995"/>
  </r>
  <r>
    <x v="6"/>
    <x v="2"/>
    <x v="25"/>
    <x v="3"/>
    <x v="4"/>
    <x v="0"/>
    <n v="24.68"/>
    <n v="29.62"/>
    <n v="5.38"/>
    <n v="23.01"/>
  </r>
  <r>
    <x v="6"/>
    <x v="2"/>
    <x v="25"/>
    <x v="1"/>
    <x v="0"/>
    <x v="0"/>
    <n v="18.09"/>
    <n v="21.72"/>
    <n v="9.73"/>
    <n v="17.25"/>
  </r>
  <r>
    <x v="6"/>
    <x v="2"/>
    <x v="25"/>
    <x v="1"/>
    <x v="4"/>
    <x v="0"/>
    <n v="319.64999999999998"/>
    <n v="383.73"/>
    <n v="53.41"/>
    <n v="296.16000000000003"/>
  </r>
  <r>
    <x v="6"/>
    <x v="2"/>
    <x v="25"/>
    <x v="1"/>
    <x v="1"/>
    <x v="0"/>
    <n v="39.24"/>
    <n v="47.1"/>
    <n v="1.75"/>
    <n v="36.54"/>
  </r>
  <r>
    <x v="6"/>
    <x v="2"/>
    <x v="25"/>
    <x v="1"/>
    <x v="2"/>
    <x v="0"/>
    <n v="4.18"/>
    <n v="5.0199999999999996"/>
    <n v="0.1"/>
    <n v="3.81"/>
  </r>
  <r>
    <x v="6"/>
    <x v="2"/>
    <x v="25"/>
    <x v="2"/>
    <x v="0"/>
    <x v="0"/>
    <n v="9.4600000000000009"/>
    <n v="11.36"/>
    <n v="5.45"/>
    <n v="9.02"/>
  </r>
  <r>
    <x v="6"/>
    <x v="2"/>
    <x v="25"/>
    <x v="2"/>
    <x v="4"/>
    <x v="0"/>
    <n v="5.15"/>
    <n v="6.18"/>
    <n v="1.08"/>
    <n v="5.03"/>
  </r>
  <r>
    <x v="6"/>
    <x v="2"/>
    <x v="25"/>
    <x v="0"/>
    <x v="4"/>
    <x v="0"/>
    <n v="34.86"/>
    <n v="41.85"/>
    <n v="9.69"/>
    <n v="32.74"/>
  </r>
  <r>
    <x v="6"/>
    <x v="2"/>
    <x v="25"/>
    <x v="0"/>
    <x v="0"/>
    <x v="0"/>
    <n v="13.5"/>
    <n v="16.21"/>
    <n v="8.4600000000000009"/>
    <n v="12.2"/>
  </r>
  <r>
    <x v="6"/>
    <x v="2"/>
    <x v="25"/>
    <x v="1"/>
    <x v="1"/>
    <x v="2"/>
    <n v="0.62"/>
    <n v="0.74"/>
    <n v="0"/>
    <n v="0.54"/>
  </r>
  <r>
    <x v="6"/>
    <x v="2"/>
    <x v="25"/>
    <x v="4"/>
    <x v="4"/>
    <x v="0"/>
    <n v="103.68"/>
    <n v="124.46"/>
    <n v="11.84"/>
    <n v="96.05"/>
  </r>
  <r>
    <x v="6"/>
    <x v="2"/>
    <x v="25"/>
    <x v="2"/>
    <x v="3"/>
    <x v="2"/>
    <n v="11.5"/>
    <n v="13.8"/>
    <n v="0.01"/>
    <n v="10"/>
  </r>
  <r>
    <x v="6"/>
    <x v="2"/>
    <x v="25"/>
    <x v="3"/>
    <x v="0"/>
    <x v="0"/>
    <n v="2.72"/>
    <n v="3.27"/>
    <n v="1.58"/>
    <n v="2.68"/>
  </r>
  <r>
    <x v="6"/>
    <x v="2"/>
    <x v="25"/>
    <x v="1"/>
    <x v="2"/>
    <x v="1"/>
    <n v="4.76"/>
    <n v="5.72"/>
    <n v="0.02"/>
    <n v="4.3099999999999996"/>
  </r>
  <r>
    <x v="6"/>
    <x v="2"/>
    <x v="25"/>
    <x v="1"/>
    <x v="4"/>
    <x v="1"/>
    <n v="2.17"/>
    <n v="2.6"/>
    <n v="0.03"/>
    <n v="2.14"/>
  </r>
  <r>
    <x v="6"/>
    <x v="2"/>
    <x v="25"/>
    <x v="0"/>
    <x v="0"/>
    <x v="1"/>
    <n v="4.6399999999999997"/>
    <n v="5.57"/>
    <n v="0.27"/>
    <n v="4.2300000000000004"/>
  </r>
  <r>
    <x v="6"/>
    <x v="2"/>
    <x v="25"/>
    <x v="4"/>
    <x v="1"/>
    <x v="1"/>
    <n v="0.03"/>
    <n v="0.03"/>
    <n v="0"/>
    <n v="0.02"/>
  </r>
  <r>
    <x v="6"/>
    <x v="2"/>
    <x v="25"/>
    <x v="4"/>
    <x v="4"/>
    <x v="1"/>
    <n v="0.08"/>
    <n v="0.1"/>
    <n v="0"/>
    <n v="0.08"/>
  </r>
  <r>
    <x v="6"/>
    <x v="2"/>
    <x v="25"/>
    <x v="2"/>
    <x v="3"/>
    <x v="3"/>
    <n v="12.74"/>
    <n v="15.29"/>
    <n v="0.01"/>
    <n v="12.73"/>
  </r>
  <r>
    <x v="6"/>
    <x v="2"/>
    <x v="25"/>
    <x v="1"/>
    <x v="0"/>
    <x v="1"/>
    <n v="1.05"/>
    <n v="1.26"/>
    <n v="0.05"/>
    <n v="0.95"/>
  </r>
  <r>
    <x v="6"/>
    <x v="2"/>
    <x v="25"/>
    <x v="4"/>
    <x v="1"/>
    <x v="0"/>
    <n v="12.52"/>
    <n v="15.04"/>
    <n v="0.67"/>
    <n v="11.53"/>
  </r>
  <r>
    <x v="6"/>
    <x v="2"/>
    <x v="25"/>
    <x v="1"/>
    <x v="1"/>
    <x v="1"/>
    <n v="1.25"/>
    <n v="1.5"/>
    <n v="0.01"/>
    <n v="1.1299999999999999"/>
  </r>
  <r>
    <x v="6"/>
    <x v="2"/>
    <x v="25"/>
    <x v="4"/>
    <x v="4"/>
    <x v="2"/>
    <n v="0.33"/>
    <n v="0.4"/>
    <n v="0.01"/>
    <n v="0.28999999999999998"/>
  </r>
  <r>
    <x v="6"/>
    <x v="1"/>
    <x v="26"/>
    <x v="2"/>
    <x v="4"/>
    <x v="0"/>
    <n v="0.56000000000000005"/>
    <n v="0.66"/>
    <n v="0.16"/>
    <n v="0.53"/>
  </r>
  <r>
    <x v="6"/>
    <x v="1"/>
    <x v="26"/>
    <x v="4"/>
    <x v="1"/>
    <x v="0"/>
    <n v="1.02"/>
    <n v="1.21"/>
    <n v="0.06"/>
    <n v="0.91"/>
  </r>
  <r>
    <x v="6"/>
    <x v="1"/>
    <x v="26"/>
    <x v="0"/>
    <x v="0"/>
    <x v="0"/>
    <n v="0.06"/>
    <n v="7.0000000000000007E-2"/>
    <n v="0.02"/>
    <n v="0.05"/>
  </r>
  <r>
    <x v="6"/>
    <x v="1"/>
    <x v="26"/>
    <x v="0"/>
    <x v="4"/>
    <x v="0"/>
    <n v="4.3899999999999997"/>
    <n v="5.17"/>
    <n v="1.36"/>
    <n v="3.77"/>
  </r>
  <r>
    <x v="6"/>
    <x v="1"/>
    <x v="26"/>
    <x v="1"/>
    <x v="0"/>
    <x v="0"/>
    <n v="2.29"/>
    <n v="2.7"/>
    <n v="1.17"/>
    <n v="2.0099999999999998"/>
  </r>
  <r>
    <x v="6"/>
    <x v="1"/>
    <x v="26"/>
    <x v="1"/>
    <x v="4"/>
    <x v="0"/>
    <n v="24.47"/>
    <n v="28.81"/>
    <n v="3.86"/>
    <n v="21.89"/>
  </r>
  <r>
    <x v="6"/>
    <x v="1"/>
    <x v="26"/>
    <x v="1"/>
    <x v="1"/>
    <x v="0"/>
    <n v="3.5"/>
    <n v="4.12"/>
    <n v="0.19"/>
    <n v="3.07"/>
  </r>
  <r>
    <x v="6"/>
    <x v="1"/>
    <x v="26"/>
    <x v="2"/>
    <x v="0"/>
    <x v="0"/>
    <n v="0.81"/>
    <n v="0.95"/>
    <n v="0.54"/>
    <n v="0.73"/>
  </r>
  <r>
    <x v="6"/>
    <x v="1"/>
    <x v="26"/>
    <x v="4"/>
    <x v="2"/>
    <x v="2"/>
    <n v="0.05"/>
    <n v="0.06"/>
    <n v="0"/>
    <n v="0.04"/>
  </r>
  <r>
    <x v="6"/>
    <x v="1"/>
    <x v="26"/>
    <x v="1"/>
    <x v="1"/>
    <x v="2"/>
    <n v="1.1000000000000001"/>
    <n v="1.29"/>
    <n v="0.01"/>
    <n v="0.89"/>
  </r>
  <r>
    <x v="6"/>
    <x v="1"/>
    <x v="26"/>
    <x v="1"/>
    <x v="4"/>
    <x v="1"/>
    <n v="0.13"/>
    <n v="0.15"/>
    <n v="0"/>
    <n v="0.11"/>
  </r>
  <r>
    <x v="6"/>
    <x v="1"/>
    <x v="26"/>
    <x v="4"/>
    <x v="4"/>
    <x v="0"/>
    <n v="9.89"/>
    <n v="11.64"/>
    <n v="1.49"/>
    <n v="8.67"/>
  </r>
  <r>
    <x v="6"/>
    <x v="1"/>
    <x v="26"/>
    <x v="3"/>
    <x v="4"/>
    <x v="0"/>
    <n v="0.85"/>
    <n v="1"/>
    <n v="0.24"/>
    <n v="0.77"/>
  </r>
  <r>
    <x v="6"/>
    <x v="1"/>
    <x v="26"/>
    <x v="3"/>
    <x v="0"/>
    <x v="0"/>
    <n v="0.02"/>
    <n v="0.02"/>
    <n v="0.01"/>
    <n v="0.02"/>
  </r>
  <r>
    <x v="6"/>
    <x v="1"/>
    <x v="26"/>
    <x v="1"/>
    <x v="2"/>
    <x v="0"/>
    <n v="0.08"/>
    <n v="0.09"/>
    <n v="0"/>
    <n v="7.0000000000000007E-2"/>
  </r>
  <r>
    <x v="6"/>
    <x v="1"/>
    <x v="26"/>
    <x v="1"/>
    <x v="1"/>
    <x v="1"/>
    <n v="0.69"/>
    <n v="0.82"/>
    <n v="0.02"/>
    <n v="0.6"/>
  </r>
  <r>
    <x v="6"/>
    <x v="1"/>
    <x v="26"/>
    <x v="4"/>
    <x v="0"/>
    <x v="1"/>
    <n v="0.04"/>
    <n v="0.05"/>
    <n v="0.01"/>
    <n v="0.04"/>
  </r>
  <r>
    <x v="6"/>
    <x v="1"/>
    <x v="26"/>
    <x v="1"/>
    <x v="0"/>
    <x v="1"/>
    <n v="1.25"/>
    <n v="1.48"/>
    <n v="0.06"/>
    <n v="1.06"/>
  </r>
  <r>
    <x v="6"/>
    <x v="1"/>
    <x v="26"/>
    <x v="4"/>
    <x v="4"/>
    <x v="1"/>
    <n v="0.63"/>
    <n v="0.74"/>
    <n v="0.05"/>
    <n v="0.53"/>
  </r>
  <r>
    <x v="6"/>
    <x v="1"/>
    <x v="26"/>
    <x v="0"/>
    <x v="0"/>
    <x v="1"/>
    <n v="0.22"/>
    <n v="0.25"/>
    <n v="0"/>
    <n v="0.18"/>
  </r>
  <r>
    <x v="6"/>
    <x v="1"/>
    <x v="26"/>
    <x v="4"/>
    <x v="1"/>
    <x v="1"/>
    <n v="0.2"/>
    <n v="0.24"/>
    <n v="0.01"/>
    <n v="0.17"/>
  </r>
  <r>
    <x v="6"/>
    <x v="1"/>
    <x v="26"/>
    <x v="1"/>
    <x v="3"/>
    <x v="1"/>
    <n v="0.64"/>
    <n v="0.75"/>
    <n v="0.01"/>
    <n v="0.55000000000000004"/>
  </r>
  <r>
    <x v="6"/>
    <x v="2"/>
    <x v="27"/>
    <x v="2"/>
    <x v="3"/>
    <x v="3"/>
    <n v="1.33"/>
    <n v="1.9"/>
    <n v="0"/>
    <n v="1.33"/>
  </r>
  <r>
    <x v="6"/>
    <x v="2"/>
    <x v="27"/>
    <x v="1"/>
    <x v="2"/>
    <x v="1"/>
    <n v="0.92"/>
    <n v="1.32"/>
    <n v="0"/>
    <n v="0.83"/>
  </r>
  <r>
    <x v="6"/>
    <x v="2"/>
    <x v="27"/>
    <x v="1"/>
    <x v="1"/>
    <x v="1"/>
    <n v="0.22"/>
    <n v="0.31"/>
    <n v="0"/>
    <n v="0.2"/>
  </r>
  <r>
    <x v="6"/>
    <x v="2"/>
    <x v="27"/>
    <x v="1"/>
    <x v="4"/>
    <x v="1"/>
    <n v="0.06"/>
    <n v="0.09"/>
    <n v="0"/>
    <n v="0.06"/>
  </r>
  <r>
    <x v="6"/>
    <x v="2"/>
    <x v="27"/>
    <x v="1"/>
    <x v="0"/>
    <x v="1"/>
    <n v="0.2"/>
    <n v="0.28000000000000003"/>
    <n v="0.01"/>
    <n v="0.18"/>
  </r>
  <r>
    <x v="6"/>
    <x v="2"/>
    <x v="27"/>
    <x v="0"/>
    <x v="0"/>
    <x v="1"/>
    <n v="0.45"/>
    <n v="0.65"/>
    <n v="0.01"/>
    <n v="0.41"/>
  </r>
  <r>
    <x v="6"/>
    <x v="2"/>
    <x v="27"/>
    <x v="4"/>
    <x v="4"/>
    <x v="1"/>
    <n v="0.01"/>
    <n v="0.02"/>
    <n v="0"/>
    <n v="0.01"/>
  </r>
  <r>
    <x v="6"/>
    <x v="2"/>
    <x v="27"/>
    <x v="3"/>
    <x v="0"/>
    <x v="0"/>
    <n v="0.09"/>
    <n v="0.12"/>
    <n v="0.02"/>
    <n v="0.08"/>
  </r>
  <r>
    <x v="6"/>
    <x v="2"/>
    <x v="27"/>
    <x v="4"/>
    <x v="4"/>
    <x v="2"/>
    <n v="0.55000000000000004"/>
    <n v="0.78"/>
    <n v="0.03"/>
    <n v="0.47"/>
  </r>
  <r>
    <x v="6"/>
    <x v="2"/>
    <x v="27"/>
    <x v="4"/>
    <x v="1"/>
    <x v="2"/>
    <n v="0.26"/>
    <n v="0.37"/>
    <n v="0.01"/>
    <n v="0.22"/>
  </r>
  <r>
    <x v="6"/>
    <x v="2"/>
    <x v="27"/>
    <x v="4"/>
    <x v="2"/>
    <x v="2"/>
    <n v="0.26"/>
    <n v="0.37"/>
    <n v="0"/>
    <n v="0.22"/>
  </r>
  <r>
    <x v="6"/>
    <x v="2"/>
    <x v="27"/>
    <x v="0"/>
    <x v="0"/>
    <x v="0"/>
    <n v="1.97"/>
    <n v="2.82"/>
    <n v="1.1299999999999999"/>
    <n v="1.79"/>
  </r>
  <r>
    <x v="6"/>
    <x v="2"/>
    <x v="27"/>
    <x v="2"/>
    <x v="3"/>
    <x v="2"/>
    <n v="0.42"/>
    <n v="0.6"/>
    <n v="0"/>
    <n v="0.42"/>
  </r>
  <r>
    <x v="6"/>
    <x v="2"/>
    <x v="27"/>
    <x v="1"/>
    <x v="4"/>
    <x v="2"/>
    <n v="0.8"/>
    <n v="1.1499999999999999"/>
    <n v="0.01"/>
    <n v="0.7"/>
  </r>
  <r>
    <x v="6"/>
    <x v="2"/>
    <x v="27"/>
    <x v="4"/>
    <x v="1"/>
    <x v="1"/>
    <n v="0.01"/>
    <n v="0.01"/>
    <n v="0"/>
    <n v="0.01"/>
  </r>
  <r>
    <x v="6"/>
    <x v="2"/>
    <x v="27"/>
    <x v="4"/>
    <x v="1"/>
    <x v="0"/>
    <n v="5.62"/>
    <n v="8.0299999999999994"/>
    <n v="0.3"/>
    <n v="5.17"/>
  </r>
  <r>
    <x v="6"/>
    <x v="2"/>
    <x v="27"/>
    <x v="0"/>
    <x v="4"/>
    <x v="0"/>
    <n v="5.9"/>
    <n v="8.43"/>
    <n v="1.63"/>
    <n v="5.56"/>
  </r>
  <r>
    <x v="6"/>
    <x v="2"/>
    <x v="27"/>
    <x v="1"/>
    <x v="0"/>
    <x v="0"/>
    <n v="2.64"/>
    <n v="3.77"/>
    <n v="1.57"/>
    <n v="2.54"/>
  </r>
  <r>
    <x v="6"/>
    <x v="2"/>
    <x v="27"/>
    <x v="1"/>
    <x v="4"/>
    <x v="0"/>
    <n v="45.21"/>
    <n v="64.61"/>
    <n v="8.59"/>
    <n v="42.19"/>
  </r>
  <r>
    <x v="6"/>
    <x v="2"/>
    <x v="27"/>
    <x v="1"/>
    <x v="1"/>
    <x v="0"/>
    <n v="6.3"/>
    <n v="9"/>
    <n v="0.38"/>
    <n v="5.84"/>
  </r>
  <r>
    <x v="6"/>
    <x v="2"/>
    <x v="27"/>
    <x v="2"/>
    <x v="0"/>
    <x v="0"/>
    <n v="1.65"/>
    <n v="2.35"/>
    <n v="1"/>
    <n v="1.57"/>
  </r>
  <r>
    <x v="6"/>
    <x v="2"/>
    <x v="27"/>
    <x v="2"/>
    <x v="4"/>
    <x v="0"/>
    <n v="1.23"/>
    <n v="1.76"/>
    <n v="0.25"/>
    <n v="1.19"/>
  </r>
  <r>
    <x v="6"/>
    <x v="2"/>
    <x v="27"/>
    <x v="4"/>
    <x v="4"/>
    <x v="0"/>
    <n v="39.94"/>
    <n v="57.09"/>
    <n v="4.29"/>
    <n v="36.93"/>
  </r>
  <r>
    <x v="6"/>
    <x v="2"/>
    <x v="27"/>
    <x v="3"/>
    <x v="4"/>
    <x v="0"/>
    <n v="2.16"/>
    <n v="3.09"/>
    <n v="0.75"/>
    <n v="2.09"/>
  </r>
  <r>
    <x v="6"/>
    <x v="5"/>
    <x v="28"/>
    <x v="3"/>
    <x v="4"/>
    <x v="0"/>
    <n v="4.1500000000000004"/>
    <n v="5.19"/>
    <n v="1.29"/>
    <n v="4"/>
  </r>
  <r>
    <x v="6"/>
    <x v="5"/>
    <x v="28"/>
    <x v="4"/>
    <x v="1"/>
    <x v="2"/>
    <n v="0.43"/>
    <n v="0.53"/>
    <n v="0.01"/>
    <n v="0.37"/>
  </r>
  <r>
    <x v="6"/>
    <x v="5"/>
    <x v="28"/>
    <x v="0"/>
    <x v="0"/>
    <x v="1"/>
    <n v="4.18"/>
    <n v="5.22"/>
    <n v="0.12"/>
    <n v="3.89"/>
  </r>
  <r>
    <x v="6"/>
    <x v="5"/>
    <x v="28"/>
    <x v="1"/>
    <x v="2"/>
    <x v="1"/>
    <n v="8.3699999999999992"/>
    <n v="10.45"/>
    <n v="0.04"/>
    <n v="7.74"/>
  </r>
  <r>
    <x v="6"/>
    <x v="5"/>
    <x v="28"/>
    <x v="1"/>
    <x v="4"/>
    <x v="1"/>
    <n v="0.65"/>
    <n v="0.81"/>
    <n v="0.03"/>
    <n v="0.61"/>
  </r>
  <r>
    <x v="6"/>
    <x v="5"/>
    <x v="28"/>
    <x v="0"/>
    <x v="1"/>
    <x v="1"/>
    <n v="0.06"/>
    <n v="0.08"/>
    <n v="0"/>
    <n v="0.06"/>
  </r>
  <r>
    <x v="6"/>
    <x v="5"/>
    <x v="28"/>
    <x v="3"/>
    <x v="0"/>
    <x v="0"/>
    <n v="0.49"/>
    <n v="0.62"/>
    <n v="0.1"/>
    <n v="0.46"/>
  </r>
  <r>
    <x v="6"/>
    <x v="5"/>
    <x v="28"/>
    <x v="4"/>
    <x v="1"/>
    <x v="1"/>
    <n v="0.04"/>
    <n v="0.05"/>
    <n v="0"/>
    <n v="0.04"/>
  </r>
  <r>
    <x v="6"/>
    <x v="5"/>
    <x v="28"/>
    <x v="4"/>
    <x v="4"/>
    <x v="1"/>
    <n v="0.17"/>
    <n v="0.21"/>
    <n v="0"/>
    <n v="0.15"/>
  </r>
  <r>
    <x v="6"/>
    <x v="5"/>
    <x v="28"/>
    <x v="2"/>
    <x v="3"/>
    <x v="3"/>
    <n v="2.14"/>
    <n v="2.67"/>
    <n v="0"/>
    <n v="2.14"/>
  </r>
  <r>
    <x v="6"/>
    <x v="5"/>
    <x v="28"/>
    <x v="2"/>
    <x v="3"/>
    <x v="2"/>
    <n v="2.6"/>
    <n v="3.25"/>
    <n v="0.01"/>
    <n v="2.4"/>
  </r>
  <r>
    <x v="6"/>
    <x v="5"/>
    <x v="28"/>
    <x v="4"/>
    <x v="2"/>
    <x v="2"/>
    <n v="0.01"/>
    <n v="0.02"/>
    <n v="0"/>
    <n v="0.01"/>
  </r>
  <r>
    <x v="6"/>
    <x v="5"/>
    <x v="28"/>
    <x v="4"/>
    <x v="4"/>
    <x v="2"/>
    <n v="0.7"/>
    <n v="0.88"/>
    <n v="0.01"/>
    <n v="0.61"/>
  </r>
  <r>
    <x v="6"/>
    <x v="5"/>
    <x v="28"/>
    <x v="4"/>
    <x v="4"/>
    <x v="0"/>
    <n v="30.75"/>
    <n v="38.409999999999997"/>
    <n v="3.87"/>
    <n v="28.97"/>
  </r>
  <r>
    <x v="6"/>
    <x v="5"/>
    <x v="28"/>
    <x v="1"/>
    <x v="1"/>
    <x v="1"/>
    <n v="2.4300000000000002"/>
    <n v="3.03"/>
    <n v="0.02"/>
    <n v="2.2400000000000002"/>
  </r>
  <r>
    <x v="6"/>
    <x v="5"/>
    <x v="28"/>
    <x v="1"/>
    <x v="4"/>
    <x v="2"/>
    <n v="0.15"/>
    <n v="0.19"/>
    <n v="0.01"/>
    <n v="0.13"/>
  </r>
  <r>
    <x v="6"/>
    <x v="5"/>
    <x v="28"/>
    <x v="1"/>
    <x v="2"/>
    <x v="0"/>
    <n v="0.35"/>
    <n v="0.44"/>
    <n v="0.02"/>
    <n v="0.31"/>
  </r>
  <r>
    <x v="6"/>
    <x v="5"/>
    <x v="28"/>
    <x v="4"/>
    <x v="1"/>
    <x v="0"/>
    <n v="7.69"/>
    <n v="9.61"/>
    <n v="0.5"/>
    <n v="7.14"/>
  </r>
  <r>
    <x v="6"/>
    <x v="5"/>
    <x v="28"/>
    <x v="2"/>
    <x v="3"/>
    <x v="0"/>
    <n v="0.7"/>
    <n v="0.87"/>
    <n v="0"/>
    <n v="0.7"/>
  </r>
  <r>
    <x v="6"/>
    <x v="5"/>
    <x v="28"/>
    <x v="2"/>
    <x v="0"/>
    <x v="0"/>
    <n v="6.82"/>
    <n v="8.52"/>
    <n v="4.8499999999999996"/>
    <n v="6.45"/>
  </r>
  <r>
    <x v="6"/>
    <x v="5"/>
    <x v="28"/>
    <x v="1"/>
    <x v="1"/>
    <x v="0"/>
    <n v="21.32"/>
    <n v="26.62"/>
    <n v="1.66"/>
    <n v="19.850000000000001"/>
  </r>
  <r>
    <x v="6"/>
    <x v="5"/>
    <x v="28"/>
    <x v="1"/>
    <x v="4"/>
    <x v="0"/>
    <n v="112.48"/>
    <n v="140.49"/>
    <n v="29.18"/>
    <n v="105.7"/>
  </r>
  <r>
    <x v="6"/>
    <x v="5"/>
    <x v="28"/>
    <x v="1"/>
    <x v="0"/>
    <x v="1"/>
    <n v="1.74"/>
    <n v="2.1800000000000002"/>
    <n v="0.08"/>
    <n v="1.62"/>
  </r>
  <r>
    <x v="6"/>
    <x v="5"/>
    <x v="28"/>
    <x v="1"/>
    <x v="0"/>
    <x v="0"/>
    <n v="11.11"/>
    <n v="13.88"/>
    <n v="5.98"/>
    <n v="10.61"/>
  </r>
  <r>
    <x v="6"/>
    <x v="5"/>
    <x v="28"/>
    <x v="0"/>
    <x v="4"/>
    <x v="0"/>
    <n v="13.29"/>
    <n v="16.59"/>
    <n v="3.86"/>
    <n v="12.68"/>
  </r>
  <r>
    <x v="6"/>
    <x v="5"/>
    <x v="28"/>
    <x v="0"/>
    <x v="0"/>
    <x v="0"/>
    <n v="5.23"/>
    <n v="6.53"/>
    <n v="2.99"/>
    <n v="4.8"/>
  </r>
  <r>
    <x v="6"/>
    <x v="5"/>
    <x v="28"/>
    <x v="2"/>
    <x v="4"/>
    <x v="0"/>
    <n v="3.07"/>
    <n v="3.83"/>
    <n v="0.65"/>
    <n v="2.96"/>
  </r>
  <r>
    <x v="6"/>
    <x v="2"/>
    <x v="29"/>
    <x v="4"/>
    <x v="2"/>
    <x v="2"/>
    <n v="0.01"/>
    <n v="0.01"/>
    <n v="0"/>
    <n v="0.01"/>
  </r>
  <r>
    <x v="6"/>
    <x v="2"/>
    <x v="29"/>
    <x v="1"/>
    <x v="1"/>
    <x v="1"/>
    <n v="0.3"/>
    <n v="0.36"/>
    <n v="0"/>
    <n v="0.27"/>
  </r>
  <r>
    <x v="6"/>
    <x v="2"/>
    <x v="29"/>
    <x v="1"/>
    <x v="4"/>
    <x v="1"/>
    <n v="0.06"/>
    <n v="0.08"/>
    <n v="0"/>
    <n v="0.06"/>
  </r>
  <r>
    <x v="6"/>
    <x v="2"/>
    <x v="29"/>
    <x v="1"/>
    <x v="0"/>
    <x v="1"/>
    <n v="0.21"/>
    <n v="0.25"/>
    <n v="0.01"/>
    <n v="0.19"/>
  </r>
  <r>
    <x v="6"/>
    <x v="2"/>
    <x v="29"/>
    <x v="0"/>
    <x v="0"/>
    <x v="1"/>
    <n v="0.49"/>
    <n v="0.57999999999999996"/>
    <n v="0.01"/>
    <n v="0.44"/>
  </r>
  <r>
    <x v="6"/>
    <x v="2"/>
    <x v="29"/>
    <x v="4"/>
    <x v="1"/>
    <x v="1"/>
    <n v="0"/>
    <n v="0.01"/>
    <n v="0"/>
    <n v="0"/>
  </r>
  <r>
    <x v="6"/>
    <x v="2"/>
    <x v="29"/>
    <x v="4"/>
    <x v="4"/>
    <x v="1"/>
    <n v="0.01"/>
    <n v="0.02"/>
    <n v="0"/>
    <n v="0.01"/>
  </r>
  <r>
    <x v="6"/>
    <x v="2"/>
    <x v="29"/>
    <x v="1"/>
    <x v="2"/>
    <x v="1"/>
    <n v="0.97"/>
    <n v="1.17"/>
    <n v="0"/>
    <n v="0.88"/>
  </r>
  <r>
    <x v="6"/>
    <x v="2"/>
    <x v="29"/>
    <x v="1"/>
    <x v="4"/>
    <x v="2"/>
    <n v="0.59"/>
    <n v="0.71"/>
    <n v="0.01"/>
    <n v="0.51"/>
  </r>
  <r>
    <x v="6"/>
    <x v="2"/>
    <x v="29"/>
    <x v="1"/>
    <x v="2"/>
    <x v="0"/>
    <n v="0.18"/>
    <n v="0.22"/>
    <n v="0"/>
    <n v="0.16"/>
  </r>
  <r>
    <x v="6"/>
    <x v="2"/>
    <x v="29"/>
    <x v="4"/>
    <x v="1"/>
    <x v="2"/>
    <n v="0"/>
    <n v="0"/>
    <n v="0"/>
    <n v="0"/>
  </r>
  <r>
    <x v="6"/>
    <x v="2"/>
    <x v="29"/>
    <x v="2"/>
    <x v="3"/>
    <x v="3"/>
    <n v="2.65"/>
    <n v="3.18"/>
    <n v="0"/>
    <n v="2.65"/>
  </r>
  <r>
    <x v="6"/>
    <x v="2"/>
    <x v="29"/>
    <x v="3"/>
    <x v="0"/>
    <x v="0"/>
    <n v="0.06"/>
    <n v="7.0000000000000007E-2"/>
    <n v="0.01"/>
    <n v="0.05"/>
  </r>
  <r>
    <x v="6"/>
    <x v="2"/>
    <x v="29"/>
    <x v="3"/>
    <x v="4"/>
    <x v="0"/>
    <n v="0.61"/>
    <n v="0.73"/>
    <n v="0.21"/>
    <n v="0.57999999999999996"/>
  </r>
  <r>
    <x v="6"/>
    <x v="2"/>
    <x v="29"/>
    <x v="2"/>
    <x v="0"/>
    <x v="0"/>
    <n v="1.59"/>
    <n v="1.91"/>
    <n v="1.35"/>
    <n v="1.53"/>
  </r>
  <r>
    <x v="6"/>
    <x v="2"/>
    <x v="29"/>
    <x v="1"/>
    <x v="1"/>
    <x v="0"/>
    <n v="2.39"/>
    <n v="2.87"/>
    <n v="0.24"/>
    <n v="2.23"/>
  </r>
  <r>
    <x v="6"/>
    <x v="2"/>
    <x v="29"/>
    <x v="1"/>
    <x v="4"/>
    <x v="0"/>
    <n v="29.63"/>
    <n v="35.57"/>
    <n v="6.09"/>
    <n v="27.15"/>
  </r>
  <r>
    <x v="6"/>
    <x v="2"/>
    <x v="29"/>
    <x v="4"/>
    <x v="4"/>
    <x v="0"/>
    <n v="9.41"/>
    <n v="11.29"/>
    <n v="1.17"/>
    <n v="8.75"/>
  </r>
  <r>
    <x v="6"/>
    <x v="2"/>
    <x v="29"/>
    <x v="4"/>
    <x v="1"/>
    <x v="0"/>
    <n v="0.98"/>
    <n v="1.18"/>
    <n v="0.08"/>
    <n v="0.91"/>
  </r>
  <r>
    <x v="6"/>
    <x v="2"/>
    <x v="29"/>
    <x v="0"/>
    <x v="0"/>
    <x v="0"/>
    <n v="2.17"/>
    <n v="2.6"/>
    <n v="1.39"/>
    <n v="1.96"/>
  </r>
  <r>
    <x v="6"/>
    <x v="2"/>
    <x v="29"/>
    <x v="0"/>
    <x v="4"/>
    <x v="0"/>
    <n v="3.15"/>
    <n v="3.79"/>
    <n v="0.95"/>
    <n v="2.94"/>
  </r>
  <r>
    <x v="6"/>
    <x v="2"/>
    <x v="29"/>
    <x v="1"/>
    <x v="0"/>
    <x v="0"/>
    <n v="2.4300000000000002"/>
    <n v="2.92"/>
    <n v="1.23"/>
    <n v="2.2599999999999998"/>
  </r>
  <r>
    <x v="6"/>
    <x v="2"/>
    <x v="29"/>
    <x v="4"/>
    <x v="4"/>
    <x v="2"/>
    <n v="0.02"/>
    <n v="0.02"/>
    <n v="0.01"/>
    <n v="0.02"/>
  </r>
  <r>
    <x v="6"/>
    <x v="2"/>
    <x v="29"/>
    <x v="2"/>
    <x v="4"/>
    <x v="0"/>
    <n v="0.53"/>
    <n v="0.64"/>
    <n v="0.11"/>
    <n v="0.51"/>
  </r>
  <r>
    <x v="6"/>
    <x v="5"/>
    <x v="30"/>
    <x v="1"/>
    <x v="4"/>
    <x v="0"/>
    <n v="227.43"/>
    <n v="273.02999999999997"/>
    <n v="62.48"/>
    <n v="210.57"/>
  </r>
  <r>
    <x v="6"/>
    <x v="5"/>
    <x v="30"/>
    <x v="0"/>
    <x v="0"/>
    <x v="0"/>
    <n v="10.220000000000001"/>
    <n v="12.27"/>
    <n v="6.36"/>
    <n v="9.2799999999999994"/>
  </r>
  <r>
    <x v="6"/>
    <x v="5"/>
    <x v="30"/>
    <x v="3"/>
    <x v="4"/>
    <x v="0"/>
    <n v="7.52"/>
    <n v="9.0299999999999994"/>
    <n v="1.54"/>
    <n v="7.01"/>
  </r>
  <r>
    <x v="6"/>
    <x v="5"/>
    <x v="30"/>
    <x v="4"/>
    <x v="4"/>
    <x v="0"/>
    <n v="74.64"/>
    <n v="89.61"/>
    <n v="9.27"/>
    <n v="68.84"/>
  </r>
  <r>
    <x v="6"/>
    <x v="5"/>
    <x v="30"/>
    <x v="4"/>
    <x v="1"/>
    <x v="0"/>
    <n v="12.23"/>
    <n v="14.68"/>
    <n v="0.75"/>
    <n v="11.29"/>
  </r>
  <r>
    <x v="6"/>
    <x v="5"/>
    <x v="30"/>
    <x v="4"/>
    <x v="2"/>
    <x v="0"/>
    <n v="0.79"/>
    <n v="0.95"/>
    <n v="0"/>
    <n v="0.73"/>
  </r>
  <r>
    <x v="6"/>
    <x v="5"/>
    <x v="30"/>
    <x v="0"/>
    <x v="4"/>
    <x v="0"/>
    <n v="24.24"/>
    <n v="29.1"/>
    <n v="7.89"/>
    <n v="22.59"/>
  </r>
  <r>
    <x v="6"/>
    <x v="5"/>
    <x v="30"/>
    <x v="2"/>
    <x v="4"/>
    <x v="0"/>
    <n v="4.04"/>
    <n v="4.8499999999999996"/>
    <n v="0.84"/>
    <n v="3.85"/>
  </r>
  <r>
    <x v="6"/>
    <x v="5"/>
    <x v="30"/>
    <x v="2"/>
    <x v="0"/>
    <x v="0"/>
    <n v="5.59"/>
    <n v="6.71"/>
    <n v="4.68"/>
    <n v="5.27"/>
  </r>
  <r>
    <x v="6"/>
    <x v="5"/>
    <x v="30"/>
    <x v="1"/>
    <x v="1"/>
    <x v="0"/>
    <n v="35.200000000000003"/>
    <n v="42.26"/>
    <n v="3.48"/>
    <n v="32.479999999999997"/>
  </r>
  <r>
    <x v="6"/>
    <x v="5"/>
    <x v="30"/>
    <x v="1"/>
    <x v="1"/>
    <x v="1"/>
    <n v="1.37"/>
    <n v="1.64"/>
    <n v="0.02"/>
    <n v="1.27"/>
  </r>
  <r>
    <x v="6"/>
    <x v="5"/>
    <x v="30"/>
    <x v="1"/>
    <x v="0"/>
    <x v="0"/>
    <n v="14.49"/>
    <n v="17.39"/>
    <n v="8.5299999999999994"/>
    <n v="13.62"/>
  </r>
  <r>
    <x v="6"/>
    <x v="5"/>
    <x v="30"/>
    <x v="1"/>
    <x v="2"/>
    <x v="0"/>
    <n v="3.09"/>
    <n v="3.71"/>
    <n v="0.04"/>
    <n v="2.77"/>
  </r>
  <r>
    <x v="6"/>
    <x v="5"/>
    <x v="30"/>
    <x v="4"/>
    <x v="1"/>
    <x v="2"/>
    <n v="0.2"/>
    <n v="0.24"/>
    <n v="0.01"/>
    <n v="0.17"/>
  </r>
  <r>
    <x v="6"/>
    <x v="5"/>
    <x v="30"/>
    <x v="3"/>
    <x v="0"/>
    <x v="0"/>
    <n v="0.69"/>
    <n v="0.83"/>
    <n v="0.14000000000000001"/>
    <n v="0.64"/>
  </r>
  <r>
    <x v="6"/>
    <x v="5"/>
    <x v="30"/>
    <x v="4"/>
    <x v="4"/>
    <x v="2"/>
    <n v="0.3"/>
    <n v="0.36"/>
    <n v="0.03"/>
    <n v="0.26"/>
  </r>
  <r>
    <x v="6"/>
    <x v="5"/>
    <x v="30"/>
    <x v="1"/>
    <x v="2"/>
    <x v="1"/>
    <n v="5.09"/>
    <n v="6.11"/>
    <n v="0.02"/>
    <n v="4.71"/>
  </r>
  <r>
    <x v="6"/>
    <x v="5"/>
    <x v="30"/>
    <x v="4"/>
    <x v="2"/>
    <x v="2"/>
    <n v="0.18"/>
    <n v="0.22"/>
    <n v="0"/>
    <n v="0.16"/>
  </r>
  <r>
    <x v="6"/>
    <x v="5"/>
    <x v="30"/>
    <x v="1"/>
    <x v="4"/>
    <x v="2"/>
    <n v="0.01"/>
    <n v="0.01"/>
    <n v="0"/>
    <n v="0.01"/>
  </r>
  <r>
    <x v="6"/>
    <x v="5"/>
    <x v="30"/>
    <x v="2"/>
    <x v="3"/>
    <x v="2"/>
    <n v="0.92"/>
    <n v="1.1000000000000001"/>
    <n v="0.02"/>
    <n v="0.82"/>
  </r>
  <r>
    <x v="6"/>
    <x v="5"/>
    <x v="30"/>
    <x v="2"/>
    <x v="3"/>
    <x v="3"/>
    <n v="2.0499999999999998"/>
    <n v="2.46"/>
    <n v="0"/>
    <n v="2.0499999999999998"/>
  </r>
  <r>
    <x v="6"/>
    <x v="5"/>
    <x v="30"/>
    <x v="4"/>
    <x v="4"/>
    <x v="1"/>
    <n v="0.08"/>
    <n v="0.09"/>
    <n v="0"/>
    <n v="7.0000000000000007E-2"/>
  </r>
  <r>
    <x v="6"/>
    <x v="5"/>
    <x v="30"/>
    <x v="4"/>
    <x v="1"/>
    <x v="1"/>
    <n v="0.03"/>
    <n v="0.04"/>
    <n v="0"/>
    <n v="0.03"/>
  </r>
  <r>
    <x v="6"/>
    <x v="5"/>
    <x v="30"/>
    <x v="0"/>
    <x v="0"/>
    <x v="1"/>
    <n v="2.44"/>
    <n v="2.93"/>
    <n v="0.06"/>
    <n v="2.25"/>
  </r>
  <r>
    <x v="6"/>
    <x v="5"/>
    <x v="30"/>
    <x v="1"/>
    <x v="0"/>
    <x v="1"/>
    <n v="1.25"/>
    <n v="1.5"/>
    <n v="0.06"/>
    <n v="1.17"/>
  </r>
  <r>
    <x v="6"/>
    <x v="5"/>
    <x v="30"/>
    <x v="1"/>
    <x v="4"/>
    <x v="1"/>
    <n v="0.34"/>
    <n v="0.4"/>
    <n v="0.01"/>
    <n v="0.31"/>
  </r>
  <r>
    <x v="6"/>
    <x v="5"/>
    <x v="30"/>
    <x v="2"/>
    <x v="1"/>
    <x v="3"/>
    <n v="0.23"/>
    <n v="0.28000000000000003"/>
    <n v="0"/>
    <n v="0.23"/>
  </r>
  <r>
    <x v="6"/>
    <x v="5"/>
    <x v="30"/>
    <x v="0"/>
    <x v="2"/>
    <x v="0"/>
    <n v="0.09"/>
    <n v="0.11"/>
    <n v="0"/>
    <n v="0.09"/>
  </r>
  <r>
    <x v="6"/>
    <x v="6"/>
    <x v="31"/>
    <x v="0"/>
    <x v="2"/>
    <x v="0"/>
    <n v="1.3"/>
    <n v="1.3"/>
    <n v="0.01"/>
    <n v="1.3"/>
  </r>
  <r>
    <x v="6"/>
    <x v="6"/>
    <x v="31"/>
    <x v="4"/>
    <x v="0"/>
    <x v="1"/>
    <n v="0.23"/>
    <n v="0.23"/>
    <n v="0.02"/>
    <n v="0.19"/>
  </r>
  <r>
    <x v="6"/>
    <x v="6"/>
    <x v="31"/>
    <x v="1"/>
    <x v="4"/>
    <x v="0"/>
    <n v="156.72999999999999"/>
    <n v="156.72999999999999"/>
    <n v="40.04"/>
    <n v="144.47"/>
  </r>
  <r>
    <x v="6"/>
    <x v="6"/>
    <x v="31"/>
    <x v="4"/>
    <x v="2"/>
    <x v="0"/>
    <n v="0.75"/>
    <n v="0.75"/>
    <n v="0.01"/>
    <n v="0.64"/>
  </r>
  <r>
    <x v="6"/>
    <x v="6"/>
    <x v="31"/>
    <x v="2"/>
    <x v="4"/>
    <x v="0"/>
    <n v="7.67"/>
    <n v="7.67"/>
    <n v="2.52"/>
    <n v="7.11"/>
  </r>
  <r>
    <x v="6"/>
    <x v="6"/>
    <x v="31"/>
    <x v="4"/>
    <x v="1"/>
    <x v="0"/>
    <n v="6.98"/>
    <n v="6.98"/>
    <n v="0.75"/>
    <n v="6.35"/>
  </r>
  <r>
    <x v="6"/>
    <x v="6"/>
    <x v="31"/>
    <x v="4"/>
    <x v="4"/>
    <x v="0"/>
    <n v="37.14"/>
    <n v="37.14"/>
    <n v="9.01"/>
    <n v="33"/>
  </r>
  <r>
    <x v="6"/>
    <x v="6"/>
    <x v="31"/>
    <x v="3"/>
    <x v="4"/>
    <x v="0"/>
    <n v="4.05"/>
    <n v="4.05"/>
    <n v="0.8"/>
    <n v="3.76"/>
  </r>
  <r>
    <x v="6"/>
    <x v="6"/>
    <x v="31"/>
    <x v="3"/>
    <x v="0"/>
    <x v="0"/>
    <n v="0.04"/>
    <n v="0.04"/>
    <n v="0.01"/>
    <n v="0.03"/>
  </r>
  <r>
    <x v="6"/>
    <x v="6"/>
    <x v="31"/>
    <x v="1"/>
    <x v="3"/>
    <x v="1"/>
    <n v="0.23"/>
    <n v="0.23"/>
    <n v="0"/>
    <n v="0.19"/>
  </r>
  <r>
    <x v="6"/>
    <x v="6"/>
    <x v="31"/>
    <x v="1"/>
    <x v="2"/>
    <x v="1"/>
    <n v="8.2100000000000009"/>
    <n v="8.2100000000000009"/>
    <n v="0.02"/>
    <n v="6.76"/>
  </r>
  <r>
    <x v="6"/>
    <x v="6"/>
    <x v="31"/>
    <x v="1"/>
    <x v="1"/>
    <x v="1"/>
    <n v="3.95"/>
    <n v="3.95"/>
    <n v="0.02"/>
    <n v="3.31"/>
  </r>
  <r>
    <x v="6"/>
    <x v="6"/>
    <x v="31"/>
    <x v="1"/>
    <x v="4"/>
    <x v="1"/>
    <n v="0.2"/>
    <n v="0.2"/>
    <n v="0.01"/>
    <n v="0.16"/>
  </r>
  <r>
    <x v="6"/>
    <x v="6"/>
    <x v="31"/>
    <x v="1"/>
    <x v="0"/>
    <x v="1"/>
    <n v="3.45"/>
    <n v="3.45"/>
    <n v="0.11"/>
    <n v="2.94"/>
  </r>
  <r>
    <x v="6"/>
    <x v="6"/>
    <x v="31"/>
    <x v="4"/>
    <x v="1"/>
    <x v="1"/>
    <n v="0.2"/>
    <n v="0.2"/>
    <n v="0.01"/>
    <n v="0.16"/>
  </r>
  <r>
    <x v="6"/>
    <x v="6"/>
    <x v="31"/>
    <x v="4"/>
    <x v="3"/>
    <x v="0"/>
    <n v="1.1299999999999999"/>
    <n v="1.1299999999999999"/>
    <n v="0.01"/>
    <n v="0.96"/>
  </r>
  <r>
    <x v="6"/>
    <x v="6"/>
    <x v="31"/>
    <x v="2"/>
    <x v="0"/>
    <x v="0"/>
    <n v="4.42"/>
    <n v="4.42"/>
    <n v="3.46"/>
    <n v="4.13"/>
  </r>
  <r>
    <x v="6"/>
    <x v="6"/>
    <x v="31"/>
    <x v="1"/>
    <x v="2"/>
    <x v="0"/>
    <n v="2.2400000000000002"/>
    <n v="2.2400000000000002"/>
    <n v="0.02"/>
    <n v="1.89"/>
  </r>
  <r>
    <x v="6"/>
    <x v="6"/>
    <x v="31"/>
    <x v="1"/>
    <x v="1"/>
    <x v="0"/>
    <n v="24.11"/>
    <n v="24.11"/>
    <n v="1.45"/>
    <n v="21.8"/>
  </r>
  <r>
    <x v="6"/>
    <x v="6"/>
    <x v="31"/>
    <x v="1"/>
    <x v="0"/>
    <x v="0"/>
    <n v="7.36"/>
    <n v="7.36"/>
    <n v="4.17"/>
    <n v="6.51"/>
  </r>
  <r>
    <x v="6"/>
    <x v="6"/>
    <x v="31"/>
    <x v="0"/>
    <x v="4"/>
    <x v="0"/>
    <n v="9.7899999999999991"/>
    <n v="9.7899999999999991"/>
    <n v="2.79"/>
    <n v="8.8000000000000007"/>
  </r>
  <r>
    <x v="6"/>
    <x v="6"/>
    <x v="31"/>
    <x v="0"/>
    <x v="0"/>
    <x v="1"/>
    <n v="8.81"/>
    <n v="8.81"/>
    <n v="0.22"/>
    <n v="8.15"/>
  </r>
  <r>
    <x v="6"/>
    <x v="6"/>
    <x v="31"/>
    <x v="0"/>
    <x v="0"/>
    <x v="0"/>
    <n v="2.2999999999999998"/>
    <n v="2.2999999999999998"/>
    <n v="1.7"/>
    <n v="1.95"/>
  </r>
  <r>
    <x v="6"/>
    <x v="6"/>
    <x v="31"/>
    <x v="4"/>
    <x v="2"/>
    <x v="2"/>
    <n v="2.1800000000000002"/>
    <n v="2.1800000000000002"/>
    <n v="0.05"/>
    <n v="1.95"/>
  </r>
  <r>
    <x v="6"/>
    <x v="6"/>
    <x v="31"/>
    <x v="1"/>
    <x v="4"/>
    <x v="2"/>
    <n v="0.08"/>
    <n v="0.08"/>
    <n v="0"/>
    <n v="0.06"/>
  </r>
  <r>
    <x v="6"/>
    <x v="6"/>
    <x v="31"/>
    <x v="1"/>
    <x v="1"/>
    <x v="2"/>
    <n v="0.56999999999999995"/>
    <n v="0.56999999999999995"/>
    <n v="0.01"/>
    <n v="0.47"/>
  </r>
  <r>
    <x v="6"/>
    <x v="6"/>
    <x v="31"/>
    <x v="2"/>
    <x v="3"/>
    <x v="2"/>
    <n v="3.2"/>
    <n v="3.2"/>
    <n v="0.01"/>
    <n v="3.08"/>
  </r>
  <r>
    <x v="6"/>
    <x v="6"/>
    <x v="31"/>
    <x v="2"/>
    <x v="3"/>
    <x v="3"/>
    <n v="3.19"/>
    <n v="3.19"/>
    <n v="0"/>
    <n v="2.64"/>
  </r>
  <r>
    <x v="6"/>
    <x v="9"/>
    <x v="32"/>
    <x v="0"/>
    <x v="4"/>
    <x v="0"/>
    <n v="6.44"/>
    <n v="13.56"/>
    <n v="2.1"/>
    <n v="6"/>
  </r>
  <r>
    <x v="6"/>
    <x v="9"/>
    <x v="32"/>
    <x v="2"/>
    <x v="0"/>
    <x v="0"/>
    <n v="1.49"/>
    <n v="3.13"/>
    <n v="1.24"/>
    <n v="1.4"/>
  </r>
  <r>
    <x v="6"/>
    <x v="9"/>
    <x v="32"/>
    <x v="2"/>
    <x v="4"/>
    <x v="0"/>
    <n v="1.07"/>
    <n v="2.2599999999999998"/>
    <n v="0.22"/>
    <n v="1.02"/>
  </r>
  <r>
    <x v="6"/>
    <x v="9"/>
    <x v="32"/>
    <x v="3"/>
    <x v="0"/>
    <x v="0"/>
    <n v="0.18"/>
    <n v="0.39"/>
    <n v="0.04"/>
    <n v="0.17"/>
  </r>
  <r>
    <x v="6"/>
    <x v="9"/>
    <x v="32"/>
    <x v="1"/>
    <x v="4"/>
    <x v="1"/>
    <n v="0.09"/>
    <n v="0.19"/>
    <n v="0"/>
    <n v="0.08"/>
  </r>
  <r>
    <x v="6"/>
    <x v="9"/>
    <x v="32"/>
    <x v="4"/>
    <x v="4"/>
    <x v="2"/>
    <n v="0.08"/>
    <n v="0.17"/>
    <n v="0.01"/>
    <n v="7.0000000000000007E-2"/>
  </r>
  <r>
    <x v="6"/>
    <x v="9"/>
    <x v="32"/>
    <x v="4"/>
    <x v="1"/>
    <x v="2"/>
    <n v="0.05"/>
    <n v="0.11"/>
    <n v="0"/>
    <n v="0.05"/>
  </r>
  <r>
    <x v="6"/>
    <x v="9"/>
    <x v="32"/>
    <x v="4"/>
    <x v="2"/>
    <x v="2"/>
    <n v="0.05"/>
    <n v="0.1"/>
    <n v="0"/>
    <n v="0.04"/>
  </r>
  <r>
    <x v="6"/>
    <x v="9"/>
    <x v="32"/>
    <x v="1"/>
    <x v="4"/>
    <x v="2"/>
    <n v="0"/>
    <n v="0.01"/>
    <n v="0"/>
    <n v="0"/>
  </r>
  <r>
    <x v="6"/>
    <x v="9"/>
    <x v="32"/>
    <x v="2"/>
    <x v="3"/>
    <x v="2"/>
    <n v="0.24"/>
    <n v="0.51"/>
    <n v="0.01"/>
    <n v="0.22"/>
  </r>
  <r>
    <x v="6"/>
    <x v="9"/>
    <x v="32"/>
    <x v="2"/>
    <x v="1"/>
    <x v="3"/>
    <n v="0.06"/>
    <n v="0.13"/>
    <n v="0"/>
    <n v="0.06"/>
  </r>
  <r>
    <x v="6"/>
    <x v="9"/>
    <x v="32"/>
    <x v="2"/>
    <x v="3"/>
    <x v="3"/>
    <n v="0.55000000000000004"/>
    <n v="1.1499999999999999"/>
    <n v="0"/>
    <n v="0.55000000000000004"/>
  </r>
  <r>
    <x v="6"/>
    <x v="9"/>
    <x v="32"/>
    <x v="4"/>
    <x v="4"/>
    <x v="1"/>
    <n v="0.02"/>
    <n v="0.04"/>
    <n v="0"/>
    <n v="0.02"/>
  </r>
  <r>
    <x v="6"/>
    <x v="9"/>
    <x v="32"/>
    <x v="4"/>
    <x v="1"/>
    <x v="1"/>
    <n v="0.01"/>
    <n v="0.02"/>
    <n v="0"/>
    <n v="0.01"/>
  </r>
  <r>
    <x v="6"/>
    <x v="9"/>
    <x v="32"/>
    <x v="1"/>
    <x v="0"/>
    <x v="0"/>
    <n v="3.85"/>
    <n v="8.1"/>
    <n v="2.27"/>
    <n v="3.62"/>
  </r>
  <r>
    <x v="6"/>
    <x v="9"/>
    <x v="32"/>
    <x v="1"/>
    <x v="0"/>
    <x v="1"/>
    <n v="0.33"/>
    <n v="0.7"/>
    <n v="0.02"/>
    <n v="0.31"/>
  </r>
  <r>
    <x v="6"/>
    <x v="9"/>
    <x v="32"/>
    <x v="1"/>
    <x v="2"/>
    <x v="0"/>
    <n v="0.82"/>
    <n v="1.73"/>
    <n v="0.01"/>
    <n v="0.74"/>
  </r>
  <r>
    <x v="6"/>
    <x v="9"/>
    <x v="32"/>
    <x v="1"/>
    <x v="2"/>
    <x v="1"/>
    <n v="1.35"/>
    <n v="2.85"/>
    <n v="0.01"/>
    <n v="1.25"/>
  </r>
  <r>
    <x v="6"/>
    <x v="9"/>
    <x v="32"/>
    <x v="3"/>
    <x v="4"/>
    <x v="0"/>
    <n v="2"/>
    <n v="4.21"/>
    <n v="0.41"/>
    <n v="1.86"/>
  </r>
  <r>
    <x v="6"/>
    <x v="9"/>
    <x v="32"/>
    <x v="4"/>
    <x v="4"/>
    <x v="0"/>
    <n v="19.84"/>
    <n v="41.75"/>
    <n v="2.46"/>
    <n v="18.3"/>
  </r>
  <r>
    <x v="6"/>
    <x v="9"/>
    <x v="32"/>
    <x v="4"/>
    <x v="1"/>
    <x v="0"/>
    <n v="3.25"/>
    <n v="6.84"/>
    <n v="0.2"/>
    <n v="3"/>
  </r>
  <r>
    <x v="6"/>
    <x v="9"/>
    <x v="32"/>
    <x v="4"/>
    <x v="2"/>
    <x v="0"/>
    <n v="0.21"/>
    <n v="0.44"/>
    <n v="0"/>
    <n v="0.19"/>
  </r>
  <r>
    <x v="6"/>
    <x v="9"/>
    <x v="32"/>
    <x v="0"/>
    <x v="0"/>
    <x v="0"/>
    <n v="2.72"/>
    <n v="5.72"/>
    <n v="1.69"/>
    <n v="2.4700000000000002"/>
  </r>
  <r>
    <x v="6"/>
    <x v="9"/>
    <x v="32"/>
    <x v="0"/>
    <x v="2"/>
    <x v="0"/>
    <n v="0.03"/>
    <n v="0.05"/>
    <n v="0"/>
    <n v="0.02"/>
  </r>
  <r>
    <x v="6"/>
    <x v="9"/>
    <x v="32"/>
    <x v="1"/>
    <x v="4"/>
    <x v="0"/>
    <n v="60.46"/>
    <n v="127.21"/>
    <n v="16.61"/>
    <n v="55.97"/>
  </r>
  <r>
    <x v="6"/>
    <x v="9"/>
    <x v="32"/>
    <x v="1"/>
    <x v="1"/>
    <x v="0"/>
    <n v="9.36"/>
    <n v="19.690000000000001"/>
    <n v="0.93"/>
    <n v="8.6300000000000008"/>
  </r>
  <r>
    <x v="6"/>
    <x v="9"/>
    <x v="32"/>
    <x v="0"/>
    <x v="0"/>
    <x v="1"/>
    <n v="0.65"/>
    <n v="1.36"/>
    <n v="0.02"/>
    <n v="0.6"/>
  </r>
  <r>
    <x v="6"/>
    <x v="9"/>
    <x v="32"/>
    <x v="1"/>
    <x v="1"/>
    <x v="1"/>
    <n v="0.36"/>
    <n v="0.76"/>
    <n v="0"/>
    <n v="0.34"/>
  </r>
  <r>
    <x v="6"/>
    <x v="0"/>
    <x v="33"/>
    <x v="0"/>
    <x v="4"/>
    <x v="0"/>
    <n v="16.13"/>
    <n v="16.13"/>
    <n v="3.63"/>
    <n v="15.22"/>
  </r>
  <r>
    <x v="6"/>
    <x v="0"/>
    <x v="33"/>
    <x v="2"/>
    <x v="4"/>
    <x v="0"/>
    <n v="13.34"/>
    <n v="13.34"/>
    <n v="2.66"/>
    <n v="13.1"/>
  </r>
  <r>
    <x v="6"/>
    <x v="0"/>
    <x v="33"/>
    <x v="2"/>
    <x v="0"/>
    <x v="0"/>
    <n v="7.03"/>
    <n v="7.03"/>
    <n v="7.09"/>
    <n v="6.6"/>
  </r>
  <r>
    <x v="6"/>
    <x v="0"/>
    <x v="33"/>
    <x v="1"/>
    <x v="2"/>
    <x v="0"/>
    <n v="2.2999999999999998"/>
    <n v="2.2999999999999998"/>
    <n v="0.03"/>
    <n v="2.17"/>
  </r>
  <r>
    <x v="6"/>
    <x v="0"/>
    <x v="33"/>
    <x v="1"/>
    <x v="1"/>
    <x v="0"/>
    <n v="16.37"/>
    <n v="16.37"/>
    <n v="1.72"/>
    <n v="15.4"/>
  </r>
  <r>
    <x v="6"/>
    <x v="0"/>
    <x v="33"/>
    <x v="1"/>
    <x v="0"/>
    <x v="0"/>
    <n v="7.69"/>
    <n v="7.69"/>
    <n v="5.32"/>
    <n v="7.42"/>
  </r>
  <r>
    <x v="6"/>
    <x v="0"/>
    <x v="33"/>
    <x v="0"/>
    <x v="0"/>
    <x v="0"/>
    <n v="7.46"/>
    <n v="7.46"/>
    <n v="6.28"/>
    <n v="6.92"/>
  </r>
  <r>
    <x v="6"/>
    <x v="0"/>
    <x v="33"/>
    <x v="4"/>
    <x v="3"/>
    <x v="0"/>
    <n v="1.02"/>
    <n v="1.02"/>
    <n v="0.01"/>
    <n v="0.93"/>
  </r>
  <r>
    <x v="6"/>
    <x v="0"/>
    <x v="33"/>
    <x v="4"/>
    <x v="2"/>
    <x v="0"/>
    <n v="0.76"/>
    <n v="0.76"/>
    <n v="0.01"/>
    <n v="0.69"/>
  </r>
  <r>
    <x v="6"/>
    <x v="0"/>
    <x v="33"/>
    <x v="4"/>
    <x v="1"/>
    <x v="0"/>
    <n v="9.2799999999999994"/>
    <n v="9.2799999999999994"/>
    <n v="0.51"/>
    <n v="8.61"/>
  </r>
  <r>
    <x v="6"/>
    <x v="0"/>
    <x v="33"/>
    <x v="4"/>
    <x v="4"/>
    <x v="0"/>
    <n v="38.090000000000003"/>
    <n v="38.090000000000003"/>
    <n v="7.26"/>
    <n v="36.340000000000003"/>
  </r>
  <r>
    <x v="6"/>
    <x v="0"/>
    <x v="33"/>
    <x v="3"/>
    <x v="4"/>
    <x v="0"/>
    <n v="5.71"/>
    <n v="5.71"/>
    <n v="1.35"/>
    <n v="5.44"/>
  </r>
  <r>
    <x v="6"/>
    <x v="0"/>
    <x v="33"/>
    <x v="3"/>
    <x v="0"/>
    <x v="0"/>
    <n v="0.78"/>
    <n v="0.78"/>
    <n v="0.52"/>
    <n v="0.78"/>
  </r>
  <r>
    <x v="6"/>
    <x v="0"/>
    <x v="33"/>
    <x v="1"/>
    <x v="2"/>
    <x v="1"/>
    <n v="33.64"/>
    <n v="33.64"/>
    <n v="0.08"/>
    <n v="32.090000000000003"/>
  </r>
  <r>
    <x v="6"/>
    <x v="0"/>
    <x v="33"/>
    <x v="2"/>
    <x v="1"/>
    <x v="2"/>
    <n v="0.16"/>
    <n v="0.16"/>
    <n v="0"/>
    <n v="0.15"/>
  </r>
  <r>
    <x v="6"/>
    <x v="0"/>
    <x v="33"/>
    <x v="1"/>
    <x v="4"/>
    <x v="0"/>
    <n v="93.57"/>
    <n v="93.57"/>
    <n v="24.31"/>
    <n v="90.18"/>
  </r>
  <r>
    <x v="6"/>
    <x v="0"/>
    <x v="33"/>
    <x v="1"/>
    <x v="1"/>
    <x v="1"/>
    <n v="8.1"/>
    <n v="8.1"/>
    <n v="0.15"/>
    <n v="7.66"/>
  </r>
  <r>
    <x v="6"/>
    <x v="0"/>
    <x v="33"/>
    <x v="4"/>
    <x v="1"/>
    <x v="2"/>
    <n v="0.39"/>
    <n v="0.39"/>
    <n v="0.01"/>
    <n v="0.37"/>
  </r>
  <r>
    <x v="6"/>
    <x v="0"/>
    <x v="33"/>
    <x v="4"/>
    <x v="2"/>
    <x v="2"/>
    <n v="0.23"/>
    <n v="0.23"/>
    <n v="0"/>
    <n v="0.22"/>
  </r>
  <r>
    <x v="6"/>
    <x v="0"/>
    <x v="33"/>
    <x v="1"/>
    <x v="4"/>
    <x v="2"/>
    <n v="0.31"/>
    <n v="0.31"/>
    <n v="0.02"/>
    <n v="0.28999999999999998"/>
  </r>
  <r>
    <x v="6"/>
    <x v="0"/>
    <x v="33"/>
    <x v="4"/>
    <x v="4"/>
    <x v="2"/>
    <n v="0.41"/>
    <n v="0.41"/>
    <n v="0.02"/>
    <n v="0.39"/>
  </r>
  <r>
    <x v="6"/>
    <x v="0"/>
    <x v="33"/>
    <x v="2"/>
    <x v="3"/>
    <x v="2"/>
    <n v="2.72"/>
    <n v="2.72"/>
    <n v="0.01"/>
    <n v="2.64"/>
  </r>
  <r>
    <x v="6"/>
    <x v="0"/>
    <x v="33"/>
    <x v="2"/>
    <x v="3"/>
    <x v="3"/>
    <n v="5.45"/>
    <n v="5.45"/>
    <n v="0"/>
    <n v="5.32"/>
  </r>
  <r>
    <x v="6"/>
    <x v="0"/>
    <x v="33"/>
    <x v="4"/>
    <x v="0"/>
    <x v="1"/>
    <n v="0.15"/>
    <n v="0.15"/>
    <n v="0.01"/>
    <n v="0.14000000000000001"/>
  </r>
  <r>
    <x v="6"/>
    <x v="0"/>
    <x v="33"/>
    <x v="4"/>
    <x v="4"/>
    <x v="1"/>
    <n v="0.63"/>
    <n v="0.63"/>
    <n v="7.0000000000000007E-2"/>
    <n v="0.6"/>
  </r>
  <r>
    <x v="6"/>
    <x v="0"/>
    <x v="33"/>
    <x v="4"/>
    <x v="1"/>
    <x v="1"/>
    <n v="0.14000000000000001"/>
    <n v="0.14000000000000001"/>
    <n v="0.01"/>
    <n v="0.13"/>
  </r>
  <r>
    <x v="6"/>
    <x v="0"/>
    <x v="33"/>
    <x v="0"/>
    <x v="0"/>
    <x v="1"/>
    <n v="5.92"/>
    <n v="5.92"/>
    <n v="0.16"/>
    <n v="5.65"/>
  </r>
  <r>
    <x v="6"/>
    <x v="0"/>
    <x v="33"/>
    <x v="1"/>
    <x v="0"/>
    <x v="1"/>
    <n v="4.83"/>
    <n v="4.83"/>
    <n v="0.23"/>
    <n v="4.6100000000000003"/>
  </r>
  <r>
    <x v="6"/>
    <x v="0"/>
    <x v="33"/>
    <x v="1"/>
    <x v="4"/>
    <x v="1"/>
    <n v="0.65"/>
    <n v="0.65"/>
    <n v="0.03"/>
    <n v="0.6"/>
  </r>
  <r>
    <x v="6"/>
    <x v="7"/>
    <x v="34"/>
    <x v="4"/>
    <x v="2"/>
    <x v="2"/>
    <n v="1.05"/>
    <n v="1.1499999999999999"/>
    <n v="0.01"/>
    <n v="0.91"/>
  </r>
  <r>
    <x v="6"/>
    <x v="7"/>
    <x v="34"/>
    <x v="1"/>
    <x v="1"/>
    <x v="0"/>
    <n v="48.35"/>
    <n v="53.19"/>
    <n v="3.16"/>
    <n v="45.51"/>
  </r>
  <r>
    <x v="6"/>
    <x v="7"/>
    <x v="34"/>
    <x v="4"/>
    <x v="4"/>
    <x v="2"/>
    <n v="1.53"/>
    <n v="1.68"/>
    <n v="0.05"/>
    <n v="1.36"/>
  </r>
  <r>
    <x v="6"/>
    <x v="7"/>
    <x v="34"/>
    <x v="2"/>
    <x v="3"/>
    <x v="0"/>
    <n v="0.2"/>
    <n v="0.22"/>
    <n v="0"/>
    <n v="0.2"/>
  </r>
  <r>
    <x v="6"/>
    <x v="7"/>
    <x v="34"/>
    <x v="2"/>
    <x v="4"/>
    <x v="0"/>
    <n v="5.23"/>
    <n v="5.76"/>
    <n v="1.58"/>
    <n v="5.04"/>
  </r>
  <r>
    <x v="6"/>
    <x v="7"/>
    <x v="34"/>
    <x v="2"/>
    <x v="0"/>
    <x v="0"/>
    <n v="6.34"/>
    <n v="6.97"/>
    <n v="6.45"/>
    <n v="6.03"/>
  </r>
  <r>
    <x v="6"/>
    <x v="7"/>
    <x v="34"/>
    <x v="1"/>
    <x v="2"/>
    <x v="0"/>
    <n v="9.06"/>
    <n v="9.9700000000000006"/>
    <n v="0.12"/>
    <n v="8.6199999999999992"/>
  </r>
  <r>
    <x v="6"/>
    <x v="7"/>
    <x v="34"/>
    <x v="4"/>
    <x v="1"/>
    <x v="2"/>
    <n v="1.22"/>
    <n v="1.35"/>
    <n v="0.02"/>
    <n v="1.06"/>
  </r>
  <r>
    <x v="6"/>
    <x v="7"/>
    <x v="34"/>
    <x v="1"/>
    <x v="4"/>
    <x v="0"/>
    <n v="204.05"/>
    <n v="224.5"/>
    <n v="41.05"/>
    <n v="193.12"/>
  </r>
  <r>
    <x v="6"/>
    <x v="7"/>
    <x v="34"/>
    <x v="1"/>
    <x v="0"/>
    <x v="0"/>
    <n v="8.4600000000000009"/>
    <n v="9.31"/>
    <n v="6.08"/>
    <n v="7.96"/>
  </r>
  <r>
    <x v="6"/>
    <x v="7"/>
    <x v="34"/>
    <x v="0"/>
    <x v="2"/>
    <x v="0"/>
    <n v="0.15"/>
    <n v="0.17"/>
    <n v="0"/>
    <n v="0.15"/>
  </r>
  <r>
    <x v="6"/>
    <x v="7"/>
    <x v="34"/>
    <x v="0"/>
    <x v="4"/>
    <x v="0"/>
    <n v="18.8"/>
    <n v="20.69"/>
    <n v="6.54"/>
    <n v="17.829999999999998"/>
  </r>
  <r>
    <x v="6"/>
    <x v="7"/>
    <x v="34"/>
    <x v="0"/>
    <x v="0"/>
    <x v="0"/>
    <n v="9.77"/>
    <n v="10.74"/>
    <n v="6.07"/>
    <n v="8.83"/>
  </r>
  <r>
    <x v="6"/>
    <x v="7"/>
    <x v="34"/>
    <x v="4"/>
    <x v="3"/>
    <x v="0"/>
    <n v="0.42"/>
    <n v="0.46"/>
    <n v="0"/>
    <n v="0.38"/>
  </r>
  <r>
    <x v="6"/>
    <x v="7"/>
    <x v="34"/>
    <x v="4"/>
    <x v="1"/>
    <x v="0"/>
    <n v="24.17"/>
    <n v="26.6"/>
    <n v="1.78"/>
    <n v="22.44"/>
  </r>
  <r>
    <x v="6"/>
    <x v="7"/>
    <x v="34"/>
    <x v="1"/>
    <x v="4"/>
    <x v="2"/>
    <n v="0.27"/>
    <n v="0.3"/>
    <n v="7.0000000000000007E-2"/>
    <n v="0.24"/>
  </r>
  <r>
    <x v="6"/>
    <x v="7"/>
    <x v="34"/>
    <x v="4"/>
    <x v="1"/>
    <x v="1"/>
    <n v="0.1"/>
    <n v="0.11"/>
    <n v="0"/>
    <n v="0.09"/>
  </r>
  <r>
    <x v="6"/>
    <x v="7"/>
    <x v="34"/>
    <x v="4"/>
    <x v="2"/>
    <x v="0"/>
    <n v="1.71"/>
    <n v="1.88"/>
    <n v="0"/>
    <n v="1.57"/>
  </r>
  <r>
    <x v="6"/>
    <x v="7"/>
    <x v="34"/>
    <x v="1"/>
    <x v="4"/>
    <x v="1"/>
    <n v="1.17"/>
    <n v="1.28"/>
    <n v="0.05"/>
    <n v="1.08"/>
  </r>
  <r>
    <x v="6"/>
    <x v="7"/>
    <x v="34"/>
    <x v="4"/>
    <x v="4"/>
    <x v="0"/>
    <n v="95.36"/>
    <n v="104.92"/>
    <n v="17.100000000000001"/>
    <n v="90.05"/>
  </r>
  <r>
    <x v="6"/>
    <x v="7"/>
    <x v="34"/>
    <x v="3"/>
    <x v="4"/>
    <x v="0"/>
    <n v="13.52"/>
    <n v="14.88"/>
    <n v="3.37"/>
    <n v="12.69"/>
  </r>
  <r>
    <x v="6"/>
    <x v="7"/>
    <x v="34"/>
    <x v="3"/>
    <x v="0"/>
    <x v="0"/>
    <n v="1.46"/>
    <n v="1.61"/>
    <n v="0.3"/>
    <n v="1.34"/>
  </r>
  <r>
    <x v="6"/>
    <x v="7"/>
    <x v="34"/>
    <x v="2"/>
    <x v="3"/>
    <x v="3"/>
    <n v="7.81"/>
    <n v="8.6"/>
    <n v="0.02"/>
    <n v="7.81"/>
  </r>
  <r>
    <x v="6"/>
    <x v="7"/>
    <x v="34"/>
    <x v="1"/>
    <x v="1"/>
    <x v="1"/>
    <n v="5.07"/>
    <n v="5.58"/>
    <n v="0.05"/>
    <n v="4.7"/>
  </r>
  <r>
    <x v="6"/>
    <x v="7"/>
    <x v="34"/>
    <x v="2"/>
    <x v="3"/>
    <x v="2"/>
    <n v="6.46"/>
    <n v="7.11"/>
    <n v="0.04"/>
    <n v="5.82"/>
  </r>
  <r>
    <x v="6"/>
    <x v="7"/>
    <x v="34"/>
    <x v="1"/>
    <x v="0"/>
    <x v="1"/>
    <n v="3.82"/>
    <n v="4.2"/>
    <n v="0.17"/>
    <n v="3.53"/>
  </r>
  <r>
    <x v="6"/>
    <x v="7"/>
    <x v="34"/>
    <x v="0"/>
    <x v="1"/>
    <x v="1"/>
    <n v="1.31"/>
    <n v="1.44"/>
    <n v="0.01"/>
    <n v="1.27"/>
  </r>
  <r>
    <x v="6"/>
    <x v="7"/>
    <x v="34"/>
    <x v="0"/>
    <x v="0"/>
    <x v="1"/>
    <n v="8.7899999999999991"/>
    <n v="9.67"/>
    <n v="0.24"/>
    <n v="8.1199999999999992"/>
  </r>
  <r>
    <x v="6"/>
    <x v="7"/>
    <x v="34"/>
    <x v="4"/>
    <x v="4"/>
    <x v="1"/>
    <n v="0.32"/>
    <n v="0.35"/>
    <n v="0.01"/>
    <n v="0.3"/>
  </r>
  <r>
    <x v="6"/>
    <x v="7"/>
    <x v="34"/>
    <x v="1"/>
    <x v="2"/>
    <x v="1"/>
    <n v="18.2"/>
    <n v="20.02"/>
    <n v="0.09"/>
    <n v="16.84"/>
  </r>
  <r>
    <x v="6"/>
    <x v="10"/>
    <x v="35"/>
    <x v="2"/>
    <x v="3"/>
    <x v="2"/>
    <n v="2.12"/>
    <n v="2.33"/>
    <n v="0.01"/>
    <n v="1.91"/>
  </r>
  <r>
    <x v="6"/>
    <x v="10"/>
    <x v="35"/>
    <x v="2"/>
    <x v="0"/>
    <x v="0"/>
    <n v="2.08"/>
    <n v="2.29"/>
    <n v="2.12"/>
    <n v="1.98"/>
  </r>
  <r>
    <x v="6"/>
    <x v="10"/>
    <x v="35"/>
    <x v="1"/>
    <x v="2"/>
    <x v="0"/>
    <n v="2.97"/>
    <n v="3.27"/>
    <n v="0.04"/>
    <n v="2.83"/>
  </r>
  <r>
    <x v="6"/>
    <x v="10"/>
    <x v="35"/>
    <x v="1"/>
    <x v="1"/>
    <x v="0"/>
    <n v="15.87"/>
    <n v="17.47"/>
    <n v="1.04"/>
    <n v="14.94"/>
  </r>
  <r>
    <x v="6"/>
    <x v="10"/>
    <x v="35"/>
    <x v="4"/>
    <x v="4"/>
    <x v="2"/>
    <n v="0.5"/>
    <n v="0.55000000000000004"/>
    <n v="0.02"/>
    <n v="0.45"/>
  </r>
  <r>
    <x v="6"/>
    <x v="10"/>
    <x v="35"/>
    <x v="4"/>
    <x v="1"/>
    <x v="2"/>
    <n v="0.4"/>
    <n v="0.44"/>
    <n v="0.01"/>
    <n v="0.35"/>
  </r>
  <r>
    <x v="6"/>
    <x v="10"/>
    <x v="35"/>
    <x v="1"/>
    <x v="4"/>
    <x v="2"/>
    <n v="0.09"/>
    <n v="0.1"/>
    <n v="0.02"/>
    <n v="0.08"/>
  </r>
  <r>
    <x v="6"/>
    <x v="10"/>
    <x v="35"/>
    <x v="1"/>
    <x v="4"/>
    <x v="1"/>
    <n v="0.38"/>
    <n v="0.42"/>
    <n v="0.02"/>
    <n v="0.35"/>
  </r>
  <r>
    <x v="6"/>
    <x v="10"/>
    <x v="35"/>
    <x v="2"/>
    <x v="3"/>
    <x v="3"/>
    <n v="2.57"/>
    <n v="2.82"/>
    <n v="0.01"/>
    <n v="2.57"/>
  </r>
  <r>
    <x v="6"/>
    <x v="10"/>
    <x v="35"/>
    <x v="4"/>
    <x v="4"/>
    <x v="1"/>
    <n v="0.11"/>
    <n v="0.12"/>
    <n v="0"/>
    <n v="0.1"/>
  </r>
  <r>
    <x v="6"/>
    <x v="10"/>
    <x v="35"/>
    <x v="4"/>
    <x v="1"/>
    <x v="1"/>
    <n v="0.03"/>
    <n v="0.04"/>
    <n v="0"/>
    <n v="0.03"/>
  </r>
  <r>
    <x v="6"/>
    <x v="10"/>
    <x v="35"/>
    <x v="0"/>
    <x v="0"/>
    <x v="1"/>
    <n v="2.89"/>
    <n v="3.18"/>
    <n v="0.08"/>
    <n v="2.67"/>
  </r>
  <r>
    <x v="6"/>
    <x v="10"/>
    <x v="35"/>
    <x v="0"/>
    <x v="1"/>
    <x v="1"/>
    <n v="0.43"/>
    <n v="0.47"/>
    <n v="0"/>
    <n v="0.42"/>
  </r>
  <r>
    <x v="6"/>
    <x v="10"/>
    <x v="35"/>
    <x v="1"/>
    <x v="0"/>
    <x v="1"/>
    <n v="1.25"/>
    <n v="1.38"/>
    <n v="0.06"/>
    <n v="1.1599999999999999"/>
  </r>
  <r>
    <x v="6"/>
    <x v="10"/>
    <x v="35"/>
    <x v="4"/>
    <x v="2"/>
    <x v="2"/>
    <n v="0.34"/>
    <n v="0.38"/>
    <n v="0"/>
    <n v="0.3"/>
  </r>
  <r>
    <x v="6"/>
    <x v="10"/>
    <x v="35"/>
    <x v="4"/>
    <x v="3"/>
    <x v="0"/>
    <n v="0.14000000000000001"/>
    <n v="0.15"/>
    <n v="0"/>
    <n v="0.13"/>
  </r>
  <r>
    <x v="6"/>
    <x v="10"/>
    <x v="35"/>
    <x v="4"/>
    <x v="4"/>
    <x v="0"/>
    <n v="31.31"/>
    <n v="34.450000000000003"/>
    <n v="5.61"/>
    <n v="29.57"/>
  </r>
  <r>
    <x v="6"/>
    <x v="10"/>
    <x v="35"/>
    <x v="3"/>
    <x v="4"/>
    <x v="0"/>
    <n v="4.4400000000000004"/>
    <n v="4.8899999999999997"/>
    <n v="1.1100000000000001"/>
    <n v="4.17"/>
  </r>
  <r>
    <x v="6"/>
    <x v="10"/>
    <x v="35"/>
    <x v="3"/>
    <x v="0"/>
    <x v="0"/>
    <n v="0.48"/>
    <n v="0.53"/>
    <n v="0.1"/>
    <n v="0.44"/>
  </r>
  <r>
    <x v="6"/>
    <x v="10"/>
    <x v="35"/>
    <x v="1"/>
    <x v="2"/>
    <x v="1"/>
    <n v="5.97"/>
    <n v="6.57"/>
    <n v="0.03"/>
    <n v="5.53"/>
  </r>
  <r>
    <x v="6"/>
    <x v="10"/>
    <x v="35"/>
    <x v="1"/>
    <x v="1"/>
    <x v="1"/>
    <n v="1.67"/>
    <n v="1.83"/>
    <n v="0.02"/>
    <n v="1.54"/>
  </r>
  <r>
    <x v="6"/>
    <x v="10"/>
    <x v="35"/>
    <x v="2"/>
    <x v="4"/>
    <x v="0"/>
    <n v="1.72"/>
    <n v="1.89"/>
    <n v="0.52"/>
    <n v="1.66"/>
  </r>
  <r>
    <x v="6"/>
    <x v="10"/>
    <x v="35"/>
    <x v="4"/>
    <x v="2"/>
    <x v="0"/>
    <n v="0.56000000000000005"/>
    <n v="0.62"/>
    <n v="0"/>
    <n v="0.52"/>
  </r>
  <r>
    <x v="6"/>
    <x v="10"/>
    <x v="35"/>
    <x v="2"/>
    <x v="3"/>
    <x v="0"/>
    <n v="7.0000000000000007E-2"/>
    <n v="7.0000000000000007E-2"/>
    <n v="0"/>
    <n v="7.0000000000000007E-2"/>
  </r>
  <r>
    <x v="6"/>
    <x v="10"/>
    <x v="35"/>
    <x v="0"/>
    <x v="0"/>
    <x v="0"/>
    <n v="3.21"/>
    <n v="3.53"/>
    <n v="1.99"/>
    <n v="2.9"/>
  </r>
  <r>
    <x v="6"/>
    <x v="10"/>
    <x v="35"/>
    <x v="0"/>
    <x v="4"/>
    <x v="0"/>
    <n v="6.17"/>
    <n v="6.79"/>
    <n v="2.15"/>
    <n v="5.85"/>
  </r>
  <r>
    <x v="6"/>
    <x v="10"/>
    <x v="35"/>
    <x v="0"/>
    <x v="2"/>
    <x v="0"/>
    <n v="0.05"/>
    <n v="0.05"/>
    <n v="0"/>
    <n v="0.05"/>
  </r>
  <r>
    <x v="6"/>
    <x v="10"/>
    <x v="35"/>
    <x v="1"/>
    <x v="0"/>
    <x v="0"/>
    <n v="2.78"/>
    <n v="3.06"/>
    <n v="2"/>
    <n v="2.61"/>
  </r>
  <r>
    <x v="6"/>
    <x v="10"/>
    <x v="35"/>
    <x v="4"/>
    <x v="1"/>
    <x v="0"/>
    <n v="7.94"/>
    <n v="8.73"/>
    <n v="0.57999999999999996"/>
    <n v="7.37"/>
  </r>
  <r>
    <x v="6"/>
    <x v="10"/>
    <x v="35"/>
    <x v="1"/>
    <x v="4"/>
    <x v="0"/>
    <n v="67"/>
    <n v="73.72"/>
    <n v="13.48"/>
    <n v="63.41"/>
  </r>
  <r>
    <x v="6"/>
    <x v="2"/>
    <x v="36"/>
    <x v="1"/>
    <x v="2"/>
    <x v="0"/>
    <n v="0.28000000000000003"/>
    <n v="0.33"/>
    <n v="0"/>
    <n v="0.25"/>
  </r>
  <r>
    <x v="6"/>
    <x v="2"/>
    <x v="36"/>
    <x v="2"/>
    <x v="3"/>
    <x v="2"/>
    <n v="1.1399999999999999"/>
    <n v="1.37"/>
    <n v="0"/>
    <n v="1.06"/>
  </r>
  <r>
    <x v="6"/>
    <x v="2"/>
    <x v="36"/>
    <x v="1"/>
    <x v="0"/>
    <x v="1"/>
    <n v="0.46"/>
    <n v="0.55000000000000004"/>
    <n v="0.02"/>
    <n v="0.43"/>
  </r>
  <r>
    <x v="6"/>
    <x v="2"/>
    <x v="36"/>
    <x v="0"/>
    <x v="1"/>
    <x v="1"/>
    <n v="0"/>
    <n v="0"/>
    <n v="0"/>
    <n v="0"/>
  </r>
  <r>
    <x v="6"/>
    <x v="2"/>
    <x v="36"/>
    <x v="0"/>
    <x v="0"/>
    <x v="1"/>
    <n v="0.79"/>
    <n v="0.94"/>
    <n v="0.02"/>
    <n v="0.71"/>
  </r>
  <r>
    <x v="6"/>
    <x v="2"/>
    <x v="36"/>
    <x v="4"/>
    <x v="1"/>
    <x v="1"/>
    <n v="0.01"/>
    <n v="0.01"/>
    <n v="0"/>
    <n v="0.01"/>
  </r>
  <r>
    <x v="6"/>
    <x v="2"/>
    <x v="36"/>
    <x v="4"/>
    <x v="4"/>
    <x v="1"/>
    <n v="0.03"/>
    <n v="0.03"/>
    <n v="0"/>
    <n v="0.02"/>
  </r>
  <r>
    <x v="6"/>
    <x v="2"/>
    <x v="36"/>
    <x v="4"/>
    <x v="0"/>
    <x v="1"/>
    <n v="0.01"/>
    <n v="0.02"/>
    <n v="0"/>
    <n v="0.01"/>
  </r>
  <r>
    <x v="6"/>
    <x v="2"/>
    <x v="36"/>
    <x v="2"/>
    <x v="4"/>
    <x v="0"/>
    <n v="0.53"/>
    <n v="0.64"/>
    <n v="0.09"/>
    <n v="0.5"/>
  </r>
  <r>
    <x v="6"/>
    <x v="2"/>
    <x v="36"/>
    <x v="2"/>
    <x v="1"/>
    <x v="3"/>
    <n v="0.01"/>
    <n v="0.01"/>
    <n v="0"/>
    <n v="0.01"/>
  </r>
  <r>
    <x v="6"/>
    <x v="2"/>
    <x v="36"/>
    <x v="1"/>
    <x v="2"/>
    <x v="1"/>
    <n v="1.75"/>
    <n v="2.1"/>
    <n v="0.01"/>
    <n v="1.59"/>
  </r>
  <r>
    <x v="6"/>
    <x v="2"/>
    <x v="36"/>
    <x v="1"/>
    <x v="2"/>
    <x v="2"/>
    <n v="0.01"/>
    <n v="0.01"/>
    <n v="0"/>
    <n v="0.01"/>
  </r>
  <r>
    <x v="6"/>
    <x v="2"/>
    <x v="36"/>
    <x v="1"/>
    <x v="1"/>
    <x v="2"/>
    <n v="0"/>
    <n v="0"/>
    <n v="0"/>
    <n v="0"/>
  </r>
  <r>
    <x v="6"/>
    <x v="2"/>
    <x v="36"/>
    <x v="1"/>
    <x v="4"/>
    <x v="2"/>
    <n v="0.28000000000000003"/>
    <n v="0.33"/>
    <n v="0.01"/>
    <n v="0.24"/>
  </r>
  <r>
    <x v="6"/>
    <x v="2"/>
    <x v="36"/>
    <x v="4"/>
    <x v="2"/>
    <x v="2"/>
    <n v="0.27"/>
    <n v="0.33"/>
    <n v="0"/>
    <n v="0.24"/>
  </r>
  <r>
    <x v="6"/>
    <x v="2"/>
    <x v="36"/>
    <x v="4"/>
    <x v="1"/>
    <x v="2"/>
    <n v="0.18"/>
    <n v="0.21"/>
    <n v="0"/>
    <n v="0.15"/>
  </r>
  <r>
    <x v="6"/>
    <x v="2"/>
    <x v="36"/>
    <x v="4"/>
    <x v="4"/>
    <x v="2"/>
    <n v="0.3"/>
    <n v="0.37"/>
    <n v="0"/>
    <n v="0.27"/>
  </r>
  <r>
    <x v="6"/>
    <x v="2"/>
    <x v="36"/>
    <x v="2"/>
    <x v="3"/>
    <x v="3"/>
    <n v="4.76"/>
    <n v="5.71"/>
    <n v="0"/>
    <n v="4.7300000000000004"/>
  </r>
  <r>
    <x v="6"/>
    <x v="2"/>
    <x v="36"/>
    <x v="4"/>
    <x v="2"/>
    <x v="0"/>
    <n v="0.05"/>
    <n v="0.06"/>
    <n v="0"/>
    <n v="0.05"/>
  </r>
  <r>
    <x v="6"/>
    <x v="2"/>
    <x v="36"/>
    <x v="1"/>
    <x v="1"/>
    <x v="0"/>
    <n v="4.72"/>
    <n v="5.66"/>
    <n v="0.27"/>
    <n v="4.3899999999999997"/>
  </r>
  <r>
    <x v="6"/>
    <x v="2"/>
    <x v="36"/>
    <x v="1"/>
    <x v="4"/>
    <x v="0"/>
    <n v="24.6"/>
    <n v="29.53"/>
    <n v="4.09"/>
    <n v="22.91"/>
  </r>
  <r>
    <x v="6"/>
    <x v="2"/>
    <x v="36"/>
    <x v="1"/>
    <x v="0"/>
    <x v="0"/>
    <n v="1.49"/>
    <n v="1.78"/>
    <n v="0.73"/>
    <n v="1.41"/>
  </r>
  <r>
    <x v="6"/>
    <x v="2"/>
    <x v="36"/>
    <x v="0"/>
    <x v="2"/>
    <x v="0"/>
    <n v="0.01"/>
    <n v="0.01"/>
    <n v="0"/>
    <n v="0.01"/>
  </r>
  <r>
    <x v="6"/>
    <x v="2"/>
    <x v="36"/>
    <x v="0"/>
    <x v="4"/>
    <x v="0"/>
    <n v="2"/>
    <n v="2.41"/>
    <n v="0.56999999999999995"/>
    <n v="1.88"/>
  </r>
  <r>
    <x v="6"/>
    <x v="2"/>
    <x v="36"/>
    <x v="1"/>
    <x v="4"/>
    <x v="1"/>
    <n v="0.23"/>
    <n v="0.28000000000000003"/>
    <n v="0.01"/>
    <n v="0.22"/>
  </r>
  <r>
    <x v="6"/>
    <x v="2"/>
    <x v="36"/>
    <x v="4"/>
    <x v="3"/>
    <x v="0"/>
    <n v="0.01"/>
    <n v="0.01"/>
    <n v="0"/>
    <n v="0.01"/>
  </r>
  <r>
    <x v="6"/>
    <x v="2"/>
    <x v="36"/>
    <x v="1"/>
    <x v="1"/>
    <x v="1"/>
    <n v="0.57999999999999996"/>
    <n v="0.69"/>
    <n v="0.01"/>
    <n v="0.54"/>
  </r>
  <r>
    <x v="6"/>
    <x v="2"/>
    <x v="36"/>
    <x v="4"/>
    <x v="1"/>
    <x v="0"/>
    <n v="2.56"/>
    <n v="3.07"/>
    <n v="0.15"/>
    <n v="2.36"/>
  </r>
  <r>
    <x v="6"/>
    <x v="2"/>
    <x v="36"/>
    <x v="4"/>
    <x v="4"/>
    <x v="0"/>
    <n v="12.43"/>
    <n v="14.92"/>
    <n v="1.34"/>
    <n v="11.54"/>
  </r>
  <r>
    <x v="6"/>
    <x v="2"/>
    <x v="36"/>
    <x v="3"/>
    <x v="4"/>
    <x v="0"/>
    <n v="1.46"/>
    <n v="1.75"/>
    <n v="0.34"/>
    <n v="1.38"/>
  </r>
  <r>
    <x v="6"/>
    <x v="2"/>
    <x v="36"/>
    <x v="3"/>
    <x v="0"/>
    <x v="0"/>
    <n v="0.22"/>
    <n v="0.26"/>
    <n v="7.0000000000000007E-2"/>
    <n v="0.21"/>
  </r>
  <r>
    <x v="6"/>
    <x v="2"/>
    <x v="36"/>
    <x v="2"/>
    <x v="3"/>
    <x v="1"/>
    <n v="0.02"/>
    <n v="0.03"/>
    <n v="0"/>
    <n v="0.02"/>
  </r>
  <r>
    <x v="6"/>
    <x v="2"/>
    <x v="36"/>
    <x v="1"/>
    <x v="3"/>
    <x v="1"/>
    <n v="0"/>
    <n v="0"/>
    <n v="0"/>
    <n v="0"/>
  </r>
  <r>
    <x v="6"/>
    <x v="2"/>
    <x v="36"/>
    <x v="2"/>
    <x v="0"/>
    <x v="0"/>
    <n v="0.74"/>
    <n v="0.88"/>
    <n v="0.45"/>
    <n v="0.69"/>
  </r>
  <r>
    <x v="6"/>
    <x v="2"/>
    <x v="36"/>
    <x v="0"/>
    <x v="0"/>
    <x v="0"/>
    <n v="0.92"/>
    <n v="1.1000000000000001"/>
    <n v="0.51"/>
    <n v="0.84"/>
  </r>
  <r>
    <x v="6"/>
    <x v="9"/>
    <x v="37"/>
    <x v="1"/>
    <x v="2"/>
    <x v="0"/>
    <n v="2.5499999999999998"/>
    <n v="5.37"/>
    <n v="0.05"/>
    <n v="2.34"/>
  </r>
  <r>
    <x v="6"/>
    <x v="9"/>
    <x v="37"/>
    <x v="4"/>
    <x v="4"/>
    <x v="1"/>
    <n v="0.35"/>
    <n v="0.73"/>
    <n v="0.01"/>
    <n v="0.32"/>
  </r>
  <r>
    <x v="6"/>
    <x v="9"/>
    <x v="37"/>
    <x v="4"/>
    <x v="4"/>
    <x v="0"/>
    <n v="88.69"/>
    <n v="186.63"/>
    <n v="11.35"/>
    <n v="82.62"/>
  </r>
  <r>
    <x v="6"/>
    <x v="9"/>
    <x v="37"/>
    <x v="3"/>
    <x v="4"/>
    <x v="0"/>
    <n v="24.94"/>
    <n v="52.47"/>
    <n v="6.18"/>
    <n v="23.74"/>
  </r>
  <r>
    <x v="6"/>
    <x v="9"/>
    <x v="37"/>
    <x v="3"/>
    <x v="0"/>
    <x v="0"/>
    <n v="0.76"/>
    <n v="1.6"/>
    <n v="0.16"/>
    <n v="0.7"/>
  </r>
  <r>
    <x v="6"/>
    <x v="9"/>
    <x v="37"/>
    <x v="1"/>
    <x v="2"/>
    <x v="1"/>
    <n v="16.89"/>
    <n v="35.53"/>
    <n v="0.08"/>
    <n v="15.62"/>
  </r>
  <r>
    <x v="6"/>
    <x v="9"/>
    <x v="37"/>
    <x v="1"/>
    <x v="1"/>
    <x v="1"/>
    <n v="5.0199999999999996"/>
    <n v="10.57"/>
    <n v="0.05"/>
    <n v="4.6500000000000004"/>
  </r>
  <r>
    <x v="6"/>
    <x v="9"/>
    <x v="37"/>
    <x v="1"/>
    <x v="4"/>
    <x v="1"/>
    <n v="1.47"/>
    <n v="3.09"/>
    <n v="0.05"/>
    <n v="1.34"/>
  </r>
  <r>
    <x v="6"/>
    <x v="9"/>
    <x v="37"/>
    <x v="4"/>
    <x v="1"/>
    <x v="0"/>
    <n v="16.66"/>
    <n v="35.06"/>
    <n v="1.34"/>
    <n v="15.62"/>
  </r>
  <r>
    <x v="6"/>
    <x v="9"/>
    <x v="37"/>
    <x v="0"/>
    <x v="0"/>
    <x v="1"/>
    <n v="8.24"/>
    <n v="17.34"/>
    <n v="0.24"/>
    <n v="7.61"/>
  </r>
  <r>
    <x v="6"/>
    <x v="9"/>
    <x v="37"/>
    <x v="4"/>
    <x v="1"/>
    <x v="1"/>
    <n v="0.08"/>
    <n v="0.16"/>
    <n v="0"/>
    <n v="7.0000000000000007E-2"/>
  </r>
  <r>
    <x v="6"/>
    <x v="9"/>
    <x v="37"/>
    <x v="2"/>
    <x v="4"/>
    <x v="0"/>
    <n v="5.17"/>
    <n v="10.88"/>
    <n v="1.22"/>
    <n v="4.91"/>
  </r>
  <r>
    <x v="6"/>
    <x v="9"/>
    <x v="37"/>
    <x v="2"/>
    <x v="3"/>
    <x v="2"/>
    <n v="0.8"/>
    <n v="1.69"/>
    <n v="0.01"/>
    <n v="0.77"/>
  </r>
  <r>
    <x v="6"/>
    <x v="9"/>
    <x v="37"/>
    <x v="1"/>
    <x v="1"/>
    <x v="2"/>
    <n v="0.09"/>
    <n v="0.19"/>
    <n v="0.01"/>
    <n v="0.08"/>
  </r>
  <r>
    <x v="6"/>
    <x v="9"/>
    <x v="37"/>
    <x v="1"/>
    <x v="4"/>
    <x v="2"/>
    <n v="0.05"/>
    <n v="0.11"/>
    <n v="0.01"/>
    <n v="0.05"/>
  </r>
  <r>
    <x v="6"/>
    <x v="9"/>
    <x v="37"/>
    <x v="4"/>
    <x v="2"/>
    <x v="2"/>
    <n v="0.03"/>
    <n v="7.0000000000000007E-2"/>
    <n v="0"/>
    <n v="0.03"/>
  </r>
  <r>
    <x v="6"/>
    <x v="9"/>
    <x v="37"/>
    <x v="4"/>
    <x v="1"/>
    <x v="2"/>
    <n v="0.03"/>
    <n v="7.0000000000000007E-2"/>
    <n v="0"/>
    <n v="0.03"/>
  </r>
  <r>
    <x v="6"/>
    <x v="9"/>
    <x v="37"/>
    <x v="4"/>
    <x v="4"/>
    <x v="2"/>
    <n v="0.22"/>
    <n v="0.46"/>
    <n v="0.01"/>
    <n v="0.19"/>
  </r>
  <r>
    <x v="6"/>
    <x v="9"/>
    <x v="37"/>
    <x v="1"/>
    <x v="0"/>
    <x v="1"/>
    <n v="3.52"/>
    <n v="7.42"/>
    <n v="0.17"/>
    <n v="3.26"/>
  </r>
  <r>
    <x v="6"/>
    <x v="9"/>
    <x v="37"/>
    <x v="2"/>
    <x v="0"/>
    <x v="0"/>
    <n v="4.7"/>
    <n v="9.8800000000000008"/>
    <n v="3.84"/>
    <n v="4.4800000000000004"/>
  </r>
  <r>
    <x v="6"/>
    <x v="9"/>
    <x v="37"/>
    <x v="0"/>
    <x v="0"/>
    <x v="0"/>
    <n v="7.84"/>
    <n v="16.510000000000002"/>
    <n v="4.8600000000000003"/>
    <n v="7.13"/>
  </r>
  <r>
    <x v="6"/>
    <x v="9"/>
    <x v="37"/>
    <x v="0"/>
    <x v="4"/>
    <x v="0"/>
    <n v="28.41"/>
    <n v="59.78"/>
    <n v="9.65"/>
    <n v="26.43"/>
  </r>
  <r>
    <x v="6"/>
    <x v="9"/>
    <x v="37"/>
    <x v="0"/>
    <x v="2"/>
    <x v="0"/>
    <n v="0.11"/>
    <n v="0.24"/>
    <n v="0"/>
    <n v="0.11"/>
  </r>
  <r>
    <x v="6"/>
    <x v="9"/>
    <x v="37"/>
    <x v="1"/>
    <x v="0"/>
    <x v="0"/>
    <n v="32.270000000000003"/>
    <n v="67.91"/>
    <n v="13.21"/>
    <n v="31.83"/>
  </r>
  <r>
    <x v="6"/>
    <x v="9"/>
    <x v="37"/>
    <x v="1"/>
    <x v="4"/>
    <x v="0"/>
    <n v="225.05"/>
    <n v="473.55"/>
    <n v="47.48"/>
    <n v="212.6"/>
  </r>
  <r>
    <x v="6"/>
    <x v="9"/>
    <x v="37"/>
    <x v="1"/>
    <x v="1"/>
    <x v="0"/>
    <n v="29.59"/>
    <n v="62.27"/>
    <n v="2.14"/>
    <n v="27.63"/>
  </r>
  <r>
    <x v="6"/>
    <x v="9"/>
    <x v="37"/>
    <x v="2"/>
    <x v="3"/>
    <x v="0"/>
    <n v="2.59"/>
    <n v="5.46"/>
    <n v="0.01"/>
    <n v="2.59"/>
  </r>
  <r>
    <x v="6"/>
    <x v="9"/>
    <x v="37"/>
    <x v="2"/>
    <x v="3"/>
    <x v="3"/>
    <n v="3.28"/>
    <n v="6.9"/>
    <n v="0"/>
    <n v="3.28"/>
  </r>
  <r>
    <x v="6"/>
    <x v="9"/>
    <x v="37"/>
    <x v="4"/>
    <x v="2"/>
    <x v="0"/>
    <n v="0.38"/>
    <n v="0.8"/>
    <n v="0"/>
    <n v="0.35"/>
  </r>
  <r>
    <x v="6"/>
    <x v="7"/>
    <x v="38"/>
    <x v="1"/>
    <x v="2"/>
    <x v="0"/>
    <n v="1.49"/>
    <n v="1.49"/>
    <n v="0.02"/>
    <n v="1.41"/>
  </r>
  <r>
    <x v="6"/>
    <x v="7"/>
    <x v="38"/>
    <x v="2"/>
    <x v="0"/>
    <x v="0"/>
    <n v="1.04"/>
    <n v="1.04"/>
    <n v="1.06"/>
    <n v="0.99"/>
  </r>
  <r>
    <x v="6"/>
    <x v="7"/>
    <x v="38"/>
    <x v="2"/>
    <x v="4"/>
    <x v="0"/>
    <n v="0.86"/>
    <n v="0.86"/>
    <n v="0.26"/>
    <n v="0.83"/>
  </r>
  <r>
    <x v="6"/>
    <x v="7"/>
    <x v="38"/>
    <x v="1"/>
    <x v="1"/>
    <x v="0"/>
    <n v="7.94"/>
    <n v="7.94"/>
    <n v="0.52"/>
    <n v="7.47"/>
  </r>
  <r>
    <x v="6"/>
    <x v="7"/>
    <x v="38"/>
    <x v="0"/>
    <x v="0"/>
    <x v="1"/>
    <n v="1.44"/>
    <n v="1.44"/>
    <n v="0.04"/>
    <n v="1.33"/>
  </r>
  <r>
    <x v="6"/>
    <x v="7"/>
    <x v="38"/>
    <x v="2"/>
    <x v="3"/>
    <x v="0"/>
    <n v="0.03"/>
    <n v="0.03"/>
    <n v="0"/>
    <n v="0.03"/>
  </r>
  <r>
    <x v="6"/>
    <x v="7"/>
    <x v="38"/>
    <x v="1"/>
    <x v="4"/>
    <x v="0"/>
    <n v="33.5"/>
    <n v="33.520000000000003"/>
    <n v="6.74"/>
    <n v="31.71"/>
  </r>
  <r>
    <x v="6"/>
    <x v="7"/>
    <x v="38"/>
    <x v="1"/>
    <x v="0"/>
    <x v="0"/>
    <n v="1.39"/>
    <n v="1.39"/>
    <n v="1"/>
    <n v="1.31"/>
  </r>
  <r>
    <x v="6"/>
    <x v="7"/>
    <x v="38"/>
    <x v="4"/>
    <x v="1"/>
    <x v="1"/>
    <n v="0.02"/>
    <n v="0.02"/>
    <n v="0"/>
    <n v="0.02"/>
  </r>
  <r>
    <x v="6"/>
    <x v="7"/>
    <x v="38"/>
    <x v="0"/>
    <x v="4"/>
    <x v="0"/>
    <n v="3.09"/>
    <n v="3.09"/>
    <n v="1.07"/>
    <n v="2.93"/>
  </r>
  <r>
    <x v="6"/>
    <x v="7"/>
    <x v="38"/>
    <x v="4"/>
    <x v="4"/>
    <x v="2"/>
    <n v="0.25"/>
    <n v="0.25"/>
    <n v="0.01"/>
    <n v="0.22"/>
  </r>
  <r>
    <x v="6"/>
    <x v="7"/>
    <x v="38"/>
    <x v="0"/>
    <x v="0"/>
    <x v="0"/>
    <n v="1.6"/>
    <n v="1.6"/>
    <n v="1"/>
    <n v="1.45"/>
  </r>
  <r>
    <x v="6"/>
    <x v="7"/>
    <x v="38"/>
    <x v="4"/>
    <x v="3"/>
    <x v="0"/>
    <n v="7.0000000000000007E-2"/>
    <n v="7.0000000000000007E-2"/>
    <n v="0"/>
    <n v="0.06"/>
  </r>
  <r>
    <x v="6"/>
    <x v="7"/>
    <x v="38"/>
    <x v="4"/>
    <x v="2"/>
    <x v="0"/>
    <n v="0.28000000000000003"/>
    <n v="0.28000000000000003"/>
    <n v="0"/>
    <n v="0.26"/>
  </r>
  <r>
    <x v="6"/>
    <x v="7"/>
    <x v="38"/>
    <x v="0"/>
    <x v="2"/>
    <x v="0"/>
    <n v="0.02"/>
    <n v="0.02"/>
    <n v="0"/>
    <n v="0.02"/>
  </r>
  <r>
    <x v="6"/>
    <x v="7"/>
    <x v="38"/>
    <x v="1"/>
    <x v="2"/>
    <x v="1"/>
    <n v="2.99"/>
    <n v="2.99"/>
    <n v="0.01"/>
    <n v="2.76"/>
  </r>
  <r>
    <x v="6"/>
    <x v="7"/>
    <x v="38"/>
    <x v="4"/>
    <x v="1"/>
    <x v="0"/>
    <n v="3.97"/>
    <n v="3.97"/>
    <n v="0.28999999999999998"/>
    <n v="3.68"/>
  </r>
  <r>
    <x v="6"/>
    <x v="7"/>
    <x v="38"/>
    <x v="4"/>
    <x v="4"/>
    <x v="0"/>
    <n v="15.66"/>
    <n v="15.66"/>
    <n v="2.81"/>
    <n v="14.78"/>
  </r>
  <r>
    <x v="6"/>
    <x v="7"/>
    <x v="38"/>
    <x v="1"/>
    <x v="0"/>
    <x v="1"/>
    <n v="0.63"/>
    <n v="0.63"/>
    <n v="0.03"/>
    <n v="0.57999999999999996"/>
  </r>
  <r>
    <x v="6"/>
    <x v="7"/>
    <x v="38"/>
    <x v="1"/>
    <x v="4"/>
    <x v="1"/>
    <n v="0.19"/>
    <n v="0.19"/>
    <n v="0.01"/>
    <n v="0.18"/>
  </r>
  <r>
    <x v="6"/>
    <x v="7"/>
    <x v="38"/>
    <x v="4"/>
    <x v="2"/>
    <x v="2"/>
    <n v="0.17"/>
    <n v="0.17"/>
    <n v="0"/>
    <n v="0.15"/>
  </r>
  <r>
    <x v="6"/>
    <x v="7"/>
    <x v="38"/>
    <x v="1"/>
    <x v="1"/>
    <x v="1"/>
    <n v="0.83"/>
    <n v="0.83"/>
    <n v="0.01"/>
    <n v="0.77"/>
  </r>
  <r>
    <x v="6"/>
    <x v="7"/>
    <x v="38"/>
    <x v="4"/>
    <x v="4"/>
    <x v="1"/>
    <n v="0.05"/>
    <n v="0.05"/>
    <n v="0"/>
    <n v="0.05"/>
  </r>
  <r>
    <x v="6"/>
    <x v="7"/>
    <x v="38"/>
    <x v="3"/>
    <x v="0"/>
    <x v="0"/>
    <n v="0.24"/>
    <n v="0.24"/>
    <n v="0.05"/>
    <n v="0.22"/>
  </r>
  <r>
    <x v="6"/>
    <x v="7"/>
    <x v="38"/>
    <x v="3"/>
    <x v="4"/>
    <x v="0"/>
    <n v="2.2200000000000002"/>
    <n v="2.2200000000000002"/>
    <n v="0.55000000000000004"/>
    <n v="2.08"/>
  </r>
  <r>
    <x v="6"/>
    <x v="7"/>
    <x v="38"/>
    <x v="4"/>
    <x v="1"/>
    <x v="2"/>
    <n v="0.2"/>
    <n v="0.2"/>
    <n v="0"/>
    <n v="0.17"/>
  </r>
  <r>
    <x v="6"/>
    <x v="7"/>
    <x v="38"/>
    <x v="1"/>
    <x v="4"/>
    <x v="2"/>
    <n v="0.04"/>
    <n v="0.04"/>
    <n v="0.01"/>
    <n v="0.04"/>
  </r>
  <r>
    <x v="6"/>
    <x v="7"/>
    <x v="38"/>
    <x v="2"/>
    <x v="3"/>
    <x v="2"/>
    <n v="1.06"/>
    <n v="1.06"/>
    <n v="0.01"/>
    <n v="0.96"/>
  </r>
  <r>
    <x v="6"/>
    <x v="7"/>
    <x v="38"/>
    <x v="2"/>
    <x v="3"/>
    <x v="3"/>
    <n v="1.28"/>
    <n v="1.28"/>
    <n v="0"/>
    <n v="1.28"/>
  </r>
  <r>
    <x v="6"/>
    <x v="7"/>
    <x v="38"/>
    <x v="0"/>
    <x v="1"/>
    <x v="1"/>
    <n v="0.21"/>
    <n v="0.21"/>
    <n v="0"/>
    <n v="0.21"/>
  </r>
  <r>
    <x v="6"/>
    <x v="1"/>
    <x v="39"/>
    <x v="2"/>
    <x v="4"/>
    <x v="0"/>
    <n v="1.6"/>
    <n v="1.77"/>
    <n v="0.47"/>
    <n v="1.49"/>
  </r>
  <r>
    <x v="6"/>
    <x v="1"/>
    <x v="39"/>
    <x v="0"/>
    <x v="0"/>
    <x v="0"/>
    <n v="0.59"/>
    <n v="0.65"/>
    <n v="0.39"/>
    <n v="0.51"/>
  </r>
  <r>
    <x v="6"/>
    <x v="1"/>
    <x v="39"/>
    <x v="0"/>
    <x v="4"/>
    <x v="0"/>
    <n v="4.38"/>
    <n v="4.83"/>
    <n v="0.46"/>
    <n v="3.9"/>
  </r>
  <r>
    <x v="6"/>
    <x v="1"/>
    <x v="39"/>
    <x v="1"/>
    <x v="0"/>
    <x v="0"/>
    <n v="4.9400000000000004"/>
    <n v="5.45"/>
    <n v="3.11"/>
    <n v="4.57"/>
  </r>
  <r>
    <x v="6"/>
    <x v="1"/>
    <x v="39"/>
    <x v="1"/>
    <x v="4"/>
    <x v="0"/>
    <n v="178.91"/>
    <n v="197.49"/>
    <n v="33.28"/>
    <n v="159.16999999999999"/>
  </r>
  <r>
    <x v="6"/>
    <x v="1"/>
    <x v="39"/>
    <x v="1"/>
    <x v="1"/>
    <x v="0"/>
    <n v="32.03"/>
    <n v="35.36"/>
    <n v="1.83"/>
    <n v="27.65"/>
  </r>
  <r>
    <x v="6"/>
    <x v="1"/>
    <x v="39"/>
    <x v="2"/>
    <x v="0"/>
    <x v="0"/>
    <n v="2.21"/>
    <n v="2.44"/>
    <n v="2.2599999999999998"/>
    <n v="2"/>
  </r>
  <r>
    <x v="6"/>
    <x v="1"/>
    <x v="39"/>
    <x v="1"/>
    <x v="4"/>
    <x v="2"/>
    <n v="0.9"/>
    <n v="0.99"/>
    <n v="0.02"/>
    <n v="0.73"/>
  </r>
  <r>
    <x v="6"/>
    <x v="1"/>
    <x v="39"/>
    <x v="1"/>
    <x v="2"/>
    <x v="0"/>
    <n v="5.81"/>
    <n v="6.41"/>
    <n v="0.04"/>
    <n v="4.79"/>
  </r>
  <r>
    <x v="6"/>
    <x v="1"/>
    <x v="39"/>
    <x v="4"/>
    <x v="0"/>
    <x v="1"/>
    <n v="0.43"/>
    <n v="0.48"/>
    <n v="0.05"/>
    <n v="0.36"/>
  </r>
  <r>
    <x v="6"/>
    <x v="1"/>
    <x v="39"/>
    <x v="4"/>
    <x v="3"/>
    <x v="0"/>
    <n v="0.63"/>
    <n v="0.69"/>
    <n v="0"/>
    <n v="0.53"/>
  </r>
  <r>
    <x v="6"/>
    <x v="1"/>
    <x v="39"/>
    <x v="2"/>
    <x v="3"/>
    <x v="2"/>
    <n v="4.3899999999999997"/>
    <n v="4.8499999999999996"/>
    <n v="0"/>
    <n v="4.3899999999999997"/>
  </r>
  <r>
    <x v="6"/>
    <x v="1"/>
    <x v="39"/>
    <x v="4"/>
    <x v="2"/>
    <x v="2"/>
    <n v="0.68"/>
    <n v="0.76"/>
    <n v="0.01"/>
    <n v="0.55000000000000004"/>
  </r>
  <r>
    <x v="6"/>
    <x v="1"/>
    <x v="39"/>
    <x v="1"/>
    <x v="1"/>
    <x v="2"/>
    <n v="0.34"/>
    <n v="0.38"/>
    <n v="0.01"/>
    <n v="0.34"/>
  </r>
  <r>
    <x v="6"/>
    <x v="1"/>
    <x v="39"/>
    <x v="2"/>
    <x v="3"/>
    <x v="3"/>
    <n v="13.25"/>
    <n v="14.63"/>
    <n v="0.01"/>
    <n v="12.79"/>
  </r>
  <r>
    <x v="6"/>
    <x v="1"/>
    <x v="39"/>
    <x v="4"/>
    <x v="4"/>
    <x v="1"/>
    <n v="0.14000000000000001"/>
    <n v="0.16"/>
    <n v="0.01"/>
    <n v="0.12"/>
  </r>
  <r>
    <x v="6"/>
    <x v="1"/>
    <x v="39"/>
    <x v="4"/>
    <x v="1"/>
    <x v="1"/>
    <n v="0.38"/>
    <n v="0.42"/>
    <n v="0.01"/>
    <n v="0.32"/>
  </r>
  <r>
    <x v="6"/>
    <x v="1"/>
    <x v="39"/>
    <x v="0"/>
    <x v="0"/>
    <x v="1"/>
    <n v="5.05"/>
    <n v="5.57"/>
    <n v="0.11"/>
    <n v="4.21"/>
  </r>
  <r>
    <x v="6"/>
    <x v="1"/>
    <x v="39"/>
    <x v="1"/>
    <x v="0"/>
    <x v="1"/>
    <n v="4.1900000000000004"/>
    <n v="4.62"/>
    <n v="0.14000000000000001"/>
    <n v="3.48"/>
  </r>
  <r>
    <x v="6"/>
    <x v="1"/>
    <x v="39"/>
    <x v="1"/>
    <x v="4"/>
    <x v="1"/>
    <n v="1.34"/>
    <n v="1.48"/>
    <n v="0.03"/>
    <n v="1.1100000000000001"/>
  </r>
  <r>
    <x v="6"/>
    <x v="1"/>
    <x v="39"/>
    <x v="4"/>
    <x v="1"/>
    <x v="0"/>
    <n v="8.16"/>
    <n v="9.01"/>
    <n v="0.43"/>
    <n v="7.12"/>
  </r>
  <r>
    <x v="6"/>
    <x v="1"/>
    <x v="39"/>
    <x v="4"/>
    <x v="2"/>
    <x v="0"/>
    <n v="0.84"/>
    <n v="0.92"/>
    <n v="0.01"/>
    <n v="0.71"/>
  </r>
  <r>
    <x v="6"/>
    <x v="1"/>
    <x v="39"/>
    <x v="1"/>
    <x v="1"/>
    <x v="1"/>
    <n v="8.8699999999999992"/>
    <n v="9.7899999999999991"/>
    <n v="0.06"/>
    <n v="7.37"/>
  </r>
  <r>
    <x v="6"/>
    <x v="1"/>
    <x v="39"/>
    <x v="4"/>
    <x v="4"/>
    <x v="0"/>
    <n v="44.5"/>
    <n v="49.12"/>
    <n v="6.97"/>
    <n v="39.03"/>
  </r>
  <r>
    <x v="6"/>
    <x v="1"/>
    <x v="39"/>
    <x v="3"/>
    <x v="4"/>
    <x v="0"/>
    <n v="42.41"/>
    <n v="46.81"/>
    <n v="7.08"/>
    <n v="36.880000000000003"/>
  </r>
  <r>
    <x v="6"/>
    <x v="1"/>
    <x v="39"/>
    <x v="3"/>
    <x v="0"/>
    <x v="0"/>
    <n v="0.03"/>
    <n v="0.04"/>
    <n v="0.01"/>
    <n v="0.03"/>
  </r>
  <r>
    <x v="6"/>
    <x v="1"/>
    <x v="39"/>
    <x v="2"/>
    <x v="3"/>
    <x v="1"/>
    <n v="1.83"/>
    <n v="2.0099999999999998"/>
    <n v="0"/>
    <n v="1.83"/>
  </r>
  <r>
    <x v="6"/>
    <x v="1"/>
    <x v="39"/>
    <x v="2"/>
    <x v="4"/>
    <x v="1"/>
    <n v="0.4"/>
    <n v="0.44"/>
    <n v="0"/>
    <n v="0.4"/>
  </r>
  <r>
    <x v="6"/>
    <x v="1"/>
    <x v="39"/>
    <x v="1"/>
    <x v="3"/>
    <x v="1"/>
    <n v="0.92"/>
    <n v="1.01"/>
    <n v="0.01"/>
    <n v="0.76"/>
  </r>
  <r>
    <x v="6"/>
    <x v="1"/>
    <x v="39"/>
    <x v="1"/>
    <x v="2"/>
    <x v="1"/>
    <n v="10.66"/>
    <n v="11.77"/>
    <n v="0.04"/>
    <n v="8.8699999999999992"/>
  </r>
  <r>
    <x v="6"/>
    <x v="10"/>
    <x v="40"/>
    <x v="1"/>
    <x v="1"/>
    <x v="0"/>
    <n v="21.53"/>
    <n v="32.81"/>
    <n v="2.88"/>
    <n v="20.65"/>
  </r>
  <r>
    <x v="6"/>
    <x v="10"/>
    <x v="40"/>
    <x v="3"/>
    <x v="4"/>
    <x v="0"/>
    <n v="3.17"/>
    <n v="4.83"/>
    <n v="1.1100000000000001"/>
    <n v="3.06"/>
  </r>
  <r>
    <x v="6"/>
    <x v="10"/>
    <x v="40"/>
    <x v="4"/>
    <x v="4"/>
    <x v="0"/>
    <n v="24.72"/>
    <n v="37.659999999999997"/>
    <n v="4.05"/>
    <n v="23.29"/>
  </r>
  <r>
    <x v="6"/>
    <x v="10"/>
    <x v="40"/>
    <x v="4"/>
    <x v="1"/>
    <x v="0"/>
    <n v="3.91"/>
    <n v="5.96"/>
    <n v="0.24"/>
    <n v="3.62"/>
  </r>
  <r>
    <x v="6"/>
    <x v="10"/>
    <x v="40"/>
    <x v="0"/>
    <x v="0"/>
    <x v="0"/>
    <n v="4.21"/>
    <n v="6.41"/>
    <n v="2.19"/>
    <n v="3.77"/>
  </r>
  <r>
    <x v="6"/>
    <x v="10"/>
    <x v="40"/>
    <x v="0"/>
    <x v="4"/>
    <x v="0"/>
    <n v="9.42"/>
    <n v="14.35"/>
    <n v="2.65"/>
    <n v="8.6999999999999993"/>
  </r>
  <r>
    <x v="6"/>
    <x v="10"/>
    <x v="40"/>
    <x v="0"/>
    <x v="2"/>
    <x v="0"/>
    <n v="0.11"/>
    <n v="0.17"/>
    <n v="0"/>
    <n v="0.11"/>
  </r>
  <r>
    <x v="6"/>
    <x v="10"/>
    <x v="40"/>
    <x v="1"/>
    <x v="2"/>
    <x v="0"/>
    <n v="0.35"/>
    <n v="0.54"/>
    <n v="0"/>
    <n v="0.31"/>
  </r>
  <r>
    <x v="6"/>
    <x v="10"/>
    <x v="40"/>
    <x v="1"/>
    <x v="4"/>
    <x v="0"/>
    <n v="70.040000000000006"/>
    <n v="106.7"/>
    <n v="17.93"/>
    <n v="65.099999999999994"/>
  </r>
  <r>
    <x v="6"/>
    <x v="10"/>
    <x v="40"/>
    <x v="1"/>
    <x v="1"/>
    <x v="1"/>
    <n v="2.66"/>
    <n v="4.05"/>
    <n v="0.03"/>
    <n v="2.46"/>
  </r>
  <r>
    <x v="6"/>
    <x v="10"/>
    <x v="40"/>
    <x v="2"/>
    <x v="4"/>
    <x v="0"/>
    <n v="1.26"/>
    <n v="1.92"/>
    <n v="0.39"/>
    <n v="1.22"/>
  </r>
  <r>
    <x v="6"/>
    <x v="10"/>
    <x v="40"/>
    <x v="2"/>
    <x v="0"/>
    <x v="0"/>
    <n v="1.37"/>
    <n v="2.09"/>
    <n v="1.58"/>
    <n v="1.3"/>
  </r>
  <r>
    <x v="6"/>
    <x v="10"/>
    <x v="40"/>
    <x v="1"/>
    <x v="2"/>
    <x v="1"/>
    <n v="8.32"/>
    <n v="12.67"/>
    <n v="0.04"/>
    <n v="7.69"/>
  </r>
  <r>
    <x v="6"/>
    <x v="10"/>
    <x v="40"/>
    <x v="1"/>
    <x v="0"/>
    <x v="0"/>
    <n v="4.1100000000000003"/>
    <n v="6.27"/>
    <n v="3.25"/>
    <n v="3.88"/>
  </r>
  <r>
    <x v="6"/>
    <x v="10"/>
    <x v="40"/>
    <x v="4"/>
    <x v="4"/>
    <x v="1"/>
    <n v="0.19"/>
    <n v="0.28999999999999998"/>
    <n v="0"/>
    <n v="0.18"/>
  </r>
  <r>
    <x v="6"/>
    <x v="10"/>
    <x v="40"/>
    <x v="3"/>
    <x v="0"/>
    <x v="0"/>
    <n v="0.16"/>
    <n v="0.25"/>
    <n v="0.03"/>
    <n v="0.15"/>
  </r>
  <r>
    <x v="6"/>
    <x v="10"/>
    <x v="40"/>
    <x v="4"/>
    <x v="4"/>
    <x v="2"/>
    <n v="0.28999999999999998"/>
    <n v="0.45"/>
    <n v="0.01"/>
    <n v="0.26"/>
  </r>
  <r>
    <x v="6"/>
    <x v="10"/>
    <x v="40"/>
    <x v="4"/>
    <x v="1"/>
    <x v="2"/>
    <n v="0.26"/>
    <n v="0.39"/>
    <n v="0.01"/>
    <n v="0.23"/>
  </r>
  <r>
    <x v="6"/>
    <x v="10"/>
    <x v="40"/>
    <x v="1"/>
    <x v="4"/>
    <x v="2"/>
    <n v="1.18"/>
    <n v="1.8"/>
    <n v="0.02"/>
    <n v="1.04"/>
  </r>
  <r>
    <x v="6"/>
    <x v="10"/>
    <x v="40"/>
    <x v="2"/>
    <x v="3"/>
    <x v="3"/>
    <n v="21.03"/>
    <n v="32.04"/>
    <n v="0.02"/>
    <n v="21.03"/>
  </r>
  <r>
    <x v="6"/>
    <x v="10"/>
    <x v="40"/>
    <x v="4"/>
    <x v="2"/>
    <x v="2"/>
    <n v="0.38"/>
    <n v="0.57999999999999996"/>
    <n v="0"/>
    <n v="0.33"/>
  </r>
  <r>
    <x v="6"/>
    <x v="10"/>
    <x v="40"/>
    <x v="4"/>
    <x v="1"/>
    <x v="1"/>
    <n v="0.03"/>
    <n v="0.04"/>
    <n v="0"/>
    <n v="0.03"/>
  </r>
  <r>
    <x v="6"/>
    <x v="10"/>
    <x v="40"/>
    <x v="0"/>
    <x v="0"/>
    <x v="1"/>
    <n v="4.07"/>
    <n v="6.2"/>
    <n v="0.12"/>
    <n v="3.76"/>
  </r>
  <r>
    <x v="6"/>
    <x v="10"/>
    <x v="40"/>
    <x v="0"/>
    <x v="1"/>
    <x v="1"/>
    <n v="1.26"/>
    <n v="1.92"/>
    <n v="0.01"/>
    <n v="1.23"/>
  </r>
  <r>
    <x v="6"/>
    <x v="10"/>
    <x v="40"/>
    <x v="1"/>
    <x v="0"/>
    <x v="1"/>
    <n v="1.74"/>
    <n v="2.65"/>
    <n v="0.08"/>
    <n v="1.61"/>
  </r>
  <r>
    <x v="6"/>
    <x v="10"/>
    <x v="40"/>
    <x v="1"/>
    <x v="4"/>
    <x v="1"/>
    <n v="0.49"/>
    <n v="0.74"/>
    <n v="0.02"/>
    <n v="0.45"/>
  </r>
  <r>
    <x v="6"/>
    <x v="10"/>
    <x v="40"/>
    <x v="2"/>
    <x v="3"/>
    <x v="2"/>
    <n v="2.2200000000000002"/>
    <n v="3.38"/>
    <n v="0"/>
    <n v="2.2200000000000002"/>
  </r>
  <r>
    <x v="6"/>
    <x v="1"/>
    <x v="41"/>
    <x v="2"/>
    <x v="3"/>
    <x v="1"/>
    <n v="3.78"/>
    <n v="4"/>
    <n v="0.01"/>
    <n v="3.47"/>
  </r>
  <r>
    <x v="6"/>
    <x v="1"/>
    <x v="41"/>
    <x v="3"/>
    <x v="4"/>
    <x v="0"/>
    <n v="44.14"/>
    <n v="46.78"/>
    <n v="6.19"/>
    <n v="38.659999999999997"/>
  </r>
  <r>
    <x v="6"/>
    <x v="1"/>
    <x v="41"/>
    <x v="2"/>
    <x v="0"/>
    <x v="0"/>
    <n v="6.04"/>
    <n v="6.41"/>
    <n v="4.75"/>
    <n v="5.77"/>
  </r>
  <r>
    <x v="6"/>
    <x v="1"/>
    <x v="41"/>
    <x v="3"/>
    <x v="0"/>
    <x v="0"/>
    <n v="0.09"/>
    <n v="0.1"/>
    <n v="0.03"/>
    <n v="0.08"/>
  </r>
  <r>
    <x v="6"/>
    <x v="1"/>
    <x v="41"/>
    <x v="2"/>
    <x v="4"/>
    <x v="1"/>
    <n v="1.79"/>
    <n v="1.89"/>
    <n v="0.01"/>
    <n v="1.79"/>
  </r>
  <r>
    <x v="6"/>
    <x v="1"/>
    <x v="41"/>
    <x v="1"/>
    <x v="3"/>
    <x v="1"/>
    <n v="1.08"/>
    <n v="1.1499999999999999"/>
    <n v="0.01"/>
    <n v="0.9"/>
  </r>
  <r>
    <x v="6"/>
    <x v="1"/>
    <x v="41"/>
    <x v="1"/>
    <x v="2"/>
    <x v="1"/>
    <n v="48.2"/>
    <n v="51.09"/>
    <n v="0.16"/>
    <n v="40.17"/>
  </r>
  <r>
    <x v="6"/>
    <x v="1"/>
    <x v="41"/>
    <x v="1"/>
    <x v="2"/>
    <x v="0"/>
    <n v="8.15"/>
    <n v="8.64"/>
    <n v="0.06"/>
    <n v="7.09"/>
  </r>
  <r>
    <x v="6"/>
    <x v="1"/>
    <x v="41"/>
    <x v="1"/>
    <x v="4"/>
    <x v="1"/>
    <n v="7.12"/>
    <n v="7.55"/>
    <n v="0.14000000000000001"/>
    <n v="6"/>
  </r>
  <r>
    <x v="6"/>
    <x v="1"/>
    <x v="41"/>
    <x v="1"/>
    <x v="0"/>
    <x v="1"/>
    <n v="17.25"/>
    <n v="18.29"/>
    <n v="0.56999999999999995"/>
    <n v="14.38"/>
  </r>
  <r>
    <x v="6"/>
    <x v="1"/>
    <x v="41"/>
    <x v="1"/>
    <x v="1"/>
    <x v="1"/>
    <n v="40.81"/>
    <n v="43.26"/>
    <n v="0.38"/>
    <n v="34.01"/>
  </r>
  <r>
    <x v="6"/>
    <x v="1"/>
    <x v="41"/>
    <x v="4"/>
    <x v="4"/>
    <x v="0"/>
    <n v="59.06"/>
    <n v="62.61"/>
    <n v="7.81"/>
    <n v="53.3"/>
  </r>
  <r>
    <x v="6"/>
    <x v="1"/>
    <x v="41"/>
    <x v="4"/>
    <x v="1"/>
    <x v="0"/>
    <n v="23.46"/>
    <n v="24.87"/>
    <n v="1.22"/>
    <n v="20.59"/>
  </r>
  <r>
    <x v="6"/>
    <x v="1"/>
    <x v="41"/>
    <x v="4"/>
    <x v="2"/>
    <x v="0"/>
    <n v="11.18"/>
    <n v="11.85"/>
    <n v="0.09"/>
    <n v="9.7899999999999991"/>
  </r>
  <r>
    <x v="6"/>
    <x v="1"/>
    <x v="41"/>
    <x v="0"/>
    <x v="0"/>
    <x v="0"/>
    <n v="1.72"/>
    <n v="1.83"/>
    <n v="1.19"/>
    <n v="1.53"/>
  </r>
  <r>
    <x v="6"/>
    <x v="1"/>
    <x v="41"/>
    <x v="4"/>
    <x v="4"/>
    <x v="1"/>
    <n v="0.65"/>
    <n v="0.69"/>
    <n v="0.02"/>
    <n v="0.54"/>
  </r>
  <r>
    <x v="6"/>
    <x v="1"/>
    <x v="41"/>
    <x v="0"/>
    <x v="4"/>
    <x v="0"/>
    <n v="11.04"/>
    <n v="11.7"/>
    <n v="3"/>
    <n v="10.01"/>
  </r>
  <r>
    <x v="6"/>
    <x v="1"/>
    <x v="41"/>
    <x v="0"/>
    <x v="2"/>
    <x v="0"/>
    <n v="0.3"/>
    <n v="0.32"/>
    <n v="0.01"/>
    <n v="0.3"/>
  </r>
  <r>
    <x v="6"/>
    <x v="1"/>
    <x v="41"/>
    <x v="1"/>
    <x v="0"/>
    <x v="0"/>
    <n v="16.93"/>
    <n v="17.95"/>
    <n v="9.26"/>
    <n v="15.15"/>
  </r>
  <r>
    <x v="6"/>
    <x v="1"/>
    <x v="41"/>
    <x v="1"/>
    <x v="4"/>
    <x v="0"/>
    <n v="338.76"/>
    <n v="359.09"/>
    <n v="87.61"/>
    <n v="313.32"/>
  </r>
  <r>
    <x v="6"/>
    <x v="1"/>
    <x v="41"/>
    <x v="1"/>
    <x v="1"/>
    <x v="0"/>
    <n v="37"/>
    <n v="39.21"/>
    <n v="2.13"/>
    <n v="33.200000000000003"/>
  </r>
  <r>
    <x v="6"/>
    <x v="1"/>
    <x v="41"/>
    <x v="0"/>
    <x v="3"/>
    <x v="1"/>
    <n v="8.1199999999999992"/>
    <n v="8.61"/>
    <n v="0.08"/>
    <n v="8.1199999999999992"/>
  </r>
  <r>
    <x v="6"/>
    <x v="1"/>
    <x v="41"/>
    <x v="4"/>
    <x v="3"/>
    <x v="0"/>
    <n v="8.39"/>
    <n v="8.89"/>
    <n v="0.05"/>
    <n v="7.34"/>
  </r>
  <r>
    <x v="6"/>
    <x v="1"/>
    <x v="41"/>
    <x v="4"/>
    <x v="0"/>
    <x v="1"/>
    <n v="0.87"/>
    <n v="0.93"/>
    <n v="0.08"/>
    <n v="0.73"/>
  </r>
  <r>
    <x v="6"/>
    <x v="1"/>
    <x v="41"/>
    <x v="0"/>
    <x v="0"/>
    <x v="1"/>
    <n v="26.78"/>
    <n v="28.39"/>
    <n v="0.74"/>
    <n v="23.22"/>
  </r>
  <r>
    <x v="6"/>
    <x v="1"/>
    <x v="41"/>
    <x v="0"/>
    <x v="1"/>
    <x v="1"/>
    <n v="4.6100000000000003"/>
    <n v="4.8899999999999997"/>
    <n v="0.08"/>
    <n v="4.6100000000000003"/>
  </r>
  <r>
    <x v="6"/>
    <x v="1"/>
    <x v="41"/>
    <x v="4"/>
    <x v="1"/>
    <x v="1"/>
    <n v="0.97"/>
    <n v="1.03"/>
    <n v="0.04"/>
    <n v="0.81"/>
  </r>
  <r>
    <x v="6"/>
    <x v="1"/>
    <x v="41"/>
    <x v="2"/>
    <x v="3"/>
    <x v="3"/>
    <n v="2.84"/>
    <n v="3.01"/>
    <n v="0"/>
    <n v="2.84"/>
  </r>
  <r>
    <x v="6"/>
    <x v="1"/>
    <x v="41"/>
    <x v="2"/>
    <x v="3"/>
    <x v="2"/>
    <n v="35.49"/>
    <n v="37.619999999999997"/>
    <n v="7.0000000000000007E-2"/>
    <n v="35.49"/>
  </r>
  <r>
    <x v="6"/>
    <x v="1"/>
    <x v="41"/>
    <x v="1"/>
    <x v="1"/>
    <x v="2"/>
    <n v="6.88"/>
    <n v="7.29"/>
    <n v="0.1"/>
    <n v="5.98"/>
  </r>
  <r>
    <x v="6"/>
    <x v="1"/>
    <x v="41"/>
    <x v="1"/>
    <x v="4"/>
    <x v="2"/>
    <n v="19"/>
    <n v="20.14"/>
    <n v="0.64"/>
    <n v="16.52"/>
  </r>
  <r>
    <x v="6"/>
    <x v="1"/>
    <x v="41"/>
    <x v="4"/>
    <x v="2"/>
    <x v="2"/>
    <n v="25.35"/>
    <n v="26.87"/>
    <n v="0.56000000000000005"/>
    <n v="22.04"/>
  </r>
  <r>
    <x v="6"/>
    <x v="1"/>
    <x v="41"/>
    <x v="4"/>
    <x v="1"/>
    <x v="2"/>
    <n v="5.44"/>
    <n v="5.77"/>
    <n v="0.16"/>
    <n v="4.7300000000000004"/>
  </r>
  <r>
    <x v="6"/>
    <x v="1"/>
    <x v="41"/>
    <x v="2"/>
    <x v="4"/>
    <x v="0"/>
    <n v="4.17"/>
    <n v="4.42"/>
    <n v="1.19"/>
    <n v="3.98"/>
  </r>
  <r>
    <x v="6"/>
    <x v="1"/>
    <x v="41"/>
    <x v="0"/>
    <x v="4"/>
    <x v="1"/>
    <n v="0.1"/>
    <n v="0.1"/>
    <n v="0"/>
    <n v="0.08"/>
  </r>
  <r>
    <x v="6"/>
    <x v="2"/>
    <x v="42"/>
    <x v="0"/>
    <x v="4"/>
    <x v="0"/>
    <n v="20.99"/>
    <n v="25.2"/>
    <n v="6.17"/>
    <n v="19.46"/>
  </r>
  <r>
    <x v="6"/>
    <x v="2"/>
    <x v="42"/>
    <x v="0"/>
    <x v="2"/>
    <x v="0"/>
    <n v="0.67"/>
    <n v="0.81"/>
    <n v="0.01"/>
    <n v="0.65"/>
  </r>
  <r>
    <x v="6"/>
    <x v="2"/>
    <x v="42"/>
    <x v="1"/>
    <x v="2"/>
    <x v="1"/>
    <n v="6.24"/>
    <n v="7.49"/>
    <n v="0.04"/>
    <n v="5.69"/>
  </r>
  <r>
    <x v="6"/>
    <x v="2"/>
    <x v="42"/>
    <x v="2"/>
    <x v="4"/>
    <x v="0"/>
    <n v="2.57"/>
    <n v="3.08"/>
    <n v="0.61"/>
    <n v="2.4700000000000002"/>
  </r>
  <r>
    <x v="6"/>
    <x v="2"/>
    <x v="42"/>
    <x v="2"/>
    <x v="0"/>
    <x v="0"/>
    <n v="12.08"/>
    <n v="14.5"/>
    <n v="5.48"/>
    <n v="11.25"/>
  </r>
  <r>
    <x v="6"/>
    <x v="2"/>
    <x v="42"/>
    <x v="1"/>
    <x v="2"/>
    <x v="0"/>
    <n v="4.7"/>
    <n v="5.65"/>
    <n v="0.05"/>
    <n v="4.1900000000000004"/>
  </r>
  <r>
    <x v="6"/>
    <x v="2"/>
    <x v="42"/>
    <x v="1"/>
    <x v="1"/>
    <x v="0"/>
    <n v="31.13"/>
    <n v="37.369999999999997"/>
    <n v="1.57"/>
    <n v="28.99"/>
  </r>
  <r>
    <x v="6"/>
    <x v="2"/>
    <x v="42"/>
    <x v="1"/>
    <x v="4"/>
    <x v="0"/>
    <n v="235.62"/>
    <n v="282.85000000000002"/>
    <n v="38.729999999999997"/>
    <n v="219.06"/>
  </r>
  <r>
    <x v="6"/>
    <x v="2"/>
    <x v="42"/>
    <x v="2"/>
    <x v="3"/>
    <x v="3"/>
    <n v="37.81"/>
    <n v="45.39"/>
    <n v="0.02"/>
    <n v="37.81"/>
  </r>
  <r>
    <x v="6"/>
    <x v="2"/>
    <x v="42"/>
    <x v="4"/>
    <x v="4"/>
    <x v="0"/>
    <n v="68.28"/>
    <n v="81.96"/>
    <n v="8.23"/>
    <n v="63.39"/>
  </r>
  <r>
    <x v="6"/>
    <x v="2"/>
    <x v="42"/>
    <x v="3"/>
    <x v="4"/>
    <x v="0"/>
    <n v="15.54"/>
    <n v="18.66"/>
    <n v="3.17"/>
    <n v="14.54"/>
  </r>
  <r>
    <x v="6"/>
    <x v="2"/>
    <x v="42"/>
    <x v="3"/>
    <x v="0"/>
    <x v="0"/>
    <n v="2.14"/>
    <n v="2.57"/>
    <n v="0.37"/>
    <n v="1.98"/>
  </r>
  <r>
    <x v="6"/>
    <x v="2"/>
    <x v="42"/>
    <x v="1"/>
    <x v="1"/>
    <x v="1"/>
    <n v="2"/>
    <n v="2.4"/>
    <n v="0.03"/>
    <n v="1.82"/>
  </r>
  <r>
    <x v="6"/>
    <x v="2"/>
    <x v="42"/>
    <x v="1"/>
    <x v="0"/>
    <x v="1"/>
    <n v="1.3"/>
    <n v="1.56"/>
    <n v="7.0000000000000007E-2"/>
    <n v="1.17"/>
  </r>
  <r>
    <x v="6"/>
    <x v="2"/>
    <x v="42"/>
    <x v="0"/>
    <x v="1"/>
    <x v="1"/>
    <n v="0.19"/>
    <n v="0.23"/>
    <n v="0"/>
    <n v="0.19"/>
  </r>
  <r>
    <x v="6"/>
    <x v="2"/>
    <x v="42"/>
    <x v="0"/>
    <x v="0"/>
    <x v="1"/>
    <n v="2.96"/>
    <n v="3.55"/>
    <n v="0.09"/>
    <n v="2.67"/>
  </r>
  <r>
    <x v="6"/>
    <x v="2"/>
    <x v="42"/>
    <x v="1"/>
    <x v="0"/>
    <x v="0"/>
    <n v="12.96"/>
    <n v="15.55"/>
    <n v="6.53"/>
    <n v="12.17"/>
  </r>
  <r>
    <x v="6"/>
    <x v="2"/>
    <x v="42"/>
    <x v="4"/>
    <x v="4"/>
    <x v="1"/>
    <n v="0.15"/>
    <n v="0.18"/>
    <n v="0"/>
    <n v="0.14000000000000001"/>
  </r>
  <r>
    <x v="6"/>
    <x v="2"/>
    <x v="42"/>
    <x v="4"/>
    <x v="1"/>
    <x v="0"/>
    <n v="8.06"/>
    <n v="9.68"/>
    <n v="0.45"/>
    <n v="7.43"/>
  </r>
  <r>
    <x v="6"/>
    <x v="2"/>
    <x v="42"/>
    <x v="2"/>
    <x v="1"/>
    <x v="3"/>
    <n v="7.0000000000000007E-2"/>
    <n v="0.08"/>
    <n v="0"/>
    <n v="0.06"/>
  </r>
  <r>
    <x v="6"/>
    <x v="2"/>
    <x v="42"/>
    <x v="2"/>
    <x v="3"/>
    <x v="2"/>
    <n v="2.56"/>
    <n v="3.07"/>
    <n v="0.01"/>
    <n v="2.27"/>
  </r>
  <r>
    <x v="6"/>
    <x v="2"/>
    <x v="42"/>
    <x v="1"/>
    <x v="4"/>
    <x v="2"/>
    <n v="0.2"/>
    <n v="0.24"/>
    <n v="0.05"/>
    <n v="0.17"/>
  </r>
  <r>
    <x v="6"/>
    <x v="2"/>
    <x v="42"/>
    <x v="4"/>
    <x v="2"/>
    <x v="2"/>
    <n v="0.82"/>
    <n v="0.98"/>
    <n v="0.01"/>
    <n v="0.71"/>
  </r>
  <r>
    <x v="6"/>
    <x v="2"/>
    <x v="42"/>
    <x v="4"/>
    <x v="1"/>
    <x v="2"/>
    <n v="1.1100000000000001"/>
    <n v="1.33"/>
    <n v="0.02"/>
    <n v="0.97"/>
  </r>
  <r>
    <x v="6"/>
    <x v="2"/>
    <x v="42"/>
    <x v="4"/>
    <x v="4"/>
    <x v="2"/>
    <n v="1.64"/>
    <n v="1.96"/>
    <n v="0.06"/>
    <n v="1.5"/>
  </r>
  <r>
    <x v="6"/>
    <x v="2"/>
    <x v="42"/>
    <x v="4"/>
    <x v="2"/>
    <x v="0"/>
    <n v="0.38"/>
    <n v="0.46"/>
    <n v="0"/>
    <n v="0.35"/>
  </r>
  <r>
    <x v="6"/>
    <x v="2"/>
    <x v="42"/>
    <x v="0"/>
    <x v="0"/>
    <x v="0"/>
    <n v="14.16"/>
    <n v="17"/>
    <n v="9.0399999999999991"/>
    <n v="12.87"/>
  </r>
  <r>
    <x v="6"/>
    <x v="2"/>
    <x v="42"/>
    <x v="4"/>
    <x v="1"/>
    <x v="1"/>
    <n v="0.02"/>
    <n v="0.03"/>
    <n v="0"/>
    <n v="0.02"/>
  </r>
  <r>
    <x v="6"/>
    <x v="2"/>
    <x v="42"/>
    <x v="1"/>
    <x v="4"/>
    <x v="1"/>
    <n v="1.54"/>
    <n v="1.85"/>
    <n v="0.03"/>
    <n v="1.38"/>
  </r>
  <r>
    <x v="6"/>
    <x v="2"/>
    <x v="43"/>
    <x v="4"/>
    <x v="4"/>
    <x v="1"/>
    <n v="0.06"/>
    <n v="7.0000000000000007E-2"/>
    <n v="0"/>
    <n v="0.05"/>
  </r>
  <r>
    <x v="6"/>
    <x v="2"/>
    <x v="43"/>
    <x v="4"/>
    <x v="1"/>
    <x v="0"/>
    <n v="10.220000000000001"/>
    <n v="13.43"/>
    <n v="0.53"/>
    <n v="9.3800000000000008"/>
  </r>
  <r>
    <x v="6"/>
    <x v="2"/>
    <x v="43"/>
    <x v="3"/>
    <x v="4"/>
    <x v="0"/>
    <n v="9.18"/>
    <n v="12.07"/>
    <n v="2.54"/>
    <n v="8.8699999999999992"/>
  </r>
  <r>
    <x v="6"/>
    <x v="2"/>
    <x v="43"/>
    <x v="3"/>
    <x v="0"/>
    <x v="0"/>
    <n v="0.17"/>
    <n v="0.22"/>
    <n v="0.04"/>
    <n v="0.16"/>
  </r>
  <r>
    <x v="6"/>
    <x v="2"/>
    <x v="43"/>
    <x v="1"/>
    <x v="2"/>
    <x v="1"/>
    <n v="3.45"/>
    <n v="4.54"/>
    <n v="0.02"/>
    <n v="3.15"/>
  </r>
  <r>
    <x v="6"/>
    <x v="2"/>
    <x v="43"/>
    <x v="1"/>
    <x v="1"/>
    <x v="1"/>
    <n v="1.01"/>
    <n v="1.32"/>
    <n v="0.01"/>
    <n v="0.92"/>
  </r>
  <r>
    <x v="6"/>
    <x v="2"/>
    <x v="43"/>
    <x v="1"/>
    <x v="4"/>
    <x v="1"/>
    <n v="0.21"/>
    <n v="0.28000000000000003"/>
    <n v="0.01"/>
    <n v="0.19"/>
  </r>
  <r>
    <x v="6"/>
    <x v="2"/>
    <x v="43"/>
    <x v="1"/>
    <x v="0"/>
    <x v="1"/>
    <n v="0.75"/>
    <n v="0.99"/>
    <n v="0.04"/>
    <n v="0.68"/>
  </r>
  <r>
    <x v="6"/>
    <x v="2"/>
    <x v="43"/>
    <x v="0"/>
    <x v="4"/>
    <x v="0"/>
    <n v="16.36"/>
    <n v="21.51"/>
    <n v="4.47"/>
    <n v="15.4"/>
  </r>
  <r>
    <x v="6"/>
    <x v="2"/>
    <x v="43"/>
    <x v="4"/>
    <x v="1"/>
    <x v="1"/>
    <n v="0.02"/>
    <n v="0.02"/>
    <n v="0"/>
    <n v="0.02"/>
  </r>
  <r>
    <x v="6"/>
    <x v="2"/>
    <x v="43"/>
    <x v="0"/>
    <x v="0"/>
    <x v="0"/>
    <n v="5.38"/>
    <n v="7.07"/>
    <n v="3.41"/>
    <n v="4.88"/>
  </r>
  <r>
    <x v="6"/>
    <x v="2"/>
    <x v="43"/>
    <x v="4"/>
    <x v="0"/>
    <x v="1"/>
    <n v="0.05"/>
    <n v="0.06"/>
    <n v="0.03"/>
    <n v="0.04"/>
  </r>
  <r>
    <x v="6"/>
    <x v="2"/>
    <x v="43"/>
    <x v="2"/>
    <x v="3"/>
    <x v="3"/>
    <n v="16.11"/>
    <n v="21.17"/>
    <n v="0.01"/>
    <n v="16.11"/>
  </r>
  <r>
    <x v="6"/>
    <x v="2"/>
    <x v="43"/>
    <x v="2"/>
    <x v="3"/>
    <x v="2"/>
    <n v="0.41"/>
    <n v="0.54"/>
    <n v="0"/>
    <n v="0.41"/>
  </r>
  <r>
    <x v="6"/>
    <x v="2"/>
    <x v="43"/>
    <x v="1"/>
    <x v="4"/>
    <x v="2"/>
    <n v="6.05"/>
    <n v="7.96"/>
    <n v="0.02"/>
    <n v="5.26"/>
  </r>
  <r>
    <x v="6"/>
    <x v="2"/>
    <x v="43"/>
    <x v="4"/>
    <x v="2"/>
    <x v="2"/>
    <n v="1.5"/>
    <n v="1.97"/>
    <n v="0.01"/>
    <n v="1.3"/>
  </r>
  <r>
    <x v="6"/>
    <x v="2"/>
    <x v="43"/>
    <x v="4"/>
    <x v="1"/>
    <x v="2"/>
    <n v="0.56000000000000005"/>
    <n v="0.73"/>
    <n v="0.01"/>
    <n v="0.49"/>
  </r>
  <r>
    <x v="6"/>
    <x v="2"/>
    <x v="43"/>
    <x v="4"/>
    <x v="4"/>
    <x v="2"/>
    <n v="1.01"/>
    <n v="1.33"/>
    <n v="0.03"/>
    <n v="0.88"/>
  </r>
  <r>
    <x v="6"/>
    <x v="2"/>
    <x v="43"/>
    <x v="0"/>
    <x v="0"/>
    <x v="1"/>
    <n v="1.64"/>
    <n v="2.15"/>
    <n v="0.04"/>
    <n v="1.48"/>
  </r>
  <r>
    <x v="6"/>
    <x v="2"/>
    <x v="43"/>
    <x v="1"/>
    <x v="0"/>
    <x v="0"/>
    <n v="7.06"/>
    <n v="9.2799999999999994"/>
    <n v="4.05"/>
    <n v="6.75"/>
  </r>
  <r>
    <x v="6"/>
    <x v="2"/>
    <x v="43"/>
    <x v="1"/>
    <x v="4"/>
    <x v="0"/>
    <n v="129.74"/>
    <n v="170.54"/>
    <n v="23.13"/>
    <n v="120.24"/>
  </r>
  <r>
    <x v="6"/>
    <x v="2"/>
    <x v="43"/>
    <x v="1"/>
    <x v="1"/>
    <x v="0"/>
    <n v="17.5"/>
    <n v="23"/>
    <n v="0.93"/>
    <n v="16.23"/>
  </r>
  <r>
    <x v="6"/>
    <x v="2"/>
    <x v="43"/>
    <x v="1"/>
    <x v="2"/>
    <x v="0"/>
    <n v="0.36"/>
    <n v="0.48"/>
    <n v="0.01"/>
    <n v="0.32"/>
  </r>
  <r>
    <x v="6"/>
    <x v="2"/>
    <x v="43"/>
    <x v="2"/>
    <x v="0"/>
    <x v="0"/>
    <n v="5.09"/>
    <n v="6.69"/>
    <n v="2.87"/>
    <n v="4.82"/>
  </r>
  <r>
    <x v="6"/>
    <x v="2"/>
    <x v="43"/>
    <x v="2"/>
    <x v="4"/>
    <x v="0"/>
    <n v="2.39"/>
    <n v="3.15"/>
    <n v="0.48"/>
    <n v="2.33"/>
  </r>
  <r>
    <x v="6"/>
    <x v="2"/>
    <x v="43"/>
    <x v="4"/>
    <x v="4"/>
    <x v="0"/>
    <n v="80.8"/>
    <n v="106.21"/>
    <n v="8.92"/>
    <n v="74.510000000000005"/>
  </r>
  <r>
    <x v="6"/>
    <x v="2"/>
    <x v="44"/>
    <x v="0"/>
    <x v="0"/>
    <x v="0"/>
    <n v="7.68"/>
    <n v="8.16"/>
    <n v="4.55"/>
    <n v="7"/>
  </r>
  <r>
    <x v="6"/>
    <x v="2"/>
    <x v="44"/>
    <x v="4"/>
    <x v="4"/>
    <x v="0"/>
    <n v="59.6"/>
    <n v="63.37"/>
    <n v="6.22"/>
    <n v="54.86"/>
  </r>
  <r>
    <x v="6"/>
    <x v="2"/>
    <x v="44"/>
    <x v="3"/>
    <x v="0"/>
    <x v="0"/>
    <n v="0.33"/>
    <n v="0.35"/>
    <n v="7.0000000000000007E-2"/>
    <n v="0.3"/>
  </r>
  <r>
    <x v="6"/>
    <x v="2"/>
    <x v="44"/>
    <x v="1"/>
    <x v="2"/>
    <x v="1"/>
    <n v="15.64"/>
    <n v="16.63"/>
    <n v="0.08"/>
    <n v="14.27"/>
  </r>
  <r>
    <x v="6"/>
    <x v="2"/>
    <x v="44"/>
    <x v="2"/>
    <x v="4"/>
    <x v="0"/>
    <n v="1.97"/>
    <n v="2.09"/>
    <n v="0.44"/>
    <n v="1.88"/>
  </r>
  <r>
    <x v="6"/>
    <x v="2"/>
    <x v="44"/>
    <x v="4"/>
    <x v="1"/>
    <x v="2"/>
    <n v="0.06"/>
    <n v="0.06"/>
    <n v="0"/>
    <n v="0.05"/>
  </r>
  <r>
    <x v="6"/>
    <x v="2"/>
    <x v="44"/>
    <x v="1"/>
    <x v="1"/>
    <x v="1"/>
    <n v="4.3899999999999997"/>
    <n v="4.67"/>
    <n v="0.04"/>
    <n v="3.97"/>
  </r>
  <r>
    <x v="6"/>
    <x v="2"/>
    <x v="44"/>
    <x v="4"/>
    <x v="2"/>
    <x v="2"/>
    <n v="0.18"/>
    <n v="0.19"/>
    <n v="0"/>
    <n v="0.16"/>
  </r>
  <r>
    <x v="6"/>
    <x v="2"/>
    <x v="44"/>
    <x v="1"/>
    <x v="4"/>
    <x v="2"/>
    <n v="2.89"/>
    <n v="3.07"/>
    <n v="0.04"/>
    <n v="2.5099999999999998"/>
  </r>
  <r>
    <x v="6"/>
    <x v="2"/>
    <x v="44"/>
    <x v="2"/>
    <x v="3"/>
    <x v="2"/>
    <n v="11.55"/>
    <n v="12.28"/>
    <n v="0.01"/>
    <n v="10.14"/>
  </r>
  <r>
    <x v="6"/>
    <x v="2"/>
    <x v="44"/>
    <x v="2"/>
    <x v="3"/>
    <x v="3"/>
    <n v="19.77"/>
    <n v="21.02"/>
    <n v="0.02"/>
    <n v="19.73"/>
  </r>
  <r>
    <x v="6"/>
    <x v="2"/>
    <x v="44"/>
    <x v="4"/>
    <x v="4"/>
    <x v="1"/>
    <n v="0.24"/>
    <n v="0.25"/>
    <n v="0"/>
    <n v="0.22"/>
  </r>
  <r>
    <x v="6"/>
    <x v="2"/>
    <x v="44"/>
    <x v="4"/>
    <x v="1"/>
    <x v="1"/>
    <n v="0.08"/>
    <n v="0.08"/>
    <n v="0"/>
    <n v="7.0000000000000007E-2"/>
  </r>
  <r>
    <x v="6"/>
    <x v="2"/>
    <x v="44"/>
    <x v="0"/>
    <x v="0"/>
    <x v="1"/>
    <n v="7.36"/>
    <n v="7.82"/>
    <n v="0.19"/>
    <n v="6.63"/>
  </r>
  <r>
    <x v="6"/>
    <x v="2"/>
    <x v="44"/>
    <x v="0"/>
    <x v="4"/>
    <x v="0"/>
    <n v="12.61"/>
    <n v="13.4"/>
    <n v="3.71"/>
    <n v="11.72"/>
  </r>
  <r>
    <x v="6"/>
    <x v="2"/>
    <x v="44"/>
    <x v="1"/>
    <x v="0"/>
    <x v="1"/>
    <n v="3.23"/>
    <n v="3.43"/>
    <n v="0.14000000000000001"/>
    <n v="2.92"/>
  </r>
  <r>
    <x v="6"/>
    <x v="2"/>
    <x v="44"/>
    <x v="4"/>
    <x v="1"/>
    <x v="0"/>
    <n v="11.28"/>
    <n v="12"/>
    <n v="0.66"/>
    <n v="10.42"/>
  </r>
  <r>
    <x v="6"/>
    <x v="2"/>
    <x v="44"/>
    <x v="1"/>
    <x v="4"/>
    <x v="1"/>
    <n v="0.98"/>
    <n v="1.04"/>
    <n v="0.04"/>
    <n v="0.88"/>
  </r>
  <r>
    <x v="6"/>
    <x v="2"/>
    <x v="44"/>
    <x v="4"/>
    <x v="4"/>
    <x v="2"/>
    <n v="0.38"/>
    <n v="0.4"/>
    <n v="0.01"/>
    <n v="0.33"/>
  </r>
  <r>
    <x v="6"/>
    <x v="2"/>
    <x v="44"/>
    <x v="2"/>
    <x v="0"/>
    <x v="0"/>
    <n v="2.29"/>
    <n v="2.4300000000000002"/>
    <n v="1.73"/>
    <n v="2.16"/>
  </r>
  <r>
    <x v="6"/>
    <x v="2"/>
    <x v="44"/>
    <x v="0"/>
    <x v="2"/>
    <x v="0"/>
    <n v="0.11"/>
    <n v="0.12"/>
    <n v="0"/>
    <n v="0.11"/>
  </r>
  <r>
    <x v="6"/>
    <x v="2"/>
    <x v="44"/>
    <x v="1"/>
    <x v="2"/>
    <x v="0"/>
    <n v="0.5"/>
    <n v="0.53"/>
    <n v="0.01"/>
    <n v="0.44"/>
  </r>
  <r>
    <x v="6"/>
    <x v="2"/>
    <x v="44"/>
    <x v="1"/>
    <x v="1"/>
    <x v="0"/>
    <n v="19.5"/>
    <n v="20.73"/>
    <n v="1.01"/>
    <n v="18.07"/>
  </r>
  <r>
    <x v="6"/>
    <x v="2"/>
    <x v="44"/>
    <x v="3"/>
    <x v="4"/>
    <x v="0"/>
    <n v="7.48"/>
    <n v="7.95"/>
    <n v="1.79"/>
    <n v="7.11"/>
  </r>
  <r>
    <x v="6"/>
    <x v="2"/>
    <x v="44"/>
    <x v="1"/>
    <x v="4"/>
    <x v="0"/>
    <n v="130.34"/>
    <n v="138.57"/>
    <n v="23.5"/>
    <n v="120.48"/>
  </r>
  <r>
    <x v="6"/>
    <x v="2"/>
    <x v="44"/>
    <x v="1"/>
    <x v="0"/>
    <x v="0"/>
    <n v="7.07"/>
    <n v="7.52"/>
    <n v="3.42"/>
    <n v="6.64"/>
  </r>
  <r>
    <x v="6"/>
    <x v="4"/>
    <x v="45"/>
    <x v="4"/>
    <x v="1"/>
    <x v="1"/>
    <n v="0.31"/>
    <n v="0.34"/>
    <n v="0.01"/>
    <n v="0.26"/>
  </r>
  <r>
    <x v="6"/>
    <x v="4"/>
    <x v="45"/>
    <x v="4"/>
    <x v="4"/>
    <x v="1"/>
    <n v="0.16"/>
    <n v="0.17"/>
    <n v="0.01"/>
    <n v="0.13"/>
  </r>
  <r>
    <x v="6"/>
    <x v="4"/>
    <x v="45"/>
    <x v="4"/>
    <x v="0"/>
    <x v="1"/>
    <n v="0.57999999999999996"/>
    <n v="0.63"/>
    <n v="0.06"/>
    <n v="0.49"/>
  </r>
  <r>
    <x v="6"/>
    <x v="4"/>
    <x v="45"/>
    <x v="2"/>
    <x v="3"/>
    <x v="3"/>
    <n v="8.08"/>
    <n v="8.77"/>
    <n v="0.01"/>
    <n v="8.08"/>
  </r>
  <r>
    <x v="6"/>
    <x v="4"/>
    <x v="45"/>
    <x v="2"/>
    <x v="3"/>
    <x v="2"/>
    <n v="0.22"/>
    <n v="0.24"/>
    <n v="0"/>
    <n v="0.22"/>
  </r>
  <r>
    <x v="6"/>
    <x v="4"/>
    <x v="45"/>
    <x v="1"/>
    <x v="1"/>
    <x v="2"/>
    <n v="0.16"/>
    <n v="0.18"/>
    <n v="0"/>
    <n v="0.14000000000000001"/>
  </r>
  <r>
    <x v="6"/>
    <x v="4"/>
    <x v="45"/>
    <x v="1"/>
    <x v="4"/>
    <x v="2"/>
    <n v="1.03"/>
    <n v="1.1200000000000001"/>
    <n v="0.03"/>
    <n v="0.87"/>
  </r>
  <r>
    <x v="6"/>
    <x v="4"/>
    <x v="45"/>
    <x v="4"/>
    <x v="1"/>
    <x v="2"/>
    <n v="0.22"/>
    <n v="0.24"/>
    <n v="0.01"/>
    <n v="0.18"/>
  </r>
  <r>
    <x v="6"/>
    <x v="4"/>
    <x v="45"/>
    <x v="4"/>
    <x v="2"/>
    <x v="2"/>
    <n v="1.19"/>
    <n v="1.3"/>
    <n v="0.02"/>
    <n v="1"/>
  </r>
  <r>
    <x v="6"/>
    <x v="4"/>
    <x v="45"/>
    <x v="1"/>
    <x v="0"/>
    <x v="1"/>
    <n v="3.88"/>
    <n v="4.21"/>
    <n v="0.13"/>
    <n v="3.23"/>
  </r>
  <r>
    <x v="6"/>
    <x v="4"/>
    <x v="45"/>
    <x v="1"/>
    <x v="4"/>
    <x v="1"/>
    <n v="2.19"/>
    <n v="2.38"/>
    <n v="0.05"/>
    <n v="1.9"/>
  </r>
  <r>
    <x v="6"/>
    <x v="4"/>
    <x v="45"/>
    <x v="4"/>
    <x v="1"/>
    <x v="0"/>
    <n v="19.46"/>
    <n v="21.14"/>
    <n v="0.85"/>
    <n v="16.72"/>
  </r>
  <r>
    <x v="6"/>
    <x v="4"/>
    <x v="45"/>
    <x v="1"/>
    <x v="2"/>
    <x v="1"/>
    <n v="8.69"/>
    <n v="9.44"/>
    <n v="0.03"/>
    <n v="7.24"/>
  </r>
  <r>
    <x v="6"/>
    <x v="4"/>
    <x v="45"/>
    <x v="1"/>
    <x v="3"/>
    <x v="1"/>
    <n v="0.11"/>
    <n v="0.12"/>
    <n v="0"/>
    <n v="0.09"/>
  </r>
  <r>
    <x v="6"/>
    <x v="4"/>
    <x v="45"/>
    <x v="2"/>
    <x v="3"/>
    <x v="1"/>
    <n v="1.3"/>
    <n v="1.41"/>
    <n v="0"/>
    <n v="1.0900000000000001"/>
  </r>
  <r>
    <x v="6"/>
    <x v="4"/>
    <x v="45"/>
    <x v="3"/>
    <x v="0"/>
    <x v="0"/>
    <n v="0.57999999999999996"/>
    <n v="0.63"/>
    <n v="0.45"/>
    <n v="0.56999999999999995"/>
  </r>
  <r>
    <x v="6"/>
    <x v="4"/>
    <x v="45"/>
    <x v="3"/>
    <x v="4"/>
    <x v="0"/>
    <n v="4.12"/>
    <n v="4.47"/>
    <n v="2.09"/>
    <n v="3.99"/>
  </r>
  <r>
    <x v="6"/>
    <x v="4"/>
    <x v="45"/>
    <x v="4"/>
    <x v="4"/>
    <x v="0"/>
    <n v="16.399999999999999"/>
    <n v="17.809999999999999"/>
    <n v="2.14"/>
    <n v="14.38"/>
  </r>
  <r>
    <x v="6"/>
    <x v="4"/>
    <x v="45"/>
    <x v="1"/>
    <x v="1"/>
    <x v="1"/>
    <n v="8.92"/>
    <n v="9.69"/>
    <n v="0.09"/>
    <n v="7.43"/>
  </r>
  <r>
    <x v="6"/>
    <x v="4"/>
    <x v="45"/>
    <x v="1"/>
    <x v="2"/>
    <x v="0"/>
    <n v="1"/>
    <n v="1.08"/>
    <n v="0.01"/>
    <n v="0.84"/>
  </r>
  <r>
    <x v="6"/>
    <x v="4"/>
    <x v="45"/>
    <x v="0"/>
    <x v="0"/>
    <x v="0"/>
    <n v="0.97"/>
    <n v="1.06"/>
    <n v="0.76"/>
    <n v="0.83"/>
  </r>
  <r>
    <x v="6"/>
    <x v="4"/>
    <x v="45"/>
    <x v="2"/>
    <x v="0"/>
    <x v="0"/>
    <n v="15.11"/>
    <n v="16.420000000000002"/>
    <n v="9.57"/>
    <n v="13.44"/>
  </r>
  <r>
    <x v="6"/>
    <x v="4"/>
    <x v="45"/>
    <x v="1"/>
    <x v="1"/>
    <x v="0"/>
    <n v="11.59"/>
    <n v="12.59"/>
    <n v="0.69"/>
    <n v="10.11"/>
  </r>
  <r>
    <x v="6"/>
    <x v="4"/>
    <x v="45"/>
    <x v="1"/>
    <x v="4"/>
    <x v="0"/>
    <n v="134.01"/>
    <n v="145.56"/>
    <n v="34.56"/>
    <n v="121.28"/>
  </r>
  <r>
    <x v="6"/>
    <x v="4"/>
    <x v="45"/>
    <x v="1"/>
    <x v="0"/>
    <x v="0"/>
    <n v="8.41"/>
    <n v="9.1300000000000008"/>
    <n v="5.62"/>
    <n v="7.67"/>
  </r>
  <r>
    <x v="6"/>
    <x v="4"/>
    <x v="45"/>
    <x v="0"/>
    <x v="2"/>
    <x v="0"/>
    <n v="0.7"/>
    <n v="0.76"/>
    <n v="0.01"/>
    <n v="0.7"/>
  </r>
  <r>
    <x v="6"/>
    <x v="4"/>
    <x v="45"/>
    <x v="0"/>
    <x v="4"/>
    <x v="0"/>
    <n v="6.37"/>
    <n v="6.92"/>
    <n v="2.06"/>
    <n v="5.64"/>
  </r>
  <r>
    <x v="6"/>
    <x v="4"/>
    <x v="45"/>
    <x v="0"/>
    <x v="0"/>
    <x v="1"/>
    <n v="4.54"/>
    <n v="4.93"/>
    <n v="0.1"/>
    <n v="3.78"/>
  </r>
  <r>
    <x v="6"/>
    <x v="4"/>
    <x v="45"/>
    <x v="2"/>
    <x v="4"/>
    <x v="0"/>
    <n v="11.44"/>
    <n v="12.43"/>
    <n v="4.5"/>
    <n v="10.55"/>
  </r>
  <r>
    <x v="6"/>
    <x v="6"/>
    <x v="46"/>
    <x v="2"/>
    <x v="0"/>
    <x v="0"/>
    <n v="4.04"/>
    <n v="4.6399999999999997"/>
    <n v="2.98"/>
    <n v="3.66"/>
  </r>
  <r>
    <x v="6"/>
    <x v="6"/>
    <x v="46"/>
    <x v="0"/>
    <x v="0"/>
    <x v="0"/>
    <n v="1.42"/>
    <n v="1.63"/>
    <n v="0.99"/>
    <n v="1.21"/>
  </r>
  <r>
    <x v="6"/>
    <x v="6"/>
    <x v="46"/>
    <x v="3"/>
    <x v="0"/>
    <x v="0"/>
    <n v="0.02"/>
    <n v="0.02"/>
    <n v="0.01"/>
    <n v="0.02"/>
  </r>
  <r>
    <x v="6"/>
    <x v="6"/>
    <x v="46"/>
    <x v="3"/>
    <x v="4"/>
    <x v="0"/>
    <n v="0.7"/>
    <n v="0.8"/>
    <n v="0.15"/>
    <n v="0.59"/>
  </r>
  <r>
    <x v="6"/>
    <x v="6"/>
    <x v="46"/>
    <x v="4"/>
    <x v="4"/>
    <x v="0"/>
    <n v="16.079999999999998"/>
    <n v="18.47"/>
    <n v="3.11"/>
    <n v="14.12"/>
  </r>
  <r>
    <x v="6"/>
    <x v="6"/>
    <x v="46"/>
    <x v="4"/>
    <x v="1"/>
    <x v="0"/>
    <n v="5.14"/>
    <n v="5.9"/>
    <n v="0.53"/>
    <n v="4.8899999999999997"/>
  </r>
  <r>
    <x v="6"/>
    <x v="6"/>
    <x v="46"/>
    <x v="0"/>
    <x v="4"/>
    <x v="0"/>
    <n v="5.3"/>
    <n v="6.09"/>
    <n v="1.74"/>
    <n v="4.6399999999999997"/>
  </r>
  <r>
    <x v="6"/>
    <x v="6"/>
    <x v="46"/>
    <x v="1"/>
    <x v="0"/>
    <x v="0"/>
    <n v="6.71"/>
    <n v="7.71"/>
    <n v="3.74"/>
    <n v="5.9"/>
  </r>
  <r>
    <x v="6"/>
    <x v="6"/>
    <x v="46"/>
    <x v="1"/>
    <x v="4"/>
    <x v="0"/>
    <n v="96.33"/>
    <n v="110.66"/>
    <n v="22.87"/>
    <n v="88.37"/>
  </r>
  <r>
    <x v="6"/>
    <x v="6"/>
    <x v="46"/>
    <x v="2"/>
    <x v="3"/>
    <x v="1"/>
    <n v="2.04"/>
    <n v="2.34"/>
    <n v="0"/>
    <n v="2.04"/>
  </r>
  <r>
    <x v="6"/>
    <x v="6"/>
    <x v="46"/>
    <x v="1"/>
    <x v="2"/>
    <x v="0"/>
    <n v="1.23"/>
    <n v="1.42"/>
    <n v="0.01"/>
    <n v="1.03"/>
  </r>
  <r>
    <x v="6"/>
    <x v="6"/>
    <x v="46"/>
    <x v="4"/>
    <x v="1"/>
    <x v="1"/>
    <n v="0.21"/>
    <n v="0.24"/>
    <n v="0.01"/>
    <n v="0.17"/>
  </r>
  <r>
    <x v="6"/>
    <x v="6"/>
    <x v="46"/>
    <x v="1"/>
    <x v="1"/>
    <x v="0"/>
    <n v="12.13"/>
    <n v="13.94"/>
    <n v="0.67"/>
    <n v="10.53"/>
  </r>
  <r>
    <x v="6"/>
    <x v="6"/>
    <x v="46"/>
    <x v="2"/>
    <x v="4"/>
    <x v="1"/>
    <n v="0.32"/>
    <n v="0.37"/>
    <n v="0"/>
    <n v="0.32"/>
  </r>
  <r>
    <x v="6"/>
    <x v="6"/>
    <x v="46"/>
    <x v="1"/>
    <x v="3"/>
    <x v="1"/>
    <n v="0.37"/>
    <n v="0.42"/>
    <n v="0"/>
    <n v="0.3"/>
  </r>
  <r>
    <x v="6"/>
    <x v="6"/>
    <x v="46"/>
    <x v="1"/>
    <x v="1"/>
    <x v="1"/>
    <n v="0.73"/>
    <n v="0.84"/>
    <n v="0.02"/>
    <n v="0.61"/>
  </r>
  <r>
    <x v="6"/>
    <x v="6"/>
    <x v="46"/>
    <x v="1"/>
    <x v="4"/>
    <x v="1"/>
    <n v="0.27"/>
    <n v="0.31"/>
    <n v="0.01"/>
    <n v="0.23"/>
  </r>
  <r>
    <x v="6"/>
    <x v="6"/>
    <x v="46"/>
    <x v="4"/>
    <x v="1"/>
    <x v="2"/>
    <n v="0.11"/>
    <n v="0.13"/>
    <n v="0"/>
    <n v="0.09"/>
  </r>
  <r>
    <x v="6"/>
    <x v="6"/>
    <x v="46"/>
    <x v="0"/>
    <x v="0"/>
    <x v="1"/>
    <n v="3"/>
    <n v="3.45"/>
    <n v="7.0000000000000007E-2"/>
    <n v="2.58"/>
  </r>
  <r>
    <x v="6"/>
    <x v="6"/>
    <x v="46"/>
    <x v="4"/>
    <x v="0"/>
    <x v="1"/>
    <n v="0.4"/>
    <n v="0.46"/>
    <n v="0.04"/>
    <n v="0.34"/>
  </r>
  <r>
    <x v="6"/>
    <x v="6"/>
    <x v="46"/>
    <x v="2"/>
    <x v="3"/>
    <x v="3"/>
    <n v="1.94"/>
    <n v="2.23"/>
    <n v="0"/>
    <n v="1.94"/>
  </r>
  <r>
    <x v="6"/>
    <x v="6"/>
    <x v="46"/>
    <x v="2"/>
    <x v="3"/>
    <x v="2"/>
    <n v="0.33"/>
    <n v="0.38"/>
    <n v="0"/>
    <n v="0.28000000000000003"/>
  </r>
  <r>
    <x v="6"/>
    <x v="6"/>
    <x v="46"/>
    <x v="1"/>
    <x v="1"/>
    <x v="2"/>
    <n v="1.52"/>
    <n v="1.75"/>
    <n v="0.02"/>
    <n v="1.27"/>
  </r>
  <r>
    <x v="6"/>
    <x v="6"/>
    <x v="46"/>
    <x v="1"/>
    <x v="4"/>
    <x v="2"/>
    <n v="1.01"/>
    <n v="1.1599999999999999"/>
    <n v="0.03"/>
    <n v="0.84"/>
  </r>
  <r>
    <x v="6"/>
    <x v="6"/>
    <x v="46"/>
    <x v="4"/>
    <x v="2"/>
    <x v="2"/>
    <n v="0.88"/>
    <n v="1.02"/>
    <n v="0.01"/>
    <n v="0.74"/>
  </r>
  <r>
    <x v="6"/>
    <x v="6"/>
    <x v="46"/>
    <x v="2"/>
    <x v="4"/>
    <x v="0"/>
    <n v="2.63"/>
    <n v="3.02"/>
    <n v="0.92"/>
    <n v="2.46"/>
  </r>
  <r>
    <x v="6"/>
    <x v="6"/>
    <x v="46"/>
    <x v="1"/>
    <x v="0"/>
    <x v="1"/>
    <n v="9.85"/>
    <n v="11.32"/>
    <n v="0.28999999999999998"/>
    <n v="8.34"/>
  </r>
  <r>
    <x v="6"/>
    <x v="7"/>
    <x v="47"/>
    <x v="0"/>
    <x v="4"/>
    <x v="0"/>
    <n v="9.4499999999999993"/>
    <n v="15"/>
    <n v="3.2"/>
    <n v="8.8699999999999992"/>
  </r>
  <r>
    <x v="6"/>
    <x v="7"/>
    <x v="47"/>
    <x v="4"/>
    <x v="4"/>
    <x v="2"/>
    <n v="1.27"/>
    <n v="2.0099999999999998"/>
    <n v="0"/>
    <n v="1.1000000000000001"/>
  </r>
  <r>
    <x v="6"/>
    <x v="7"/>
    <x v="47"/>
    <x v="1"/>
    <x v="4"/>
    <x v="2"/>
    <n v="1.44"/>
    <n v="2.29"/>
    <n v="0.01"/>
    <n v="1.25"/>
  </r>
  <r>
    <x v="6"/>
    <x v="7"/>
    <x v="47"/>
    <x v="2"/>
    <x v="3"/>
    <x v="3"/>
    <n v="32.51"/>
    <n v="51.61"/>
    <n v="0.04"/>
    <n v="32.51"/>
  </r>
  <r>
    <x v="6"/>
    <x v="7"/>
    <x v="47"/>
    <x v="4"/>
    <x v="4"/>
    <x v="1"/>
    <n v="0.09"/>
    <n v="0.15"/>
    <n v="0"/>
    <n v="0.09"/>
  </r>
  <r>
    <x v="6"/>
    <x v="7"/>
    <x v="47"/>
    <x v="4"/>
    <x v="1"/>
    <x v="1"/>
    <n v="0.02"/>
    <n v="0.03"/>
    <n v="0"/>
    <n v="0.02"/>
  </r>
  <r>
    <x v="6"/>
    <x v="7"/>
    <x v="47"/>
    <x v="0"/>
    <x v="0"/>
    <x v="1"/>
    <n v="2.1800000000000002"/>
    <n v="3.46"/>
    <n v="0.06"/>
    <n v="2.02"/>
  </r>
  <r>
    <x v="6"/>
    <x v="7"/>
    <x v="47"/>
    <x v="1"/>
    <x v="0"/>
    <x v="1"/>
    <n v="0.94"/>
    <n v="1.49"/>
    <n v="0.04"/>
    <n v="0.87"/>
  </r>
  <r>
    <x v="6"/>
    <x v="7"/>
    <x v="47"/>
    <x v="1"/>
    <x v="4"/>
    <x v="1"/>
    <n v="0.28000000000000003"/>
    <n v="0.44"/>
    <n v="0.01"/>
    <n v="0.26"/>
  </r>
  <r>
    <x v="6"/>
    <x v="7"/>
    <x v="47"/>
    <x v="4"/>
    <x v="1"/>
    <x v="0"/>
    <n v="6.81"/>
    <n v="10.81"/>
    <n v="0.53"/>
    <n v="6.34"/>
  </r>
  <r>
    <x v="6"/>
    <x v="7"/>
    <x v="47"/>
    <x v="1"/>
    <x v="2"/>
    <x v="1"/>
    <n v="4.4400000000000004"/>
    <n v="7.05"/>
    <n v="0.02"/>
    <n v="4.0999999999999996"/>
  </r>
  <r>
    <x v="6"/>
    <x v="7"/>
    <x v="47"/>
    <x v="4"/>
    <x v="4"/>
    <x v="0"/>
    <n v="27.9"/>
    <n v="44.28"/>
    <n v="4.0999999999999996"/>
    <n v="25.87"/>
  </r>
  <r>
    <x v="6"/>
    <x v="7"/>
    <x v="47"/>
    <x v="1"/>
    <x v="0"/>
    <x v="0"/>
    <n v="5.54"/>
    <n v="8.8000000000000007"/>
    <n v="3.6"/>
    <n v="5.2"/>
  </r>
  <r>
    <x v="6"/>
    <x v="7"/>
    <x v="47"/>
    <x v="1"/>
    <x v="4"/>
    <x v="0"/>
    <n v="76.62"/>
    <n v="121.62"/>
    <n v="15.09"/>
    <n v="71.2"/>
  </r>
  <r>
    <x v="6"/>
    <x v="7"/>
    <x v="47"/>
    <x v="1"/>
    <x v="1"/>
    <x v="0"/>
    <n v="12.5"/>
    <n v="19.850000000000001"/>
    <n v="0.78"/>
    <n v="11.55"/>
  </r>
  <r>
    <x v="6"/>
    <x v="7"/>
    <x v="47"/>
    <x v="1"/>
    <x v="2"/>
    <x v="0"/>
    <n v="2.76"/>
    <n v="4.38"/>
    <n v="0.04"/>
    <n v="2.59"/>
  </r>
  <r>
    <x v="6"/>
    <x v="7"/>
    <x v="47"/>
    <x v="2"/>
    <x v="0"/>
    <x v="0"/>
    <n v="2.5099999999999998"/>
    <n v="3.99"/>
    <n v="3.05"/>
    <n v="2.38"/>
  </r>
  <r>
    <x v="6"/>
    <x v="7"/>
    <x v="47"/>
    <x v="2"/>
    <x v="4"/>
    <x v="0"/>
    <n v="1.61"/>
    <n v="2.56"/>
    <n v="0.52"/>
    <n v="1.56"/>
  </r>
  <r>
    <x v="6"/>
    <x v="7"/>
    <x v="47"/>
    <x v="3"/>
    <x v="0"/>
    <x v="0"/>
    <n v="0.3"/>
    <n v="0.48"/>
    <n v="0.06"/>
    <n v="0.28000000000000003"/>
  </r>
  <r>
    <x v="6"/>
    <x v="7"/>
    <x v="47"/>
    <x v="3"/>
    <x v="4"/>
    <x v="0"/>
    <n v="2.2999999999999998"/>
    <n v="3.66"/>
    <n v="0.67"/>
    <n v="2.1800000000000002"/>
  </r>
  <r>
    <x v="6"/>
    <x v="7"/>
    <x v="47"/>
    <x v="1"/>
    <x v="1"/>
    <x v="1"/>
    <n v="1.41"/>
    <n v="2.2400000000000002"/>
    <n v="0.02"/>
    <n v="1.31"/>
  </r>
  <r>
    <x v="6"/>
    <x v="7"/>
    <x v="47"/>
    <x v="0"/>
    <x v="0"/>
    <x v="0"/>
    <n v="8.7799999999999994"/>
    <n v="13.93"/>
    <n v="5.7"/>
    <n v="7.93"/>
  </r>
  <r>
    <x v="6"/>
    <x v="2"/>
    <x v="48"/>
    <x v="4"/>
    <x v="1"/>
    <x v="2"/>
    <n v="0.41"/>
    <n v="0.48"/>
    <n v="0.01"/>
    <n v="0.36"/>
  </r>
  <r>
    <x v="6"/>
    <x v="2"/>
    <x v="48"/>
    <x v="4"/>
    <x v="0"/>
    <x v="1"/>
    <n v="3.47"/>
    <n v="4.01"/>
    <n v="0.28000000000000003"/>
    <n v="3.25"/>
  </r>
  <r>
    <x v="6"/>
    <x v="2"/>
    <x v="48"/>
    <x v="2"/>
    <x v="1"/>
    <x v="3"/>
    <n v="2.88"/>
    <n v="3.33"/>
    <n v="0"/>
    <n v="2.64"/>
  </r>
  <r>
    <x v="6"/>
    <x v="2"/>
    <x v="48"/>
    <x v="2"/>
    <x v="3"/>
    <x v="2"/>
    <n v="25.36"/>
    <n v="29.37"/>
    <n v="0.05"/>
    <n v="22.05"/>
  </r>
  <r>
    <x v="6"/>
    <x v="2"/>
    <x v="48"/>
    <x v="1"/>
    <x v="2"/>
    <x v="2"/>
    <n v="1.74"/>
    <n v="2.02"/>
    <n v="0.01"/>
    <n v="1.55"/>
  </r>
  <r>
    <x v="6"/>
    <x v="2"/>
    <x v="48"/>
    <x v="3"/>
    <x v="0"/>
    <x v="0"/>
    <n v="17.55"/>
    <n v="20.329999999999998"/>
    <n v="10.67"/>
    <n v="17.18"/>
  </r>
  <r>
    <x v="6"/>
    <x v="2"/>
    <x v="48"/>
    <x v="4"/>
    <x v="2"/>
    <x v="2"/>
    <n v="0.85"/>
    <n v="0.98"/>
    <n v="0.01"/>
    <n v="0.74"/>
  </r>
  <r>
    <x v="6"/>
    <x v="2"/>
    <x v="48"/>
    <x v="4"/>
    <x v="4"/>
    <x v="1"/>
    <n v="0.46"/>
    <n v="0.54"/>
    <n v="0.01"/>
    <n v="0.42"/>
  </r>
  <r>
    <x v="6"/>
    <x v="2"/>
    <x v="48"/>
    <x v="0"/>
    <x v="0"/>
    <x v="0"/>
    <n v="11.27"/>
    <n v="13.06"/>
    <n v="6.39"/>
    <n v="10.35"/>
  </r>
  <r>
    <x v="6"/>
    <x v="2"/>
    <x v="48"/>
    <x v="2"/>
    <x v="4"/>
    <x v="0"/>
    <n v="22.77"/>
    <n v="26.37"/>
    <n v="2.15"/>
    <n v="21.35"/>
  </r>
  <r>
    <x v="6"/>
    <x v="2"/>
    <x v="48"/>
    <x v="2"/>
    <x v="0"/>
    <x v="0"/>
    <n v="20.03"/>
    <n v="23.2"/>
    <n v="10.36"/>
    <n v="19.149999999999999"/>
  </r>
  <r>
    <x v="6"/>
    <x v="2"/>
    <x v="48"/>
    <x v="1"/>
    <x v="1"/>
    <x v="0"/>
    <n v="122.79"/>
    <n v="142.22999999999999"/>
    <n v="9.48"/>
    <n v="115.84"/>
  </r>
  <r>
    <x v="6"/>
    <x v="2"/>
    <x v="48"/>
    <x v="1"/>
    <x v="4"/>
    <x v="0"/>
    <n v="836.56"/>
    <n v="969"/>
    <n v="145.05000000000001"/>
    <n v="789.83"/>
  </r>
  <r>
    <x v="6"/>
    <x v="2"/>
    <x v="48"/>
    <x v="1"/>
    <x v="0"/>
    <x v="0"/>
    <n v="34.22"/>
    <n v="39.64"/>
    <n v="19.37"/>
    <n v="32.94"/>
  </r>
  <r>
    <x v="6"/>
    <x v="2"/>
    <x v="48"/>
    <x v="1"/>
    <x v="4"/>
    <x v="2"/>
    <n v="3.44"/>
    <n v="3.98"/>
    <n v="0.08"/>
    <n v="2.99"/>
  </r>
  <r>
    <x v="6"/>
    <x v="2"/>
    <x v="48"/>
    <x v="1"/>
    <x v="3"/>
    <x v="1"/>
    <n v="0.71"/>
    <n v="0.82"/>
    <n v="0.01"/>
    <n v="0.71"/>
  </r>
  <r>
    <x v="6"/>
    <x v="2"/>
    <x v="48"/>
    <x v="4"/>
    <x v="2"/>
    <x v="0"/>
    <n v="3.04"/>
    <n v="3.52"/>
    <n v="0"/>
    <n v="2.8"/>
  </r>
  <r>
    <x v="6"/>
    <x v="2"/>
    <x v="48"/>
    <x v="4"/>
    <x v="3"/>
    <x v="0"/>
    <n v="2.25"/>
    <n v="2.61"/>
    <n v="0"/>
    <n v="2.08"/>
  </r>
  <r>
    <x v="6"/>
    <x v="2"/>
    <x v="48"/>
    <x v="4"/>
    <x v="4"/>
    <x v="2"/>
    <n v="1.85"/>
    <n v="2.14"/>
    <n v="0.04"/>
    <n v="1.61"/>
  </r>
  <r>
    <x v="6"/>
    <x v="2"/>
    <x v="48"/>
    <x v="4"/>
    <x v="4"/>
    <x v="0"/>
    <n v="305.75"/>
    <n v="354.15"/>
    <n v="33.619999999999997"/>
    <n v="286.07"/>
  </r>
  <r>
    <x v="6"/>
    <x v="2"/>
    <x v="48"/>
    <x v="2"/>
    <x v="3"/>
    <x v="3"/>
    <n v="48.19"/>
    <n v="55.82"/>
    <n v="0.03"/>
    <n v="48.19"/>
  </r>
  <r>
    <x v="6"/>
    <x v="2"/>
    <x v="48"/>
    <x v="3"/>
    <x v="4"/>
    <x v="0"/>
    <n v="120"/>
    <n v="139"/>
    <n v="25.54"/>
    <n v="112.49"/>
  </r>
  <r>
    <x v="6"/>
    <x v="2"/>
    <x v="48"/>
    <x v="4"/>
    <x v="1"/>
    <x v="0"/>
    <n v="42.64"/>
    <n v="49.39"/>
    <n v="2.29"/>
    <n v="39.57"/>
  </r>
  <r>
    <x v="6"/>
    <x v="2"/>
    <x v="48"/>
    <x v="0"/>
    <x v="4"/>
    <x v="0"/>
    <n v="54.47"/>
    <n v="63.09"/>
    <n v="15.76"/>
    <n v="51.63"/>
  </r>
  <r>
    <x v="6"/>
    <x v="2"/>
    <x v="48"/>
    <x v="2"/>
    <x v="3"/>
    <x v="1"/>
    <n v="6.35"/>
    <n v="7.35"/>
    <n v="0.02"/>
    <n v="6.35"/>
  </r>
  <r>
    <x v="6"/>
    <x v="2"/>
    <x v="48"/>
    <x v="1"/>
    <x v="2"/>
    <x v="1"/>
    <n v="57.59"/>
    <n v="66.709999999999994"/>
    <n v="0.48"/>
    <n v="54.98"/>
  </r>
  <r>
    <x v="6"/>
    <x v="2"/>
    <x v="48"/>
    <x v="1"/>
    <x v="1"/>
    <x v="1"/>
    <n v="46.01"/>
    <n v="53.29"/>
    <n v="0.75"/>
    <n v="45.25"/>
  </r>
  <r>
    <x v="6"/>
    <x v="2"/>
    <x v="48"/>
    <x v="1"/>
    <x v="4"/>
    <x v="1"/>
    <n v="9.74"/>
    <n v="11.28"/>
    <n v="0.46"/>
    <n v="9.5500000000000007"/>
  </r>
  <r>
    <x v="6"/>
    <x v="2"/>
    <x v="48"/>
    <x v="1"/>
    <x v="0"/>
    <x v="1"/>
    <n v="24.88"/>
    <n v="28.82"/>
    <n v="1.48"/>
    <n v="24.02"/>
  </r>
  <r>
    <x v="6"/>
    <x v="2"/>
    <x v="48"/>
    <x v="0"/>
    <x v="0"/>
    <x v="1"/>
    <n v="14.04"/>
    <n v="16.260000000000002"/>
    <n v="0.37"/>
    <n v="12.65"/>
  </r>
  <r>
    <x v="6"/>
    <x v="2"/>
    <x v="48"/>
    <x v="4"/>
    <x v="1"/>
    <x v="1"/>
    <n v="0.89"/>
    <n v="1.03"/>
    <n v="0.05"/>
    <n v="0.87"/>
  </r>
  <r>
    <x v="6"/>
    <x v="2"/>
    <x v="48"/>
    <x v="1"/>
    <x v="2"/>
    <x v="0"/>
    <n v="14.67"/>
    <n v="17"/>
    <n v="0.17"/>
    <n v="13.12"/>
  </r>
  <r>
    <x v="6"/>
    <x v="3"/>
    <x v="49"/>
    <x v="4"/>
    <x v="1"/>
    <x v="0"/>
    <n v="560.58000000000004"/>
    <n v="560.58000000000004"/>
    <n v="24.45"/>
    <n v="545.13"/>
  </r>
  <r>
    <x v="6"/>
    <x v="3"/>
    <x v="49"/>
    <x v="4"/>
    <x v="0"/>
    <x v="0"/>
    <n v="8.09"/>
    <n v="8.09"/>
    <n v="6.91"/>
    <n v="7.8"/>
  </r>
  <r>
    <x v="6"/>
    <x v="3"/>
    <x v="49"/>
    <x v="4"/>
    <x v="4"/>
    <x v="0"/>
    <n v="3019.82"/>
    <n v="3019.82"/>
    <n v="308.33999999999997"/>
    <n v="2928.04"/>
  </r>
  <r>
    <x v="6"/>
    <x v="3"/>
    <x v="49"/>
    <x v="2"/>
    <x v="2"/>
    <x v="2"/>
    <n v="8.2799999999999994"/>
    <n v="8.2799999999999994"/>
    <n v="0.02"/>
    <n v="7.9"/>
  </r>
  <r>
    <x v="6"/>
    <x v="3"/>
    <x v="49"/>
    <x v="0"/>
    <x v="1"/>
    <x v="1"/>
    <n v="1.1100000000000001"/>
    <n v="1.1100000000000001"/>
    <n v="0.02"/>
    <n v="0.97"/>
  </r>
  <r>
    <x v="6"/>
    <x v="3"/>
    <x v="49"/>
    <x v="0"/>
    <x v="4"/>
    <x v="1"/>
    <n v="0.23"/>
    <n v="0.23"/>
    <n v="0.01"/>
    <n v="0.21"/>
  </r>
  <r>
    <x v="6"/>
    <x v="3"/>
    <x v="49"/>
    <x v="0"/>
    <x v="0"/>
    <x v="1"/>
    <n v="146.01"/>
    <n v="146.01"/>
    <n v="4.8899999999999997"/>
    <n v="133.9"/>
  </r>
  <r>
    <x v="6"/>
    <x v="3"/>
    <x v="49"/>
    <x v="4"/>
    <x v="1"/>
    <x v="1"/>
    <n v="3.6"/>
    <n v="3.6"/>
    <n v="0.22"/>
    <n v="3.22"/>
  </r>
  <r>
    <x v="6"/>
    <x v="3"/>
    <x v="49"/>
    <x v="4"/>
    <x v="4"/>
    <x v="1"/>
    <n v="0.66"/>
    <n v="0.66"/>
    <n v="0.04"/>
    <n v="0.61"/>
  </r>
  <r>
    <x v="6"/>
    <x v="3"/>
    <x v="49"/>
    <x v="4"/>
    <x v="0"/>
    <x v="1"/>
    <n v="11.66"/>
    <n v="11.66"/>
    <n v="1.95"/>
    <n v="10.220000000000001"/>
  </r>
  <r>
    <x v="6"/>
    <x v="3"/>
    <x v="49"/>
    <x v="2"/>
    <x v="3"/>
    <x v="3"/>
    <n v="1630.25"/>
    <n v="1630.25"/>
    <n v="0.89"/>
    <n v="1464.58"/>
  </r>
  <r>
    <x v="6"/>
    <x v="3"/>
    <x v="49"/>
    <x v="4"/>
    <x v="3"/>
    <x v="0"/>
    <n v="26.97"/>
    <n v="26.97"/>
    <n v="0.16"/>
    <n v="25.02"/>
  </r>
  <r>
    <x v="6"/>
    <x v="3"/>
    <x v="49"/>
    <x v="2"/>
    <x v="3"/>
    <x v="2"/>
    <n v="90.18"/>
    <n v="90.18"/>
    <n v="0.08"/>
    <n v="85.24"/>
  </r>
  <r>
    <x v="6"/>
    <x v="3"/>
    <x v="49"/>
    <x v="1"/>
    <x v="1"/>
    <x v="1"/>
    <n v="282.07"/>
    <n v="282.07"/>
    <n v="4.42"/>
    <n v="254.72"/>
  </r>
  <r>
    <x v="6"/>
    <x v="3"/>
    <x v="49"/>
    <x v="2"/>
    <x v="1"/>
    <x v="2"/>
    <n v="8.64"/>
    <n v="8.64"/>
    <n v="0.01"/>
    <n v="8.25"/>
  </r>
  <r>
    <x v="6"/>
    <x v="3"/>
    <x v="49"/>
    <x v="1"/>
    <x v="2"/>
    <x v="2"/>
    <n v="0.71"/>
    <n v="0.71"/>
    <n v="0.03"/>
    <n v="0.64"/>
  </r>
  <r>
    <x v="6"/>
    <x v="3"/>
    <x v="49"/>
    <x v="1"/>
    <x v="1"/>
    <x v="2"/>
    <n v="0.88"/>
    <n v="0.88"/>
    <n v="0.04"/>
    <n v="0.8"/>
  </r>
  <r>
    <x v="6"/>
    <x v="3"/>
    <x v="49"/>
    <x v="1"/>
    <x v="4"/>
    <x v="2"/>
    <n v="14.8"/>
    <n v="14.8"/>
    <n v="0.63"/>
    <n v="13.41"/>
  </r>
  <r>
    <x v="6"/>
    <x v="3"/>
    <x v="49"/>
    <x v="4"/>
    <x v="2"/>
    <x v="2"/>
    <n v="2.54"/>
    <n v="2.54"/>
    <n v="0.02"/>
    <n v="2.2999999999999998"/>
  </r>
  <r>
    <x v="6"/>
    <x v="3"/>
    <x v="49"/>
    <x v="4"/>
    <x v="1"/>
    <x v="2"/>
    <n v="5.63"/>
    <n v="5.63"/>
    <n v="0.05"/>
    <n v="5.0999999999999996"/>
  </r>
  <r>
    <x v="6"/>
    <x v="3"/>
    <x v="49"/>
    <x v="4"/>
    <x v="4"/>
    <x v="2"/>
    <n v="32.51"/>
    <n v="32.51"/>
    <n v="0.88"/>
    <n v="29.45"/>
  </r>
  <r>
    <x v="6"/>
    <x v="3"/>
    <x v="49"/>
    <x v="2"/>
    <x v="1"/>
    <x v="3"/>
    <n v="44.12"/>
    <n v="44.12"/>
    <n v="0.01"/>
    <n v="44.12"/>
  </r>
  <r>
    <x v="6"/>
    <x v="3"/>
    <x v="49"/>
    <x v="2"/>
    <x v="4"/>
    <x v="0"/>
    <n v="346.14"/>
    <n v="346.14"/>
    <n v="88.6"/>
    <n v="340.8"/>
  </r>
  <r>
    <x v="6"/>
    <x v="3"/>
    <x v="49"/>
    <x v="0"/>
    <x v="0"/>
    <x v="0"/>
    <n v="61.88"/>
    <n v="61.88"/>
    <n v="17.18"/>
    <n v="57.5"/>
  </r>
  <r>
    <x v="6"/>
    <x v="3"/>
    <x v="49"/>
    <x v="0"/>
    <x v="4"/>
    <x v="0"/>
    <n v="396.68"/>
    <n v="396.68"/>
    <n v="161.21"/>
    <n v="384.14"/>
  </r>
  <r>
    <x v="6"/>
    <x v="3"/>
    <x v="49"/>
    <x v="1"/>
    <x v="0"/>
    <x v="0"/>
    <n v="462.12"/>
    <n v="462.12"/>
    <n v="361.49"/>
    <n v="447.79"/>
  </r>
  <r>
    <x v="6"/>
    <x v="3"/>
    <x v="49"/>
    <x v="1"/>
    <x v="4"/>
    <x v="0"/>
    <n v="7334.48"/>
    <n v="7334.48"/>
    <n v="1389.95"/>
    <n v="7055.44"/>
  </r>
  <r>
    <x v="6"/>
    <x v="3"/>
    <x v="49"/>
    <x v="1"/>
    <x v="1"/>
    <x v="0"/>
    <n v="1161.1400000000001"/>
    <n v="1161.1400000000001"/>
    <n v="98.95"/>
    <n v="1117.22"/>
  </r>
  <r>
    <x v="6"/>
    <x v="3"/>
    <x v="49"/>
    <x v="1"/>
    <x v="0"/>
    <x v="1"/>
    <n v="136.86000000000001"/>
    <n v="136.86000000000001"/>
    <n v="7.29"/>
    <n v="123.32"/>
  </r>
  <r>
    <x v="6"/>
    <x v="3"/>
    <x v="49"/>
    <x v="2"/>
    <x v="0"/>
    <x v="0"/>
    <n v="194.09"/>
    <n v="194.09"/>
    <n v="149.02000000000001"/>
    <n v="187.53"/>
  </r>
  <r>
    <x v="6"/>
    <x v="3"/>
    <x v="49"/>
    <x v="1"/>
    <x v="4"/>
    <x v="1"/>
    <n v="28.69"/>
    <n v="28.69"/>
    <n v="1.1100000000000001"/>
    <n v="25.63"/>
  </r>
  <r>
    <x v="6"/>
    <x v="3"/>
    <x v="49"/>
    <x v="3"/>
    <x v="1"/>
    <x v="0"/>
    <n v="1.57"/>
    <n v="1.57"/>
    <n v="0.38"/>
    <n v="1.57"/>
  </r>
  <r>
    <x v="6"/>
    <x v="3"/>
    <x v="49"/>
    <x v="3"/>
    <x v="4"/>
    <x v="0"/>
    <n v="5337.71"/>
    <n v="5337.71"/>
    <n v="1775.53"/>
    <n v="5266.19"/>
  </r>
  <r>
    <x v="6"/>
    <x v="3"/>
    <x v="49"/>
    <x v="3"/>
    <x v="0"/>
    <x v="0"/>
    <n v="243.46"/>
    <n v="243.46"/>
    <n v="198.67"/>
    <n v="232.15"/>
  </r>
  <r>
    <x v="6"/>
    <x v="3"/>
    <x v="49"/>
    <x v="2"/>
    <x v="3"/>
    <x v="1"/>
    <n v="18.809999999999999"/>
    <n v="18.809999999999999"/>
    <n v="0.03"/>
    <n v="17.739999999999998"/>
  </r>
  <r>
    <x v="6"/>
    <x v="3"/>
    <x v="49"/>
    <x v="2"/>
    <x v="4"/>
    <x v="1"/>
    <n v="3.72"/>
    <n v="3.72"/>
    <n v="0.02"/>
    <n v="3.55"/>
  </r>
  <r>
    <x v="6"/>
    <x v="3"/>
    <x v="49"/>
    <x v="1"/>
    <x v="3"/>
    <x v="1"/>
    <n v="4.71"/>
    <n v="4.71"/>
    <n v="0.03"/>
    <n v="4.13"/>
  </r>
  <r>
    <x v="6"/>
    <x v="3"/>
    <x v="49"/>
    <x v="1"/>
    <x v="2"/>
    <x v="1"/>
    <n v="331.78"/>
    <n v="331.78"/>
    <n v="1.45"/>
    <n v="302.22000000000003"/>
  </r>
  <r>
    <x v="6"/>
    <x v="3"/>
    <x v="49"/>
    <x v="4"/>
    <x v="2"/>
    <x v="0"/>
    <n v="31.7"/>
    <n v="31.7"/>
    <n v="0.66"/>
    <n v="29.63"/>
  </r>
  <r>
    <x v="6"/>
    <x v="3"/>
    <x v="49"/>
    <x v="1"/>
    <x v="2"/>
    <x v="0"/>
    <n v="249.91"/>
    <n v="249.91"/>
    <n v="1.94"/>
    <n v="228.39"/>
  </r>
  <r>
    <x v="7"/>
    <x v="0"/>
    <x v="0"/>
    <x v="1"/>
    <x v="2"/>
    <x v="1"/>
    <n v="13.09"/>
    <n v="39.57"/>
    <n v="0.03"/>
    <n v="12.48"/>
  </r>
  <r>
    <x v="7"/>
    <x v="0"/>
    <x v="0"/>
    <x v="2"/>
    <x v="4"/>
    <x v="0"/>
    <n v="1.32"/>
    <n v="3.99"/>
    <n v="0.38"/>
    <n v="1.29"/>
  </r>
  <r>
    <x v="7"/>
    <x v="0"/>
    <x v="0"/>
    <x v="0"/>
    <x v="0"/>
    <x v="1"/>
    <n v="2.25"/>
    <n v="6.81"/>
    <n v="0.03"/>
    <n v="2.15"/>
  </r>
  <r>
    <x v="7"/>
    <x v="0"/>
    <x v="0"/>
    <x v="3"/>
    <x v="0"/>
    <x v="0"/>
    <n v="0.12"/>
    <n v="0.37"/>
    <n v="0.05"/>
    <n v="0.12"/>
  </r>
  <r>
    <x v="7"/>
    <x v="0"/>
    <x v="0"/>
    <x v="2"/>
    <x v="0"/>
    <x v="0"/>
    <n v="2.17"/>
    <n v="6.55"/>
    <n v="1.97"/>
    <n v="2.0499999999999998"/>
  </r>
  <r>
    <x v="7"/>
    <x v="0"/>
    <x v="0"/>
    <x v="4"/>
    <x v="4"/>
    <x v="2"/>
    <n v="0.06"/>
    <n v="0.19"/>
    <n v="0"/>
    <n v="0.06"/>
  </r>
  <r>
    <x v="7"/>
    <x v="0"/>
    <x v="0"/>
    <x v="4"/>
    <x v="1"/>
    <x v="2"/>
    <n v="0.04"/>
    <n v="0.11"/>
    <n v="0"/>
    <n v="0.03"/>
  </r>
  <r>
    <x v="7"/>
    <x v="0"/>
    <x v="0"/>
    <x v="4"/>
    <x v="2"/>
    <x v="2"/>
    <n v="0.02"/>
    <n v="0.05"/>
    <n v="0"/>
    <n v="0.02"/>
  </r>
  <r>
    <x v="7"/>
    <x v="0"/>
    <x v="0"/>
    <x v="1"/>
    <x v="4"/>
    <x v="2"/>
    <n v="0.14000000000000001"/>
    <n v="0.43"/>
    <n v="0.01"/>
    <n v="0.13"/>
  </r>
  <r>
    <x v="7"/>
    <x v="0"/>
    <x v="0"/>
    <x v="2"/>
    <x v="3"/>
    <x v="3"/>
    <n v="23.6"/>
    <n v="71.33"/>
    <n v="0.01"/>
    <n v="22.98"/>
  </r>
  <r>
    <x v="7"/>
    <x v="0"/>
    <x v="0"/>
    <x v="4"/>
    <x v="1"/>
    <x v="1"/>
    <n v="0.02"/>
    <n v="0.06"/>
    <n v="0"/>
    <n v="0.02"/>
  </r>
  <r>
    <x v="7"/>
    <x v="0"/>
    <x v="0"/>
    <x v="0"/>
    <x v="3"/>
    <x v="1"/>
    <n v="0.03"/>
    <n v="0.09"/>
    <n v="0"/>
    <n v="0.03"/>
  </r>
  <r>
    <x v="7"/>
    <x v="0"/>
    <x v="0"/>
    <x v="1"/>
    <x v="0"/>
    <x v="1"/>
    <n v="1.37"/>
    <n v="4.1500000000000004"/>
    <n v="0.05"/>
    <n v="1.31"/>
  </r>
  <r>
    <x v="7"/>
    <x v="0"/>
    <x v="0"/>
    <x v="1"/>
    <x v="4"/>
    <x v="1"/>
    <n v="0.04"/>
    <n v="0.13"/>
    <n v="0"/>
    <n v="0.04"/>
  </r>
  <r>
    <x v="7"/>
    <x v="0"/>
    <x v="0"/>
    <x v="1"/>
    <x v="1"/>
    <x v="1"/>
    <n v="5.09"/>
    <n v="15.38"/>
    <n v="0.14000000000000001"/>
    <n v="4.8"/>
  </r>
  <r>
    <x v="7"/>
    <x v="0"/>
    <x v="0"/>
    <x v="0"/>
    <x v="4"/>
    <x v="0"/>
    <n v="3.56"/>
    <n v="10.76"/>
    <n v="1.28"/>
    <n v="3.44"/>
  </r>
  <r>
    <x v="7"/>
    <x v="0"/>
    <x v="0"/>
    <x v="4"/>
    <x v="0"/>
    <x v="1"/>
    <n v="0.28999999999999998"/>
    <n v="0.88"/>
    <n v="0.02"/>
    <n v="0.27"/>
  </r>
  <r>
    <x v="7"/>
    <x v="0"/>
    <x v="0"/>
    <x v="1"/>
    <x v="4"/>
    <x v="0"/>
    <n v="43.08"/>
    <n v="130.19999999999999"/>
    <n v="6.24"/>
    <n v="41.47"/>
  </r>
  <r>
    <x v="7"/>
    <x v="0"/>
    <x v="0"/>
    <x v="1"/>
    <x v="0"/>
    <x v="0"/>
    <n v="2.88"/>
    <n v="8.6999999999999993"/>
    <n v="1.42"/>
    <n v="2.77"/>
  </r>
  <r>
    <x v="7"/>
    <x v="0"/>
    <x v="0"/>
    <x v="1"/>
    <x v="1"/>
    <x v="0"/>
    <n v="4.68"/>
    <n v="14.15"/>
    <n v="0.25"/>
    <n v="4.45"/>
  </r>
  <r>
    <x v="7"/>
    <x v="0"/>
    <x v="0"/>
    <x v="0"/>
    <x v="0"/>
    <x v="0"/>
    <n v="0.84"/>
    <n v="2.5299999999999998"/>
    <n v="1.93"/>
    <n v="0.79"/>
  </r>
  <r>
    <x v="7"/>
    <x v="0"/>
    <x v="0"/>
    <x v="1"/>
    <x v="2"/>
    <x v="0"/>
    <n v="5.47"/>
    <n v="16.53"/>
    <n v="0.09"/>
    <n v="5.16"/>
  </r>
  <r>
    <x v="7"/>
    <x v="0"/>
    <x v="0"/>
    <x v="4"/>
    <x v="1"/>
    <x v="0"/>
    <n v="7.04"/>
    <n v="21.27"/>
    <n v="0.56000000000000005"/>
    <n v="6.95"/>
  </r>
  <r>
    <x v="7"/>
    <x v="0"/>
    <x v="0"/>
    <x v="4"/>
    <x v="4"/>
    <x v="0"/>
    <n v="6.85"/>
    <n v="20.71"/>
    <n v="1.33"/>
    <n v="6.63"/>
  </r>
  <r>
    <x v="7"/>
    <x v="0"/>
    <x v="0"/>
    <x v="3"/>
    <x v="4"/>
    <x v="0"/>
    <n v="0.56000000000000005"/>
    <n v="1.69"/>
    <n v="0.19"/>
    <n v="0.54"/>
  </r>
  <r>
    <x v="7"/>
    <x v="0"/>
    <x v="0"/>
    <x v="2"/>
    <x v="4"/>
    <x v="1"/>
    <n v="0.37"/>
    <n v="1.1100000000000001"/>
    <n v="0"/>
    <n v="0.37"/>
  </r>
  <r>
    <x v="7"/>
    <x v="1"/>
    <x v="1"/>
    <x v="3"/>
    <x v="4"/>
    <x v="0"/>
    <n v="46.7"/>
    <n v="58.81"/>
    <n v="5.37"/>
    <n v="40.24"/>
  </r>
  <r>
    <x v="7"/>
    <x v="1"/>
    <x v="1"/>
    <x v="4"/>
    <x v="2"/>
    <x v="2"/>
    <n v="1.24"/>
    <n v="1.56"/>
    <n v="0.01"/>
    <n v="1.24"/>
  </r>
  <r>
    <x v="7"/>
    <x v="1"/>
    <x v="1"/>
    <x v="2"/>
    <x v="3"/>
    <x v="3"/>
    <n v="21"/>
    <n v="26.45"/>
    <n v="0.01"/>
    <n v="20.63"/>
  </r>
  <r>
    <x v="7"/>
    <x v="1"/>
    <x v="1"/>
    <x v="4"/>
    <x v="1"/>
    <x v="1"/>
    <n v="0.8"/>
    <n v="1"/>
    <n v="0.03"/>
    <n v="0.68"/>
  </r>
  <r>
    <x v="7"/>
    <x v="1"/>
    <x v="1"/>
    <x v="0"/>
    <x v="0"/>
    <x v="1"/>
    <n v="5.52"/>
    <n v="6.95"/>
    <n v="0.15"/>
    <n v="4.87"/>
  </r>
  <r>
    <x v="7"/>
    <x v="1"/>
    <x v="1"/>
    <x v="0"/>
    <x v="4"/>
    <x v="1"/>
    <n v="0.08"/>
    <n v="0.1"/>
    <n v="0"/>
    <n v="0.08"/>
  </r>
  <r>
    <x v="7"/>
    <x v="1"/>
    <x v="1"/>
    <x v="0"/>
    <x v="1"/>
    <x v="1"/>
    <n v="0.03"/>
    <n v="0.03"/>
    <n v="0"/>
    <n v="0.03"/>
  </r>
  <r>
    <x v="7"/>
    <x v="1"/>
    <x v="1"/>
    <x v="1"/>
    <x v="0"/>
    <x v="1"/>
    <n v="4.51"/>
    <n v="5.68"/>
    <n v="0.21"/>
    <n v="3.91"/>
  </r>
  <r>
    <x v="7"/>
    <x v="1"/>
    <x v="1"/>
    <x v="1"/>
    <x v="4"/>
    <x v="1"/>
    <n v="1.62"/>
    <n v="2.04"/>
    <n v="0.04"/>
    <n v="1.38"/>
  </r>
  <r>
    <x v="7"/>
    <x v="1"/>
    <x v="1"/>
    <x v="1"/>
    <x v="1"/>
    <x v="1"/>
    <n v="15.17"/>
    <n v="19.100000000000001"/>
    <n v="0.15"/>
    <n v="12.8"/>
  </r>
  <r>
    <x v="7"/>
    <x v="1"/>
    <x v="1"/>
    <x v="1"/>
    <x v="2"/>
    <x v="1"/>
    <n v="22.9"/>
    <n v="28.84"/>
    <n v="0.09"/>
    <n v="19.87"/>
  </r>
  <r>
    <x v="7"/>
    <x v="1"/>
    <x v="1"/>
    <x v="1"/>
    <x v="3"/>
    <x v="1"/>
    <n v="2.06"/>
    <n v="2.6"/>
    <n v="0.03"/>
    <n v="1.76"/>
  </r>
  <r>
    <x v="7"/>
    <x v="1"/>
    <x v="1"/>
    <x v="2"/>
    <x v="4"/>
    <x v="1"/>
    <n v="1.8"/>
    <n v="2.27"/>
    <n v="0.01"/>
    <n v="1.8"/>
  </r>
  <r>
    <x v="7"/>
    <x v="1"/>
    <x v="1"/>
    <x v="4"/>
    <x v="1"/>
    <x v="2"/>
    <n v="0.04"/>
    <n v="0.06"/>
    <n v="0"/>
    <n v="0.04"/>
  </r>
  <r>
    <x v="7"/>
    <x v="1"/>
    <x v="1"/>
    <x v="3"/>
    <x v="0"/>
    <x v="0"/>
    <n v="0.05"/>
    <n v="7.0000000000000007E-2"/>
    <n v="0.01"/>
    <n v="0.04"/>
  </r>
  <r>
    <x v="7"/>
    <x v="1"/>
    <x v="1"/>
    <x v="1"/>
    <x v="4"/>
    <x v="2"/>
    <n v="0.21"/>
    <n v="0.26"/>
    <n v="0.01"/>
    <n v="0.17"/>
  </r>
  <r>
    <x v="7"/>
    <x v="1"/>
    <x v="1"/>
    <x v="4"/>
    <x v="4"/>
    <x v="0"/>
    <n v="111.74"/>
    <n v="140.71"/>
    <n v="12.82"/>
    <n v="97.27"/>
  </r>
  <r>
    <x v="7"/>
    <x v="1"/>
    <x v="1"/>
    <x v="4"/>
    <x v="1"/>
    <x v="0"/>
    <n v="39.6"/>
    <n v="49.87"/>
    <n v="2.0499999999999998"/>
    <n v="33.72"/>
  </r>
  <r>
    <x v="7"/>
    <x v="1"/>
    <x v="1"/>
    <x v="4"/>
    <x v="2"/>
    <x v="0"/>
    <n v="1.17"/>
    <n v="1.48"/>
    <n v="0.01"/>
    <n v="1"/>
  </r>
  <r>
    <x v="7"/>
    <x v="1"/>
    <x v="1"/>
    <x v="4"/>
    <x v="3"/>
    <x v="0"/>
    <n v="1.17"/>
    <n v="1.48"/>
    <n v="0"/>
    <n v="1"/>
  </r>
  <r>
    <x v="7"/>
    <x v="1"/>
    <x v="1"/>
    <x v="0"/>
    <x v="0"/>
    <x v="0"/>
    <n v="6.31"/>
    <n v="7.94"/>
    <n v="3.38"/>
    <n v="5.39"/>
  </r>
  <r>
    <x v="7"/>
    <x v="1"/>
    <x v="1"/>
    <x v="0"/>
    <x v="4"/>
    <x v="0"/>
    <n v="8.69"/>
    <n v="10.94"/>
    <n v="1.96"/>
    <n v="7.53"/>
  </r>
  <r>
    <x v="7"/>
    <x v="1"/>
    <x v="1"/>
    <x v="0"/>
    <x v="2"/>
    <x v="0"/>
    <n v="0.6"/>
    <n v="0.76"/>
    <n v="0.01"/>
    <n v="0.6"/>
  </r>
  <r>
    <x v="7"/>
    <x v="1"/>
    <x v="1"/>
    <x v="1"/>
    <x v="0"/>
    <x v="0"/>
    <n v="2.85"/>
    <n v="3.59"/>
    <n v="2.02"/>
    <n v="2.76"/>
  </r>
  <r>
    <x v="7"/>
    <x v="1"/>
    <x v="1"/>
    <x v="1"/>
    <x v="4"/>
    <x v="0"/>
    <n v="291.33999999999997"/>
    <n v="366.86"/>
    <n v="44.93"/>
    <n v="263.45"/>
  </r>
  <r>
    <x v="7"/>
    <x v="1"/>
    <x v="1"/>
    <x v="1"/>
    <x v="1"/>
    <x v="0"/>
    <n v="79.59"/>
    <n v="100.22"/>
    <n v="4.6100000000000003"/>
    <n v="69.06"/>
  </r>
  <r>
    <x v="7"/>
    <x v="1"/>
    <x v="1"/>
    <x v="1"/>
    <x v="2"/>
    <x v="0"/>
    <n v="57.05"/>
    <n v="71.83"/>
    <n v="0.56999999999999995"/>
    <n v="48.62"/>
  </r>
  <r>
    <x v="7"/>
    <x v="1"/>
    <x v="1"/>
    <x v="2"/>
    <x v="0"/>
    <x v="0"/>
    <n v="3.38"/>
    <n v="4.25"/>
    <n v="3.54"/>
    <n v="3.26"/>
  </r>
  <r>
    <x v="7"/>
    <x v="1"/>
    <x v="1"/>
    <x v="2"/>
    <x v="4"/>
    <x v="0"/>
    <n v="5.2"/>
    <n v="6.55"/>
    <n v="1.88"/>
    <n v="4.96"/>
  </r>
  <r>
    <x v="7"/>
    <x v="1"/>
    <x v="1"/>
    <x v="2"/>
    <x v="3"/>
    <x v="1"/>
    <n v="6.59"/>
    <n v="8.3000000000000007"/>
    <n v="0.03"/>
    <n v="5.62"/>
  </r>
  <r>
    <x v="7"/>
    <x v="1"/>
    <x v="1"/>
    <x v="4"/>
    <x v="0"/>
    <x v="1"/>
    <n v="1.08"/>
    <n v="1.35"/>
    <n v="0.12"/>
    <n v="0.92"/>
  </r>
  <r>
    <x v="7"/>
    <x v="2"/>
    <x v="2"/>
    <x v="1"/>
    <x v="0"/>
    <x v="0"/>
    <n v="5.87"/>
    <n v="6.91"/>
    <n v="2.13"/>
    <n v="5.51"/>
  </r>
  <r>
    <x v="7"/>
    <x v="2"/>
    <x v="2"/>
    <x v="3"/>
    <x v="0"/>
    <x v="0"/>
    <n v="0.33"/>
    <n v="0.39"/>
    <n v="0.1"/>
    <n v="0.31"/>
  </r>
  <r>
    <x v="7"/>
    <x v="2"/>
    <x v="2"/>
    <x v="1"/>
    <x v="2"/>
    <x v="0"/>
    <n v="1.59"/>
    <n v="1.87"/>
    <n v="0.04"/>
    <n v="1.45"/>
  </r>
  <r>
    <x v="7"/>
    <x v="2"/>
    <x v="2"/>
    <x v="1"/>
    <x v="1"/>
    <x v="0"/>
    <n v="10.01"/>
    <n v="11.79"/>
    <n v="0.47"/>
    <n v="9.42"/>
  </r>
  <r>
    <x v="7"/>
    <x v="2"/>
    <x v="2"/>
    <x v="1"/>
    <x v="4"/>
    <x v="0"/>
    <n v="120.2"/>
    <n v="141.58000000000001"/>
    <n v="17.18"/>
    <n v="110.63"/>
  </r>
  <r>
    <x v="7"/>
    <x v="2"/>
    <x v="2"/>
    <x v="2"/>
    <x v="0"/>
    <x v="0"/>
    <n v="3.46"/>
    <n v="4.08"/>
    <n v="1.43"/>
    <n v="3.22"/>
  </r>
  <r>
    <x v="7"/>
    <x v="2"/>
    <x v="2"/>
    <x v="0"/>
    <x v="4"/>
    <x v="0"/>
    <n v="11.25"/>
    <n v="13.25"/>
    <n v="4.1500000000000004"/>
    <n v="10.34"/>
  </r>
  <r>
    <x v="7"/>
    <x v="2"/>
    <x v="2"/>
    <x v="0"/>
    <x v="0"/>
    <x v="0"/>
    <n v="4.18"/>
    <n v="4.92"/>
    <n v="1.65"/>
    <n v="3.82"/>
  </r>
  <r>
    <x v="7"/>
    <x v="2"/>
    <x v="2"/>
    <x v="4"/>
    <x v="1"/>
    <x v="0"/>
    <n v="2.85"/>
    <n v="3.36"/>
    <n v="0.14000000000000001"/>
    <n v="2.63"/>
  </r>
  <r>
    <x v="7"/>
    <x v="2"/>
    <x v="2"/>
    <x v="1"/>
    <x v="0"/>
    <x v="1"/>
    <n v="0.47"/>
    <n v="0.56000000000000005"/>
    <n v="0.02"/>
    <n v="0.43"/>
  </r>
  <r>
    <x v="7"/>
    <x v="2"/>
    <x v="2"/>
    <x v="1"/>
    <x v="1"/>
    <x v="1"/>
    <n v="0.94"/>
    <n v="1.1100000000000001"/>
    <n v="0.01"/>
    <n v="0.85"/>
  </r>
  <r>
    <x v="7"/>
    <x v="2"/>
    <x v="2"/>
    <x v="1"/>
    <x v="2"/>
    <x v="1"/>
    <n v="3.62"/>
    <n v="4.2699999999999996"/>
    <n v="0.02"/>
    <n v="3.29"/>
  </r>
  <r>
    <x v="7"/>
    <x v="2"/>
    <x v="2"/>
    <x v="2"/>
    <x v="4"/>
    <x v="0"/>
    <n v="1.77"/>
    <n v="2.08"/>
    <n v="0.31"/>
    <n v="1.67"/>
  </r>
  <r>
    <x v="7"/>
    <x v="2"/>
    <x v="2"/>
    <x v="4"/>
    <x v="4"/>
    <x v="2"/>
    <n v="0.12"/>
    <n v="0.14000000000000001"/>
    <n v="0.01"/>
    <n v="0.11"/>
  </r>
  <r>
    <x v="7"/>
    <x v="2"/>
    <x v="2"/>
    <x v="4"/>
    <x v="4"/>
    <x v="0"/>
    <n v="35.57"/>
    <n v="41.9"/>
    <n v="3.72"/>
    <n v="32.659999999999997"/>
  </r>
  <r>
    <x v="7"/>
    <x v="2"/>
    <x v="2"/>
    <x v="2"/>
    <x v="3"/>
    <x v="2"/>
    <n v="1.6"/>
    <n v="1.89"/>
    <n v="0"/>
    <n v="1.36"/>
  </r>
  <r>
    <x v="7"/>
    <x v="2"/>
    <x v="2"/>
    <x v="0"/>
    <x v="0"/>
    <x v="1"/>
    <n v="1.07"/>
    <n v="1.26"/>
    <n v="0.03"/>
    <n v="0.97"/>
  </r>
  <r>
    <x v="7"/>
    <x v="2"/>
    <x v="2"/>
    <x v="4"/>
    <x v="1"/>
    <x v="2"/>
    <n v="0.14000000000000001"/>
    <n v="0.16"/>
    <n v="0"/>
    <n v="0.12"/>
  </r>
  <r>
    <x v="7"/>
    <x v="2"/>
    <x v="2"/>
    <x v="4"/>
    <x v="2"/>
    <x v="2"/>
    <n v="0.15"/>
    <n v="0.18"/>
    <n v="0"/>
    <n v="0.13"/>
  </r>
  <r>
    <x v="7"/>
    <x v="2"/>
    <x v="2"/>
    <x v="1"/>
    <x v="4"/>
    <x v="2"/>
    <n v="0.34"/>
    <n v="0.39"/>
    <n v="0.01"/>
    <n v="0.28999999999999998"/>
  </r>
  <r>
    <x v="7"/>
    <x v="2"/>
    <x v="2"/>
    <x v="2"/>
    <x v="1"/>
    <x v="3"/>
    <n v="2.19"/>
    <n v="2.58"/>
    <n v="0"/>
    <n v="2.19"/>
  </r>
  <r>
    <x v="7"/>
    <x v="2"/>
    <x v="2"/>
    <x v="2"/>
    <x v="3"/>
    <x v="3"/>
    <n v="4.33"/>
    <n v="5.0999999999999996"/>
    <n v="0"/>
    <n v="4.33"/>
  </r>
  <r>
    <x v="7"/>
    <x v="2"/>
    <x v="2"/>
    <x v="3"/>
    <x v="4"/>
    <x v="0"/>
    <n v="9.02"/>
    <n v="10.62"/>
    <n v="1.18"/>
    <n v="8.4700000000000006"/>
  </r>
  <r>
    <x v="7"/>
    <x v="2"/>
    <x v="3"/>
    <x v="4"/>
    <x v="4"/>
    <x v="2"/>
    <n v="1.06"/>
    <n v="1.25"/>
    <n v="0.01"/>
    <n v="0.94"/>
  </r>
  <r>
    <x v="7"/>
    <x v="2"/>
    <x v="3"/>
    <x v="2"/>
    <x v="3"/>
    <x v="2"/>
    <n v="10.039999999999999"/>
    <n v="11.83"/>
    <n v="0.03"/>
    <n v="9.82"/>
  </r>
  <r>
    <x v="7"/>
    <x v="2"/>
    <x v="3"/>
    <x v="1"/>
    <x v="4"/>
    <x v="2"/>
    <n v="0.39"/>
    <n v="0.46"/>
    <n v="0.05"/>
    <n v="0.34"/>
  </r>
  <r>
    <x v="7"/>
    <x v="2"/>
    <x v="3"/>
    <x v="4"/>
    <x v="2"/>
    <x v="2"/>
    <n v="0.65"/>
    <n v="0.77"/>
    <n v="0"/>
    <n v="0.56999999999999995"/>
  </r>
  <r>
    <x v="7"/>
    <x v="2"/>
    <x v="3"/>
    <x v="1"/>
    <x v="2"/>
    <x v="0"/>
    <n v="1.52"/>
    <n v="1.79"/>
    <n v="0.01"/>
    <n v="1.4"/>
  </r>
  <r>
    <x v="7"/>
    <x v="2"/>
    <x v="3"/>
    <x v="2"/>
    <x v="1"/>
    <x v="3"/>
    <n v="0.01"/>
    <n v="0.01"/>
    <n v="0"/>
    <n v="0.01"/>
  </r>
  <r>
    <x v="7"/>
    <x v="2"/>
    <x v="3"/>
    <x v="4"/>
    <x v="1"/>
    <x v="2"/>
    <n v="1.3"/>
    <n v="1.54"/>
    <n v="0.01"/>
    <n v="1.1499999999999999"/>
  </r>
  <r>
    <x v="7"/>
    <x v="2"/>
    <x v="3"/>
    <x v="2"/>
    <x v="3"/>
    <x v="3"/>
    <n v="19.79"/>
    <n v="23.3"/>
    <n v="0.01"/>
    <n v="19.649999999999999"/>
  </r>
  <r>
    <x v="7"/>
    <x v="2"/>
    <x v="3"/>
    <x v="0"/>
    <x v="0"/>
    <x v="0"/>
    <n v="3.01"/>
    <n v="3.55"/>
    <n v="1.47"/>
    <n v="2.74"/>
  </r>
  <r>
    <x v="7"/>
    <x v="2"/>
    <x v="3"/>
    <x v="0"/>
    <x v="0"/>
    <x v="1"/>
    <n v="2.3199999999999998"/>
    <n v="2.74"/>
    <n v="7.0000000000000007E-2"/>
    <n v="2.09"/>
  </r>
  <r>
    <x v="7"/>
    <x v="2"/>
    <x v="3"/>
    <x v="2"/>
    <x v="4"/>
    <x v="0"/>
    <n v="1.7"/>
    <n v="2"/>
    <n v="0.26"/>
    <n v="1.59"/>
  </r>
  <r>
    <x v="7"/>
    <x v="2"/>
    <x v="3"/>
    <x v="2"/>
    <x v="0"/>
    <x v="0"/>
    <n v="2.13"/>
    <n v="2.5099999999999998"/>
    <n v="1.06"/>
    <n v="1.99"/>
  </r>
  <r>
    <x v="7"/>
    <x v="2"/>
    <x v="3"/>
    <x v="1"/>
    <x v="1"/>
    <x v="0"/>
    <n v="23.6"/>
    <n v="27.79"/>
    <n v="0.87"/>
    <n v="21.97"/>
  </r>
  <r>
    <x v="7"/>
    <x v="2"/>
    <x v="3"/>
    <x v="1"/>
    <x v="0"/>
    <x v="0"/>
    <n v="4.8899999999999997"/>
    <n v="5.77"/>
    <n v="2.1"/>
    <n v="4.62"/>
  </r>
  <r>
    <x v="7"/>
    <x v="2"/>
    <x v="3"/>
    <x v="1"/>
    <x v="4"/>
    <x v="0"/>
    <n v="105.6"/>
    <n v="124.38"/>
    <n v="15.07"/>
    <n v="98.1"/>
  </r>
  <r>
    <x v="7"/>
    <x v="2"/>
    <x v="3"/>
    <x v="0"/>
    <x v="4"/>
    <x v="0"/>
    <n v="4.8"/>
    <n v="5.65"/>
    <n v="1.72"/>
    <n v="4.45"/>
  </r>
  <r>
    <x v="7"/>
    <x v="2"/>
    <x v="3"/>
    <x v="1"/>
    <x v="0"/>
    <x v="1"/>
    <n v="1.33"/>
    <n v="1.56"/>
    <n v="0.06"/>
    <n v="1.22"/>
  </r>
  <r>
    <x v="7"/>
    <x v="2"/>
    <x v="3"/>
    <x v="4"/>
    <x v="1"/>
    <x v="0"/>
    <n v="6.09"/>
    <n v="7.18"/>
    <n v="0.32"/>
    <n v="5.6"/>
  </r>
  <r>
    <x v="7"/>
    <x v="2"/>
    <x v="3"/>
    <x v="4"/>
    <x v="4"/>
    <x v="0"/>
    <n v="42.56"/>
    <n v="50.13"/>
    <n v="4.13"/>
    <n v="39.270000000000003"/>
  </r>
  <r>
    <x v="7"/>
    <x v="2"/>
    <x v="3"/>
    <x v="3"/>
    <x v="4"/>
    <x v="0"/>
    <n v="6.02"/>
    <n v="7.09"/>
    <n v="0.75"/>
    <n v="5.73"/>
  </r>
  <r>
    <x v="7"/>
    <x v="2"/>
    <x v="3"/>
    <x v="3"/>
    <x v="0"/>
    <x v="0"/>
    <n v="0.3"/>
    <n v="0.35"/>
    <n v="0.09"/>
    <n v="0.28000000000000003"/>
  </r>
  <r>
    <x v="7"/>
    <x v="2"/>
    <x v="3"/>
    <x v="1"/>
    <x v="2"/>
    <x v="1"/>
    <n v="7.1"/>
    <n v="8.36"/>
    <n v="0.03"/>
    <n v="6.44"/>
  </r>
  <r>
    <x v="7"/>
    <x v="2"/>
    <x v="3"/>
    <x v="1"/>
    <x v="1"/>
    <x v="1"/>
    <n v="2.2400000000000002"/>
    <n v="2.63"/>
    <n v="0.03"/>
    <n v="2.02"/>
  </r>
  <r>
    <x v="7"/>
    <x v="2"/>
    <x v="3"/>
    <x v="1"/>
    <x v="4"/>
    <x v="1"/>
    <n v="0.76"/>
    <n v="0.89"/>
    <n v="0.02"/>
    <n v="0.72"/>
  </r>
  <r>
    <x v="7"/>
    <x v="2"/>
    <x v="3"/>
    <x v="0"/>
    <x v="2"/>
    <x v="0"/>
    <n v="0.1"/>
    <n v="0.12"/>
    <n v="0"/>
    <n v="0.1"/>
  </r>
  <r>
    <x v="7"/>
    <x v="0"/>
    <x v="4"/>
    <x v="4"/>
    <x v="1"/>
    <x v="2"/>
    <n v="0.3"/>
    <n v="0.44"/>
    <n v="0"/>
    <n v="0.28999999999999998"/>
  </r>
  <r>
    <x v="7"/>
    <x v="0"/>
    <x v="4"/>
    <x v="3"/>
    <x v="0"/>
    <x v="0"/>
    <n v="0.96"/>
    <n v="1.41"/>
    <n v="0.77"/>
    <n v="0.96"/>
  </r>
  <r>
    <x v="7"/>
    <x v="0"/>
    <x v="4"/>
    <x v="4"/>
    <x v="4"/>
    <x v="2"/>
    <n v="0.42"/>
    <n v="0.62"/>
    <n v="0.01"/>
    <n v="0.41"/>
  </r>
  <r>
    <x v="7"/>
    <x v="0"/>
    <x v="4"/>
    <x v="4"/>
    <x v="2"/>
    <x v="2"/>
    <n v="0.28000000000000003"/>
    <n v="0.42"/>
    <n v="0"/>
    <n v="0.27"/>
  </r>
  <r>
    <x v="7"/>
    <x v="0"/>
    <x v="4"/>
    <x v="2"/>
    <x v="3"/>
    <x v="2"/>
    <n v="2.2400000000000002"/>
    <n v="3.31"/>
    <n v="0"/>
    <n v="2.15"/>
  </r>
  <r>
    <x v="7"/>
    <x v="0"/>
    <x v="4"/>
    <x v="2"/>
    <x v="3"/>
    <x v="3"/>
    <n v="214.75"/>
    <n v="317.63"/>
    <n v="0.09"/>
    <n v="209.72"/>
  </r>
  <r>
    <x v="7"/>
    <x v="0"/>
    <x v="4"/>
    <x v="4"/>
    <x v="0"/>
    <x v="1"/>
    <n v="0.64"/>
    <n v="0.94"/>
    <n v="0.05"/>
    <n v="0.6"/>
  </r>
  <r>
    <x v="7"/>
    <x v="0"/>
    <x v="4"/>
    <x v="4"/>
    <x v="1"/>
    <x v="1"/>
    <n v="0.04"/>
    <n v="0.06"/>
    <n v="0"/>
    <n v="0.04"/>
  </r>
  <r>
    <x v="7"/>
    <x v="0"/>
    <x v="4"/>
    <x v="0"/>
    <x v="0"/>
    <x v="1"/>
    <n v="5.91"/>
    <n v="8.74"/>
    <n v="0.08"/>
    <n v="5.64"/>
  </r>
  <r>
    <x v="7"/>
    <x v="0"/>
    <x v="4"/>
    <x v="1"/>
    <x v="0"/>
    <x v="1"/>
    <n v="3.53"/>
    <n v="5.22"/>
    <n v="0.13"/>
    <n v="3.36"/>
  </r>
  <r>
    <x v="7"/>
    <x v="0"/>
    <x v="4"/>
    <x v="1"/>
    <x v="4"/>
    <x v="1"/>
    <n v="0.09"/>
    <n v="0.14000000000000001"/>
    <n v="0"/>
    <n v="0.09"/>
  </r>
  <r>
    <x v="7"/>
    <x v="0"/>
    <x v="4"/>
    <x v="1"/>
    <x v="1"/>
    <x v="1"/>
    <n v="13.41"/>
    <n v="19.84"/>
    <n v="0.35"/>
    <n v="12.67"/>
  </r>
  <r>
    <x v="7"/>
    <x v="0"/>
    <x v="4"/>
    <x v="1"/>
    <x v="2"/>
    <x v="1"/>
    <n v="36.700000000000003"/>
    <n v="54.28"/>
    <n v="7.0000000000000007E-2"/>
    <n v="35"/>
  </r>
  <r>
    <x v="7"/>
    <x v="0"/>
    <x v="4"/>
    <x v="1"/>
    <x v="4"/>
    <x v="2"/>
    <n v="0.76"/>
    <n v="1.1200000000000001"/>
    <n v="0.03"/>
    <n v="0.73"/>
  </r>
  <r>
    <x v="7"/>
    <x v="0"/>
    <x v="4"/>
    <x v="2"/>
    <x v="3"/>
    <x v="1"/>
    <n v="4.37"/>
    <n v="6.46"/>
    <n v="0"/>
    <n v="4.33"/>
  </r>
  <r>
    <x v="7"/>
    <x v="0"/>
    <x v="4"/>
    <x v="0"/>
    <x v="4"/>
    <x v="0"/>
    <n v="32.11"/>
    <n v="47.49"/>
    <n v="7.89"/>
    <n v="31.23"/>
  </r>
  <r>
    <x v="7"/>
    <x v="0"/>
    <x v="4"/>
    <x v="2"/>
    <x v="0"/>
    <x v="0"/>
    <n v="19.98"/>
    <n v="29.55"/>
    <n v="18.190000000000001"/>
    <n v="18.59"/>
  </r>
  <r>
    <x v="7"/>
    <x v="0"/>
    <x v="4"/>
    <x v="1"/>
    <x v="2"/>
    <x v="0"/>
    <n v="12.91"/>
    <n v="19.100000000000001"/>
    <n v="0.21"/>
    <n v="12.21"/>
  </r>
  <r>
    <x v="7"/>
    <x v="0"/>
    <x v="4"/>
    <x v="1"/>
    <x v="1"/>
    <x v="0"/>
    <n v="37.6"/>
    <n v="55.62"/>
    <n v="2.84"/>
    <n v="35.869999999999997"/>
  </r>
  <r>
    <x v="7"/>
    <x v="0"/>
    <x v="4"/>
    <x v="1"/>
    <x v="4"/>
    <x v="0"/>
    <n v="181.04"/>
    <n v="267.76"/>
    <n v="47.87"/>
    <n v="174.76"/>
  </r>
  <r>
    <x v="7"/>
    <x v="0"/>
    <x v="4"/>
    <x v="2"/>
    <x v="4"/>
    <x v="1"/>
    <n v="1.9"/>
    <n v="2.81"/>
    <n v="0.01"/>
    <n v="1.88"/>
  </r>
  <r>
    <x v="7"/>
    <x v="0"/>
    <x v="4"/>
    <x v="0"/>
    <x v="2"/>
    <x v="0"/>
    <n v="0.75"/>
    <n v="1.1100000000000001"/>
    <n v="0"/>
    <n v="0.7"/>
  </r>
  <r>
    <x v="7"/>
    <x v="0"/>
    <x v="4"/>
    <x v="2"/>
    <x v="4"/>
    <x v="0"/>
    <n v="20.260000000000002"/>
    <n v="29.96"/>
    <n v="6.04"/>
    <n v="19.989999999999998"/>
  </r>
  <r>
    <x v="7"/>
    <x v="0"/>
    <x v="4"/>
    <x v="0"/>
    <x v="0"/>
    <x v="0"/>
    <n v="8.98"/>
    <n v="13.28"/>
    <n v="9.34"/>
    <n v="8.67"/>
  </r>
  <r>
    <x v="7"/>
    <x v="0"/>
    <x v="4"/>
    <x v="4"/>
    <x v="3"/>
    <x v="0"/>
    <n v="2.2999999999999998"/>
    <n v="3.4"/>
    <n v="0.01"/>
    <n v="2.2200000000000002"/>
  </r>
  <r>
    <x v="7"/>
    <x v="0"/>
    <x v="4"/>
    <x v="4"/>
    <x v="2"/>
    <x v="0"/>
    <n v="1.72"/>
    <n v="2.54"/>
    <n v="0.01"/>
    <n v="1.66"/>
  </r>
  <r>
    <x v="7"/>
    <x v="0"/>
    <x v="4"/>
    <x v="4"/>
    <x v="1"/>
    <x v="0"/>
    <n v="20.36"/>
    <n v="30.11"/>
    <n v="1.32"/>
    <n v="19.5"/>
  </r>
  <r>
    <x v="7"/>
    <x v="0"/>
    <x v="4"/>
    <x v="4"/>
    <x v="4"/>
    <x v="0"/>
    <n v="59.38"/>
    <n v="87.82"/>
    <n v="7.73"/>
    <n v="57.5"/>
  </r>
  <r>
    <x v="7"/>
    <x v="0"/>
    <x v="4"/>
    <x v="3"/>
    <x v="4"/>
    <x v="0"/>
    <n v="7.34"/>
    <n v="10.85"/>
    <n v="2.94"/>
    <n v="7.14"/>
  </r>
  <r>
    <x v="7"/>
    <x v="0"/>
    <x v="4"/>
    <x v="1"/>
    <x v="0"/>
    <x v="0"/>
    <n v="16.850000000000001"/>
    <n v="24.92"/>
    <n v="10.34"/>
    <n v="16.34"/>
  </r>
  <r>
    <x v="7"/>
    <x v="3"/>
    <x v="5"/>
    <x v="0"/>
    <x v="0"/>
    <x v="0"/>
    <n v="6.55"/>
    <n v="8.25"/>
    <n v="1.42"/>
    <n v="6.07"/>
  </r>
  <r>
    <x v="7"/>
    <x v="3"/>
    <x v="5"/>
    <x v="1"/>
    <x v="4"/>
    <x v="1"/>
    <n v="0.4"/>
    <n v="0.51"/>
    <n v="0.02"/>
    <n v="0.37"/>
  </r>
  <r>
    <x v="7"/>
    <x v="3"/>
    <x v="5"/>
    <x v="2"/>
    <x v="4"/>
    <x v="0"/>
    <n v="69.95"/>
    <n v="88.13"/>
    <n v="24.88"/>
    <n v="68.88"/>
  </r>
  <r>
    <x v="7"/>
    <x v="3"/>
    <x v="5"/>
    <x v="1"/>
    <x v="2"/>
    <x v="0"/>
    <n v="9.06"/>
    <n v="11.42"/>
    <n v="0.11"/>
    <n v="8.39"/>
  </r>
  <r>
    <x v="7"/>
    <x v="3"/>
    <x v="5"/>
    <x v="1"/>
    <x v="4"/>
    <x v="0"/>
    <n v="486.92"/>
    <n v="613.51"/>
    <n v="119.33"/>
    <n v="467.85"/>
  </r>
  <r>
    <x v="7"/>
    <x v="3"/>
    <x v="5"/>
    <x v="1"/>
    <x v="0"/>
    <x v="0"/>
    <n v="50.21"/>
    <n v="63.27"/>
    <n v="36.04"/>
    <n v="48.75"/>
  </r>
  <r>
    <x v="7"/>
    <x v="3"/>
    <x v="5"/>
    <x v="0"/>
    <x v="4"/>
    <x v="0"/>
    <n v="26.4"/>
    <n v="33.26"/>
    <n v="19.309999999999999"/>
    <n v="25.26"/>
  </r>
  <r>
    <x v="7"/>
    <x v="3"/>
    <x v="5"/>
    <x v="1"/>
    <x v="1"/>
    <x v="0"/>
    <n v="120.2"/>
    <n v="151.44999999999999"/>
    <n v="7.17"/>
    <n v="117.49"/>
  </r>
  <r>
    <x v="7"/>
    <x v="3"/>
    <x v="5"/>
    <x v="4"/>
    <x v="3"/>
    <x v="0"/>
    <n v="1.07"/>
    <n v="1.35"/>
    <n v="0.01"/>
    <n v="0.99"/>
  </r>
  <r>
    <x v="7"/>
    <x v="3"/>
    <x v="5"/>
    <x v="4"/>
    <x v="1"/>
    <x v="0"/>
    <n v="23.92"/>
    <n v="30.13"/>
    <n v="1.04"/>
    <n v="23.71"/>
  </r>
  <r>
    <x v="7"/>
    <x v="3"/>
    <x v="5"/>
    <x v="4"/>
    <x v="4"/>
    <x v="0"/>
    <n v="173.02"/>
    <n v="218.01"/>
    <n v="19.95"/>
    <n v="168.43"/>
  </r>
  <r>
    <x v="7"/>
    <x v="3"/>
    <x v="5"/>
    <x v="4"/>
    <x v="0"/>
    <x v="0"/>
    <n v="0.87"/>
    <n v="1.1000000000000001"/>
    <n v="0.8"/>
    <n v="0.84"/>
  </r>
  <r>
    <x v="7"/>
    <x v="3"/>
    <x v="5"/>
    <x v="3"/>
    <x v="4"/>
    <x v="0"/>
    <n v="85.23"/>
    <n v="107.39"/>
    <n v="24.76"/>
    <n v="81.27"/>
  </r>
  <r>
    <x v="7"/>
    <x v="3"/>
    <x v="5"/>
    <x v="3"/>
    <x v="0"/>
    <x v="0"/>
    <n v="28.17"/>
    <n v="35.49"/>
    <n v="30.51"/>
    <n v="27.15"/>
  </r>
  <r>
    <x v="7"/>
    <x v="3"/>
    <x v="5"/>
    <x v="2"/>
    <x v="3"/>
    <x v="1"/>
    <n v="0.88"/>
    <n v="1.1100000000000001"/>
    <n v="0.01"/>
    <n v="0.84"/>
  </r>
  <r>
    <x v="7"/>
    <x v="3"/>
    <x v="5"/>
    <x v="4"/>
    <x v="2"/>
    <x v="0"/>
    <n v="0.66"/>
    <n v="0.83"/>
    <n v="0.01"/>
    <n v="0.61"/>
  </r>
  <r>
    <x v="7"/>
    <x v="3"/>
    <x v="5"/>
    <x v="2"/>
    <x v="3"/>
    <x v="3"/>
    <n v="153.91"/>
    <n v="193.92"/>
    <n v="0.08"/>
    <n v="136.37"/>
  </r>
  <r>
    <x v="7"/>
    <x v="3"/>
    <x v="5"/>
    <x v="4"/>
    <x v="1"/>
    <x v="2"/>
    <n v="1.1000000000000001"/>
    <n v="1.38"/>
    <n v="0.02"/>
    <n v="0.99"/>
  </r>
  <r>
    <x v="7"/>
    <x v="3"/>
    <x v="5"/>
    <x v="4"/>
    <x v="2"/>
    <x v="2"/>
    <n v="1.1200000000000001"/>
    <n v="1.42"/>
    <n v="0.01"/>
    <n v="1.02"/>
  </r>
  <r>
    <x v="7"/>
    <x v="3"/>
    <x v="5"/>
    <x v="1"/>
    <x v="4"/>
    <x v="2"/>
    <n v="0.44"/>
    <n v="0.55000000000000004"/>
    <n v="0.02"/>
    <n v="0.4"/>
  </r>
  <r>
    <x v="7"/>
    <x v="3"/>
    <x v="5"/>
    <x v="1"/>
    <x v="1"/>
    <x v="2"/>
    <n v="0.1"/>
    <n v="0.13"/>
    <n v="0.01"/>
    <n v="0.09"/>
  </r>
  <r>
    <x v="7"/>
    <x v="3"/>
    <x v="5"/>
    <x v="1"/>
    <x v="2"/>
    <x v="2"/>
    <n v="0.11"/>
    <n v="0.14000000000000001"/>
    <n v="0.01"/>
    <n v="0.1"/>
  </r>
  <r>
    <x v="7"/>
    <x v="3"/>
    <x v="5"/>
    <x v="1"/>
    <x v="2"/>
    <x v="1"/>
    <n v="36.57"/>
    <n v="46.08"/>
    <n v="0.25"/>
    <n v="33.56"/>
  </r>
  <r>
    <x v="7"/>
    <x v="3"/>
    <x v="5"/>
    <x v="2"/>
    <x v="3"/>
    <x v="2"/>
    <n v="6.5"/>
    <n v="8.19"/>
    <n v="0.01"/>
    <n v="6.04"/>
  </r>
  <r>
    <x v="7"/>
    <x v="3"/>
    <x v="5"/>
    <x v="1"/>
    <x v="1"/>
    <x v="1"/>
    <n v="22.19"/>
    <n v="27.95"/>
    <n v="0.32"/>
    <n v="20.37"/>
  </r>
  <r>
    <x v="7"/>
    <x v="3"/>
    <x v="5"/>
    <x v="4"/>
    <x v="0"/>
    <x v="1"/>
    <n v="1.96"/>
    <n v="2.4700000000000002"/>
    <n v="0.1"/>
    <n v="1.81"/>
  </r>
  <r>
    <x v="7"/>
    <x v="3"/>
    <x v="5"/>
    <x v="4"/>
    <x v="1"/>
    <x v="1"/>
    <n v="0.17"/>
    <n v="0.21"/>
    <n v="0.02"/>
    <n v="0.16"/>
  </r>
  <r>
    <x v="7"/>
    <x v="3"/>
    <x v="5"/>
    <x v="0"/>
    <x v="0"/>
    <x v="1"/>
    <n v="12.7"/>
    <n v="16"/>
    <n v="0.43"/>
    <n v="11.65"/>
  </r>
  <r>
    <x v="7"/>
    <x v="3"/>
    <x v="5"/>
    <x v="0"/>
    <x v="1"/>
    <x v="1"/>
    <n v="0.16"/>
    <n v="0.2"/>
    <n v="0"/>
    <n v="0.14000000000000001"/>
  </r>
  <r>
    <x v="7"/>
    <x v="3"/>
    <x v="5"/>
    <x v="1"/>
    <x v="0"/>
    <x v="1"/>
    <n v="8.33"/>
    <n v="10.49"/>
    <n v="0.38"/>
    <n v="7.66"/>
  </r>
  <r>
    <x v="7"/>
    <x v="3"/>
    <x v="5"/>
    <x v="4"/>
    <x v="4"/>
    <x v="2"/>
    <n v="3.12"/>
    <n v="3.94"/>
    <n v="0.05"/>
    <n v="2.83"/>
  </r>
  <r>
    <x v="7"/>
    <x v="3"/>
    <x v="5"/>
    <x v="2"/>
    <x v="2"/>
    <x v="2"/>
    <n v="1.48"/>
    <n v="1.86"/>
    <n v="0.01"/>
    <n v="1.41"/>
  </r>
  <r>
    <x v="7"/>
    <x v="3"/>
    <x v="5"/>
    <x v="2"/>
    <x v="0"/>
    <x v="0"/>
    <n v="15.11"/>
    <n v="19.03"/>
    <n v="11.7"/>
    <n v="14.56"/>
  </r>
  <r>
    <x v="7"/>
    <x v="0"/>
    <x v="6"/>
    <x v="4"/>
    <x v="1"/>
    <x v="0"/>
    <n v="1.59"/>
    <n v="2.08"/>
    <n v="0.08"/>
    <n v="1.46"/>
  </r>
  <r>
    <x v="7"/>
    <x v="0"/>
    <x v="6"/>
    <x v="2"/>
    <x v="3"/>
    <x v="3"/>
    <n v="27.51"/>
    <n v="36.020000000000003"/>
    <n v="0.01"/>
    <n v="26.86"/>
  </r>
  <r>
    <x v="7"/>
    <x v="0"/>
    <x v="6"/>
    <x v="4"/>
    <x v="4"/>
    <x v="2"/>
    <n v="0.18"/>
    <n v="0.24"/>
    <n v="0"/>
    <n v="0.17"/>
  </r>
  <r>
    <x v="7"/>
    <x v="0"/>
    <x v="6"/>
    <x v="4"/>
    <x v="1"/>
    <x v="2"/>
    <n v="0.12"/>
    <n v="0.16"/>
    <n v="0"/>
    <n v="0.11"/>
  </r>
  <r>
    <x v="7"/>
    <x v="0"/>
    <x v="6"/>
    <x v="4"/>
    <x v="2"/>
    <x v="2"/>
    <n v="0.03"/>
    <n v="0.04"/>
    <n v="0"/>
    <n v="0.03"/>
  </r>
  <r>
    <x v="7"/>
    <x v="0"/>
    <x v="6"/>
    <x v="4"/>
    <x v="2"/>
    <x v="0"/>
    <n v="1.27"/>
    <n v="1.66"/>
    <n v="0.01"/>
    <n v="1.18"/>
  </r>
  <r>
    <x v="7"/>
    <x v="0"/>
    <x v="6"/>
    <x v="4"/>
    <x v="4"/>
    <x v="0"/>
    <n v="8.18"/>
    <n v="10.71"/>
    <n v="1.1100000000000001"/>
    <n v="7.76"/>
  </r>
  <r>
    <x v="7"/>
    <x v="0"/>
    <x v="6"/>
    <x v="3"/>
    <x v="4"/>
    <x v="0"/>
    <n v="0.79"/>
    <n v="1.03"/>
    <n v="0.25"/>
    <n v="0.74"/>
  </r>
  <r>
    <x v="7"/>
    <x v="0"/>
    <x v="6"/>
    <x v="4"/>
    <x v="3"/>
    <x v="0"/>
    <n v="1.7"/>
    <n v="2.2200000000000002"/>
    <n v="0.01"/>
    <n v="1.58"/>
  </r>
  <r>
    <x v="7"/>
    <x v="0"/>
    <x v="6"/>
    <x v="0"/>
    <x v="0"/>
    <x v="0"/>
    <n v="1.05"/>
    <n v="1.38"/>
    <n v="1.37"/>
    <n v="0.98"/>
  </r>
  <r>
    <x v="7"/>
    <x v="0"/>
    <x v="6"/>
    <x v="0"/>
    <x v="4"/>
    <x v="0"/>
    <n v="3.08"/>
    <n v="4.03"/>
    <n v="0.87"/>
    <n v="2.93"/>
  </r>
  <r>
    <x v="7"/>
    <x v="0"/>
    <x v="6"/>
    <x v="1"/>
    <x v="0"/>
    <x v="0"/>
    <n v="2.66"/>
    <n v="3.49"/>
    <n v="1.65"/>
    <n v="2.56"/>
  </r>
  <r>
    <x v="7"/>
    <x v="0"/>
    <x v="6"/>
    <x v="1"/>
    <x v="4"/>
    <x v="0"/>
    <n v="40.44"/>
    <n v="52.96"/>
    <n v="9.32"/>
    <n v="38.74"/>
  </r>
  <r>
    <x v="7"/>
    <x v="0"/>
    <x v="6"/>
    <x v="1"/>
    <x v="4"/>
    <x v="1"/>
    <n v="0.22"/>
    <n v="0.28999999999999998"/>
    <n v="0"/>
    <n v="0.21"/>
  </r>
  <r>
    <x v="7"/>
    <x v="0"/>
    <x v="6"/>
    <x v="1"/>
    <x v="4"/>
    <x v="2"/>
    <n v="0.16"/>
    <n v="0.2"/>
    <n v="0.01"/>
    <n v="0.15"/>
  </r>
  <r>
    <x v="7"/>
    <x v="0"/>
    <x v="6"/>
    <x v="1"/>
    <x v="1"/>
    <x v="0"/>
    <n v="3.29"/>
    <n v="4.3099999999999996"/>
    <n v="0.32"/>
    <n v="3.1"/>
  </r>
  <r>
    <x v="7"/>
    <x v="0"/>
    <x v="6"/>
    <x v="4"/>
    <x v="0"/>
    <x v="1"/>
    <n v="0.72"/>
    <n v="0.95"/>
    <n v="0.06"/>
    <n v="0.68"/>
  </r>
  <r>
    <x v="7"/>
    <x v="0"/>
    <x v="6"/>
    <x v="0"/>
    <x v="0"/>
    <x v="1"/>
    <n v="1.38"/>
    <n v="1.81"/>
    <n v="0.02"/>
    <n v="1.32"/>
  </r>
  <r>
    <x v="7"/>
    <x v="0"/>
    <x v="6"/>
    <x v="1"/>
    <x v="0"/>
    <x v="1"/>
    <n v="1.31"/>
    <n v="1.72"/>
    <n v="0.08"/>
    <n v="1.25"/>
  </r>
  <r>
    <x v="7"/>
    <x v="0"/>
    <x v="6"/>
    <x v="4"/>
    <x v="1"/>
    <x v="1"/>
    <n v="0.05"/>
    <n v="0.06"/>
    <n v="0"/>
    <n v="0.05"/>
  </r>
  <r>
    <x v="7"/>
    <x v="0"/>
    <x v="6"/>
    <x v="1"/>
    <x v="1"/>
    <x v="1"/>
    <n v="3.77"/>
    <n v="4.9400000000000004"/>
    <n v="0.09"/>
    <n v="3.56"/>
  </r>
  <r>
    <x v="7"/>
    <x v="0"/>
    <x v="6"/>
    <x v="1"/>
    <x v="2"/>
    <x v="1"/>
    <n v="9.6199999999999992"/>
    <n v="12.6"/>
    <n v="0.02"/>
    <n v="9.15"/>
  </r>
  <r>
    <x v="7"/>
    <x v="0"/>
    <x v="6"/>
    <x v="2"/>
    <x v="4"/>
    <x v="1"/>
    <n v="1.03"/>
    <n v="1.35"/>
    <n v="0.01"/>
    <n v="1.01"/>
  </r>
  <r>
    <x v="7"/>
    <x v="0"/>
    <x v="6"/>
    <x v="2"/>
    <x v="3"/>
    <x v="1"/>
    <n v="1.17"/>
    <n v="1.53"/>
    <n v="0"/>
    <n v="1.1499999999999999"/>
  </r>
  <r>
    <x v="7"/>
    <x v="0"/>
    <x v="6"/>
    <x v="3"/>
    <x v="0"/>
    <x v="0"/>
    <n v="0.21"/>
    <n v="0.28000000000000003"/>
    <n v="0.14000000000000001"/>
    <n v="0.21"/>
  </r>
  <r>
    <x v="7"/>
    <x v="0"/>
    <x v="6"/>
    <x v="2"/>
    <x v="4"/>
    <x v="0"/>
    <n v="1.96"/>
    <n v="2.57"/>
    <n v="0.38"/>
    <n v="1.94"/>
  </r>
  <r>
    <x v="7"/>
    <x v="0"/>
    <x v="6"/>
    <x v="2"/>
    <x v="0"/>
    <x v="0"/>
    <n v="2.31"/>
    <n v="3.03"/>
    <n v="2.0699999999999998"/>
    <n v="2.15"/>
  </r>
  <r>
    <x v="7"/>
    <x v="0"/>
    <x v="6"/>
    <x v="1"/>
    <x v="2"/>
    <x v="0"/>
    <n v="14.05"/>
    <n v="18.399999999999999"/>
    <n v="0.24"/>
    <n v="13.25"/>
  </r>
  <r>
    <x v="7"/>
    <x v="4"/>
    <x v="7"/>
    <x v="4"/>
    <x v="1"/>
    <x v="2"/>
    <n v="21.9"/>
    <n v="24.06"/>
    <n v="0.55000000000000004"/>
    <n v="18.25"/>
  </r>
  <r>
    <x v="7"/>
    <x v="4"/>
    <x v="7"/>
    <x v="1"/>
    <x v="4"/>
    <x v="0"/>
    <n v="7981.05"/>
    <n v="8771.11"/>
    <n v="1837.6"/>
    <n v="7455.55"/>
  </r>
  <r>
    <x v="7"/>
    <x v="4"/>
    <x v="7"/>
    <x v="2"/>
    <x v="4"/>
    <x v="0"/>
    <n v="96.7"/>
    <n v="106.27"/>
    <n v="37.17"/>
    <n v="91.84"/>
  </r>
  <r>
    <x v="7"/>
    <x v="4"/>
    <x v="7"/>
    <x v="2"/>
    <x v="0"/>
    <x v="0"/>
    <n v="85.25"/>
    <n v="93.69"/>
    <n v="135.26"/>
    <n v="81.44"/>
  </r>
  <r>
    <x v="7"/>
    <x v="4"/>
    <x v="7"/>
    <x v="1"/>
    <x v="2"/>
    <x v="0"/>
    <n v="295.95"/>
    <n v="325.24"/>
    <n v="6.58"/>
    <n v="279.83"/>
  </r>
  <r>
    <x v="7"/>
    <x v="4"/>
    <x v="7"/>
    <x v="1"/>
    <x v="1"/>
    <x v="0"/>
    <n v="2245.27"/>
    <n v="2467.54"/>
    <n v="175.04"/>
    <n v="2005.99"/>
  </r>
  <r>
    <x v="7"/>
    <x v="4"/>
    <x v="7"/>
    <x v="2"/>
    <x v="3"/>
    <x v="0"/>
    <n v="25.15"/>
    <n v="27.64"/>
    <n v="0.11"/>
    <n v="25.15"/>
  </r>
  <r>
    <x v="7"/>
    <x v="4"/>
    <x v="7"/>
    <x v="1"/>
    <x v="0"/>
    <x v="0"/>
    <n v="195.84"/>
    <n v="215.22"/>
    <n v="116.4"/>
    <n v="175.32"/>
  </r>
  <r>
    <x v="7"/>
    <x v="4"/>
    <x v="7"/>
    <x v="0"/>
    <x v="2"/>
    <x v="0"/>
    <n v="0.5"/>
    <n v="0.55000000000000004"/>
    <n v="0"/>
    <n v="0.4"/>
  </r>
  <r>
    <x v="7"/>
    <x v="4"/>
    <x v="7"/>
    <x v="0"/>
    <x v="4"/>
    <x v="0"/>
    <n v="208.31"/>
    <n v="228.93"/>
    <n v="72.81"/>
    <n v="185.92"/>
  </r>
  <r>
    <x v="7"/>
    <x v="4"/>
    <x v="7"/>
    <x v="0"/>
    <x v="0"/>
    <x v="0"/>
    <n v="21.17"/>
    <n v="23.27"/>
    <n v="15.23"/>
    <n v="19.18"/>
  </r>
  <r>
    <x v="7"/>
    <x v="4"/>
    <x v="7"/>
    <x v="4"/>
    <x v="1"/>
    <x v="0"/>
    <n v="118.28"/>
    <n v="129.99"/>
    <n v="11.41"/>
    <n v="111.3"/>
  </r>
  <r>
    <x v="7"/>
    <x v="4"/>
    <x v="7"/>
    <x v="3"/>
    <x v="4"/>
    <x v="0"/>
    <n v="1470.17"/>
    <n v="1615.7"/>
    <n v="302.62"/>
    <n v="1447.27"/>
  </r>
  <r>
    <x v="7"/>
    <x v="4"/>
    <x v="7"/>
    <x v="3"/>
    <x v="0"/>
    <x v="0"/>
    <n v="3.91"/>
    <n v="4.29"/>
    <n v="2.02"/>
    <n v="3.91"/>
  </r>
  <r>
    <x v="7"/>
    <x v="4"/>
    <x v="7"/>
    <x v="4"/>
    <x v="2"/>
    <x v="2"/>
    <n v="20.11"/>
    <n v="22.1"/>
    <n v="0.17"/>
    <n v="16.760000000000002"/>
  </r>
  <r>
    <x v="7"/>
    <x v="4"/>
    <x v="7"/>
    <x v="4"/>
    <x v="0"/>
    <x v="1"/>
    <n v="1.83"/>
    <n v="2.0099999999999998"/>
    <n v="0.2"/>
    <n v="1.52"/>
  </r>
  <r>
    <x v="7"/>
    <x v="4"/>
    <x v="7"/>
    <x v="4"/>
    <x v="4"/>
    <x v="0"/>
    <n v="659.12"/>
    <n v="724.36"/>
    <n v="160.87"/>
    <n v="603.96"/>
  </r>
  <r>
    <x v="7"/>
    <x v="4"/>
    <x v="7"/>
    <x v="1"/>
    <x v="4"/>
    <x v="1"/>
    <n v="4.68"/>
    <n v="5.15"/>
    <n v="0.13"/>
    <n v="3.9"/>
  </r>
  <r>
    <x v="7"/>
    <x v="4"/>
    <x v="7"/>
    <x v="4"/>
    <x v="1"/>
    <x v="1"/>
    <n v="2.5"/>
    <n v="2.75"/>
    <n v="0.1"/>
    <n v="2.09"/>
  </r>
  <r>
    <x v="7"/>
    <x v="4"/>
    <x v="7"/>
    <x v="2"/>
    <x v="3"/>
    <x v="1"/>
    <n v="10"/>
    <n v="10.99"/>
    <n v="0.04"/>
    <n v="8.33"/>
  </r>
  <r>
    <x v="7"/>
    <x v="4"/>
    <x v="7"/>
    <x v="0"/>
    <x v="4"/>
    <x v="1"/>
    <n v="0.15"/>
    <n v="0.16"/>
    <n v="0"/>
    <n v="0.12"/>
  </r>
  <r>
    <x v="7"/>
    <x v="4"/>
    <x v="7"/>
    <x v="2"/>
    <x v="3"/>
    <x v="3"/>
    <n v="222.06"/>
    <n v="244.04"/>
    <n v="0.13"/>
    <n v="222.06"/>
  </r>
  <r>
    <x v="7"/>
    <x v="4"/>
    <x v="7"/>
    <x v="0"/>
    <x v="0"/>
    <x v="1"/>
    <n v="66.8"/>
    <n v="73.42"/>
    <n v="1.7"/>
    <n v="55.21"/>
  </r>
  <r>
    <x v="7"/>
    <x v="4"/>
    <x v="7"/>
    <x v="1"/>
    <x v="0"/>
    <x v="1"/>
    <n v="35.71"/>
    <n v="39.25"/>
    <n v="1.62"/>
    <n v="29.55"/>
  </r>
  <r>
    <x v="7"/>
    <x v="4"/>
    <x v="7"/>
    <x v="1"/>
    <x v="4"/>
    <x v="2"/>
    <n v="3.67"/>
    <n v="4.03"/>
    <n v="0.09"/>
    <n v="3.06"/>
  </r>
  <r>
    <x v="7"/>
    <x v="4"/>
    <x v="7"/>
    <x v="1"/>
    <x v="1"/>
    <x v="1"/>
    <n v="117.57"/>
    <n v="129.21"/>
    <n v="1.21"/>
    <n v="97.26"/>
  </r>
  <r>
    <x v="7"/>
    <x v="4"/>
    <x v="7"/>
    <x v="1"/>
    <x v="2"/>
    <x v="1"/>
    <n v="194.19"/>
    <n v="213.41"/>
    <n v="1.0900000000000001"/>
    <n v="160.6"/>
  </r>
  <r>
    <x v="7"/>
    <x v="4"/>
    <x v="7"/>
    <x v="1"/>
    <x v="3"/>
    <x v="1"/>
    <n v="5.4"/>
    <n v="5.94"/>
    <n v="7.0000000000000007E-2"/>
    <n v="4.5"/>
  </r>
  <r>
    <x v="7"/>
    <x v="4"/>
    <x v="7"/>
    <x v="2"/>
    <x v="4"/>
    <x v="1"/>
    <n v="4.71"/>
    <n v="5.17"/>
    <n v="0.01"/>
    <n v="4.71"/>
  </r>
  <r>
    <x v="7"/>
    <x v="4"/>
    <x v="7"/>
    <x v="2"/>
    <x v="3"/>
    <x v="2"/>
    <n v="0.27"/>
    <n v="0.3"/>
    <n v="0"/>
    <n v="0.27"/>
  </r>
  <r>
    <x v="7"/>
    <x v="4"/>
    <x v="7"/>
    <x v="1"/>
    <x v="1"/>
    <x v="2"/>
    <n v="22.81"/>
    <n v="25.06"/>
    <n v="0.22"/>
    <n v="21.5"/>
  </r>
  <r>
    <x v="7"/>
    <x v="4"/>
    <x v="7"/>
    <x v="0"/>
    <x v="3"/>
    <x v="1"/>
    <n v="0.1"/>
    <n v="0.11"/>
    <n v="0"/>
    <n v="0.08"/>
  </r>
  <r>
    <x v="7"/>
    <x v="0"/>
    <x v="8"/>
    <x v="0"/>
    <x v="4"/>
    <x v="0"/>
    <n v="5.0199999999999996"/>
    <n v="7.93"/>
    <n v="1.28"/>
    <n v="4.66"/>
  </r>
  <r>
    <x v="7"/>
    <x v="0"/>
    <x v="8"/>
    <x v="2"/>
    <x v="3"/>
    <x v="1"/>
    <n v="2.19"/>
    <n v="3.45"/>
    <n v="0"/>
    <n v="2.19"/>
  </r>
  <r>
    <x v="7"/>
    <x v="0"/>
    <x v="8"/>
    <x v="3"/>
    <x v="4"/>
    <x v="0"/>
    <n v="1.02"/>
    <n v="1.62"/>
    <n v="0.32"/>
    <n v="0.97"/>
  </r>
  <r>
    <x v="7"/>
    <x v="0"/>
    <x v="8"/>
    <x v="4"/>
    <x v="4"/>
    <x v="0"/>
    <n v="6.55"/>
    <n v="10.34"/>
    <n v="1.01"/>
    <n v="6.13"/>
  </r>
  <r>
    <x v="7"/>
    <x v="0"/>
    <x v="8"/>
    <x v="1"/>
    <x v="2"/>
    <x v="1"/>
    <n v="8.0299999999999994"/>
    <n v="12.67"/>
    <n v="0.01"/>
    <n v="7.65"/>
  </r>
  <r>
    <x v="7"/>
    <x v="0"/>
    <x v="8"/>
    <x v="0"/>
    <x v="0"/>
    <x v="0"/>
    <n v="2.0299999999999998"/>
    <n v="3.2"/>
    <n v="2.68"/>
    <n v="1.84"/>
  </r>
  <r>
    <x v="7"/>
    <x v="0"/>
    <x v="8"/>
    <x v="2"/>
    <x v="4"/>
    <x v="1"/>
    <n v="0.66"/>
    <n v="1.05"/>
    <n v="0"/>
    <n v="0.66"/>
  </r>
  <r>
    <x v="7"/>
    <x v="0"/>
    <x v="8"/>
    <x v="1"/>
    <x v="0"/>
    <x v="0"/>
    <n v="1.68"/>
    <n v="2.65"/>
    <n v="0.82"/>
    <n v="1.58"/>
  </r>
  <r>
    <x v="7"/>
    <x v="0"/>
    <x v="8"/>
    <x v="1"/>
    <x v="4"/>
    <x v="0"/>
    <n v="39.33"/>
    <n v="62.06"/>
    <n v="7.31"/>
    <n v="37.549999999999997"/>
  </r>
  <r>
    <x v="7"/>
    <x v="0"/>
    <x v="8"/>
    <x v="1"/>
    <x v="1"/>
    <x v="0"/>
    <n v="5.5"/>
    <n v="8.67"/>
    <n v="0.56000000000000005"/>
    <n v="5.26"/>
  </r>
  <r>
    <x v="7"/>
    <x v="0"/>
    <x v="8"/>
    <x v="1"/>
    <x v="2"/>
    <x v="0"/>
    <n v="6.56"/>
    <n v="10.35"/>
    <n v="0.1"/>
    <n v="6.19"/>
  </r>
  <r>
    <x v="7"/>
    <x v="0"/>
    <x v="8"/>
    <x v="2"/>
    <x v="0"/>
    <x v="0"/>
    <n v="2.29"/>
    <n v="3.61"/>
    <n v="1.43"/>
    <n v="2.17"/>
  </r>
  <r>
    <x v="7"/>
    <x v="0"/>
    <x v="8"/>
    <x v="2"/>
    <x v="4"/>
    <x v="0"/>
    <n v="1.1200000000000001"/>
    <n v="1.76"/>
    <n v="0.55000000000000004"/>
    <n v="1.1000000000000001"/>
  </r>
  <r>
    <x v="7"/>
    <x v="0"/>
    <x v="8"/>
    <x v="1"/>
    <x v="1"/>
    <x v="1"/>
    <n v="3.15"/>
    <n v="4.9800000000000004"/>
    <n v="0.05"/>
    <n v="2.98"/>
  </r>
  <r>
    <x v="7"/>
    <x v="0"/>
    <x v="8"/>
    <x v="4"/>
    <x v="1"/>
    <x v="0"/>
    <n v="11.93"/>
    <n v="18.829999999999998"/>
    <n v="0.89"/>
    <n v="11.76"/>
  </r>
  <r>
    <x v="7"/>
    <x v="0"/>
    <x v="8"/>
    <x v="1"/>
    <x v="4"/>
    <x v="2"/>
    <n v="0.2"/>
    <n v="0.32"/>
    <n v="0.01"/>
    <n v="0.19"/>
  </r>
  <r>
    <x v="7"/>
    <x v="0"/>
    <x v="8"/>
    <x v="4"/>
    <x v="0"/>
    <x v="1"/>
    <n v="0.35"/>
    <n v="0.55000000000000004"/>
    <n v="0.03"/>
    <n v="0.33"/>
  </r>
  <r>
    <x v="7"/>
    <x v="0"/>
    <x v="8"/>
    <x v="3"/>
    <x v="0"/>
    <x v="0"/>
    <n v="0.18"/>
    <n v="0.28999999999999998"/>
    <n v="0.08"/>
    <n v="0.18"/>
  </r>
  <r>
    <x v="7"/>
    <x v="0"/>
    <x v="8"/>
    <x v="4"/>
    <x v="1"/>
    <x v="1"/>
    <n v="0.02"/>
    <n v="0.04"/>
    <n v="0"/>
    <n v="0.02"/>
  </r>
  <r>
    <x v="7"/>
    <x v="0"/>
    <x v="8"/>
    <x v="0"/>
    <x v="0"/>
    <x v="1"/>
    <n v="1.6"/>
    <n v="2.52"/>
    <n v="0.02"/>
    <n v="1.52"/>
  </r>
  <r>
    <x v="7"/>
    <x v="0"/>
    <x v="8"/>
    <x v="1"/>
    <x v="4"/>
    <x v="1"/>
    <n v="0.05"/>
    <n v="0.08"/>
    <n v="0"/>
    <n v="0.05"/>
  </r>
  <r>
    <x v="7"/>
    <x v="0"/>
    <x v="8"/>
    <x v="4"/>
    <x v="2"/>
    <x v="2"/>
    <n v="0.04"/>
    <n v="0.06"/>
    <n v="0"/>
    <n v="0.04"/>
  </r>
  <r>
    <x v="7"/>
    <x v="0"/>
    <x v="8"/>
    <x v="4"/>
    <x v="1"/>
    <x v="2"/>
    <n v="0.14000000000000001"/>
    <n v="0.23"/>
    <n v="0"/>
    <n v="0.13"/>
  </r>
  <r>
    <x v="7"/>
    <x v="0"/>
    <x v="8"/>
    <x v="4"/>
    <x v="4"/>
    <x v="2"/>
    <n v="0.15"/>
    <n v="0.23"/>
    <n v="0"/>
    <n v="0.14000000000000001"/>
  </r>
  <r>
    <x v="7"/>
    <x v="0"/>
    <x v="8"/>
    <x v="1"/>
    <x v="0"/>
    <x v="1"/>
    <n v="1.05"/>
    <n v="1.66"/>
    <n v="0.05"/>
    <n v="1"/>
  </r>
  <r>
    <x v="7"/>
    <x v="0"/>
    <x v="8"/>
    <x v="2"/>
    <x v="3"/>
    <x v="3"/>
    <n v="2.4"/>
    <n v="3.79"/>
    <n v="0"/>
    <n v="2.35"/>
  </r>
  <r>
    <x v="7"/>
    <x v="5"/>
    <x v="9"/>
    <x v="1"/>
    <x v="0"/>
    <x v="0"/>
    <n v="6.3"/>
    <n v="7.53"/>
    <n v="2.85"/>
    <n v="6.03"/>
  </r>
  <r>
    <x v="7"/>
    <x v="5"/>
    <x v="9"/>
    <x v="4"/>
    <x v="1"/>
    <x v="0"/>
    <n v="1.87"/>
    <n v="2.23"/>
    <n v="0.11"/>
    <n v="1.73"/>
  </r>
  <r>
    <x v="7"/>
    <x v="5"/>
    <x v="9"/>
    <x v="3"/>
    <x v="0"/>
    <x v="0"/>
    <n v="7.0000000000000007E-2"/>
    <n v="0.08"/>
    <n v="0.02"/>
    <n v="0.06"/>
  </r>
  <r>
    <x v="7"/>
    <x v="5"/>
    <x v="9"/>
    <x v="2"/>
    <x v="3"/>
    <x v="3"/>
    <n v="0.23"/>
    <n v="0.28000000000000003"/>
    <n v="0"/>
    <n v="0.23"/>
  </r>
  <r>
    <x v="7"/>
    <x v="5"/>
    <x v="9"/>
    <x v="0"/>
    <x v="0"/>
    <x v="1"/>
    <n v="0.74"/>
    <n v="0.88"/>
    <n v="0.02"/>
    <n v="0.68"/>
  </r>
  <r>
    <x v="7"/>
    <x v="5"/>
    <x v="9"/>
    <x v="1"/>
    <x v="0"/>
    <x v="1"/>
    <n v="0.44"/>
    <n v="0.52"/>
    <n v="0.02"/>
    <n v="0.4"/>
  </r>
  <r>
    <x v="7"/>
    <x v="5"/>
    <x v="9"/>
    <x v="3"/>
    <x v="4"/>
    <x v="0"/>
    <n v="4.24"/>
    <n v="5.0599999999999996"/>
    <n v="0.52"/>
    <n v="4.1100000000000003"/>
  </r>
  <r>
    <x v="7"/>
    <x v="5"/>
    <x v="9"/>
    <x v="4"/>
    <x v="4"/>
    <x v="0"/>
    <n v="15.85"/>
    <n v="18.940000000000001"/>
    <n v="1.58"/>
    <n v="14.88"/>
  </r>
  <r>
    <x v="7"/>
    <x v="5"/>
    <x v="9"/>
    <x v="0"/>
    <x v="0"/>
    <x v="0"/>
    <n v="2.12"/>
    <n v="2.54"/>
    <n v="1.32"/>
    <n v="1.95"/>
  </r>
  <r>
    <x v="7"/>
    <x v="5"/>
    <x v="9"/>
    <x v="1"/>
    <x v="1"/>
    <x v="1"/>
    <n v="0.76"/>
    <n v="0.91"/>
    <n v="0.01"/>
    <n v="0.71"/>
  </r>
  <r>
    <x v="7"/>
    <x v="5"/>
    <x v="9"/>
    <x v="0"/>
    <x v="2"/>
    <x v="0"/>
    <n v="0.05"/>
    <n v="0.06"/>
    <n v="0"/>
    <n v="0.05"/>
  </r>
  <r>
    <x v="7"/>
    <x v="5"/>
    <x v="9"/>
    <x v="1"/>
    <x v="2"/>
    <x v="1"/>
    <n v="3.12"/>
    <n v="3.73"/>
    <n v="0.02"/>
    <n v="2.9"/>
  </r>
  <r>
    <x v="7"/>
    <x v="5"/>
    <x v="9"/>
    <x v="1"/>
    <x v="4"/>
    <x v="0"/>
    <n v="76.260000000000005"/>
    <n v="91.12"/>
    <n v="15"/>
    <n v="71.59"/>
  </r>
  <r>
    <x v="7"/>
    <x v="5"/>
    <x v="9"/>
    <x v="1"/>
    <x v="1"/>
    <x v="0"/>
    <n v="12.05"/>
    <n v="14.39"/>
    <n v="0.81"/>
    <n v="11.22"/>
  </r>
  <r>
    <x v="7"/>
    <x v="5"/>
    <x v="9"/>
    <x v="2"/>
    <x v="0"/>
    <x v="0"/>
    <n v="3.28"/>
    <n v="3.92"/>
    <n v="1.71"/>
    <n v="3.1"/>
  </r>
  <r>
    <x v="7"/>
    <x v="5"/>
    <x v="9"/>
    <x v="2"/>
    <x v="4"/>
    <x v="0"/>
    <n v="1.55"/>
    <n v="1.85"/>
    <n v="0.3"/>
    <n v="1.5"/>
  </r>
  <r>
    <x v="7"/>
    <x v="5"/>
    <x v="9"/>
    <x v="2"/>
    <x v="3"/>
    <x v="0"/>
    <n v="0.23"/>
    <n v="0.28000000000000003"/>
    <n v="0"/>
    <n v="0.23"/>
  </r>
  <r>
    <x v="7"/>
    <x v="5"/>
    <x v="9"/>
    <x v="4"/>
    <x v="4"/>
    <x v="2"/>
    <n v="0.86"/>
    <n v="1.02"/>
    <n v="0.01"/>
    <n v="0.76"/>
  </r>
  <r>
    <x v="7"/>
    <x v="5"/>
    <x v="9"/>
    <x v="4"/>
    <x v="1"/>
    <x v="2"/>
    <n v="0.1"/>
    <n v="0.11"/>
    <n v="0"/>
    <n v="0.09"/>
  </r>
  <r>
    <x v="7"/>
    <x v="5"/>
    <x v="9"/>
    <x v="1"/>
    <x v="4"/>
    <x v="2"/>
    <n v="0.31"/>
    <n v="0.37"/>
    <n v="0.01"/>
    <n v="0.27"/>
  </r>
  <r>
    <x v="7"/>
    <x v="5"/>
    <x v="9"/>
    <x v="2"/>
    <x v="3"/>
    <x v="2"/>
    <n v="1.59"/>
    <n v="1.9"/>
    <n v="0"/>
    <n v="1.51"/>
  </r>
  <r>
    <x v="7"/>
    <x v="5"/>
    <x v="9"/>
    <x v="0"/>
    <x v="4"/>
    <x v="0"/>
    <n v="6.53"/>
    <n v="7.81"/>
    <n v="2"/>
    <n v="6.24"/>
  </r>
  <r>
    <x v="7"/>
    <x v="2"/>
    <x v="10"/>
    <x v="0"/>
    <x v="0"/>
    <x v="1"/>
    <n v="1.82"/>
    <n v="2.13"/>
    <n v="0.05"/>
    <n v="1.64"/>
  </r>
  <r>
    <x v="7"/>
    <x v="2"/>
    <x v="10"/>
    <x v="4"/>
    <x v="4"/>
    <x v="2"/>
    <n v="0.1"/>
    <n v="0.12"/>
    <n v="0"/>
    <n v="0.09"/>
  </r>
  <r>
    <x v="7"/>
    <x v="2"/>
    <x v="10"/>
    <x v="1"/>
    <x v="0"/>
    <x v="1"/>
    <n v="0.69"/>
    <n v="0.81"/>
    <n v="0.03"/>
    <n v="0.62"/>
  </r>
  <r>
    <x v="7"/>
    <x v="2"/>
    <x v="10"/>
    <x v="1"/>
    <x v="1"/>
    <x v="1"/>
    <n v="1.19"/>
    <n v="1.4"/>
    <n v="0.01"/>
    <n v="1.08"/>
  </r>
  <r>
    <x v="7"/>
    <x v="2"/>
    <x v="10"/>
    <x v="1"/>
    <x v="2"/>
    <x v="1"/>
    <n v="4.32"/>
    <n v="5.08"/>
    <n v="0.02"/>
    <n v="3.89"/>
  </r>
  <r>
    <x v="7"/>
    <x v="2"/>
    <x v="10"/>
    <x v="3"/>
    <x v="0"/>
    <x v="0"/>
    <n v="0.04"/>
    <n v="0.05"/>
    <n v="0.01"/>
    <n v="0.04"/>
  </r>
  <r>
    <x v="7"/>
    <x v="2"/>
    <x v="10"/>
    <x v="3"/>
    <x v="4"/>
    <x v="0"/>
    <n v="5.1100000000000003"/>
    <n v="6"/>
    <n v="0.72"/>
    <n v="4.8899999999999997"/>
  </r>
  <r>
    <x v="7"/>
    <x v="2"/>
    <x v="10"/>
    <x v="4"/>
    <x v="4"/>
    <x v="0"/>
    <n v="44.57"/>
    <n v="52.36"/>
    <n v="4.13"/>
    <n v="41.27"/>
  </r>
  <r>
    <x v="7"/>
    <x v="2"/>
    <x v="10"/>
    <x v="4"/>
    <x v="1"/>
    <x v="0"/>
    <n v="6.74"/>
    <n v="7.92"/>
    <n v="0.31"/>
    <n v="6.22"/>
  </r>
  <r>
    <x v="7"/>
    <x v="2"/>
    <x v="10"/>
    <x v="2"/>
    <x v="3"/>
    <x v="3"/>
    <n v="14.12"/>
    <n v="16.59"/>
    <n v="0.01"/>
    <n v="14.06"/>
  </r>
  <r>
    <x v="7"/>
    <x v="2"/>
    <x v="10"/>
    <x v="1"/>
    <x v="4"/>
    <x v="2"/>
    <n v="7.0000000000000007E-2"/>
    <n v="0.08"/>
    <n v="0"/>
    <n v="0.06"/>
  </r>
  <r>
    <x v="7"/>
    <x v="2"/>
    <x v="10"/>
    <x v="0"/>
    <x v="0"/>
    <x v="0"/>
    <n v="1.97"/>
    <n v="2.31"/>
    <n v="1.1599999999999999"/>
    <n v="1.81"/>
  </r>
  <r>
    <x v="7"/>
    <x v="2"/>
    <x v="10"/>
    <x v="2"/>
    <x v="0"/>
    <x v="0"/>
    <n v="1.29"/>
    <n v="1.51"/>
    <n v="0.85"/>
    <n v="1.2"/>
  </r>
  <r>
    <x v="7"/>
    <x v="2"/>
    <x v="10"/>
    <x v="1"/>
    <x v="0"/>
    <x v="0"/>
    <n v="2.78"/>
    <n v="3.26"/>
    <n v="1.44"/>
    <n v="2.63"/>
  </r>
  <r>
    <x v="7"/>
    <x v="2"/>
    <x v="10"/>
    <x v="1"/>
    <x v="4"/>
    <x v="0"/>
    <n v="67.09"/>
    <n v="78.819999999999993"/>
    <n v="11.46"/>
    <n v="62.3"/>
  </r>
  <r>
    <x v="7"/>
    <x v="2"/>
    <x v="10"/>
    <x v="1"/>
    <x v="1"/>
    <x v="0"/>
    <n v="11.79"/>
    <n v="13.85"/>
    <n v="0.56000000000000005"/>
    <n v="10.94"/>
  </r>
  <r>
    <x v="7"/>
    <x v="2"/>
    <x v="10"/>
    <x v="1"/>
    <x v="2"/>
    <x v="0"/>
    <n v="0.95"/>
    <n v="1.1200000000000001"/>
    <n v="0.01"/>
    <n v="0.86"/>
  </r>
  <r>
    <x v="7"/>
    <x v="2"/>
    <x v="10"/>
    <x v="2"/>
    <x v="4"/>
    <x v="0"/>
    <n v="1.5"/>
    <n v="1.76"/>
    <n v="0.3"/>
    <n v="1.41"/>
  </r>
  <r>
    <x v="7"/>
    <x v="2"/>
    <x v="10"/>
    <x v="0"/>
    <x v="4"/>
    <x v="0"/>
    <n v="4.32"/>
    <n v="5.07"/>
    <n v="1.53"/>
    <n v="4.04"/>
  </r>
  <r>
    <x v="7"/>
    <x v="2"/>
    <x v="11"/>
    <x v="2"/>
    <x v="0"/>
    <x v="0"/>
    <n v="4.3"/>
    <n v="5.07"/>
    <n v="1.89"/>
    <n v="3.98"/>
  </r>
  <r>
    <x v="7"/>
    <x v="2"/>
    <x v="11"/>
    <x v="1"/>
    <x v="4"/>
    <x v="2"/>
    <n v="0.14000000000000001"/>
    <n v="0.17"/>
    <n v="0"/>
    <n v="0.12"/>
  </r>
  <r>
    <x v="7"/>
    <x v="2"/>
    <x v="11"/>
    <x v="3"/>
    <x v="4"/>
    <x v="0"/>
    <n v="4.42"/>
    <n v="5.21"/>
    <n v="0.56000000000000005"/>
    <n v="4.22"/>
  </r>
  <r>
    <x v="7"/>
    <x v="2"/>
    <x v="11"/>
    <x v="4"/>
    <x v="1"/>
    <x v="0"/>
    <n v="6.82"/>
    <n v="8.0399999999999991"/>
    <n v="0.25"/>
    <n v="6.23"/>
  </r>
  <r>
    <x v="7"/>
    <x v="2"/>
    <x v="11"/>
    <x v="0"/>
    <x v="0"/>
    <x v="0"/>
    <n v="3.93"/>
    <n v="4.62"/>
    <n v="2.29"/>
    <n v="3.56"/>
  </r>
  <r>
    <x v="7"/>
    <x v="2"/>
    <x v="11"/>
    <x v="0"/>
    <x v="4"/>
    <x v="0"/>
    <n v="6.63"/>
    <n v="7.81"/>
    <n v="2.71"/>
    <n v="6.06"/>
  </r>
  <r>
    <x v="7"/>
    <x v="2"/>
    <x v="11"/>
    <x v="1"/>
    <x v="0"/>
    <x v="0"/>
    <n v="4.3099999999999996"/>
    <n v="5.08"/>
    <n v="2.02"/>
    <n v="4.04"/>
  </r>
  <r>
    <x v="7"/>
    <x v="2"/>
    <x v="11"/>
    <x v="1"/>
    <x v="4"/>
    <x v="0"/>
    <n v="93.94"/>
    <n v="110.64"/>
    <n v="16.25"/>
    <n v="86.29"/>
  </r>
  <r>
    <x v="7"/>
    <x v="2"/>
    <x v="11"/>
    <x v="2"/>
    <x v="4"/>
    <x v="0"/>
    <n v="0.45"/>
    <n v="0.53"/>
    <n v="0.09"/>
    <n v="0.42"/>
  </r>
  <r>
    <x v="7"/>
    <x v="2"/>
    <x v="11"/>
    <x v="4"/>
    <x v="4"/>
    <x v="0"/>
    <n v="68.61"/>
    <n v="80.81"/>
    <n v="6.8"/>
    <n v="62.97"/>
  </r>
  <r>
    <x v="7"/>
    <x v="2"/>
    <x v="11"/>
    <x v="3"/>
    <x v="0"/>
    <x v="0"/>
    <n v="0.11"/>
    <n v="0.13"/>
    <n v="0.03"/>
    <n v="0.1"/>
  </r>
  <r>
    <x v="7"/>
    <x v="2"/>
    <x v="11"/>
    <x v="1"/>
    <x v="2"/>
    <x v="1"/>
    <n v="1.52"/>
    <n v="1.79"/>
    <n v="0.01"/>
    <n v="1.37"/>
  </r>
  <r>
    <x v="7"/>
    <x v="2"/>
    <x v="11"/>
    <x v="1"/>
    <x v="1"/>
    <x v="1"/>
    <n v="0.64"/>
    <n v="0.76"/>
    <n v="0.01"/>
    <n v="0.59"/>
  </r>
  <r>
    <x v="7"/>
    <x v="2"/>
    <x v="11"/>
    <x v="1"/>
    <x v="0"/>
    <x v="1"/>
    <n v="0.35"/>
    <n v="0.42"/>
    <n v="0.02"/>
    <n v="0.32"/>
  </r>
  <r>
    <x v="7"/>
    <x v="2"/>
    <x v="11"/>
    <x v="0"/>
    <x v="0"/>
    <x v="1"/>
    <n v="0.6"/>
    <n v="0.71"/>
    <n v="0.02"/>
    <n v="0.54"/>
  </r>
  <r>
    <x v="7"/>
    <x v="2"/>
    <x v="11"/>
    <x v="1"/>
    <x v="1"/>
    <x v="0"/>
    <n v="13.1"/>
    <n v="15.43"/>
    <n v="0.68"/>
    <n v="12.1"/>
  </r>
  <r>
    <x v="7"/>
    <x v="2"/>
    <x v="11"/>
    <x v="2"/>
    <x v="3"/>
    <x v="2"/>
    <n v="0.41"/>
    <n v="0.48"/>
    <n v="0"/>
    <n v="0.41"/>
  </r>
  <r>
    <x v="7"/>
    <x v="2"/>
    <x v="11"/>
    <x v="4"/>
    <x v="4"/>
    <x v="2"/>
    <n v="0.25"/>
    <n v="0.3"/>
    <n v="0"/>
    <n v="0.22"/>
  </r>
  <r>
    <x v="7"/>
    <x v="2"/>
    <x v="11"/>
    <x v="2"/>
    <x v="3"/>
    <x v="3"/>
    <n v="2.62"/>
    <n v="3.09"/>
    <n v="0"/>
    <n v="2.62"/>
  </r>
  <r>
    <x v="7"/>
    <x v="2"/>
    <x v="12"/>
    <x v="1"/>
    <x v="2"/>
    <x v="0"/>
    <n v="43.98"/>
    <n v="51.8"/>
    <n v="0.94"/>
    <n v="42.11"/>
  </r>
  <r>
    <x v="7"/>
    <x v="2"/>
    <x v="12"/>
    <x v="3"/>
    <x v="0"/>
    <x v="0"/>
    <n v="6.42"/>
    <n v="7.56"/>
    <n v="3.5"/>
    <n v="6.24"/>
  </r>
  <r>
    <x v="7"/>
    <x v="2"/>
    <x v="12"/>
    <x v="2"/>
    <x v="4"/>
    <x v="0"/>
    <n v="14.85"/>
    <n v="17.489999999999998"/>
    <n v="2.56"/>
    <n v="14.12"/>
  </r>
  <r>
    <x v="7"/>
    <x v="2"/>
    <x v="12"/>
    <x v="2"/>
    <x v="0"/>
    <x v="0"/>
    <n v="22.75"/>
    <n v="26.79"/>
    <n v="13.84"/>
    <n v="21.5"/>
  </r>
  <r>
    <x v="7"/>
    <x v="2"/>
    <x v="12"/>
    <x v="1"/>
    <x v="1"/>
    <x v="0"/>
    <n v="102.46"/>
    <n v="120.68"/>
    <n v="4.45"/>
    <n v="96.2"/>
  </r>
  <r>
    <x v="7"/>
    <x v="2"/>
    <x v="12"/>
    <x v="1"/>
    <x v="0"/>
    <x v="0"/>
    <n v="47.6"/>
    <n v="56.07"/>
    <n v="24"/>
    <n v="45.6"/>
  </r>
  <r>
    <x v="7"/>
    <x v="2"/>
    <x v="12"/>
    <x v="0"/>
    <x v="4"/>
    <x v="0"/>
    <n v="62.3"/>
    <n v="73.38"/>
    <n v="15.64"/>
    <n v="58.79"/>
  </r>
  <r>
    <x v="7"/>
    <x v="2"/>
    <x v="12"/>
    <x v="0"/>
    <x v="0"/>
    <x v="0"/>
    <n v="16.170000000000002"/>
    <n v="19.05"/>
    <n v="9.24"/>
    <n v="14.82"/>
  </r>
  <r>
    <x v="7"/>
    <x v="2"/>
    <x v="12"/>
    <x v="4"/>
    <x v="2"/>
    <x v="0"/>
    <n v="1.23"/>
    <n v="1.45"/>
    <n v="0"/>
    <n v="1.1299999999999999"/>
  </r>
  <r>
    <x v="7"/>
    <x v="2"/>
    <x v="12"/>
    <x v="4"/>
    <x v="1"/>
    <x v="0"/>
    <n v="23.03"/>
    <n v="27.13"/>
    <n v="1.1399999999999999"/>
    <n v="21.35"/>
  </r>
  <r>
    <x v="7"/>
    <x v="2"/>
    <x v="12"/>
    <x v="1"/>
    <x v="4"/>
    <x v="0"/>
    <n v="841.47"/>
    <n v="991.14"/>
    <n v="115.36"/>
    <n v="802.51"/>
  </r>
  <r>
    <x v="7"/>
    <x v="2"/>
    <x v="12"/>
    <x v="3"/>
    <x v="4"/>
    <x v="0"/>
    <n v="92.07"/>
    <n v="108.45"/>
    <n v="11.83"/>
    <n v="87.2"/>
  </r>
  <r>
    <x v="7"/>
    <x v="2"/>
    <x v="12"/>
    <x v="4"/>
    <x v="4"/>
    <x v="2"/>
    <n v="0.57999999999999996"/>
    <n v="0.69"/>
    <n v="0.02"/>
    <n v="0.51"/>
  </r>
  <r>
    <x v="7"/>
    <x v="2"/>
    <x v="12"/>
    <x v="1"/>
    <x v="2"/>
    <x v="1"/>
    <n v="40.04"/>
    <n v="47.16"/>
    <n v="0.18"/>
    <n v="36.14"/>
  </r>
  <r>
    <x v="7"/>
    <x v="2"/>
    <x v="12"/>
    <x v="1"/>
    <x v="1"/>
    <x v="1"/>
    <n v="28"/>
    <n v="32.979999999999997"/>
    <n v="0.38"/>
    <n v="26.69"/>
  </r>
  <r>
    <x v="7"/>
    <x v="2"/>
    <x v="12"/>
    <x v="1"/>
    <x v="4"/>
    <x v="1"/>
    <n v="7.16"/>
    <n v="8.44"/>
    <n v="0.09"/>
    <n v="7.16"/>
  </r>
  <r>
    <x v="7"/>
    <x v="2"/>
    <x v="12"/>
    <x v="1"/>
    <x v="0"/>
    <x v="1"/>
    <n v="14.75"/>
    <n v="17.37"/>
    <n v="0.73"/>
    <n v="14.39"/>
  </r>
  <r>
    <x v="7"/>
    <x v="2"/>
    <x v="12"/>
    <x v="0"/>
    <x v="0"/>
    <x v="1"/>
    <n v="7.92"/>
    <n v="9.33"/>
    <n v="0.23"/>
    <n v="7.13"/>
  </r>
  <r>
    <x v="7"/>
    <x v="2"/>
    <x v="12"/>
    <x v="2"/>
    <x v="3"/>
    <x v="3"/>
    <n v="175.34"/>
    <n v="206.53"/>
    <n v="0.09"/>
    <n v="175.34"/>
  </r>
  <r>
    <x v="7"/>
    <x v="2"/>
    <x v="12"/>
    <x v="2"/>
    <x v="3"/>
    <x v="2"/>
    <n v="5.21"/>
    <n v="6.14"/>
    <n v="0.01"/>
    <n v="4.6100000000000003"/>
  </r>
  <r>
    <x v="7"/>
    <x v="2"/>
    <x v="12"/>
    <x v="1"/>
    <x v="4"/>
    <x v="2"/>
    <n v="2.79"/>
    <n v="3.29"/>
    <n v="0.03"/>
    <n v="2.44"/>
  </r>
  <r>
    <x v="7"/>
    <x v="2"/>
    <x v="12"/>
    <x v="4"/>
    <x v="2"/>
    <x v="2"/>
    <n v="1.17"/>
    <n v="1.38"/>
    <n v="0.01"/>
    <n v="1.03"/>
  </r>
  <r>
    <x v="7"/>
    <x v="2"/>
    <x v="12"/>
    <x v="4"/>
    <x v="1"/>
    <x v="2"/>
    <n v="0.65"/>
    <n v="0.77"/>
    <n v="0.01"/>
    <n v="0.56999999999999995"/>
  </r>
  <r>
    <x v="7"/>
    <x v="2"/>
    <x v="12"/>
    <x v="4"/>
    <x v="4"/>
    <x v="0"/>
    <n v="208.6"/>
    <n v="245.71"/>
    <n v="20.46"/>
    <n v="197.02"/>
  </r>
  <r>
    <x v="7"/>
    <x v="2"/>
    <x v="13"/>
    <x v="4"/>
    <x v="1"/>
    <x v="0"/>
    <n v="47.5"/>
    <n v="55.94"/>
    <n v="2.0499999999999998"/>
    <n v="43.73"/>
  </r>
  <r>
    <x v="7"/>
    <x v="2"/>
    <x v="13"/>
    <x v="2"/>
    <x v="3"/>
    <x v="1"/>
    <n v="11.9"/>
    <n v="14.02"/>
    <n v="0.03"/>
    <n v="11.9"/>
  </r>
  <r>
    <x v="7"/>
    <x v="2"/>
    <x v="13"/>
    <x v="2"/>
    <x v="4"/>
    <x v="0"/>
    <n v="32.46"/>
    <n v="38.229999999999997"/>
    <n v="4.4400000000000004"/>
    <n v="30.31"/>
  </r>
  <r>
    <x v="7"/>
    <x v="2"/>
    <x v="13"/>
    <x v="2"/>
    <x v="0"/>
    <x v="0"/>
    <n v="43"/>
    <n v="50.65"/>
    <n v="17.18"/>
    <n v="39.93"/>
  </r>
  <r>
    <x v="7"/>
    <x v="2"/>
    <x v="13"/>
    <x v="1"/>
    <x v="2"/>
    <x v="0"/>
    <n v="91.26"/>
    <n v="107.49"/>
    <n v="1.48"/>
    <n v="86.19"/>
  </r>
  <r>
    <x v="7"/>
    <x v="2"/>
    <x v="13"/>
    <x v="1"/>
    <x v="1"/>
    <x v="0"/>
    <n v="158.74"/>
    <n v="186.98"/>
    <n v="7.7"/>
    <n v="148.33000000000001"/>
  </r>
  <r>
    <x v="7"/>
    <x v="2"/>
    <x v="13"/>
    <x v="1"/>
    <x v="4"/>
    <x v="0"/>
    <n v="1117.5"/>
    <n v="1316.27"/>
    <n v="172.34"/>
    <n v="1039.8699999999999"/>
  </r>
  <r>
    <x v="7"/>
    <x v="2"/>
    <x v="13"/>
    <x v="1"/>
    <x v="0"/>
    <x v="0"/>
    <n v="64.98"/>
    <n v="76.53"/>
    <n v="27.26"/>
    <n v="60.88"/>
  </r>
  <r>
    <x v="7"/>
    <x v="2"/>
    <x v="13"/>
    <x v="0"/>
    <x v="2"/>
    <x v="0"/>
    <n v="11.22"/>
    <n v="13.21"/>
    <n v="0.09"/>
    <n v="10.7"/>
  </r>
  <r>
    <x v="7"/>
    <x v="2"/>
    <x v="13"/>
    <x v="0"/>
    <x v="4"/>
    <x v="0"/>
    <n v="91.93"/>
    <n v="108.28"/>
    <n v="25.2"/>
    <n v="85.74"/>
  </r>
  <r>
    <x v="7"/>
    <x v="2"/>
    <x v="13"/>
    <x v="0"/>
    <x v="0"/>
    <x v="0"/>
    <n v="48.43"/>
    <n v="57.04"/>
    <n v="17.329999999999998"/>
    <n v="44.42"/>
  </r>
  <r>
    <x v="7"/>
    <x v="2"/>
    <x v="13"/>
    <x v="4"/>
    <x v="3"/>
    <x v="0"/>
    <n v="11.31"/>
    <n v="13.32"/>
    <n v="0.01"/>
    <n v="10.38"/>
  </r>
  <r>
    <x v="7"/>
    <x v="2"/>
    <x v="13"/>
    <x v="4"/>
    <x v="2"/>
    <x v="0"/>
    <n v="9.56"/>
    <n v="11.26"/>
    <n v="0.01"/>
    <n v="8.77"/>
  </r>
  <r>
    <x v="7"/>
    <x v="2"/>
    <x v="13"/>
    <x v="2"/>
    <x v="2"/>
    <x v="1"/>
    <n v="4.1500000000000004"/>
    <n v="4.8899999999999997"/>
    <n v="0.04"/>
    <n v="4.1500000000000004"/>
  </r>
  <r>
    <x v="7"/>
    <x v="2"/>
    <x v="13"/>
    <x v="3"/>
    <x v="1"/>
    <x v="0"/>
    <n v="22.7"/>
    <n v="26.73"/>
    <n v="8.11"/>
    <n v="22.7"/>
  </r>
  <r>
    <x v="7"/>
    <x v="2"/>
    <x v="13"/>
    <x v="3"/>
    <x v="4"/>
    <x v="0"/>
    <n v="209.05"/>
    <n v="246.23"/>
    <n v="57.69"/>
    <n v="201.23"/>
  </r>
  <r>
    <x v="7"/>
    <x v="2"/>
    <x v="13"/>
    <x v="4"/>
    <x v="4"/>
    <x v="2"/>
    <n v="1.37"/>
    <n v="1.62"/>
    <n v="0.04"/>
    <n v="1.19"/>
  </r>
  <r>
    <x v="7"/>
    <x v="2"/>
    <x v="13"/>
    <x v="1"/>
    <x v="3"/>
    <x v="1"/>
    <n v="1.85"/>
    <n v="2.17"/>
    <n v="0.01"/>
    <n v="1.85"/>
  </r>
  <r>
    <x v="7"/>
    <x v="2"/>
    <x v="13"/>
    <x v="1"/>
    <x v="2"/>
    <x v="1"/>
    <n v="84.01"/>
    <n v="98.95"/>
    <n v="0.56000000000000005"/>
    <n v="78.38"/>
  </r>
  <r>
    <x v="7"/>
    <x v="2"/>
    <x v="13"/>
    <x v="1"/>
    <x v="1"/>
    <x v="1"/>
    <n v="40.880000000000003"/>
    <n v="48.15"/>
    <n v="0.69"/>
    <n v="38.979999999999997"/>
  </r>
  <r>
    <x v="7"/>
    <x v="2"/>
    <x v="13"/>
    <x v="1"/>
    <x v="4"/>
    <x v="1"/>
    <n v="3.28"/>
    <n v="3.87"/>
    <n v="0.18"/>
    <n v="3.19"/>
  </r>
  <r>
    <x v="7"/>
    <x v="2"/>
    <x v="13"/>
    <x v="1"/>
    <x v="0"/>
    <x v="1"/>
    <n v="14.72"/>
    <n v="17.34"/>
    <n v="0.81"/>
    <n v="13.97"/>
  </r>
  <r>
    <x v="7"/>
    <x v="2"/>
    <x v="13"/>
    <x v="0"/>
    <x v="1"/>
    <x v="1"/>
    <n v="0.36"/>
    <n v="0.43"/>
    <n v="0.01"/>
    <n v="0.35"/>
  </r>
  <r>
    <x v="7"/>
    <x v="2"/>
    <x v="13"/>
    <x v="0"/>
    <x v="0"/>
    <x v="1"/>
    <n v="17.27"/>
    <n v="20.34"/>
    <n v="0.51"/>
    <n v="15.59"/>
  </r>
  <r>
    <x v="7"/>
    <x v="2"/>
    <x v="13"/>
    <x v="4"/>
    <x v="0"/>
    <x v="1"/>
    <n v="1.08"/>
    <n v="1.28"/>
    <n v="0.12"/>
    <n v="1.08"/>
  </r>
  <r>
    <x v="7"/>
    <x v="2"/>
    <x v="13"/>
    <x v="2"/>
    <x v="3"/>
    <x v="3"/>
    <n v="176.76"/>
    <n v="208.2"/>
    <n v="0.08"/>
    <n v="175.97"/>
  </r>
  <r>
    <x v="7"/>
    <x v="2"/>
    <x v="13"/>
    <x v="2"/>
    <x v="1"/>
    <x v="3"/>
    <n v="44.47"/>
    <n v="52.38"/>
    <n v="0.03"/>
    <n v="43.62"/>
  </r>
  <r>
    <x v="7"/>
    <x v="2"/>
    <x v="13"/>
    <x v="2"/>
    <x v="3"/>
    <x v="2"/>
    <n v="14.29"/>
    <n v="16.84"/>
    <n v="0.03"/>
    <n v="12.33"/>
  </r>
  <r>
    <x v="7"/>
    <x v="2"/>
    <x v="13"/>
    <x v="1"/>
    <x v="4"/>
    <x v="2"/>
    <n v="4.05"/>
    <n v="4.7699999999999996"/>
    <n v="0.02"/>
    <n v="3.52"/>
  </r>
  <r>
    <x v="7"/>
    <x v="2"/>
    <x v="13"/>
    <x v="4"/>
    <x v="1"/>
    <x v="2"/>
    <n v="1.06"/>
    <n v="1.25"/>
    <n v="0.02"/>
    <n v="0.92"/>
  </r>
  <r>
    <x v="7"/>
    <x v="2"/>
    <x v="13"/>
    <x v="4"/>
    <x v="4"/>
    <x v="0"/>
    <n v="375.22"/>
    <n v="441.96"/>
    <n v="36.14"/>
    <n v="347.94"/>
  </r>
  <r>
    <x v="7"/>
    <x v="2"/>
    <x v="13"/>
    <x v="3"/>
    <x v="0"/>
    <x v="0"/>
    <n v="11.93"/>
    <n v="14.05"/>
    <n v="1.62"/>
    <n v="11.23"/>
  </r>
  <r>
    <x v="7"/>
    <x v="2"/>
    <x v="14"/>
    <x v="0"/>
    <x v="0"/>
    <x v="0"/>
    <n v="1.1499999999999999"/>
    <n v="1.36"/>
    <n v="0.72"/>
    <n v="1.05"/>
  </r>
  <r>
    <x v="7"/>
    <x v="2"/>
    <x v="14"/>
    <x v="2"/>
    <x v="3"/>
    <x v="2"/>
    <n v="0.34"/>
    <n v="0.4"/>
    <n v="0"/>
    <n v="0.34"/>
  </r>
  <r>
    <x v="7"/>
    <x v="2"/>
    <x v="14"/>
    <x v="2"/>
    <x v="3"/>
    <x v="3"/>
    <n v="5.01"/>
    <n v="5.9"/>
    <n v="0"/>
    <n v="5.01"/>
  </r>
  <r>
    <x v="7"/>
    <x v="2"/>
    <x v="14"/>
    <x v="0"/>
    <x v="0"/>
    <x v="1"/>
    <n v="0.72"/>
    <n v="0.85"/>
    <n v="0.02"/>
    <n v="0.65"/>
  </r>
  <r>
    <x v="7"/>
    <x v="2"/>
    <x v="14"/>
    <x v="1"/>
    <x v="0"/>
    <x v="1"/>
    <n v="0.44"/>
    <n v="0.52"/>
    <n v="0.02"/>
    <n v="0.4"/>
  </r>
  <r>
    <x v="7"/>
    <x v="2"/>
    <x v="14"/>
    <x v="1"/>
    <x v="1"/>
    <x v="1"/>
    <n v="0.91"/>
    <n v="1.07"/>
    <n v="0.01"/>
    <n v="0.82"/>
  </r>
  <r>
    <x v="7"/>
    <x v="2"/>
    <x v="14"/>
    <x v="1"/>
    <x v="2"/>
    <x v="1"/>
    <n v="0.89"/>
    <n v="1.05"/>
    <n v="0"/>
    <n v="0.8"/>
  </r>
  <r>
    <x v="7"/>
    <x v="2"/>
    <x v="14"/>
    <x v="3"/>
    <x v="0"/>
    <x v="0"/>
    <n v="0.06"/>
    <n v="7.0000000000000007E-2"/>
    <n v="0.02"/>
    <n v="0.05"/>
  </r>
  <r>
    <x v="7"/>
    <x v="2"/>
    <x v="14"/>
    <x v="1"/>
    <x v="4"/>
    <x v="2"/>
    <n v="0.43"/>
    <n v="0.51"/>
    <n v="0"/>
    <n v="0.4"/>
  </r>
  <r>
    <x v="7"/>
    <x v="2"/>
    <x v="14"/>
    <x v="4"/>
    <x v="4"/>
    <x v="0"/>
    <n v="10.97"/>
    <n v="12.93"/>
    <n v="1.25"/>
    <n v="10.210000000000001"/>
  </r>
  <r>
    <x v="7"/>
    <x v="2"/>
    <x v="14"/>
    <x v="4"/>
    <x v="1"/>
    <x v="0"/>
    <n v="1.45"/>
    <n v="1.71"/>
    <n v="0.08"/>
    <n v="1.34"/>
  </r>
  <r>
    <x v="7"/>
    <x v="2"/>
    <x v="14"/>
    <x v="1"/>
    <x v="0"/>
    <x v="0"/>
    <n v="2.8"/>
    <n v="3.3"/>
    <n v="1.49"/>
    <n v="2.68"/>
  </r>
  <r>
    <x v="7"/>
    <x v="2"/>
    <x v="14"/>
    <x v="1"/>
    <x v="4"/>
    <x v="0"/>
    <n v="31.97"/>
    <n v="37.65"/>
    <n v="6.03"/>
    <n v="29.94"/>
  </r>
  <r>
    <x v="7"/>
    <x v="2"/>
    <x v="14"/>
    <x v="1"/>
    <x v="1"/>
    <x v="0"/>
    <n v="6.57"/>
    <n v="7.74"/>
    <n v="0.4"/>
    <n v="6.11"/>
  </r>
  <r>
    <x v="7"/>
    <x v="2"/>
    <x v="14"/>
    <x v="1"/>
    <x v="2"/>
    <x v="0"/>
    <n v="0.46"/>
    <n v="0.54"/>
    <n v="0.01"/>
    <n v="0.4"/>
  </r>
  <r>
    <x v="7"/>
    <x v="2"/>
    <x v="14"/>
    <x v="2"/>
    <x v="0"/>
    <x v="0"/>
    <n v="1.1100000000000001"/>
    <n v="1.3"/>
    <n v="0.75"/>
    <n v="1.06"/>
  </r>
  <r>
    <x v="7"/>
    <x v="2"/>
    <x v="14"/>
    <x v="2"/>
    <x v="4"/>
    <x v="0"/>
    <n v="0.75"/>
    <n v="0.88"/>
    <n v="0.17"/>
    <n v="0.72"/>
  </r>
  <r>
    <x v="7"/>
    <x v="2"/>
    <x v="14"/>
    <x v="4"/>
    <x v="4"/>
    <x v="2"/>
    <n v="0.32"/>
    <n v="0.38"/>
    <n v="0"/>
    <n v="0.28999999999999998"/>
  </r>
  <r>
    <x v="7"/>
    <x v="2"/>
    <x v="14"/>
    <x v="3"/>
    <x v="4"/>
    <x v="0"/>
    <n v="2.08"/>
    <n v="2.4500000000000002"/>
    <n v="0.28999999999999998"/>
    <n v="2"/>
  </r>
  <r>
    <x v="7"/>
    <x v="2"/>
    <x v="14"/>
    <x v="0"/>
    <x v="4"/>
    <x v="0"/>
    <n v="3.02"/>
    <n v="3.56"/>
    <n v="1.06"/>
    <n v="2.88"/>
  </r>
  <r>
    <x v="7"/>
    <x v="2"/>
    <x v="14"/>
    <x v="4"/>
    <x v="2"/>
    <x v="2"/>
    <n v="0.16"/>
    <n v="0.19"/>
    <n v="0"/>
    <n v="0.14000000000000001"/>
  </r>
  <r>
    <x v="7"/>
    <x v="4"/>
    <x v="15"/>
    <x v="2"/>
    <x v="4"/>
    <x v="1"/>
    <n v="2.64"/>
    <n v="2.65"/>
    <n v="0.01"/>
    <n v="2.16"/>
  </r>
  <r>
    <x v="7"/>
    <x v="4"/>
    <x v="15"/>
    <x v="3"/>
    <x v="0"/>
    <x v="0"/>
    <n v="7.0000000000000007E-2"/>
    <n v="7.0000000000000007E-2"/>
    <n v="0.01"/>
    <n v="0.06"/>
  </r>
  <r>
    <x v="7"/>
    <x v="4"/>
    <x v="15"/>
    <x v="3"/>
    <x v="4"/>
    <x v="0"/>
    <n v="40.619999999999997"/>
    <n v="40.799999999999997"/>
    <n v="5.09"/>
    <n v="35.700000000000003"/>
  </r>
  <r>
    <x v="7"/>
    <x v="4"/>
    <x v="15"/>
    <x v="0"/>
    <x v="2"/>
    <x v="0"/>
    <n v="0.3"/>
    <n v="0.3"/>
    <n v="0"/>
    <n v="0.3"/>
  </r>
  <r>
    <x v="7"/>
    <x v="4"/>
    <x v="15"/>
    <x v="4"/>
    <x v="4"/>
    <x v="0"/>
    <n v="34.82"/>
    <n v="34.979999999999997"/>
    <n v="4.75"/>
    <n v="31.27"/>
  </r>
  <r>
    <x v="7"/>
    <x v="4"/>
    <x v="15"/>
    <x v="0"/>
    <x v="4"/>
    <x v="0"/>
    <n v="1.8"/>
    <n v="1.81"/>
    <n v="0.34"/>
    <n v="1.76"/>
  </r>
  <r>
    <x v="7"/>
    <x v="4"/>
    <x v="15"/>
    <x v="1"/>
    <x v="3"/>
    <x v="1"/>
    <n v="0.48"/>
    <n v="0.49"/>
    <n v="0.01"/>
    <n v="0.42"/>
  </r>
  <r>
    <x v="7"/>
    <x v="4"/>
    <x v="15"/>
    <x v="2"/>
    <x v="0"/>
    <x v="0"/>
    <n v="1.73"/>
    <n v="1.73"/>
    <n v="2.2200000000000002"/>
    <n v="1.68"/>
  </r>
  <r>
    <x v="7"/>
    <x v="4"/>
    <x v="15"/>
    <x v="1"/>
    <x v="2"/>
    <x v="0"/>
    <n v="2.68"/>
    <n v="2.69"/>
    <n v="0.02"/>
    <n v="2.31"/>
  </r>
  <r>
    <x v="7"/>
    <x v="4"/>
    <x v="15"/>
    <x v="1"/>
    <x v="1"/>
    <x v="0"/>
    <n v="23.52"/>
    <n v="23.63"/>
    <n v="1.2"/>
    <n v="21.62"/>
  </r>
  <r>
    <x v="7"/>
    <x v="4"/>
    <x v="15"/>
    <x v="1"/>
    <x v="4"/>
    <x v="0"/>
    <n v="241.58"/>
    <n v="242.7"/>
    <n v="35.799999999999997"/>
    <n v="218.05"/>
  </r>
  <r>
    <x v="7"/>
    <x v="4"/>
    <x v="15"/>
    <x v="1"/>
    <x v="0"/>
    <x v="0"/>
    <n v="5.21"/>
    <n v="5.24"/>
    <n v="3.68"/>
    <n v="4.8600000000000003"/>
  </r>
  <r>
    <x v="7"/>
    <x v="4"/>
    <x v="15"/>
    <x v="4"/>
    <x v="1"/>
    <x v="0"/>
    <n v="8.02"/>
    <n v="8.06"/>
    <n v="0.31"/>
    <n v="6.97"/>
  </r>
  <r>
    <x v="7"/>
    <x v="4"/>
    <x v="15"/>
    <x v="4"/>
    <x v="1"/>
    <x v="2"/>
    <n v="0.09"/>
    <n v="0.09"/>
    <n v="0"/>
    <n v="7.0000000000000007E-2"/>
  </r>
  <r>
    <x v="7"/>
    <x v="4"/>
    <x v="15"/>
    <x v="2"/>
    <x v="4"/>
    <x v="0"/>
    <n v="3.13"/>
    <n v="3.14"/>
    <n v="1.06"/>
    <n v="3.07"/>
  </r>
  <r>
    <x v="7"/>
    <x v="4"/>
    <x v="15"/>
    <x v="4"/>
    <x v="0"/>
    <x v="1"/>
    <n v="0.14000000000000001"/>
    <n v="0.14000000000000001"/>
    <n v="0.01"/>
    <n v="0.12"/>
  </r>
  <r>
    <x v="7"/>
    <x v="4"/>
    <x v="15"/>
    <x v="0"/>
    <x v="0"/>
    <x v="0"/>
    <n v="0.87"/>
    <n v="0.87"/>
    <n v="0.56999999999999995"/>
    <n v="0.75"/>
  </r>
  <r>
    <x v="7"/>
    <x v="4"/>
    <x v="15"/>
    <x v="2"/>
    <x v="3"/>
    <x v="3"/>
    <n v="21.01"/>
    <n v="21.1"/>
    <n v="0.02"/>
    <n v="20.09"/>
  </r>
  <r>
    <x v="7"/>
    <x v="4"/>
    <x v="15"/>
    <x v="1"/>
    <x v="4"/>
    <x v="2"/>
    <n v="0.16"/>
    <n v="0.16"/>
    <n v="0.01"/>
    <n v="0.13"/>
  </r>
  <r>
    <x v="7"/>
    <x v="4"/>
    <x v="15"/>
    <x v="4"/>
    <x v="2"/>
    <x v="2"/>
    <n v="0.59"/>
    <n v="0.59"/>
    <n v="0.01"/>
    <n v="0.48"/>
  </r>
  <r>
    <x v="7"/>
    <x v="4"/>
    <x v="15"/>
    <x v="4"/>
    <x v="1"/>
    <x v="1"/>
    <n v="0.09"/>
    <n v="0.09"/>
    <n v="0"/>
    <n v="0.08"/>
  </r>
  <r>
    <x v="7"/>
    <x v="4"/>
    <x v="15"/>
    <x v="0"/>
    <x v="0"/>
    <x v="1"/>
    <n v="4.2300000000000004"/>
    <n v="4.25"/>
    <n v="0.11"/>
    <n v="3.56"/>
  </r>
  <r>
    <x v="7"/>
    <x v="4"/>
    <x v="15"/>
    <x v="1"/>
    <x v="0"/>
    <x v="1"/>
    <n v="2.11"/>
    <n v="2.12"/>
    <n v="0.1"/>
    <n v="1.77"/>
  </r>
  <r>
    <x v="7"/>
    <x v="4"/>
    <x v="15"/>
    <x v="1"/>
    <x v="4"/>
    <x v="1"/>
    <n v="0.22"/>
    <n v="0.22"/>
    <n v="0.01"/>
    <n v="0.19"/>
  </r>
  <r>
    <x v="7"/>
    <x v="4"/>
    <x v="15"/>
    <x v="1"/>
    <x v="1"/>
    <x v="1"/>
    <n v="9.0299999999999994"/>
    <n v="9.07"/>
    <n v="0.09"/>
    <n v="7.62"/>
  </r>
  <r>
    <x v="7"/>
    <x v="4"/>
    <x v="15"/>
    <x v="1"/>
    <x v="2"/>
    <x v="1"/>
    <n v="12.97"/>
    <n v="13.03"/>
    <n v="7.0000000000000007E-2"/>
    <n v="10.9"/>
  </r>
  <r>
    <x v="7"/>
    <x v="5"/>
    <x v="16"/>
    <x v="1"/>
    <x v="1"/>
    <x v="1"/>
    <n v="0.52"/>
    <n v="0.64"/>
    <n v="0.01"/>
    <n v="0.48"/>
  </r>
  <r>
    <x v="7"/>
    <x v="5"/>
    <x v="16"/>
    <x v="0"/>
    <x v="0"/>
    <x v="1"/>
    <n v="0.56999999999999995"/>
    <n v="0.7"/>
    <n v="0.02"/>
    <n v="0.53"/>
  </r>
  <r>
    <x v="7"/>
    <x v="5"/>
    <x v="16"/>
    <x v="1"/>
    <x v="0"/>
    <x v="0"/>
    <n v="3.74"/>
    <n v="4.59"/>
    <n v="1.82"/>
    <n v="3.55"/>
  </r>
  <r>
    <x v="7"/>
    <x v="5"/>
    <x v="16"/>
    <x v="1"/>
    <x v="2"/>
    <x v="1"/>
    <n v="1.04"/>
    <n v="1.28"/>
    <n v="0"/>
    <n v="0.96"/>
  </r>
  <r>
    <x v="7"/>
    <x v="5"/>
    <x v="16"/>
    <x v="1"/>
    <x v="4"/>
    <x v="0"/>
    <n v="57.65"/>
    <n v="70.73"/>
    <n v="13.08"/>
    <n v="53.39"/>
  </r>
  <r>
    <x v="7"/>
    <x v="5"/>
    <x v="16"/>
    <x v="1"/>
    <x v="1"/>
    <x v="0"/>
    <n v="8.98"/>
    <n v="11.02"/>
    <n v="0.65"/>
    <n v="8.32"/>
  </r>
  <r>
    <x v="7"/>
    <x v="5"/>
    <x v="16"/>
    <x v="1"/>
    <x v="2"/>
    <x v="0"/>
    <n v="0.09"/>
    <n v="0.11"/>
    <n v="0"/>
    <n v="0.08"/>
  </r>
  <r>
    <x v="7"/>
    <x v="5"/>
    <x v="16"/>
    <x v="2"/>
    <x v="0"/>
    <x v="0"/>
    <n v="1.79"/>
    <n v="2.2000000000000002"/>
    <n v="1.03"/>
    <n v="1.71"/>
  </r>
  <r>
    <x v="7"/>
    <x v="5"/>
    <x v="16"/>
    <x v="1"/>
    <x v="0"/>
    <x v="1"/>
    <n v="0.26"/>
    <n v="0.32"/>
    <n v="0.01"/>
    <n v="0.24"/>
  </r>
  <r>
    <x v="7"/>
    <x v="5"/>
    <x v="16"/>
    <x v="2"/>
    <x v="4"/>
    <x v="0"/>
    <n v="1.1599999999999999"/>
    <n v="1.42"/>
    <n v="0.21"/>
    <n v="1.1100000000000001"/>
  </r>
  <r>
    <x v="7"/>
    <x v="5"/>
    <x v="16"/>
    <x v="4"/>
    <x v="4"/>
    <x v="2"/>
    <n v="0.25"/>
    <n v="0.31"/>
    <n v="0"/>
    <n v="0.22"/>
  </r>
  <r>
    <x v="7"/>
    <x v="5"/>
    <x v="16"/>
    <x v="1"/>
    <x v="4"/>
    <x v="2"/>
    <n v="0.24"/>
    <n v="0.28999999999999998"/>
    <n v="0.01"/>
    <n v="0.21"/>
  </r>
  <r>
    <x v="7"/>
    <x v="5"/>
    <x v="16"/>
    <x v="2"/>
    <x v="3"/>
    <x v="3"/>
    <n v="0.27"/>
    <n v="0.33"/>
    <n v="0"/>
    <n v="0.27"/>
  </r>
  <r>
    <x v="7"/>
    <x v="5"/>
    <x v="16"/>
    <x v="0"/>
    <x v="4"/>
    <x v="0"/>
    <n v="5.34"/>
    <n v="6.55"/>
    <n v="1.75"/>
    <n v="5.07"/>
  </r>
  <r>
    <x v="7"/>
    <x v="5"/>
    <x v="16"/>
    <x v="3"/>
    <x v="4"/>
    <x v="0"/>
    <n v="2.57"/>
    <n v="3.15"/>
    <n v="0.34"/>
    <n v="2.48"/>
  </r>
  <r>
    <x v="7"/>
    <x v="5"/>
    <x v="16"/>
    <x v="4"/>
    <x v="4"/>
    <x v="0"/>
    <n v="9.1300000000000008"/>
    <n v="11.2"/>
    <n v="1.06"/>
    <n v="8.5399999999999991"/>
  </r>
  <r>
    <x v="7"/>
    <x v="5"/>
    <x v="16"/>
    <x v="4"/>
    <x v="1"/>
    <x v="0"/>
    <n v="1.17"/>
    <n v="1.43"/>
    <n v="0.06"/>
    <n v="1.07"/>
  </r>
  <r>
    <x v="7"/>
    <x v="5"/>
    <x v="16"/>
    <x v="3"/>
    <x v="0"/>
    <x v="0"/>
    <n v="0.03"/>
    <n v="0.04"/>
    <n v="0.01"/>
    <n v="0.03"/>
  </r>
  <r>
    <x v="7"/>
    <x v="5"/>
    <x v="16"/>
    <x v="0"/>
    <x v="0"/>
    <x v="0"/>
    <n v="1.5"/>
    <n v="1.84"/>
    <n v="1.05"/>
    <n v="1.37"/>
  </r>
  <r>
    <x v="7"/>
    <x v="5"/>
    <x v="16"/>
    <x v="2"/>
    <x v="3"/>
    <x v="2"/>
    <n v="1.1200000000000001"/>
    <n v="1.38"/>
    <n v="0"/>
    <n v="1.1200000000000001"/>
  </r>
  <r>
    <x v="7"/>
    <x v="6"/>
    <x v="17"/>
    <x v="1"/>
    <x v="0"/>
    <x v="1"/>
    <n v="6.2"/>
    <n v="6.9"/>
    <n v="0.28000000000000003"/>
    <n v="5.32"/>
  </r>
  <r>
    <x v="7"/>
    <x v="6"/>
    <x v="17"/>
    <x v="4"/>
    <x v="0"/>
    <x v="0"/>
    <n v="1.69"/>
    <n v="1.88"/>
    <n v="1.78"/>
    <n v="1.69"/>
  </r>
  <r>
    <x v="7"/>
    <x v="6"/>
    <x v="17"/>
    <x v="3"/>
    <x v="4"/>
    <x v="0"/>
    <n v="27.53"/>
    <n v="30.61"/>
    <n v="3.37"/>
    <n v="24.66"/>
  </r>
  <r>
    <x v="7"/>
    <x v="6"/>
    <x v="17"/>
    <x v="3"/>
    <x v="0"/>
    <x v="0"/>
    <n v="0.05"/>
    <n v="0.05"/>
    <n v="0.01"/>
    <n v="0.04"/>
  </r>
  <r>
    <x v="7"/>
    <x v="6"/>
    <x v="17"/>
    <x v="2"/>
    <x v="3"/>
    <x v="1"/>
    <n v="1.9"/>
    <n v="2.11"/>
    <n v="0.01"/>
    <n v="1.66"/>
  </r>
  <r>
    <x v="7"/>
    <x v="6"/>
    <x v="17"/>
    <x v="2"/>
    <x v="4"/>
    <x v="1"/>
    <n v="14.18"/>
    <n v="15.77"/>
    <n v="0.02"/>
    <n v="14.18"/>
  </r>
  <r>
    <x v="7"/>
    <x v="6"/>
    <x v="17"/>
    <x v="1"/>
    <x v="3"/>
    <x v="1"/>
    <n v="0.4"/>
    <n v="0.44"/>
    <n v="0.01"/>
    <n v="0.35"/>
  </r>
  <r>
    <x v="7"/>
    <x v="6"/>
    <x v="17"/>
    <x v="1"/>
    <x v="2"/>
    <x v="1"/>
    <n v="33.380000000000003"/>
    <n v="37.130000000000003"/>
    <n v="0.19"/>
    <n v="28.63"/>
  </r>
  <r>
    <x v="7"/>
    <x v="6"/>
    <x v="17"/>
    <x v="4"/>
    <x v="4"/>
    <x v="0"/>
    <n v="163.93"/>
    <n v="182.33"/>
    <n v="17.97"/>
    <n v="146.36000000000001"/>
  </r>
  <r>
    <x v="7"/>
    <x v="6"/>
    <x v="17"/>
    <x v="1"/>
    <x v="4"/>
    <x v="1"/>
    <n v="1.1499999999999999"/>
    <n v="1.27"/>
    <n v="0.03"/>
    <n v="1"/>
  </r>
  <r>
    <x v="7"/>
    <x v="6"/>
    <x v="17"/>
    <x v="1"/>
    <x v="1"/>
    <x v="2"/>
    <n v="9.02"/>
    <n v="10.039999999999999"/>
    <n v="0.14000000000000001"/>
    <n v="7.85"/>
  </r>
  <r>
    <x v="7"/>
    <x v="6"/>
    <x v="17"/>
    <x v="0"/>
    <x v="0"/>
    <x v="1"/>
    <n v="10.96"/>
    <n v="12.19"/>
    <n v="0.28999999999999998"/>
    <n v="9.3699999999999992"/>
  </r>
  <r>
    <x v="7"/>
    <x v="6"/>
    <x v="17"/>
    <x v="4"/>
    <x v="1"/>
    <x v="1"/>
    <n v="0.54"/>
    <n v="0.6"/>
    <n v="0.02"/>
    <n v="0.48"/>
  </r>
  <r>
    <x v="7"/>
    <x v="6"/>
    <x v="17"/>
    <x v="4"/>
    <x v="0"/>
    <x v="1"/>
    <n v="0.64"/>
    <n v="0.71"/>
    <n v="7.0000000000000007E-2"/>
    <n v="0.55000000000000004"/>
  </r>
  <r>
    <x v="7"/>
    <x v="6"/>
    <x v="17"/>
    <x v="2"/>
    <x v="3"/>
    <x v="3"/>
    <n v="12.02"/>
    <n v="13.36"/>
    <n v="0.01"/>
    <n v="11.73"/>
  </r>
  <r>
    <x v="7"/>
    <x v="6"/>
    <x v="17"/>
    <x v="4"/>
    <x v="1"/>
    <x v="0"/>
    <n v="45.54"/>
    <n v="50.65"/>
    <n v="1.53"/>
    <n v="40.229999999999997"/>
  </r>
  <r>
    <x v="7"/>
    <x v="6"/>
    <x v="17"/>
    <x v="1"/>
    <x v="4"/>
    <x v="2"/>
    <n v="5.0599999999999996"/>
    <n v="5.63"/>
    <n v="0.16"/>
    <n v="4.4000000000000004"/>
  </r>
  <r>
    <x v="7"/>
    <x v="6"/>
    <x v="17"/>
    <x v="4"/>
    <x v="1"/>
    <x v="2"/>
    <n v="3.79"/>
    <n v="4.22"/>
    <n v="0.1"/>
    <n v="3.3"/>
  </r>
  <r>
    <x v="7"/>
    <x v="6"/>
    <x v="17"/>
    <x v="1"/>
    <x v="1"/>
    <x v="1"/>
    <n v="20.51"/>
    <n v="22.81"/>
    <n v="0.21"/>
    <n v="17.61"/>
  </r>
  <r>
    <x v="7"/>
    <x v="6"/>
    <x v="17"/>
    <x v="0"/>
    <x v="4"/>
    <x v="0"/>
    <n v="16.010000000000002"/>
    <n v="17.809999999999999"/>
    <n v="4.76"/>
    <n v="15.03"/>
  </r>
  <r>
    <x v="7"/>
    <x v="6"/>
    <x v="17"/>
    <x v="1"/>
    <x v="0"/>
    <x v="0"/>
    <n v="13.28"/>
    <n v="14.77"/>
    <n v="8.11"/>
    <n v="11.99"/>
  </r>
  <r>
    <x v="7"/>
    <x v="6"/>
    <x v="17"/>
    <x v="1"/>
    <x v="4"/>
    <x v="0"/>
    <n v="447.11"/>
    <n v="497.29"/>
    <n v="70.459999999999994"/>
    <n v="413.78"/>
  </r>
  <r>
    <x v="7"/>
    <x v="6"/>
    <x v="17"/>
    <x v="1"/>
    <x v="1"/>
    <x v="0"/>
    <n v="41.39"/>
    <n v="46.03"/>
    <n v="2.12"/>
    <n v="37.68"/>
  </r>
  <r>
    <x v="7"/>
    <x v="6"/>
    <x v="17"/>
    <x v="1"/>
    <x v="2"/>
    <x v="0"/>
    <n v="13.11"/>
    <n v="14.58"/>
    <n v="0.14000000000000001"/>
    <n v="11.39"/>
  </r>
  <r>
    <x v="7"/>
    <x v="6"/>
    <x v="17"/>
    <x v="2"/>
    <x v="0"/>
    <x v="0"/>
    <n v="12.33"/>
    <n v="13.71"/>
    <n v="12.14"/>
    <n v="11.5"/>
  </r>
  <r>
    <x v="7"/>
    <x v="6"/>
    <x v="17"/>
    <x v="2"/>
    <x v="4"/>
    <x v="0"/>
    <n v="11.09"/>
    <n v="12.33"/>
    <n v="3.87"/>
    <n v="10.36"/>
  </r>
  <r>
    <x v="7"/>
    <x v="6"/>
    <x v="17"/>
    <x v="2"/>
    <x v="3"/>
    <x v="0"/>
    <n v="0.24"/>
    <n v="0.26"/>
    <n v="0"/>
    <n v="0.24"/>
  </r>
  <r>
    <x v="7"/>
    <x v="6"/>
    <x v="17"/>
    <x v="0"/>
    <x v="2"/>
    <x v="0"/>
    <n v="0.46"/>
    <n v="0.51"/>
    <n v="0"/>
    <n v="0.46"/>
  </r>
  <r>
    <x v="7"/>
    <x v="6"/>
    <x v="17"/>
    <x v="4"/>
    <x v="2"/>
    <x v="2"/>
    <n v="15.35"/>
    <n v="17.07"/>
    <n v="0.14000000000000001"/>
    <n v="13.35"/>
  </r>
  <r>
    <x v="7"/>
    <x v="6"/>
    <x v="17"/>
    <x v="0"/>
    <x v="0"/>
    <x v="0"/>
    <n v="15.29"/>
    <n v="17.010000000000002"/>
    <n v="10.57"/>
    <n v="13.67"/>
  </r>
  <r>
    <x v="7"/>
    <x v="6"/>
    <x v="17"/>
    <x v="4"/>
    <x v="3"/>
    <x v="0"/>
    <n v="1.44"/>
    <n v="1.6"/>
    <n v="0.01"/>
    <n v="1.28"/>
  </r>
  <r>
    <x v="7"/>
    <x v="6"/>
    <x v="17"/>
    <x v="4"/>
    <x v="2"/>
    <x v="0"/>
    <n v="0.96"/>
    <n v="1.07"/>
    <n v="0.01"/>
    <n v="0.86"/>
  </r>
  <r>
    <x v="7"/>
    <x v="6"/>
    <x v="18"/>
    <x v="1"/>
    <x v="0"/>
    <x v="1"/>
    <n v="1.37"/>
    <n v="1.76"/>
    <n v="7.0000000000000007E-2"/>
    <n v="1.18"/>
  </r>
  <r>
    <x v="7"/>
    <x v="6"/>
    <x v="18"/>
    <x v="4"/>
    <x v="0"/>
    <x v="1"/>
    <n v="0.32"/>
    <n v="0.41"/>
    <n v="0.02"/>
    <n v="0.26"/>
  </r>
  <r>
    <x v="7"/>
    <x v="6"/>
    <x v="18"/>
    <x v="1"/>
    <x v="4"/>
    <x v="1"/>
    <n v="0.13"/>
    <n v="0.16"/>
    <n v="0"/>
    <n v="0.1"/>
  </r>
  <r>
    <x v="7"/>
    <x v="6"/>
    <x v="18"/>
    <x v="1"/>
    <x v="4"/>
    <x v="2"/>
    <n v="0.84"/>
    <n v="1.07"/>
    <n v="0.04"/>
    <n v="0.7"/>
  </r>
  <r>
    <x v="7"/>
    <x v="6"/>
    <x v="18"/>
    <x v="4"/>
    <x v="1"/>
    <x v="1"/>
    <n v="0.1"/>
    <n v="0.12"/>
    <n v="0"/>
    <n v="0.08"/>
  </r>
  <r>
    <x v="7"/>
    <x v="6"/>
    <x v="18"/>
    <x v="4"/>
    <x v="2"/>
    <x v="2"/>
    <n v="1.69"/>
    <n v="2.17"/>
    <n v="0.02"/>
    <n v="1.41"/>
  </r>
  <r>
    <x v="7"/>
    <x v="6"/>
    <x v="18"/>
    <x v="2"/>
    <x v="3"/>
    <x v="3"/>
    <n v="15.05"/>
    <n v="19.29"/>
    <n v="0.01"/>
    <n v="12.04"/>
  </r>
  <r>
    <x v="7"/>
    <x v="6"/>
    <x v="18"/>
    <x v="0"/>
    <x v="2"/>
    <x v="0"/>
    <n v="0.7"/>
    <n v="0.9"/>
    <n v="0.01"/>
    <n v="0.7"/>
  </r>
  <r>
    <x v="7"/>
    <x v="6"/>
    <x v="18"/>
    <x v="1"/>
    <x v="1"/>
    <x v="1"/>
    <n v="4.1100000000000003"/>
    <n v="5.26"/>
    <n v="0.04"/>
    <n v="3.55"/>
  </r>
  <r>
    <x v="7"/>
    <x v="6"/>
    <x v="18"/>
    <x v="1"/>
    <x v="2"/>
    <x v="1"/>
    <n v="7.75"/>
    <n v="9.93"/>
    <n v="0.06"/>
    <n v="6.74"/>
  </r>
  <r>
    <x v="7"/>
    <x v="6"/>
    <x v="18"/>
    <x v="1"/>
    <x v="3"/>
    <x v="1"/>
    <n v="0.42"/>
    <n v="0.53"/>
    <n v="0.01"/>
    <n v="0.34"/>
  </r>
  <r>
    <x v="7"/>
    <x v="6"/>
    <x v="18"/>
    <x v="2"/>
    <x v="4"/>
    <x v="1"/>
    <n v="5.36"/>
    <n v="6.87"/>
    <n v="0.02"/>
    <n v="5.36"/>
  </r>
  <r>
    <x v="7"/>
    <x v="6"/>
    <x v="18"/>
    <x v="2"/>
    <x v="3"/>
    <x v="1"/>
    <n v="1.05"/>
    <n v="1.35"/>
    <n v="0"/>
    <n v="1.05"/>
  </r>
  <r>
    <x v="7"/>
    <x v="6"/>
    <x v="18"/>
    <x v="3"/>
    <x v="0"/>
    <x v="0"/>
    <n v="0.03"/>
    <n v="0.04"/>
    <n v="0.01"/>
    <n v="0.03"/>
  </r>
  <r>
    <x v="7"/>
    <x v="6"/>
    <x v="18"/>
    <x v="3"/>
    <x v="4"/>
    <x v="0"/>
    <n v="15"/>
    <n v="19.22"/>
    <n v="2.5099999999999998"/>
    <n v="13.19"/>
  </r>
  <r>
    <x v="7"/>
    <x v="6"/>
    <x v="18"/>
    <x v="4"/>
    <x v="4"/>
    <x v="0"/>
    <n v="19.41"/>
    <n v="24.87"/>
    <n v="3.71"/>
    <n v="17.04"/>
  </r>
  <r>
    <x v="7"/>
    <x v="6"/>
    <x v="18"/>
    <x v="4"/>
    <x v="1"/>
    <x v="0"/>
    <n v="3.58"/>
    <n v="4.59"/>
    <n v="0.19"/>
    <n v="3.05"/>
  </r>
  <r>
    <x v="7"/>
    <x v="6"/>
    <x v="18"/>
    <x v="0"/>
    <x v="0"/>
    <x v="1"/>
    <n v="2.58"/>
    <n v="3.31"/>
    <n v="0.08"/>
    <n v="2.2599999999999998"/>
  </r>
  <r>
    <x v="7"/>
    <x v="6"/>
    <x v="18"/>
    <x v="0"/>
    <x v="4"/>
    <x v="0"/>
    <n v="14.95"/>
    <n v="19.170000000000002"/>
    <n v="4.0199999999999996"/>
    <n v="12.73"/>
  </r>
  <r>
    <x v="7"/>
    <x v="6"/>
    <x v="18"/>
    <x v="1"/>
    <x v="0"/>
    <x v="0"/>
    <n v="8.94"/>
    <n v="11.46"/>
    <n v="4.74"/>
    <n v="7.63"/>
  </r>
  <r>
    <x v="7"/>
    <x v="6"/>
    <x v="18"/>
    <x v="1"/>
    <x v="4"/>
    <x v="0"/>
    <n v="145.62"/>
    <n v="186.64"/>
    <n v="24.75"/>
    <n v="128.88"/>
  </r>
  <r>
    <x v="7"/>
    <x v="6"/>
    <x v="18"/>
    <x v="1"/>
    <x v="1"/>
    <x v="0"/>
    <n v="16.88"/>
    <n v="21.64"/>
    <n v="0.76"/>
    <n v="14.58"/>
  </r>
  <r>
    <x v="7"/>
    <x v="6"/>
    <x v="18"/>
    <x v="1"/>
    <x v="2"/>
    <x v="0"/>
    <n v="2.1800000000000002"/>
    <n v="2.79"/>
    <n v="0.02"/>
    <n v="1.77"/>
  </r>
  <r>
    <x v="7"/>
    <x v="6"/>
    <x v="18"/>
    <x v="2"/>
    <x v="0"/>
    <x v="0"/>
    <n v="7.3"/>
    <n v="9.36"/>
    <n v="6.16"/>
    <n v="6.38"/>
  </r>
  <r>
    <x v="7"/>
    <x v="6"/>
    <x v="18"/>
    <x v="2"/>
    <x v="4"/>
    <x v="0"/>
    <n v="4.8"/>
    <n v="6.15"/>
    <n v="1.59"/>
    <n v="4.2699999999999996"/>
  </r>
  <r>
    <x v="7"/>
    <x v="6"/>
    <x v="18"/>
    <x v="2"/>
    <x v="3"/>
    <x v="0"/>
    <n v="0.47"/>
    <n v="0.61"/>
    <n v="0"/>
    <n v="0.47"/>
  </r>
  <r>
    <x v="7"/>
    <x v="6"/>
    <x v="18"/>
    <x v="0"/>
    <x v="0"/>
    <x v="0"/>
    <n v="6.03"/>
    <n v="7.73"/>
    <n v="3.68"/>
    <n v="5.08"/>
  </r>
  <r>
    <x v="7"/>
    <x v="2"/>
    <x v="19"/>
    <x v="0"/>
    <x v="0"/>
    <x v="1"/>
    <n v="0.37"/>
    <n v="0.44"/>
    <n v="0.01"/>
    <n v="0.34"/>
  </r>
  <r>
    <x v="7"/>
    <x v="2"/>
    <x v="19"/>
    <x v="2"/>
    <x v="3"/>
    <x v="3"/>
    <n v="2.13"/>
    <n v="2.5099999999999998"/>
    <n v="0"/>
    <n v="2.13"/>
  </r>
  <r>
    <x v="7"/>
    <x v="2"/>
    <x v="19"/>
    <x v="4"/>
    <x v="4"/>
    <x v="2"/>
    <n v="0.18"/>
    <n v="0.21"/>
    <n v="0"/>
    <n v="0.16"/>
  </r>
  <r>
    <x v="7"/>
    <x v="2"/>
    <x v="19"/>
    <x v="0"/>
    <x v="4"/>
    <x v="0"/>
    <n v="17.329999999999998"/>
    <n v="20.41"/>
    <n v="5.03"/>
    <n v="16.54"/>
  </r>
  <r>
    <x v="7"/>
    <x v="2"/>
    <x v="19"/>
    <x v="1"/>
    <x v="4"/>
    <x v="2"/>
    <n v="0.02"/>
    <n v="0.03"/>
    <n v="0"/>
    <n v="0.02"/>
  </r>
  <r>
    <x v="7"/>
    <x v="2"/>
    <x v="19"/>
    <x v="2"/>
    <x v="0"/>
    <x v="0"/>
    <n v="2.76"/>
    <n v="3.25"/>
    <n v="2.16"/>
    <n v="2.66"/>
  </r>
  <r>
    <x v="7"/>
    <x v="2"/>
    <x v="19"/>
    <x v="4"/>
    <x v="1"/>
    <x v="0"/>
    <n v="2.94"/>
    <n v="3.47"/>
    <n v="0.12"/>
    <n v="2.72"/>
  </r>
  <r>
    <x v="7"/>
    <x v="2"/>
    <x v="19"/>
    <x v="1"/>
    <x v="0"/>
    <x v="1"/>
    <n v="0.26"/>
    <n v="0.3"/>
    <n v="0.01"/>
    <n v="0.23"/>
  </r>
  <r>
    <x v="7"/>
    <x v="2"/>
    <x v="19"/>
    <x v="2"/>
    <x v="4"/>
    <x v="0"/>
    <n v="3.52"/>
    <n v="4.1500000000000004"/>
    <n v="0.8"/>
    <n v="3.42"/>
  </r>
  <r>
    <x v="7"/>
    <x v="2"/>
    <x v="19"/>
    <x v="1"/>
    <x v="2"/>
    <x v="0"/>
    <n v="0.53"/>
    <n v="0.62"/>
    <n v="0.01"/>
    <n v="0.46"/>
  </r>
  <r>
    <x v="7"/>
    <x v="2"/>
    <x v="19"/>
    <x v="1"/>
    <x v="1"/>
    <x v="0"/>
    <n v="19.16"/>
    <n v="22.56"/>
    <n v="0.62"/>
    <n v="18.18"/>
  </r>
  <r>
    <x v="7"/>
    <x v="2"/>
    <x v="19"/>
    <x v="1"/>
    <x v="4"/>
    <x v="0"/>
    <n v="156.47"/>
    <n v="184.31"/>
    <n v="20.96"/>
    <n v="147.80000000000001"/>
  </r>
  <r>
    <x v="7"/>
    <x v="2"/>
    <x v="19"/>
    <x v="1"/>
    <x v="0"/>
    <x v="0"/>
    <n v="9.65"/>
    <n v="11.37"/>
    <n v="4.57"/>
    <n v="9.23"/>
  </r>
  <r>
    <x v="7"/>
    <x v="2"/>
    <x v="19"/>
    <x v="1"/>
    <x v="2"/>
    <x v="1"/>
    <n v="0.59"/>
    <n v="0.69"/>
    <n v="0.01"/>
    <n v="0.56000000000000005"/>
  </r>
  <r>
    <x v="7"/>
    <x v="2"/>
    <x v="19"/>
    <x v="0"/>
    <x v="0"/>
    <x v="0"/>
    <n v="5.76"/>
    <n v="6.79"/>
    <n v="3.52"/>
    <n v="5.23"/>
  </r>
  <r>
    <x v="7"/>
    <x v="2"/>
    <x v="19"/>
    <x v="4"/>
    <x v="4"/>
    <x v="0"/>
    <n v="29.8"/>
    <n v="35.1"/>
    <n v="3.06"/>
    <n v="27.78"/>
  </r>
  <r>
    <x v="7"/>
    <x v="2"/>
    <x v="19"/>
    <x v="3"/>
    <x v="4"/>
    <x v="0"/>
    <n v="21.53"/>
    <n v="25.36"/>
    <n v="3.1"/>
    <n v="20.81"/>
  </r>
  <r>
    <x v="7"/>
    <x v="2"/>
    <x v="19"/>
    <x v="3"/>
    <x v="0"/>
    <x v="0"/>
    <n v="0.05"/>
    <n v="0.06"/>
    <n v="0.01"/>
    <n v="0.05"/>
  </r>
  <r>
    <x v="7"/>
    <x v="2"/>
    <x v="19"/>
    <x v="1"/>
    <x v="1"/>
    <x v="1"/>
    <n v="0.69"/>
    <n v="0.81"/>
    <n v="0.01"/>
    <n v="0.62"/>
  </r>
  <r>
    <x v="7"/>
    <x v="7"/>
    <x v="20"/>
    <x v="3"/>
    <x v="0"/>
    <x v="0"/>
    <n v="0.24"/>
    <n v="0.24"/>
    <n v="0.08"/>
    <n v="0.22"/>
  </r>
  <r>
    <x v="7"/>
    <x v="7"/>
    <x v="20"/>
    <x v="1"/>
    <x v="1"/>
    <x v="1"/>
    <n v="1.02"/>
    <n v="1.02"/>
    <n v="0.02"/>
    <n v="0.95"/>
  </r>
  <r>
    <x v="7"/>
    <x v="7"/>
    <x v="20"/>
    <x v="1"/>
    <x v="2"/>
    <x v="1"/>
    <n v="3.49"/>
    <n v="3.48"/>
    <n v="0.02"/>
    <n v="3.24"/>
  </r>
  <r>
    <x v="7"/>
    <x v="7"/>
    <x v="20"/>
    <x v="4"/>
    <x v="2"/>
    <x v="2"/>
    <n v="0.17"/>
    <n v="0.17"/>
    <n v="0"/>
    <n v="0.15"/>
  </r>
  <r>
    <x v="7"/>
    <x v="7"/>
    <x v="20"/>
    <x v="2"/>
    <x v="4"/>
    <x v="0"/>
    <n v="2.16"/>
    <n v="2.15"/>
    <n v="0.6"/>
    <n v="2.0499999999999998"/>
  </r>
  <r>
    <x v="7"/>
    <x v="7"/>
    <x v="20"/>
    <x v="2"/>
    <x v="0"/>
    <x v="0"/>
    <n v="1.82"/>
    <n v="1.82"/>
    <n v="1.53"/>
    <n v="1.72"/>
  </r>
  <r>
    <x v="7"/>
    <x v="7"/>
    <x v="20"/>
    <x v="1"/>
    <x v="2"/>
    <x v="0"/>
    <n v="0.27"/>
    <n v="0.27"/>
    <n v="0.01"/>
    <n v="0.23"/>
  </r>
  <r>
    <x v="7"/>
    <x v="7"/>
    <x v="20"/>
    <x v="1"/>
    <x v="1"/>
    <x v="0"/>
    <n v="27.79"/>
    <n v="27.69"/>
    <n v="1.24"/>
    <n v="25.82"/>
  </r>
  <r>
    <x v="7"/>
    <x v="7"/>
    <x v="20"/>
    <x v="1"/>
    <x v="0"/>
    <x v="0"/>
    <n v="5.29"/>
    <n v="5.27"/>
    <n v="3.59"/>
    <n v="5"/>
  </r>
  <r>
    <x v="7"/>
    <x v="7"/>
    <x v="20"/>
    <x v="4"/>
    <x v="1"/>
    <x v="0"/>
    <n v="11.07"/>
    <n v="11.04"/>
    <n v="0.54"/>
    <n v="10.18"/>
  </r>
  <r>
    <x v="7"/>
    <x v="7"/>
    <x v="20"/>
    <x v="2"/>
    <x v="3"/>
    <x v="3"/>
    <n v="11.31"/>
    <n v="11.27"/>
    <n v="0.01"/>
    <n v="11.31"/>
  </r>
  <r>
    <x v="7"/>
    <x v="7"/>
    <x v="20"/>
    <x v="0"/>
    <x v="0"/>
    <x v="1"/>
    <n v="1.05"/>
    <n v="1.05"/>
    <n v="0.03"/>
    <n v="0.97"/>
  </r>
  <r>
    <x v="7"/>
    <x v="7"/>
    <x v="20"/>
    <x v="1"/>
    <x v="0"/>
    <x v="1"/>
    <n v="0.47"/>
    <n v="0.47"/>
    <n v="0.02"/>
    <n v="0.43"/>
  </r>
  <r>
    <x v="7"/>
    <x v="7"/>
    <x v="20"/>
    <x v="1"/>
    <x v="4"/>
    <x v="0"/>
    <n v="128.27000000000001"/>
    <n v="127.83"/>
    <n v="24.73"/>
    <n v="118.72"/>
  </r>
  <r>
    <x v="7"/>
    <x v="7"/>
    <x v="20"/>
    <x v="4"/>
    <x v="4"/>
    <x v="0"/>
    <n v="73.569999999999993"/>
    <n v="73.319999999999993"/>
    <n v="7.52"/>
    <n v="67.58"/>
  </r>
  <r>
    <x v="7"/>
    <x v="7"/>
    <x v="20"/>
    <x v="0"/>
    <x v="0"/>
    <x v="0"/>
    <n v="2.7"/>
    <n v="2.69"/>
    <n v="1.67"/>
    <n v="2.44"/>
  </r>
  <r>
    <x v="7"/>
    <x v="7"/>
    <x v="20"/>
    <x v="0"/>
    <x v="4"/>
    <x v="0"/>
    <n v="8.32"/>
    <n v="8.2899999999999991"/>
    <n v="3.45"/>
    <n v="7.77"/>
  </r>
  <r>
    <x v="7"/>
    <x v="7"/>
    <x v="20"/>
    <x v="3"/>
    <x v="4"/>
    <x v="0"/>
    <n v="10.32"/>
    <n v="10.28"/>
    <n v="2.0499999999999998"/>
    <n v="9.89"/>
  </r>
  <r>
    <x v="7"/>
    <x v="2"/>
    <x v="21"/>
    <x v="4"/>
    <x v="1"/>
    <x v="0"/>
    <n v="9.7200000000000006"/>
    <n v="11.45"/>
    <n v="0.61"/>
    <n v="9.0299999999999994"/>
  </r>
  <r>
    <x v="7"/>
    <x v="2"/>
    <x v="21"/>
    <x v="0"/>
    <x v="0"/>
    <x v="0"/>
    <n v="8.6999999999999993"/>
    <n v="10.25"/>
    <n v="5.25"/>
    <n v="7.92"/>
  </r>
  <r>
    <x v="7"/>
    <x v="2"/>
    <x v="21"/>
    <x v="0"/>
    <x v="4"/>
    <x v="0"/>
    <n v="21.68"/>
    <n v="25.54"/>
    <n v="7.12"/>
    <n v="20.46"/>
  </r>
  <r>
    <x v="7"/>
    <x v="2"/>
    <x v="21"/>
    <x v="0"/>
    <x v="2"/>
    <x v="0"/>
    <n v="0.68"/>
    <n v="0.8"/>
    <n v="0.01"/>
    <n v="0.66"/>
  </r>
  <r>
    <x v="7"/>
    <x v="2"/>
    <x v="21"/>
    <x v="1"/>
    <x v="0"/>
    <x v="0"/>
    <n v="15.1"/>
    <n v="17.79"/>
    <n v="7"/>
    <n v="14.15"/>
  </r>
  <r>
    <x v="7"/>
    <x v="2"/>
    <x v="21"/>
    <x v="2"/>
    <x v="0"/>
    <x v="0"/>
    <n v="16.28"/>
    <n v="19.170000000000002"/>
    <n v="9.26"/>
    <n v="15.14"/>
  </r>
  <r>
    <x v="7"/>
    <x v="2"/>
    <x v="21"/>
    <x v="1"/>
    <x v="1"/>
    <x v="0"/>
    <n v="52.28"/>
    <n v="61.58"/>
    <n v="2.3199999999999998"/>
    <n v="48.9"/>
  </r>
  <r>
    <x v="7"/>
    <x v="2"/>
    <x v="21"/>
    <x v="2"/>
    <x v="4"/>
    <x v="0"/>
    <n v="7.38"/>
    <n v="8.69"/>
    <n v="1.56"/>
    <n v="6.97"/>
  </r>
  <r>
    <x v="7"/>
    <x v="2"/>
    <x v="21"/>
    <x v="1"/>
    <x v="2"/>
    <x v="0"/>
    <n v="1.43"/>
    <n v="1.69"/>
    <n v="0.03"/>
    <n v="1.31"/>
  </r>
  <r>
    <x v="7"/>
    <x v="2"/>
    <x v="21"/>
    <x v="4"/>
    <x v="4"/>
    <x v="0"/>
    <n v="66.760000000000005"/>
    <n v="78.64"/>
    <n v="7.33"/>
    <n v="62.36"/>
  </r>
  <r>
    <x v="7"/>
    <x v="2"/>
    <x v="21"/>
    <x v="4"/>
    <x v="0"/>
    <x v="1"/>
    <n v="0.04"/>
    <n v="0.04"/>
    <n v="0.02"/>
    <n v="0.03"/>
  </r>
  <r>
    <x v="7"/>
    <x v="2"/>
    <x v="21"/>
    <x v="1"/>
    <x v="4"/>
    <x v="0"/>
    <n v="285.87"/>
    <n v="336.71"/>
    <n v="50.75"/>
    <n v="265.49"/>
  </r>
  <r>
    <x v="7"/>
    <x v="2"/>
    <x v="21"/>
    <x v="3"/>
    <x v="4"/>
    <x v="0"/>
    <n v="46.64"/>
    <n v="54.93"/>
    <n v="5.54"/>
    <n v="43.88"/>
  </r>
  <r>
    <x v="7"/>
    <x v="2"/>
    <x v="21"/>
    <x v="3"/>
    <x v="0"/>
    <x v="0"/>
    <n v="3.68"/>
    <n v="4.34"/>
    <n v="1.06"/>
    <n v="3.42"/>
  </r>
  <r>
    <x v="7"/>
    <x v="2"/>
    <x v="21"/>
    <x v="1"/>
    <x v="2"/>
    <x v="1"/>
    <n v="17.34"/>
    <n v="20.420000000000002"/>
    <n v="7.0000000000000007E-2"/>
    <n v="15.64"/>
  </r>
  <r>
    <x v="7"/>
    <x v="2"/>
    <x v="21"/>
    <x v="1"/>
    <x v="1"/>
    <x v="1"/>
    <n v="6.53"/>
    <n v="7.7"/>
    <n v="0.09"/>
    <n v="5.9"/>
  </r>
  <r>
    <x v="7"/>
    <x v="2"/>
    <x v="21"/>
    <x v="1"/>
    <x v="0"/>
    <x v="1"/>
    <n v="2.81"/>
    <n v="3.31"/>
    <n v="0.13"/>
    <n v="2.5299999999999998"/>
  </r>
  <r>
    <x v="7"/>
    <x v="2"/>
    <x v="21"/>
    <x v="0"/>
    <x v="0"/>
    <x v="1"/>
    <n v="6.16"/>
    <n v="7.26"/>
    <n v="0.18"/>
    <n v="5.55"/>
  </r>
  <r>
    <x v="7"/>
    <x v="2"/>
    <x v="21"/>
    <x v="2"/>
    <x v="3"/>
    <x v="2"/>
    <n v="2.5"/>
    <n v="2.95"/>
    <n v="0.01"/>
    <n v="2.2400000000000002"/>
  </r>
  <r>
    <x v="7"/>
    <x v="2"/>
    <x v="21"/>
    <x v="4"/>
    <x v="2"/>
    <x v="2"/>
    <n v="0.6"/>
    <n v="0.7"/>
    <n v="0"/>
    <n v="0.55000000000000004"/>
  </r>
  <r>
    <x v="7"/>
    <x v="2"/>
    <x v="21"/>
    <x v="4"/>
    <x v="1"/>
    <x v="2"/>
    <n v="0.87"/>
    <n v="1.03"/>
    <n v="0"/>
    <n v="0.8"/>
  </r>
  <r>
    <x v="7"/>
    <x v="2"/>
    <x v="21"/>
    <x v="4"/>
    <x v="4"/>
    <x v="2"/>
    <n v="1.51"/>
    <n v="1.78"/>
    <n v="0.02"/>
    <n v="1.39"/>
  </r>
  <r>
    <x v="7"/>
    <x v="2"/>
    <x v="21"/>
    <x v="1"/>
    <x v="4"/>
    <x v="2"/>
    <n v="0.28000000000000003"/>
    <n v="0.33"/>
    <n v="0.01"/>
    <n v="0.24"/>
  </r>
  <r>
    <x v="7"/>
    <x v="2"/>
    <x v="21"/>
    <x v="0"/>
    <x v="4"/>
    <x v="1"/>
    <n v="0.13"/>
    <n v="0.16"/>
    <n v="0"/>
    <n v="0.11"/>
  </r>
  <r>
    <x v="7"/>
    <x v="2"/>
    <x v="21"/>
    <x v="2"/>
    <x v="3"/>
    <x v="3"/>
    <n v="85.93"/>
    <n v="101.21"/>
    <n v="0.04"/>
    <n v="85.93"/>
  </r>
  <r>
    <x v="7"/>
    <x v="8"/>
    <x v="22"/>
    <x v="1"/>
    <x v="2"/>
    <x v="1"/>
    <n v="42.88"/>
    <n v="49.28"/>
    <n v="0.09"/>
    <n v="38.700000000000003"/>
  </r>
  <r>
    <x v="7"/>
    <x v="8"/>
    <x v="22"/>
    <x v="2"/>
    <x v="3"/>
    <x v="3"/>
    <n v="435.66"/>
    <n v="500.72"/>
    <n v="0.17"/>
    <n v="425.03"/>
  </r>
  <r>
    <x v="7"/>
    <x v="8"/>
    <x v="22"/>
    <x v="4"/>
    <x v="0"/>
    <x v="1"/>
    <n v="6.45"/>
    <n v="7.41"/>
    <n v="0.62"/>
    <n v="5.21"/>
  </r>
  <r>
    <x v="7"/>
    <x v="8"/>
    <x v="22"/>
    <x v="0"/>
    <x v="0"/>
    <x v="1"/>
    <n v="68.84"/>
    <n v="79.12"/>
    <n v="2.42"/>
    <n v="63.84"/>
  </r>
  <r>
    <x v="7"/>
    <x v="8"/>
    <x v="22"/>
    <x v="0"/>
    <x v="4"/>
    <x v="1"/>
    <n v="4.3"/>
    <n v="4.9400000000000004"/>
    <n v="0.06"/>
    <n v="4.1500000000000004"/>
  </r>
  <r>
    <x v="7"/>
    <x v="8"/>
    <x v="22"/>
    <x v="0"/>
    <x v="1"/>
    <x v="1"/>
    <n v="12.88"/>
    <n v="14.8"/>
    <n v="0.13"/>
    <n v="12.28"/>
  </r>
  <r>
    <x v="7"/>
    <x v="8"/>
    <x v="22"/>
    <x v="0"/>
    <x v="3"/>
    <x v="1"/>
    <n v="16.84"/>
    <n v="19.36"/>
    <n v="0.06"/>
    <n v="16.149999999999999"/>
  </r>
  <r>
    <x v="7"/>
    <x v="8"/>
    <x v="22"/>
    <x v="1"/>
    <x v="0"/>
    <x v="1"/>
    <n v="4.37"/>
    <n v="5.0199999999999996"/>
    <n v="0.37"/>
    <n v="3.8"/>
  </r>
  <r>
    <x v="7"/>
    <x v="8"/>
    <x v="22"/>
    <x v="2"/>
    <x v="4"/>
    <x v="0"/>
    <n v="82.15"/>
    <n v="94.42"/>
    <n v="10.78"/>
    <n v="76.06"/>
  </r>
  <r>
    <x v="7"/>
    <x v="8"/>
    <x v="22"/>
    <x v="1"/>
    <x v="1"/>
    <x v="1"/>
    <n v="33.32"/>
    <n v="38.299999999999997"/>
    <n v="0.34"/>
    <n v="29.83"/>
  </r>
  <r>
    <x v="7"/>
    <x v="8"/>
    <x v="22"/>
    <x v="2"/>
    <x v="0"/>
    <x v="0"/>
    <n v="479.07"/>
    <n v="550.6"/>
    <n v="94.8"/>
    <n v="453.23"/>
  </r>
  <r>
    <x v="7"/>
    <x v="8"/>
    <x v="22"/>
    <x v="1"/>
    <x v="3"/>
    <x v="1"/>
    <n v="39.19"/>
    <n v="45.05"/>
    <n v="0.25"/>
    <n v="39.020000000000003"/>
  </r>
  <r>
    <x v="7"/>
    <x v="8"/>
    <x v="22"/>
    <x v="2"/>
    <x v="3"/>
    <x v="1"/>
    <n v="2.19"/>
    <n v="2.52"/>
    <n v="0.05"/>
    <n v="1.98"/>
  </r>
  <r>
    <x v="7"/>
    <x v="8"/>
    <x v="22"/>
    <x v="3"/>
    <x v="0"/>
    <x v="0"/>
    <n v="8.99"/>
    <n v="10.34"/>
    <n v="5.73"/>
    <n v="8.41"/>
  </r>
  <r>
    <x v="7"/>
    <x v="8"/>
    <x v="22"/>
    <x v="3"/>
    <x v="4"/>
    <x v="0"/>
    <n v="145.93"/>
    <n v="167.72"/>
    <n v="16.600000000000001"/>
    <n v="133.33000000000001"/>
  </r>
  <r>
    <x v="7"/>
    <x v="8"/>
    <x v="22"/>
    <x v="4"/>
    <x v="0"/>
    <x v="0"/>
    <n v="0.1"/>
    <n v="0.12"/>
    <n v="0.04"/>
    <n v="0.09"/>
  </r>
  <r>
    <x v="7"/>
    <x v="8"/>
    <x v="22"/>
    <x v="4"/>
    <x v="4"/>
    <x v="0"/>
    <n v="136.76"/>
    <n v="157.19"/>
    <n v="11.33"/>
    <n v="127.61"/>
  </r>
  <r>
    <x v="7"/>
    <x v="8"/>
    <x v="22"/>
    <x v="4"/>
    <x v="1"/>
    <x v="0"/>
    <n v="15.97"/>
    <n v="18.350000000000001"/>
    <n v="0.76"/>
    <n v="14.86"/>
  </r>
  <r>
    <x v="7"/>
    <x v="8"/>
    <x v="22"/>
    <x v="4"/>
    <x v="2"/>
    <x v="0"/>
    <n v="30.71"/>
    <n v="35.299999999999997"/>
    <n v="0.42"/>
    <n v="30.1"/>
  </r>
  <r>
    <x v="7"/>
    <x v="8"/>
    <x v="22"/>
    <x v="4"/>
    <x v="1"/>
    <x v="2"/>
    <n v="2.25"/>
    <n v="2.59"/>
    <n v="7.0000000000000007E-2"/>
    <n v="2.08"/>
  </r>
  <r>
    <x v="7"/>
    <x v="8"/>
    <x v="22"/>
    <x v="1"/>
    <x v="4"/>
    <x v="1"/>
    <n v="2.4500000000000002"/>
    <n v="2.82"/>
    <n v="0.16"/>
    <n v="1.98"/>
  </r>
  <r>
    <x v="7"/>
    <x v="8"/>
    <x v="22"/>
    <x v="0"/>
    <x v="0"/>
    <x v="0"/>
    <n v="164.06"/>
    <n v="188.56"/>
    <n v="41.21"/>
    <n v="144.94"/>
  </r>
  <r>
    <x v="7"/>
    <x v="8"/>
    <x v="22"/>
    <x v="4"/>
    <x v="2"/>
    <x v="2"/>
    <n v="19.309999999999999"/>
    <n v="22.19"/>
    <n v="0.18"/>
    <n v="17.850000000000001"/>
  </r>
  <r>
    <x v="7"/>
    <x v="8"/>
    <x v="22"/>
    <x v="1"/>
    <x v="4"/>
    <x v="2"/>
    <n v="10.86"/>
    <n v="12.48"/>
    <n v="0.57999999999999996"/>
    <n v="10.01"/>
  </r>
  <r>
    <x v="7"/>
    <x v="8"/>
    <x v="22"/>
    <x v="1"/>
    <x v="1"/>
    <x v="2"/>
    <n v="2.54"/>
    <n v="2.92"/>
    <n v="0.04"/>
    <n v="2.35"/>
  </r>
  <r>
    <x v="7"/>
    <x v="8"/>
    <x v="22"/>
    <x v="1"/>
    <x v="2"/>
    <x v="2"/>
    <n v="11.11"/>
    <n v="12.77"/>
    <n v="0.12"/>
    <n v="9.59"/>
  </r>
  <r>
    <x v="7"/>
    <x v="8"/>
    <x v="22"/>
    <x v="2"/>
    <x v="1"/>
    <x v="2"/>
    <n v="33.1"/>
    <n v="38.04"/>
    <n v="0.06"/>
    <n v="33.1"/>
  </r>
  <r>
    <x v="7"/>
    <x v="8"/>
    <x v="22"/>
    <x v="2"/>
    <x v="2"/>
    <x v="2"/>
    <n v="4.92"/>
    <n v="5.66"/>
    <n v="0.03"/>
    <n v="4.92"/>
  </r>
  <r>
    <x v="7"/>
    <x v="8"/>
    <x v="22"/>
    <x v="2"/>
    <x v="3"/>
    <x v="2"/>
    <n v="11.36"/>
    <n v="13.06"/>
    <n v="0.02"/>
    <n v="11.36"/>
  </r>
  <r>
    <x v="7"/>
    <x v="8"/>
    <x v="22"/>
    <x v="2"/>
    <x v="1"/>
    <x v="3"/>
    <n v="80.7"/>
    <n v="92.75"/>
    <n v="0.09"/>
    <n v="80.7"/>
  </r>
  <r>
    <x v="7"/>
    <x v="8"/>
    <x v="22"/>
    <x v="2"/>
    <x v="1"/>
    <x v="0"/>
    <n v="1.59"/>
    <n v="1.83"/>
    <n v="0"/>
    <n v="1.51"/>
  </r>
  <r>
    <x v="7"/>
    <x v="8"/>
    <x v="22"/>
    <x v="4"/>
    <x v="3"/>
    <x v="0"/>
    <n v="55.91"/>
    <n v="64.260000000000005"/>
    <n v="0.27"/>
    <n v="55.07"/>
  </r>
  <r>
    <x v="7"/>
    <x v="8"/>
    <x v="22"/>
    <x v="0"/>
    <x v="4"/>
    <x v="0"/>
    <n v="70.44"/>
    <n v="80.95"/>
    <n v="9.9600000000000009"/>
    <n v="63.21"/>
  </r>
  <r>
    <x v="7"/>
    <x v="8"/>
    <x v="22"/>
    <x v="0"/>
    <x v="1"/>
    <x v="0"/>
    <n v="10.28"/>
    <n v="11.82"/>
    <n v="0.15"/>
    <n v="10.28"/>
  </r>
  <r>
    <x v="7"/>
    <x v="8"/>
    <x v="22"/>
    <x v="0"/>
    <x v="2"/>
    <x v="0"/>
    <n v="11.74"/>
    <n v="13.49"/>
    <n v="0.1"/>
    <n v="11.74"/>
  </r>
  <r>
    <x v="7"/>
    <x v="8"/>
    <x v="22"/>
    <x v="1"/>
    <x v="0"/>
    <x v="0"/>
    <n v="269.77999999999997"/>
    <n v="310.06"/>
    <n v="72.41"/>
    <n v="241.15"/>
  </r>
  <r>
    <x v="7"/>
    <x v="8"/>
    <x v="22"/>
    <x v="1"/>
    <x v="4"/>
    <x v="0"/>
    <n v="1430.84"/>
    <n v="1644.49"/>
    <n v="163.44999999999999"/>
    <n v="1287.27"/>
  </r>
  <r>
    <x v="7"/>
    <x v="8"/>
    <x v="22"/>
    <x v="1"/>
    <x v="1"/>
    <x v="0"/>
    <n v="131.83000000000001"/>
    <n v="151.52000000000001"/>
    <n v="15.21"/>
    <n v="124.87"/>
  </r>
  <r>
    <x v="7"/>
    <x v="8"/>
    <x v="22"/>
    <x v="1"/>
    <x v="2"/>
    <x v="0"/>
    <n v="79.28"/>
    <n v="91.12"/>
    <n v="1.54"/>
    <n v="69.28"/>
  </r>
  <r>
    <x v="7"/>
    <x v="8"/>
    <x v="22"/>
    <x v="1"/>
    <x v="3"/>
    <x v="0"/>
    <n v="2.62"/>
    <n v="3.01"/>
    <n v="0.01"/>
    <n v="2.5499999999999998"/>
  </r>
  <r>
    <x v="7"/>
    <x v="8"/>
    <x v="22"/>
    <x v="2"/>
    <x v="2"/>
    <x v="3"/>
    <n v="48.05"/>
    <n v="55.22"/>
    <n v="0.02"/>
    <n v="48.05"/>
  </r>
  <r>
    <x v="7"/>
    <x v="6"/>
    <x v="23"/>
    <x v="0"/>
    <x v="0"/>
    <x v="1"/>
    <n v="1.88"/>
    <n v="2.56"/>
    <n v="0.05"/>
    <n v="1.55"/>
  </r>
  <r>
    <x v="7"/>
    <x v="6"/>
    <x v="23"/>
    <x v="2"/>
    <x v="4"/>
    <x v="1"/>
    <n v="0.42"/>
    <n v="0.56999999999999995"/>
    <n v="0"/>
    <n v="0.42"/>
  </r>
  <r>
    <x v="7"/>
    <x v="6"/>
    <x v="23"/>
    <x v="1"/>
    <x v="2"/>
    <x v="1"/>
    <n v="5.45"/>
    <n v="7.43"/>
    <n v="0.03"/>
    <n v="4.47"/>
  </r>
  <r>
    <x v="7"/>
    <x v="6"/>
    <x v="23"/>
    <x v="1"/>
    <x v="1"/>
    <x v="1"/>
    <n v="2.4700000000000002"/>
    <n v="3.37"/>
    <n v="0.02"/>
    <n v="2.0299999999999998"/>
  </r>
  <r>
    <x v="7"/>
    <x v="6"/>
    <x v="23"/>
    <x v="1"/>
    <x v="4"/>
    <x v="1"/>
    <n v="0.1"/>
    <n v="0.14000000000000001"/>
    <n v="0"/>
    <n v="0.09"/>
  </r>
  <r>
    <x v="7"/>
    <x v="6"/>
    <x v="23"/>
    <x v="4"/>
    <x v="4"/>
    <x v="0"/>
    <n v="10.72"/>
    <n v="14.63"/>
    <n v="1.36"/>
    <n v="9.6300000000000008"/>
  </r>
  <r>
    <x v="7"/>
    <x v="6"/>
    <x v="23"/>
    <x v="0"/>
    <x v="1"/>
    <x v="1"/>
    <n v="0.02"/>
    <n v="0.03"/>
    <n v="0"/>
    <n v="0.02"/>
  </r>
  <r>
    <x v="7"/>
    <x v="6"/>
    <x v="23"/>
    <x v="3"/>
    <x v="4"/>
    <x v="0"/>
    <n v="7.44"/>
    <n v="10.16"/>
    <n v="1.04"/>
    <n v="6.72"/>
  </r>
  <r>
    <x v="7"/>
    <x v="6"/>
    <x v="23"/>
    <x v="2"/>
    <x v="3"/>
    <x v="3"/>
    <n v="9.3800000000000008"/>
    <n v="12.8"/>
    <n v="0.01"/>
    <n v="8.8699999999999992"/>
  </r>
  <r>
    <x v="7"/>
    <x v="6"/>
    <x v="23"/>
    <x v="4"/>
    <x v="0"/>
    <x v="1"/>
    <n v="0.23"/>
    <n v="0.31"/>
    <n v="0.02"/>
    <n v="0.21"/>
  </r>
  <r>
    <x v="7"/>
    <x v="6"/>
    <x v="23"/>
    <x v="4"/>
    <x v="1"/>
    <x v="1"/>
    <n v="0.06"/>
    <n v="0.08"/>
    <n v="0"/>
    <n v="0.05"/>
  </r>
  <r>
    <x v="7"/>
    <x v="6"/>
    <x v="23"/>
    <x v="1"/>
    <x v="0"/>
    <x v="1"/>
    <n v="0.96"/>
    <n v="1.31"/>
    <n v="0.05"/>
    <n v="0.81"/>
  </r>
  <r>
    <x v="7"/>
    <x v="6"/>
    <x v="23"/>
    <x v="2"/>
    <x v="0"/>
    <x v="0"/>
    <n v="2.31"/>
    <n v="3.16"/>
    <n v="2.21"/>
    <n v="2.11"/>
  </r>
  <r>
    <x v="7"/>
    <x v="6"/>
    <x v="23"/>
    <x v="4"/>
    <x v="1"/>
    <x v="2"/>
    <n v="0.14000000000000001"/>
    <n v="0.19"/>
    <n v="0"/>
    <n v="0.14000000000000001"/>
  </r>
  <r>
    <x v="7"/>
    <x v="6"/>
    <x v="23"/>
    <x v="4"/>
    <x v="2"/>
    <x v="2"/>
    <n v="1.31"/>
    <n v="1.79"/>
    <n v="0.01"/>
    <n v="1.31"/>
  </r>
  <r>
    <x v="7"/>
    <x v="6"/>
    <x v="23"/>
    <x v="1"/>
    <x v="3"/>
    <x v="1"/>
    <n v="0.37"/>
    <n v="0.51"/>
    <n v="0"/>
    <n v="0.31"/>
  </r>
  <r>
    <x v="7"/>
    <x v="6"/>
    <x v="23"/>
    <x v="2"/>
    <x v="4"/>
    <x v="0"/>
    <n v="2.2000000000000002"/>
    <n v="3"/>
    <n v="0.71"/>
    <n v="2.0699999999999998"/>
  </r>
  <r>
    <x v="7"/>
    <x v="6"/>
    <x v="23"/>
    <x v="4"/>
    <x v="1"/>
    <x v="0"/>
    <n v="3.09"/>
    <n v="4.21"/>
    <n v="0.17"/>
    <n v="2.68"/>
  </r>
  <r>
    <x v="7"/>
    <x v="6"/>
    <x v="23"/>
    <x v="1"/>
    <x v="2"/>
    <x v="0"/>
    <n v="2.88"/>
    <n v="3.93"/>
    <n v="0.02"/>
    <n v="2.4"/>
  </r>
  <r>
    <x v="7"/>
    <x v="6"/>
    <x v="23"/>
    <x v="1"/>
    <x v="1"/>
    <x v="0"/>
    <n v="13.55"/>
    <n v="18.5"/>
    <n v="0.49"/>
    <n v="11.92"/>
  </r>
  <r>
    <x v="7"/>
    <x v="6"/>
    <x v="23"/>
    <x v="1"/>
    <x v="4"/>
    <x v="0"/>
    <n v="98.46"/>
    <n v="134.38"/>
    <n v="15.8"/>
    <n v="88.9"/>
  </r>
  <r>
    <x v="7"/>
    <x v="6"/>
    <x v="23"/>
    <x v="1"/>
    <x v="0"/>
    <x v="0"/>
    <n v="2.71"/>
    <n v="3.7"/>
    <n v="1.59"/>
    <n v="2.41"/>
  </r>
  <r>
    <x v="7"/>
    <x v="6"/>
    <x v="23"/>
    <x v="0"/>
    <x v="4"/>
    <x v="0"/>
    <n v="3.15"/>
    <n v="4.3099999999999996"/>
    <n v="0.69"/>
    <n v="2.89"/>
  </r>
  <r>
    <x v="7"/>
    <x v="6"/>
    <x v="23"/>
    <x v="0"/>
    <x v="0"/>
    <x v="0"/>
    <n v="1.42"/>
    <n v="1.94"/>
    <n v="0.9"/>
    <n v="1.21"/>
  </r>
  <r>
    <x v="7"/>
    <x v="6"/>
    <x v="23"/>
    <x v="1"/>
    <x v="1"/>
    <x v="2"/>
    <n v="0.14000000000000001"/>
    <n v="0.19"/>
    <n v="0"/>
    <n v="0.11"/>
  </r>
  <r>
    <x v="7"/>
    <x v="6"/>
    <x v="23"/>
    <x v="1"/>
    <x v="4"/>
    <x v="2"/>
    <n v="0.48"/>
    <n v="0.65"/>
    <n v="0.02"/>
    <n v="0.38"/>
  </r>
  <r>
    <x v="7"/>
    <x v="0"/>
    <x v="24"/>
    <x v="4"/>
    <x v="1"/>
    <x v="2"/>
    <n v="0.5"/>
    <n v="0.73"/>
    <n v="0.01"/>
    <n v="0.48"/>
  </r>
  <r>
    <x v="7"/>
    <x v="0"/>
    <x v="24"/>
    <x v="4"/>
    <x v="4"/>
    <x v="2"/>
    <n v="0.52"/>
    <n v="0.78"/>
    <n v="0.01"/>
    <n v="0.51"/>
  </r>
  <r>
    <x v="7"/>
    <x v="0"/>
    <x v="24"/>
    <x v="4"/>
    <x v="3"/>
    <x v="0"/>
    <n v="0.99"/>
    <n v="1.46"/>
    <n v="0.01"/>
    <n v="0.95"/>
  </r>
  <r>
    <x v="7"/>
    <x v="0"/>
    <x v="24"/>
    <x v="2"/>
    <x v="4"/>
    <x v="0"/>
    <n v="4.95"/>
    <n v="7.34"/>
    <n v="1.41"/>
    <n v="4.87"/>
  </r>
  <r>
    <x v="7"/>
    <x v="0"/>
    <x v="24"/>
    <x v="2"/>
    <x v="0"/>
    <x v="0"/>
    <n v="7.22"/>
    <n v="10.69"/>
    <n v="6.78"/>
    <n v="6.72"/>
  </r>
  <r>
    <x v="7"/>
    <x v="0"/>
    <x v="24"/>
    <x v="1"/>
    <x v="2"/>
    <x v="0"/>
    <n v="15.7"/>
    <n v="23.26"/>
    <n v="0.25"/>
    <n v="14.83"/>
  </r>
  <r>
    <x v="7"/>
    <x v="0"/>
    <x v="24"/>
    <x v="1"/>
    <x v="1"/>
    <x v="0"/>
    <n v="21.56"/>
    <n v="31.95"/>
    <n v="1.36"/>
    <n v="20.8"/>
  </r>
  <r>
    <x v="7"/>
    <x v="0"/>
    <x v="24"/>
    <x v="1"/>
    <x v="4"/>
    <x v="0"/>
    <n v="106.1"/>
    <n v="157.22"/>
    <n v="19.13"/>
    <n v="102.76"/>
  </r>
  <r>
    <x v="7"/>
    <x v="0"/>
    <x v="24"/>
    <x v="1"/>
    <x v="0"/>
    <x v="0"/>
    <n v="7.28"/>
    <n v="10.79"/>
    <n v="5.03"/>
    <n v="7.1"/>
  </r>
  <r>
    <x v="7"/>
    <x v="0"/>
    <x v="24"/>
    <x v="0"/>
    <x v="0"/>
    <x v="0"/>
    <n v="2.09"/>
    <n v="3.1"/>
    <n v="8.67"/>
    <n v="2.0099999999999998"/>
  </r>
  <r>
    <x v="7"/>
    <x v="0"/>
    <x v="24"/>
    <x v="4"/>
    <x v="2"/>
    <x v="0"/>
    <n v="0.74"/>
    <n v="1.0900000000000001"/>
    <n v="0.01"/>
    <n v="0.71"/>
  </r>
  <r>
    <x v="7"/>
    <x v="0"/>
    <x v="24"/>
    <x v="4"/>
    <x v="1"/>
    <x v="0"/>
    <n v="11.34"/>
    <n v="16.809999999999999"/>
    <n v="0.93"/>
    <n v="11.09"/>
  </r>
  <r>
    <x v="7"/>
    <x v="0"/>
    <x v="24"/>
    <x v="4"/>
    <x v="4"/>
    <x v="0"/>
    <n v="18.73"/>
    <n v="27.75"/>
    <n v="3.37"/>
    <n v="18.260000000000002"/>
  </r>
  <r>
    <x v="7"/>
    <x v="0"/>
    <x v="24"/>
    <x v="3"/>
    <x v="4"/>
    <x v="0"/>
    <n v="4.22"/>
    <n v="6.25"/>
    <n v="0.66"/>
    <n v="3.79"/>
  </r>
  <r>
    <x v="7"/>
    <x v="0"/>
    <x v="24"/>
    <x v="3"/>
    <x v="0"/>
    <x v="0"/>
    <n v="0.26"/>
    <n v="0.39"/>
    <n v="0.18"/>
    <n v="0.26"/>
  </r>
  <r>
    <x v="7"/>
    <x v="0"/>
    <x v="24"/>
    <x v="2"/>
    <x v="3"/>
    <x v="1"/>
    <n v="2.39"/>
    <n v="3.54"/>
    <n v="0"/>
    <n v="2.29"/>
  </r>
  <r>
    <x v="7"/>
    <x v="0"/>
    <x v="24"/>
    <x v="2"/>
    <x v="4"/>
    <x v="1"/>
    <n v="1.26"/>
    <n v="1.87"/>
    <n v="0.01"/>
    <n v="1.22"/>
  </r>
  <r>
    <x v="7"/>
    <x v="0"/>
    <x v="24"/>
    <x v="2"/>
    <x v="3"/>
    <x v="2"/>
    <n v="1.6"/>
    <n v="2.37"/>
    <n v="0"/>
    <n v="1.57"/>
  </r>
  <r>
    <x v="7"/>
    <x v="0"/>
    <x v="24"/>
    <x v="1"/>
    <x v="1"/>
    <x v="1"/>
    <n v="7.28"/>
    <n v="10.79"/>
    <n v="0.21"/>
    <n v="6.88"/>
  </r>
  <r>
    <x v="7"/>
    <x v="0"/>
    <x v="24"/>
    <x v="1"/>
    <x v="4"/>
    <x v="1"/>
    <n v="0.12"/>
    <n v="0.17"/>
    <n v="0"/>
    <n v="0.11"/>
  </r>
  <r>
    <x v="7"/>
    <x v="0"/>
    <x v="24"/>
    <x v="1"/>
    <x v="0"/>
    <x v="1"/>
    <n v="2.1"/>
    <n v="3.12"/>
    <n v="0.11"/>
    <n v="2"/>
  </r>
  <r>
    <x v="7"/>
    <x v="0"/>
    <x v="24"/>
    <x v="0"/>
    <x v="0"/>
    <x v="1"/>
    <n v="2.88"/>
    <n v="4.2699999999999996"/>
    <n v="0.04"/>
    <n v="2.75"/>
  </r>
  <r>
    <x v="7"/>
    <x v="0"/>
    <x v="24"/>
    <x v="4"/>
    <x v="1"/>
    <x v="1"/>
    <n v="0.05"/>
    <n v="0.08"/>
    <n v="0"/>
    <n v="0.05"/>
  </r>
  <r>
    <x v="7"/>
    <x v="0"/>
    <x v="24"/>
    <x v="4"/>
    <x v="0"/>
    <x v="1"/>
    <n v="0.78"/>
    <n v="1.1599999999999999"/>
    <n v="0.06"/>
    <n v="0.74"/>
  </r>
  <r>
    <x v="7"/>
    <x v="0"/>
    <x v="24"/>
    <x v="2"/>
    <x v="3"/>
    <x v="3"/>
    <n v="24.68"/>
    <n v="36.56"/>
    <n v="0.01"/>
    <n v="24.1"/>
  </r>
  <r>
    <x v="7"/>
    <x v="0"/>
    <x v="24"/>
    <x v="4"/>
    <x v="2"/>
    <x v="2"/>
    <n v="0.14000000000000001"/>
    <n v="0.21"/>
    <n v="0"/>
    <n v="0.14000000000000001"/>
  </r>
  <r>
    <x v="7"/>
    <x v="0"/>
    <x v="24"/>
    <x v="0"/>
    <x v="4"/>
    <x v="0"/>
    <n v="11.09"/>
    <n v="16.440000000000001"/>
    <n v="4.5199999999999996"/>
    <n v="10.75"/>
  </r>
  <r>
    <x v="7"/>
    <x v="0"/>
    <x v="24"/>
    <x v="1"/>
    <x v="2"/>
    <x v="1"/>
    <n v="19.739999999999998"/>
    <n v="29.25"/>
    <n v="0.04"/>
    <n v="18.809999999999999"/>
  </r>
  <r>
    <x v="7"/>
    <x v="0"/>
    <x v="24"/>
    <x v="1"/>
    <x v="4"/>
    <x v="2"/>
    <n v="0.75"/>
    <n v="1.1100000000000001"/>
    <n v="0.03"/>
    <n v="0.73"/>
  </r>
  <r>
    <x v="7"/>
    <x v="2"/>
    <x v="25"/>
    <x v="0"/>
    <x v="0"/>
    <x v="0"/>
    <n v="13.62"/>
    <n v="16.05"/>
    <n v="8.36"/>
    <n v="12.33"/>
  </r>
  <r>
    <x v="7"/>
    <x v="2"/>
    <x v="25"/>
    <x v="0"/>
    <x v="4"/>
    <x v="0"/>
    <n v="29.91"/>
    <n v="35.229999999999997"/>
    <n v="10.58"/>
    <n v="27.97"/>
  </r>
  <r>
    <x v="7"/>
    <x v="2"/>
    <x v="25"/>
    <x v="1"/>
    <x v="0"/>
    <x v="0"/>
    <n v="25.9"/>
    <n v="30.51"/>
    <n v="10.47"/>
    <n v="24.3"/>
  </r>
  <r>
    <x v="7"/>
    <x v="2"/>
    <x v="25"/>
    <x v="1"/>
    <x v="4"/>
    <x v="0"/>
    <n v="404.46"/>
    <n v="476.4"/>
    <n v="63.51"/>
    <n v="374.99"/>
  </r>
  <r>
    <x v="7"/>
    <x v="2"/>
    <x v="25"/>
    <x v="1"/>
    <x v="1"/>
    <x v="0"/>
    <n v="48.62"/>
    <n v="57.27"/>
    <n v="1.95"/>
    <n v="45.44"/>
  </r>
  <r>
    <x v="7"/>
    <x v="2"/>
    <x v="25"/>
    <x v="4"/>
    <x v="1"/>
    <x v="0"/>
    <n v="12.89"/>
    <n v="15.18"/>
    <n v="0.56999999999999995"/>
    <n v="11.83"/>
  </r>
  <r>
    <x v="7"/>
    <x v="2"/>
    <x v="25"/>
    <x v="2"/>
    <x v="0"/>
    <x v="0"/>
    <n v="5.75"/>
    <n v="6.77"/>
    <n v="3.81"/>
    <n v="5.44"/>
  </r>
  <r>
    <x v="7"/>
    <x v="2"/>
    <x v="25"/>
    <x v="2"/>
    <x v="4"/>
    <x v="0"/>
    <n v="5.01"/>
    <n v="5.9"/>
    <n v="1.05"/>
    <n v="4.82"/>
  </r>
  <r>
    <x v="7"/>
    <x v="2"/>
    <x v="25"/>
    <x v="1"/>
    <x v="2"/>
    <x v="0"/>
    <n v="5.76"/>
    <n v="6.79"/>
    <n v="0.14000000000000001"/>
    <n v="5.31"/>
  </r>
  <r>
    <x v="7"/>
    <x v="2"/>
    <x v="25"/>
    <x v="4"/>
    <x v="4"/>
    <x v="0"/>
    <n v="123.59"/>
    <n v="145.58000000000001"/>
    <n v="12.62"/>
    <n v="113.83"/>
  </r>
  <r>
    <x v="7"/>
    <x v="2"/>
    <x v="25"/>
    <x v="3"/>
    <x v="4"/>
    <x v="0"/>
    <n v="34.450000000000003"/>
    <n v="40.57"/>
    <n v="4.5599999999999996"/>
    <n v="32.479999999999997"/>
  </r>
  <r>
    <x v="7"/>
    <x v="2"/>
    <x v="25"/>
    <x v="3"/>
    <x v="0"/>
    <x v="0"/>
    <n v="2.88"/>
    <n v="3.39"/>
    <n v="1.74"/>
    <n v="2.85"/>
  </r>
  <r>
    <x v="7"/>
    <x v="2"/>
    <x v="25"/>
    <x v="1"/>
    <x v="2"/>
    <x v="1"/>
    <n v="4.1399999999999997"/>
    <n v="4.87"/>
    <n v="0.02"/>
    <n v="3.75"/>
  </r>
  <r>
    <x v="7"/>
    <x v="2"/>
    <x v="25"/>
    <x v="0"/>
    <x v="0"/>
    <x v="1"/>
    <n v="5.78"/>
    <n v="6.81"/>
    <n v="0.38"/>
    <n v="5.3"/>
  </r>
  <r>
    <x v="7"/>
    <x v="2"/>
    <x v="25"/>
    <x v="2"/>
    <x v="3"/>
    <x v="2"/>
    <n v="2.77"/>
    <n v="3.26"/>
    <n v="0"/>
    <n v="2.41"/>
  </r>
  <r>
    <x v="7"/>
    <x v="2"/>
    <x v="25"/>
    <x v="1"/>
    <x v="4"/>
    <x v="2"/>
    <n v="0.67"/>
    <n v="0.78"/>
    <n v="0.01"/>
    <n v="0.57999999999999996"/>
  </r>
  <r>
    <x v="7"/>
    <x v="2"/>
    <x v="25"/>
    <x v="4"/>
    <x v="4"/>
    <x v="2"/>
    <n v="1.01"/>
    <n v="1.19"/>
    <n v="0.01"/>
    <n v="0.88"/>
  </r>
  <r>
    <x v="7"/>
    <x v="2"/>
    <x v="25"/>
    <x v="2"/>
    <x v="3"/>
    <x v="3"/>
    <n v="7.61"/>
    <n v="8.9600000000000009"/>
    <n v="0"/>
    <n v="7.61"/>
  </r>
  <r>
    <x v="7"/>
    <x v="2"/>
    <x v="25"/>
    <x v="1"/>
    <x v="0"/>
    <x v="1"/>
    <n v="0.68"/>
    <n v="0.81"/>
    <n v="0.03"/>
    <n v="0.62"/>
  </r>
  <r>
    <x v="7"/>
    <x v="2"/>
    <x v="25"/>
    <x v="1"/>
    <x v="4"/>
    <x v="1"/>
    <n v="1.2"/>
    <n v="1.41"/>
    <n v="0.03"/>
    <n v="1.2"/>
  </r>
  <r>
    <x v="7"/>
    <x v="2"/>
    <x v="25"/>
    <x v="1"/>
    <x v="1"/>
    <x v="1"/>
    <n v="1.1299999999999999"/>
    <n v="1.33"/>
    <n v="0.01"/>
    <n v="1.01"/>
  </r>
  <r>
    <x v="7"/>
    <x v="1"/>
    <x v="26"/>
    <x v="1"/>
    <x v="3"/>
    <x v="1"/>
    <n v="0.3"/>
    <n v="0.34"/>
    <n v="0"/>
    <n v="0.26"/>
  </r>
  <r>
    <x v="7"/>
    <x v="1"/>
    <x v="26"/>
    <x v="4"/>
    <x v="1"/>
    <x v="1"/>
    <n v="7.0000000000000007E-2"/>
    <n v="0.09"/>
    <n v="0"/>
    <n v="0.06"/>
  </r>
  <r>
    <x v="7"/>
    <x v="1"/>
    <x v="26"/>
    <x v="0"/>
    <x v="0"/>
    <x v="1"/>
    <n v="7.0000000000000007E-2"/>
    <n v="0.08"/>
    <n v="0"/>
    <n v="0.06"/>
  </r>
  <r>
    <x v="7"/>
    <x v="1"/>
    <x v="26"/>
    <x v="1"/>
    <x v="0"/>
    <x v="1"/>
    <n v="0.2"/>
    <n v="0.23"/>
    <n v="0.02"/>
    <n v="0.17"/>
  </r>
  <r>
    <x v="7"/>
    <x v="1"/>
    <x v="26"/>
    <x v="1"/>
    <x v="4"/>
    <x v="1"/>
    <n v="0.13"/>
    <n v="0.15"/>
    <n v="0"/>
    <n v="0.11"/>
  </r>
  <r>
    <x v="7"/>
    <x v="1"/>
    <x v="26"/>
    <x v="1"/>
    <x v="1"/>
    <x v="1"/>
    <n v="0.92"/>
    <n v="1.07"/>
    <n v="0.01"/>
    <n v="0.78"/>
  </r>
  <r>
    <x v="7"/>
    <x v="1"/>
    <x v="26"/>
    <x v="1"/>
    <x v="2"/>
    <x v="1"/>
    <n v="1.19"/>
    <n v="1.38"/>
    <n v="0.02"/>
    <n v="1"/>
  </r>
  <r>
    <x v="7"/>
    <x v="1"/>
    <x v="26"/>
    <x v="1"/>
    <x v="0"/>
    <x v="0"/>
    <n v="0.47"/>
    <n v="0.55000000000000004"/>
    <n v="0.31"/>
    <n v="0.45"/>
  </r>
  <r>
    <x v="7"/>
    <x v="1"/>
    <x v="26"/>
    <x v="4"/>
    <x v="2"/>
    <x v="2"/>
    <n v="0.23"/>
    <n v="0.26"/>
    <n v="0"/>
    <n v="0.19"/>
  </r>
  <r>
    <x v="7"/>
    <x v="1"/>
    <x v="26"/>
    <x v="1"/>
    <x v="4"/>
    <x v="2"/>
    <n v="0.1"/>
    <n v="0.12"/>
    <n v="0"/>
    <n v="0.08"/>
  </r>
  <r>
    <x v="7"/>
    <x v="1"/>
    <x v="26"/>
    <x v="4"/>
    <x v="0"/>
    <x v="1"/>
    <n v="0.01"/>
    <n v="0.01"/>
    <n v="0"/>
    <n v="0.01"/>
  </r>
  <r>
    <x v="7"/>
    <x v="1"/>
    <x v="26"/>
    <x v="2"/>
    <x v="4"/>
    <x v="0"/>
    <n v="0.45"/>
    <n v="0.52"/>
    <n v="0.14000000000000001"/>
    <n v="0.43"/>
  </r>
  <r>
    <x v="7"/>
    <x v="1"/>
    <x v="26"/>
    <x v="2"/>
    <x v="0"/>
    <x v="0"/>
    <n v="0.55000000000000004"/>
    <n v="0.63"/>
    <n v="0.49"/>
    <n v="0.51"/>
  </r>
  <r>
    <x v="7"/>
    <x v="1"/>
    <x v="26"/>
    <x v="1"/>
    <x v="4"/>
    <x v="0"/>
    <n v="37.31"/>
    <n v="43.04"/>
    <n v="4.47"/>
    <n v="33.119999999999997"/>
  </r>
  <r>
    <x v="7"/>
    <x v="1"/>
    <x v="26"/>
    <x v="2"/>
    <x v="3"/>
    <x v="1"/>
    <n v="4.13"/>
    <n v="4.76"/>
    <n v="0"/>
    <n v="4.13"/>
  </r>
  <r>
    <x v="7"/>
    <x v="1"/>
    <x v="26"/>
    <x v="0"/>
    <x v="4"/>
    <x v="0"/>
    <n v="4.5999999999999996"/>
    <n v="5.31"/>
    <n v="1.24"/>
    <n v="3.99"/>
  </r>
  <r>
    <x v="7"/>
    <x v="1"/>
    <x v="26"/>
    <x v="0"/>
    <x v="0"/>
    <x v="0"/>
    <n v="0.13"/>
    <n v="0.15"/>
    <n v="0.08"/>
    <n v="0.11"/>
  </r>
  <r>
    <x v="7"/>
    <x v="1"/>
    <x v="26"/>
    <x v="4"/>
    <x v="1"/>
    <x v="0"/>
    <n v="1.07"/>
    <n v="1.23"/>
    <n v="7.0000000000000007E-2"/>
    <n v="0.94"/>
  </r>
  <r>
    <x v="7"/>
    <x v="1"/>
    <x v="26"/>
    <x v="4"/>
    <x v="4"/>
    <x v="0"/>
    <n v="11.07"/>
    <n v="12.77"/>
    <n v="1.17"/>
    <n v="9.68"/>
  </r>
  <r>
    <x v="7"/>
    <x v="1"/>
    <x v="26"/>
    <x v="3"/>
    <x v="4"/>
    <x v="0"/>
    <n v="0.97"/>
    <n v="1.1200000000000001"/>
    <n v="0.15"/>
    <n v="0.88"/>
  </r>
  <r>
    <x v="7"/>
    <x v="1"/>
    <x v="26"/>
    <x v="3"/>
    <x v="0"/>
    <x v="0"/>
    <n v="0.03"/>
    <n v="0.03"/>
    <n v="0"/>
    <n v="0.02"/>
  </r>
  <r>
    <x v="7"/>
    <x v="1"/>
    <x v="26"/>
    <x v="1"/>
    <x v="1"/>
    <x v="0"/>
    <n v="3.67"/>
    <n v="4.2300000000000004"/>
    <n v="0.17"/>
    <n v="3.22"/>
  </r>
  <r>
    <x v="7"/>
    <x v="2"/>
    <x v="27"/>
    <x v="2"/>
    <x v="0"/>
    <x v="0"/>
    <n v="1.1399999999999999"/>
    <n v="1.6"/>
    <n v="0.64"/>
    <n v="1.07"/>
  </r>
  <r>
    <x v="7"/>
    <x v="2"/>
    <x v="27"/>
    <x v="3"/>
    <x v="0"/>
    <x v="0"/>
    <n v="0.04"/>
    <n v="0.06"/>
    <n v="0.01"/>
    <n v="0.04"/>
  </r>
  <r>
    <x v="7"/>
    <x v="2"/>
    <x v="27"/>
    <x v="4"/>
    <x v="2"/>
    <x v="2"/>
    <n v="0.13"/>
    <n v="0.19"/>
    <n v="0"/>
    <n v="0.12"/>
  </r>
  <r>
    <x v="7"/>
    <x v="2"/>
    <x v="27"/>
    <x v="1"/>
    <x v="4"/>
    <x v="2"/>
    <n v="0.72"/>
    <n v="1.01"/>
    <n v="0.01"/>
    <n v="0.62"/>
  </r>
  <r>
    <x v="7"/>
    <x v="2"/>
    <x v="27"/>
    <x v="2"/>
    <x v="3"/>
    <x v="2"/>
    <n v="1.49"/>
    <n v="2.09"/>
    <n v="0.01"/>
    <n v="1.49"/>
  </r>
  <r>
    <x v="7"/>
    <x v="2"/>
    <x v="27"/>
    <x v="2"/>
    <x v="3"/>
    <x v="3"/>
    <n v="2.48"/>
    <n v="3.49"/>
    <n v="0"/>
    <n v="2.48"/>
  </r>
  <r>
    <x v="7"/>
    <x v="2"/>
    <x v="27"/>
    <x v="0"/>
    <x v="0"/>
    <x v="1"/>
    <n v="0.45"/>
    <n v="0.63"/>
    <n v="0.01"/>
    <n v="0.4"/>
  </r>
  <r>
    <x v="7"/>
    <x v="2"/>
    <x v="27"/>
    <x v="1"/>
    <x v="0"/>
    <x v="1"/>
    <n v="0.24"/>
    <n v="0.34"/>
    <n v="0.01"/>
    <n v="0.22"/>
  </r>
  <r>
    <x v="7"/>
    <x v="2"/>
    <x v="27"/>
    <x v="4"/>
    <x v="4"/>
    <x v="2"/>
    <n v="0.38"/>
    <n v="0.53"/>
    <n v="0.01"/>
    <n v="0.33"/>
  </r>
  <r>
    <x v="7"/>
    <x v="2"/>
    <x v="27"/>
    <x v="1"/>
    <x v="2"/>
    <x v="1"/>
    <n v="1.02"/>
    <n v="1.44"/>
    <n v="0"/>
    <n v="0.92"/>
  </r>
  <r>
    <x v="7"/>
    <x v="2"/>
    <x v="27"/>
    <x v="1"/>
    <x v="1"/>
    <x v="0"/>
    <n v="7.39"/>
    <n v="10.4"/>
    <n v="0.4"/>
    <n v="6.87"/>
  </r>
  <r>
    <x v="7"/>
    <x v="2"/>
    <x v="27"/>
    <x v="1"/>
    <x v="4"/>
    <x v="0"/>
    <n v="51.18"/>
    <n v="72.010000000000005"/>
    <n v="8.92"/>
    <n v="47.53"/>
  </r>
  <r>
    <x v="7"/>
    <x v="2"/>
    <x v="27"/>
    <x v="1"/>
    <x v="0"/>
    <x v="0"/>
    <n v="2.54"/>
    <n v="3.58"/>
    <n v="1.27"/>
    <n v="2.41"/>
  </r>
  <r>
    <x v="7"/>
    <x v="2"/>
    <x v="27"/>
    <x v="0"/>
    <x v="4"/>
    <x v="0"/>
    <n v="4.41"/>
    <n v="6.2"/>
    <n v="1.5"/>
    <n v="4.13"/>
  </r>
  <r>
    <x v="7"/>
    <x v="2"/>
    <x v="27"/>
    <x v="0"/>
    <x v="0"/>
    <x v="0"/>
    <n v="1.8"/>
    <n v="2.54"/>
    <n v="0.89"/>
    <n v="1.64"/>
  </r>
  <r>
    <x v="7"/>
    <x v="2"/>
    <x v="27"/>
    <x v="4"/>
    <x v="1"/>
    <x v="0"/>
    <n v="5.13"/>
    <n v="7.21"/>
    <n v="0.21"/>
    <n v="4.7"/>
  </r>
  <r>
    <x v="7"/>
    <x v="2"/>
    <x v="27"/>
    <x v="4"/>
    <x v="4"/>
    <x v="0"/>
    <n v="33.89"/>
    <n v="47.69"/>
    <n v="3.31"/>
    <n v="31.28"/>
  </r>
  <r>
    <x v="7"/>
    <x v="2"/>
    <x v="27"/>
    <x v="3"/>
    <x v="4"/>
    <x v="0"/>
    <n v="9.66"/>
    <n v="13.6"/>
    <n v="1.05"/>
    <n v="8.94"/>
  </r>
  <r>
    <x v="7"/>
    <x v="2"/>
    <x v="27"/>
    <x v="1"/>
    <x v="1"/>
    <x v="1"/>
    <n v="0.3"/>
    <n v="0.43"/>
    <n v="0"/>
    <n v="0.27"/>
  </r>
  <r>
    <x v="7"/>
    <x v="2"/>
    <x v="27"/>
    <x v="4"/>
    <x v="1"/>
    <x v="2"/>
    <n v="0.22"/>
    <n v="0.31"/>
    <n v="0"/>
    <n v="0.19"/>
  </r>
  <r>
    <x v="7"/>
    <x v="2"/>
    <x v="27"/>
    <x v="2"/>
    <x v="4"/>
    <x v="0"/>
    <n v="1"/>
    <n v="1.41"/>
    <n v="0.2"/>
    <n v="0.96"/>
  </r>
  <r>
    <x v="7"/>
    <x v="5"/>
    <x v="28"/>
    <x v="2"/>
    <x v="3"/>
    <x v="3"/>
    <n v="0.31"/>
    <n v="0.37"/>
    <n v="0"/>
    <n v="0.31"/>
  </r>
  <r>
    <x v="7"/>
    <x v="5"/>
    <x v="28"/>
    <x v="0"/>
    <x v="0"/>
    <x v="0"/>
    <n v="3.96"/>
    <n v="4.74"/>
    <n v="2.31"/>
    <n v="3.64"/>
  </r>
  <r>
    <x v="7"/>
    <x v="5"/>
    <x v="28"/>
    <x v="0"/>
    <x v="4"/>
    <x v="0"/>
    <n v="12.37"/>
    <n v="14.78"/>
    <n v="3.9"/>
    <n v="11.8"/>
  </r>
  <r>
    <x v="7"/>
    <x v="5"/>
    <x v="28"/>
    <x v="4"/>
    <x v="4"/>
    <x v="0"/>
    <n v="35.97"/>
    <n v="42.98"/>
    <n v="3.82"/>
    <n v="33.83"/>
  </r>
  <r>
    <x v="7"/>
    <x v="5"/>
    <x v="28"/>
    <x v="3"/>
    <x v="4"/>
    <x v="0"/>
    <n v="8.31"/>
    <n v="9.93"/>
    <n v="1"/>
    <n v="8.02"/>
  </r>
  <r>
    <x v="7"/>
    <x v="5"/>
    <x v="28"/>
    <x v="3"/>
    <x v="0"/>
    <x v="0"/>
    <n v="0.2"/>
    <n v="0.24"/>
    <n v="7.0000000000000007E-2"/>
    <n v="0.19"/>
  </r>
  <r>
    <x v="7"/>
    <x v="5"/>
    <x v="28"/>
    <x v="1"/>
    <x v="2"/>
    <x v="1"/>
    <n v="8.11"/>
    <n v="9.69"/>
    <n v="0.03"/>
    <n v="7.49"/>
  </r>
  <r>
    <x v="7"/>
    <x v="5"/>
    <x v="28"/>
    <x v="1"/>
    <x v="1"/>
    <x v="1"/>
    <n v="3.09"/>
    <n v="3.69"/>
    <n v="0.04"/>
    <n v="2.86"/>
  </r>
  <r>
    <x v="7"/>
    <x v="5"/>
    <x v="28"/>
    <x v="1"/>
    <x v="0"/>
    <x v="1"/>
    <n v="1.25"/>
    <n v="1.49"/>
    <n v="0.06"/>
    <n v="1.1599999999999999"/>
  </r>
  <r>
    <x v="7"/>
    <x v="5"/>
    <x v="28"/>
    <x v="4"/>
    <x v="1"/>
    <x v="0"/>
    <n v="4.5999999999999996"/>
    <n v="5.49"/>
    <n v="0.26"/>
    <n v="4.26"/>
  </r>
  <r>
    <x v="7"/>
    <x v="5"/>
    <x v="28"/>
    <x v="2"/>
    <x v="3"/>
    <x v="2"/>
    <n v="1.43"/>
    <n v="1.71"/>
    <n v="0"/>
    <n v="1.43"/>
  </r>
  <r>
    <x v="7"/>
    <x v="5"/>
    <x v="28"/>
    <x v="1"/>
    <x v="4"/>
    <x v="2"/>
    <n v="0.24"/>
    <n v="0.28999999999999998"/>
    <n v="0.01"/>
    <n v="0.21"/>
  </r>
  <r>
    <x v="7"/>
    <x v="5"/>
    <x v="28"/>
    <x v="4"/>
    <x v="4"/>
    <x v="2"/>
    <n v="0.34"/>
    <n v="0.4"/>
    <n v="0"/>
    <n v="0.28999999999999998"/>
  </r>
  <r>
    <x v="7"/>
    <x v="5"/>
    <x v="28"/>
    <x v="1"/>
    <x v="0"/>
    <x v="0"/>
    <n v="12.13"/>
    <n v="14.5"/>
    <n v="5.67"/>
    <n v="11.58"/>
  </r>
  <r>
    <x v="7"/>
    <x v="5"/>
    <x v="28"/>
    <x v="1"/>
    <x v="4"/>
    <x v="0"/>
    <n v="143.56"/>
    <n v="171.56"/>
    <n v="33"/>
    <n v="135.33000000000001"/>
  </r>
  <r>
    <x v="7"/>
    <x v="5"/>
    <x v="28"/>
    <x v="1"/>
    <x v="1"/>
    <x v="0"/>
    <n v="26.11"/>
    <n v="31.2"/>
    <n v="1.83"/>
    <n v="24.38"/>
  </r>
  <r>
    <x v="7"/>
    <x v="5"/>
    <x v="28"/>
    <x v="1"/>
    <x v="2"/>
    <x v="0"/>
    <n v="0.33"/>
    <n v="0.4"/>
    <n v="0.01"/>
    <n v="0.3"/>
  </r>
  <r>
    <x v="7"/>
    <x v="5"/>
    <x v="28"/>
    <x v="2"/>
    <x v="0"/>
    <x v="0"/>
    <n v="8.75"/>
    <n v="10.46"/>
    <n v="3.86"/>
    <n v="8.41"/>
  </r>
  <r>
    <x v="7"/>
    <x v="5"/>
    <x v="28"/>
    <x v="2"/>
    <x v="4"/>
    <x v="0"/>
    <n v="3.27"/>
    <n v="3.9"/>
    <n v="0.62"/>
    <n v="3.13"/>
  </r>
  <r>
    <x v="7"/>
    <x v="5"/>
    <x v="28"/>
    <x v="0"/>
    <x v="0"/>
    <x v="1"/>
    <n v="2.7"/>
    <n v="3.23"/>
    <n v="0.08"/>
    <n v="2.5099999999999998"/>
  </r>
  <r>
    <x v="7"/>
    <x v="2"/>
    <x v="29"/>
    <x v="4"/>
    <x v="4"/>
    <x v="0"/>
    <n v="8.65"/>
    <n v="10.19"/>
    <n v="0.92"/>
    <n v="8"/>
  </r>
  <r>
    <x v="7"/>
    <x v="2"/>
    <x v="29"/>
    <x v="2"/>
    <x v="4"/>
    <x v="0"/>
    <n v="0.63"/>
    <n v="0.74"/>
    <n v="0.14000000000000001"/>
    <n v="0.6"/>
  </r>
  <r>
    <x v="7"/>
    <x v="2"/>
    <x v="29"/>
    <x v="2"/>
    <x v="0"/>
    <x v="0"/>
    <n v="1.76"/>
    <n v="2.08"/>
    <n v="1.24"/>
    <n v="1.66"/>
  </r>
  <r>
    <x v="7"/>
    <x v="2"/>
    <x v="29"/>
    <x v="1"/>
    <x v="2"/>
    <x v="0"/>
    <n v="0.3"/>
    <n v="0.36"/>
    <n v="0"/>
    <n v="0.27"/>
  </r>
  <r>
    <x v="7"/>
    <x v="2"/>
    <x v="29"/>
    <x v="1"/>
    <x v="1"/>
    <x v="0"/>
    <n v="2.94"/>
    <n v="3.46"/>
    <n v="0.24"/>
    <n v="2.73"/>
  </r>
  <r>
    <x v="7"/>
    <x v="2"/>
    <x v="29"/>
    <x v="1"/>
    <x v="4"/>
    <x v="0"/>
    <n v="32.369999999999997"/>
    <n v="38.130000000000003"/>
    <n v="6.82"/>
    <n v="29.8"/>
  </r>
  <r>
    <x v="7"/>
    <x v="2"/>
    <x v="29"/>
    <x v="1"/>
    <x v="0"/>
    <x v="0"/>
    <n v="1.98"/>
    <n v="2.33"/>
    <n v="0.94"/>
    <n v="1.84"/>
  </r>
  <r>
    <x v="7"/>
    <x v="2"/>
    <x v="29"/>
    <x v="0"/>
    <x v="2"/>
    <x v="0"/>
    <n v="0.11"/>
    <n v="0.13"/>
    <n v="0"/>
    <n v="0.11"/>
  </r>
  <r>
    <x v="7"/>
    <x v="2"/>
    <x v="29"/>
    <x v="4"/>
    <x v="4"/>
    <x v="2"/>
    <n v="0.31"/>
    <n v="0.37"/>
    <n v="0"/>
    <n v="0.28000000000000003"/>
  </r>
  <r>
    <x v="7"/>
    <x v="2"/>
    <x v="29"/>
    <x v="0"/>
    <x v="0"/>
    <x v="0"/>
    <n v="1.81"/>
    <n v="2.13"/>
    <n v="1.19"/>
    <n v="1.64"/>
  </r>
  <r>
    <x v="7"/>
    <x v="2"/>
    <x v="29"/>
    <x v="1"/>
    <x v="4"/>
    <x v="2"/>
    <n v="0.17"/>
    <n v="0.2"/>
    <n v="0"/>
    <n v="0.15"/>
  </r>
  <r>
    <x v="7"/>
    <x v="2"/>
    <x v="29"/>
    <x v="3"/>
    <x v="0"/>
    <x v="0"/>
    <n v="0.02"/>
    <n v="0.03"/>
    <n v="0.01"/>
    <n v="0.02"/>
  </r>
  <r>
    <x v="7"/>
    <x v="2"/>
    <x v="29"/>
    <x v="1"/>
    <x v="2"/>
    <x v="1"/>
    <n v="0.77"/>
    <n v="0.9"/>
    <n v="0"/>
    <n v="0.7"/>
  </r>
  <r>
    <x v="7"/>
    <x v="2"/>
    <x v="29"/>
    <x v="1"/>
    <x v="1"/>
    <x v="1"/>
    <n v="0.51"/>
    <n v="0.6"/>
    <n v="0.01"/>
    <n v="0.46"/>
  </r>
  <r>
    <x v="7"/>
    <x v="2"/>
    <x v="29"/>
    <x v="1"/>
    <x v="0"/>
    <x v="1"/>
    <n v="0.05"/>
    <n v="0.06"/>
    <n v="0"/>
    <n v="0.05"/>
  </r>
  <r>
    <x v="7"/>
    <x v="2"/>
    <x v="29"/>
    <x v="0"/>
    <x v="0"/>
    <x v="1"/>
    <n v="0.13"/>
    <n v="0.16"/>
    <n v="0"/>
    <n v="0.12"/>
  </r>
  <r>
    <x v="7"/>
    <x v="2"/>
    <x v="29"/>
    <x v="2"/>
    <x v="3"/>
    <x v="3"/>
    <n v="0.99"/>
    <n v="1.1599999999999999"/>
    <n v="0"/>
    <n v="0.99"/>
  </r>
  <r>
    <x v="7"/>
    <x v="2"/>
    <x v="29"/>
    <x v="3"/>
    <x v="4"/>
    <x v="0"/>
    <n v="2.16"/>
    <n v="2.5499999999999998"/>
    <n v="0.37"/>
    <n v="2.12"/>
  </r>
  <r>
    <x v="7"/>
    <x v="2"/>
    <x v="29"/>
    <x v="0"/>
    <x v="4"/>
    <x v="0"/>
    <n v="2.35"/>
    <n v="2.76"/>
    <n v="0.88"/>
    <n v="2.19"/>
  </r>
  <r>
    <x v="7"/>
    <x v="2"/>
    <x v="29"/>
    <x v="4"/>
    <x v="1"/>
    <x v="0"/>
    <n v="0.57999999999999996"/>
    <n v="0.68"/>
    <n v="0.04"/>
    <n v="0.54"/>
  </r>
  <r>
    <x v="7"/>
    <x v="5"/>
    <x v="30"/>
    <x v="0"/>
    <x v="4"/>
    <x v="0"/>
    <n v="21.07"/>
    <n v="24.82"/>
    <n v="7.9"/>
    <n v="19.739999999999998"/>
  </r>
  <r>
    <x v="7"/>
    <x v="5"/>
    <x v="30"/>
    <x v="4"/>
    <x v="4"/>
    <x v="2"/>
    <n v="0.42"/>
    <n v="0.5"/>
    <n v="0.02"/>
    <n v="0.37"/>
  </r>
  <r>
    <x v="7"/>
    <x v="5"/>
    <x v="30"/>
    <x v="2"/>
    <x v="3"/>
    <x v="0"/>
    <n v="0.56999999999999995"/>
    <n v="0.67"/>
    <n v="0"/>
    <n v="0.56999999999999995"/>
  </r>
  <r>
    <x v="7"/>
    <x v="5"/>
    <x v="30"/>
    <x v="2"/>
    <x v="4"/>
    <x v="0"/>
    <n v="4.37"/>
    <n v="5.14"/>
    <n v="0.85"/>
    <n v="4.16"/>
  </r>
  <r>
    <x v="7"/>
    <x v="5"/>
    <x v="30"/>
    <x v="2"/>
    <x v="0"/>
    <x v="0"/>
    <n v="6.52"/>
    <n v="7.68"/>
    <n v="3.89"/>
    <n v="6.17"/>
  </r>
  <r>
    <x v="7"/>
    <x v="5"/>
    <x v="30"/>
    <x v="1"/>
    <x v="2"/>
    <x v="0"/>
    <n v="2.93"/>
    <n v="3.45"/>
    <n v="0.03"/>
    <n v="2.63"/>
  </r>
  <r>
    <x v="7"/>
    <x v="5"/>
    <x v="30"/>
    <x v="1"/>
    <x v="1"/>
    <x v="0"/>
    <n v="42.04"/>
    <n v="49.52"/>
    <n v="3.84"/>
    <n v="38.94"/>
  </r>
  <r>
    <x v="7"/>
    <x v="5"/>
    <x v="30"/>
    <x v="1"/>
    <x v="4"/>
    <x v="0"/>
    <n v="251.21"/>
    <n v="295.89"/>
    <n v="67.47"/>
    <n v="233.72"/>
  </r>
  <r>
    <x v="7"/>
    <x v="5"/>
    <x v="30"/>
    <x v="0"/>
    <x v="2"/>
    <x v="0"/>
    <n v="0.1"/>
    <n v="0.12"/>
    <n v="0"/>
    <n v="0.09"/>
  </r>
  <r>
    <x v="7"/>
    <x v="5"/>
    <x v="30"/>
    <x v="0"/>
    <x v="0"/>
    <x v="0"/>
    <n v="7.33"/>
    <n v="8.64"/>
    <n v="4.76"/>
    <n v="6.65"/>
  </r>
  <r>
    <x v="7"/>
    <x v="5"/>
    <x v="30"/>
    <x v="4"/>
    <x v="1"/>
    <x v="0"/>
    <n v="8.0500000000000007"/>
    <n v="9.49"/>
    <n v="0.43"/>
    <n v="7.4"/>
  </r>
  <r>
    <x v="7"/>
    <x v="5"/>
    <x v="30"/>
    <x v="4"/>
    <x v="4"/>
    <x v="0"/>
    <n v="70.95"/>
    <n v="83.57"/>
    <n v="7.61"/>
    <n v="65.55"/>
  </r>
  <r>
    <x v="7"/>
    <x v="5"/>
    <x v="30"/>
    <x v="3"/>
    <x v="4"/>
    <x v="0"/>
    <n v="12.51"/>
    <n v="14.74"/>
    <n v="1.59"/>
    <n v="11.84"/>
  </r>
  <r>
    <x v="7"/>
    <x v="5"/>
    <x v="30"/>
    <x v="3"/>
    <x v="0"/>
    <x v="0"/>
    <n v="0.34"/>
    <n v="0.4"/>
    <n v="0.09"/>
    <n v="0.31"/>
  </r>
  <r>
    <x v="7"/>
    <x v="5"/>
    <x v="30"/>
    <x v="2"/>
    <x v="3"/>
    <x v="2"/>
    <n v="1.52"/>
    <n v="1.79"/>
    <n v="0.01"/>
    <n v="1.36"/>
  </r>
  <r>
    <x v="7"/>
    <x v="5"/>
    <x v="30"/>
    <x v="1"/>
    <x v="0"/>
    <x v="0"/>
    <n v="16.05"/>
    <n v="18.91"/>
    <n v="8.5399999999999991"/>
    <n v="15.14"/>
  </r>
  <r>
    <x v="7"/>
    <x v="5"/>
    <x v="30"/>
    <x v="1"/>
    <x v="2"/>
    <x v="1"/>
    <n v="5.38"/>
    <n v="6.34"/>
    <n v="0.02"/>
    <n v="4.9800000000000004"/>
  </r>
  <r>
    <x v="7"/>
    <x v="5"/>
    <x v="30"/>
    <x v="4"/>
    <x v="1"/>
    <x v="2"/>
    <n v="0.21"/>
    <n v="0.24"/>
    <n v="0"/>
    <n v="0.18"/>
  </r>
  <r>
    <x v="7"/>
    <x v="5"/>
    <x v="30"/>
    <x v="1"/>
    <x v="4"/>
    <x v="2"/>
    <n v="0.22"/>
    <n v="0.26"/>
    <n v="0.01"/>
    <n v="0.19"/>
  </r>
  <r>
    <x v="7"/>
    <x v="5"/>
    <x v="30"/>
    <x v="2"/>
    <x v="1"/>
    <x v="3"/>
    <n v="1.81"/>
    <n v="2.13"/>
    <n v="0.01"/>
    <n v="1.76"/>
  </r>
  <r>
    <x v="7"/>
    <x v="5"/>
    <x v="30"/>
    <x v="2"/>
    <x v="3"/>
    <x v="3"/>
    <n v="3.17"/>
    <n v="3.73"/>
    <n v="0"/>
    <n v="3.17"/>
  </r>
  <r>
    <x v="7"/>
    <x v="5"/>
    <x v="30"/>
    <x v="0"/>
    <x v="0"/>
    <x v="1"/>
    <n v="1.71"/>
    <n v="2.02"/>
    <n v="0.05"/>
    <n v="1.58"/>
  </r>
  <r>
    <x v="7"/>
    <x v="5"/>
    <x v="30"/>
    <x v="1"/>
    <x v="0"/>
    <x v="1"/>
    <n v="0.94"/>
    <n v="1.1100000000000001"/>
    <n v="0.05"/>
    <n v="0.88"/>
  </r>
  <r>
    <x v="7"/>
    <x v="5"/>
    <x v="30"/>
    <x v="1"/>
    <x v="1"/>
    <x v="1"/>
    <n v="1.91"/>
    <n v="2.2400000000000002"/>
    <n v="0.03"/>
    <n v="1.77"/>
  </r>
  <r>
    <x v="7"/>
    <x v="5"/>
    <x v="30"/>
    <x v="4"/>
    <x v="2"/>
    <x v="2"/>
    <n v="0.41"/>
    <n v="0.48"/>
    <n v="0"/>
    <n v="0.36"/>
  </r>
  <r>
    <x v="7"/>
    <x v="6"/>
    <x v="31"/>
    <x v="0"/>
    <x v="2"/>
    <x v="0"/>
    <n v="2.4"/>
    <n v="2.4"/>
    <n v="0.02"/>
    <n v="2.4"/>
  </r>
  <r>
    <x v="7"/>
    <x v="6"/>
    <x v="31"/>
    <x v="3"/>
    <x v="4"/>
    <x v="0"/>
    <n v="11.24"/>
    <n v="11.24"/>
    <n v="1.45"/>
    <n v="9.7899999999999991"/>
  </r>
  <r>
    <x v="7"/>
    <x v="6"/>
    <x v="31"/>
    <x v="4"/>
    <x v="1"/>
    <x v="2"/>
    <n v="0.17"/>
    <n v="0.17"/>
    <n v="0"/>
    <n v="0.14000000000000001"/>
  </r>
  <r>
    <x v="7"/>
    <x v="6"/>
    <x v="31"/>
    <x v="4"/>
    <x v="2"/>
    <x v="2"/>
    <n v="0.95"/>
    <n v="0.95"/>
    <n v="0.01"/>
    <n v="0.84"/>
  </r>
  <r>
    <x v="7"/>
    <x v="6"/>
    <x v="31"/>
    <x v="1"/>
    <x v="4"/>
    <x v="2"/>
    <n v="0.52"/>
    <n v="0.52"/>
    <n v="0.02"/>
    <n v="0.43"/>
  </r>
  <r>
    <x v="7"/>
    <x v="6"/>
    <x v="31"/>
    <x v="2"/>
    <x v="3"/>
    <x v="3"/>
    <n v="3.98"/>
    <n v="3.98"/>
    <n v="0"/>
    <n v="3.98"/>
  </r>
  <r>
    <x v="7"/>
    <x v="6"/>
    <x v="31"/>
    <x v="4"/>
    <x v="0"/>
    <x v="1"/>
    <n v="0.12"/>
    <n v="0.12"/>
    <n v="0.01"/>
    <n v="0.1"/>
  </r>
  <r>
    <x v="7"/>
    <x v="6"/>
    <x v="31"/>
    <x v="4"/>
    <x v="1"/>
    <x v="1"/>
    <n v="0.17"/>
    <n v="0.17"/>
    <n v="0.01"/>
    <n v="0.14000000000000001"/>
  </r>
  <r>
    <x v="7"/>
    <x v="6"/>
    <x v="31"/>
    <x v="0"/>
    <x v="0"/>
    <x v="1"/>
    <n v="7.89"/>
    <n v="7.89"/>
    <n v="0.21"/>
    <n v="7.15"/>
  </r>
  <r>
    <x v="7"/>
    <x v="6"/>
    <x v="31"/>
    <x v="1"/>
    <x v="0"/>
    <x v="1"/>
    <n v="2.4700000000000002"/>
    <n v="2.4700000000000002"/>
    <n v="0.13"/>
    <n v="2.09"/>
  </r>
  <r>
    <x v="7"/>
    <x v="6"/>
    <x v="31"/>
    <x v="1"/>
    <x v="4"/>
    <x v="1"/>
    <n v="0.13"/>
    <n v="0.13"/>
    <n v="0"/>
    <n v="0.11"/>
  </r>
  <r>
    <x v="7"/>
    <x v="6"/>
    <x v="31"/>
    <x v="1"/>
    <x v="1"/>
    <x v="1"/>
    <n v="4.74"/>
    <n v="4.74"/>
    <n v="0.08"/>
    <n v="4.03"/>
  </r>
  <r>
    <x v="7"/>
    <x v="6"/>
    <x v="31"/>
    <x v="1"/>
    <x v="2"/>
    <x v="1"/>
    <n v="19.57"/>
    <n v="19.57"/>
    <n v="0.08"/>
    <n v="15.94"/>
  </r>
  <r>
    <x v="7"/>
    <x v="6"/>
    <x v="31"/>
    <x v="1"/>
    <x v="4"/>
    <x v="0"/>
    <n v="228.46"/>
    <n v="228.46"/>
    <n v="46.2"/>
    <n v="212.14"/>
  </r>
  <r>
    <x v="7"/>
    <x v="6"/>
    <x v="31"/>
    <x v="3"/>
    <x v="0"/>
    <x v="0"/>
    <n v="0.01"/>
    <n v="0.01"/>
    <n v="0"/>
    <n v="0.01"/>
  </r>
  <r>
    <x v="7"/>
    <x v="6"/>
    <x v="31"/>
    <x v="2"/>
    <x v="3"/>
    <x v="0"/>
    <n v="0.47"/>
    <n v="0.47"/>
    <n v="0"/>
    <n v="0.47"/>
  </r>
  <r>
    <x v="7"/>
    <x v="6"/>
    <x v="31"/>
    <x v="4"/>
    <x v="4"/>
    <x v="0"/>
    <n v="29.65"/>
    <n v="29.65"/>
    <n v="6.34"/>
    <n v="26.34"/>
  </r>
  <r>
    <x v="7"/>
    <x v="6"/>
    <x v="31"/>
    <x v="4"/>
    <x v="1"/>
    <x v="0"/>
    <n v="3.45"/>
    <n v="3.45"/>
    <n v="0.25"/>
    <n v="3.17"/>
  </r>
  <r>
    <x v="7"/>
    <x v="6"/>
    <x v="31"/>
    <x v="4"/>
    <x v="2"/>
    <x v="0"/>
    <n v="0.19"/>
    <n v="0.19"/>
    <n v="0"/>
    <n v="0.17"/>
  </r>
  <r>
    <x v="7"/>
    <x v="6"/>
    <x v="31"/>
    <x v="4"/>
    <x v="3"/>
    <x v="0"/>
    <n v="0.28999999999999998"/>
    <n v="0.28999999999999998"/>
    <n v="0"/>
    <n v="0.25"/>
  </r>
  <r>
    <x v="7"/>
    <x v="6"/>
    <x v="31"/>
    <x v="0"/>
    <x v="0"/>
    <x v="0"/>
    <n v="3.77"/>
    <n v="3.77"/>
    <n v="2.36"/>
    <n v="3.19"/>
  </r>
  <r>
    <x v="7"/>
    <x v="6"/>
    <x v="31"/>
    <x v="0"/>
    <x v="4"/>
    <x v="0"/>
    <n v="13.44"/>
    <n v="13.44"/>
    <n v="4.0599999999999996"/>
    <n v="11.7"/>
  </r>
  <r>
    <x v="7"/>
    <x v="6"/>
    <x v="31"/>
    <x v="1"/>
    <x v="0"/>
    <x v="0"/>
    <n v="6.62"/>
    <n v="6.62"/>
    <n v="3.98"/>
    <n v="5.84"/>
  </r>
  <r>
    <x v="7"/>
    <x v="6"/>
    <x v="31"/>
    <x v="1"/>
    <x v="1"/>
    <x v="0"/>
    <n v="23.53"/>
    <n v="23.53"/>
    <n v="1.39"/>
    <n v="20.82"/>
  </r>
  <r>
    <x v="7"/>
    <x v="6"/>
    <x v="31"/>
    <x v="1"/>
    <x v="2"/>
    <x v="0"/>
    <n v="2.08"/>
    <n v="2.08"/>
    <n v="0.02"/>
    <n v="1.75"/>
  </r>
  <r>
    <x v="7"/>
    <x v="6"/>
    <x v="31"/>
    <x v="2"/>
    <x v="0"/>
    <x v="0"/>
    <n v="3.19"/>
    <n v="3.19"/>
    <n v="3.32"/>
    <n v="2.97"/>
  </r>
  <r>
    <x v="7"/>
    <x v="6"/>
    <x v="31"/>
    <x v="2"/>
    <x v="4"/>
    <x v="0"/>
    <n v="5.89"/>
    <n v="5.89"/>
    <n v="2.12"/>
    <n v="5.54"/>
  </r>
  <r>
    <x v="7"/>
    <x v="6"/>
    <x v="31"/>
    <x v="2"/>
    <x v="4"/>
    <x v="1"/>
    <n v="1.62"/>
    <n v="1.62"/>
    <n v="0"/>
    <n v="1.43"/>
  </r>
  <r>
    <x v="7"/>
    <x v="9"/>
    <x v="32"/>
    <x v="0"/>
    <x v="0"/>
    <x v="1"/>
    <n v="0.45"/>
    <n v="0.83"/>
    <n v="0.01"/>
    <n v="0.42"/>
  </r>
  <r>
    <x v="7"/>
    <x v="9"/>
    <x v="32"/>
    <x v="0"/>
    <x v="2"/>
    <x v="0"/>
    <n v="0.03"/>
    <n v="0.05"/>
    <n v="0"/>
    <n v="0.02"/>
  </r>
  <r>
    <x v="7"/>
    <x v="9"/>
    <x v="32"/>
    <x v="2"/>
    <x v="1"/>
    <x v="3"/>
    <n v="0.48"/>
    <n v="0.88"/>
    <n v="0"/>
    <n v="0.47"/>
  </r>
  <r>
    <x v="7"/>
    <x v="9"/>
    <x v="32"/>
    <x v="4"/>
    <x v="4"/>
    <x v="2"/>
    <n v="0.11"/>
    <n v="0.2"/>
    <n v="0"/>
    <n v="0.1"/>
  </r>
  <r>
    <x v="7"/>
    <x v="9"/>
    <x v="32"/>
    <x v="2"/>
    <x v="4"/>
    <x v="0"/>
    <n v="1.1599999999999999"/>
    <n v="2.13"/>
    <n v="0.22"/>
    <n v="1.1000000000000001"/>
  </r>
  <r>
    <x v="7"/>
    <x v="9"/>
    <x v="32"/>
    <x v="2"/>
    <x v="0"/>
    <x v="0"/>
    <n v="1.73"/>
    <n v="3.17"/>
    <n v="1.03"/>
    <n v="1.64"/>
  </r>
  <r>
    <x v="7"/>
    <x v="9"/>
    <x v="32"/>
    <x v="1"/>
    <x v="2"/>
    <x v="0"/>
    <n v="0.78"/>
    <n v="1.43"/>
    <n v="0.01"/>
    <n v="0.7"/>
  </r>
  <r>
    <x v="7"/>
    <x v="9"/>
    <x v="32"/>
    <x v="1"/>
    <x v="1"/>
    <x v="0"/>
    <n v="11.18"/>
    <n v="20.46"/>
    <n v="1.02"/>
    <n v="10.35"/>
  </r>
  <r>
    <x v="7"/>
    <x v="9"/>
    <x v="32"/>
    <x v="1"/>
    <x v="0"/>
    <x v="0"/>
    <n v="4.2699999999999996"/>
    <n v="7.81"/>
    <n v="2.27"/>
    <n v="4.03"/>
  </r>
  <r>
    <x v="7"/>
    <x v="9"/>
    <x v="32"/>
    <x v="2"/>
    <x v="3"/>
    <x v="0"/>
    <n v="0.15"/>
    <n v="0.28000000000000003"/>
    <n v="0"/>
    <n v="0.15"/>
  </r>
  <r>
    <x v="7"/>
    <x v="9"/>
    <x v="32"/>
    <x v="0"/>
    <x v="4"/>
    <x v="0"/>
    <n v="5.6"/>
    <n v="10.25"/>
    <n v="2.1"/>
    <n v="5.25"/>
  </r>
  <r>
    <x v="7"/>
    <x v="9"/>
    <x v="32"/>
    <x v="0"/>
    <x v="0"/>
    <x v="0"/>
    <n v="1.95"/>
    <n v="3.57"/>
    <n v="1.26"/>
    <n v="1.77"/>
  </r>
  <r>
    <x v="7"/>
    <x v="9"/>
    <x v="32"/>
    <x v="4"/>
    <x v="1"/>
    <x v="0"/>
    <n v="2.14"/>
    <n v="3.92"/>
    <n v="0.11"/>
    <n v="1.97"/>
  </r>
  <r>
    <x v="7"/>
    <x v="9"/>
    <x v="32"/>
    <x v="4"/>
    <x v="4"/>
    <x v="0"/>
    <n v="18.86"/>
    <n v="34.53"/>
    <n v="2.02"/>
    <n v="17.420000000000002"/>
  </r>
  <r>
    <x v="7"/>
    <x v="9"/>
    <x v="32"/>
    <x v="1"/>
    <x v="4"/>
    <x v="2"/>
    <n v="0.06"/>
    <n v="0.11"/>
    <n v="0"/>
    <n v="0.05"/>
  </r>
  <r>
    <x v="7"/>
    <x v="9"/>
    <x v="32"/>
    <x v="4"/>
    <x v="1"/>
    <x v="2"/>
    <n v="0.05"/>
    <n v="0.1"/>
    <n v="0"/>
    <n v="0.05"/>
  </r>
  <r>
    <x v="7"/>
    <x v="9"/>
    <x v="32"/>
    <x v="1"/>
    <x v="4"/>
    <x v="0"/>
    <n v="66.78"/>
    <n v="122.25"/>
    <n v="17.93"/>
    <n v="62.13"/>
  </r>
  <r>
    <x v="7"/>
    <x v="9"/>
    <x v="32"/>
    <x v="4"/>
    <x v="2"/>
    <x v="2"/>
    <n v="0.11"/>
    <n v="0.2"/>
    <n v="0"/>
    <n v="0.09"/>
  </r>
  <r>
    <x v="7"/>
    <x v="9"/>
    <x v="32"/>
    <x v="3"/>
    <x v="4"/>
    <x v="0"/>
    <n v="3.33"/>
    <n v="6.09"/>
    <n v="0.42"/>
    <n v="3.15"/>
  </r>
  <r>
    <x v="7"/>
    <x v="9"/>
    <x v="32"/>
    <x v="2"/>
    <x v="3"/>
    <x v="2"/>
    <n v="0.4"/>
    <n v="0.74"/>
    <n v="0"/>
    <n v="0.36"/>
  </r>
  <r>
    <x v="7"/>
    <x v="9"/>
    <x v="32"/>
    <x v="2"/>
    <x v="3"/>
    <x v="3"/>
    <n v="0.84"/>
    <n v="1.54"/>
    <n v="0"/>
    <n v="0.84"/>
  </r>
  <r>
    <x v="7"/>
    <x v="9"/>
    <x v="32"/>
    <x v="1"/>
    <x v="0"/>
    <x v="1"/>
    <n v="0.25"/>
    <n v="0.46"/>
    <n v="0.01"/>
    <n v="0.23"/>
  </r>
  <r>
    <x v="7"/>
    <x v="9"/>
    <x v="32"/>
    <x v="1"/>
    <x v="1"/>
    <x v="1"/>
    <n v="0.51"/>
    <n v="0.93"/>
    <n v="0.01"/>
    <n v="0.47"/>
  </r>
  <r>
    <x v="7"/>
    <x v="9"/>
    <x v="32"/>
    <x v="1"/>
    <x v="2"/>
    <x v="1"/>
    <n v="1.43"/>
    <n v="2.62"/>
    <n v="0.01"/>
    <n v="1.33"/>
  </r>
  <r>
    <x v="7"/>
    <x v="9"/>
    <x v="32"/>
    <x v="3"/>
    <x v="0"/>
    <x v="0"/>
    <n v="0.09"/>
    <n v="0.17"/>
    <n v="0.02"/>
    <n v="0.08"/>
  </r>
  <r>
    <x v="7"/>
    <x v="0"/>
    <x v="33"/>
    <x v="4"/>
    <x v="1"/>
    <x v="0"/>
    <n v="20.63"/>
    <n v="20.63"/>
    <n v="1.23"/>
    <n v="20.02"/>
  </r>
  <r>
    <x v="7"/>
    <x v="0"/>
    <x v="33"/>
    <x v="1"/>
    <x v="4"/>
    <x v="2"/>
    <n v="0.56000000000000005"/>
    <n v="0.56000000000000005"/>
    <n v="0.02"/>
    <n v="0.55000000000000004"/>
  </r>
  <r>
    <x v="7"/>
    <x v="0"/>
    <x v="33"/>
    <x v="2"/>
    <x v="4"/>
    <x v="0"/>
    <n v="4.9400000000000004"/>
    <n v="4.9400000000000004"/>
    <n v="2.1800000000000002"/>
    <n v="4.78"/>
  </r>
  <r>
    <x v="7"/>
    <x v="0"/>
    <x v="33"/>
    <x v="0"/>
    <x v="0"/>
    <x v="1"/>
    <n v="5.67"/>
    <n v="5.67"/>
    <n v="0.08"/>
    <n v="5.41"/>
  </r>
  <r>
    <x v="7"/>
    <x v="0"/>
    <x v="33"/>
    <x v="2"/>
    <x v="3"/>
    <x v="2"/>
    <n v="1.6"/>
    <n v="1.6"/>
    <n v="0"/>
    <n v="1.57"/>
  </r>
  <r>
    <x v="7"/>
    <x v="0"/>
    <x v="33"/>
    <x v="2"/>
    <x v="3"/>
    <x v="3"/>
    <n v="4.17"/>
    <n v="4.17"/>
    <n v="0"/>
    <n v="4.07"/>
  </r>
  <r>
    <x v="7"/>
    <x v="0"/>
    <x v="33"/>
    <x v="4"/>
    <x v="0"/>
    <x v="1"/>
    <n v="0.12"/>
    <n v="0.12"/>
    <n v="0.01"/>
    <n v="0.11"/>
  </r>
  <r>
    <x v="7"/>
    <x v="0"/>
    <x v="33"/>
    <x v="4"/>
    <x v="1"/>
    <x v="1"/>
    <n v="0.01"/>
    <n v="0.01"/>
    <n v="0"/>
    <n v="0.01"/>
  </r>
  <r>
    <x v="7"/>
    <x v="0"/>
    <x v="33"/>
    <x v="1"/>
    <x v="0"/>
    <x v="1"/>
    <n v="3.02"/>
    <n v="3.02"/>
    <n v="0.08"/>
    <n v="2.88"/>
  </r>
  <r>
    <x v="7"/>
    <x v="0"/>
    <x v="33"/>
    <x v="1"/>
    <x v="4"/>
    <x v="1"/>
    <n v="0.02"/>
    <n v="0.02"/>
    <n v="0"/>
    <n v="0.02"/>
  </r>
  <r>
    <x v="7"/>
    <x v="0"/>
    <x v="33"/>
    <x v="1"/>
    <x v="1"/>
    <x v="1"/>
    <n v="12.91"/>
    <n v="12.91"/>
    <n v="0.39"/>
    <n v="12.19"/>
  </r>
  <r>
    <x v="7"/>
    <x v="0"/>
    <x v="33"/>
    <x v="1"/>
    <x v="2"/>
    <x v="1"/>
    <n v="34.549999999999997"/>
    <n v="34.549999999999997"/>
    <n v="7.0000000000000007E-2"/>
    <n v="32.96"/>
  </r>
  <r>
    <x v="7"/>
    <x v="0"/>
    <x v="33"/>
    <x v="2"/>
    <x v="3"/>
    <x v="1"/>
    <n v="5.48"/>
    <n v="5.48"/>
    <n v="0"/>
    <n v="5.26"/>
  </r>
  <r>
    <x v="7"/>
    <x v="0"/>
    <x v="33"/>
    <x v="3"/>
    <x v="0"/>
    <x v="0"/>
    <n v="0.66"/>
    <n v="0.66"/>
    <n v="0.37"/>
    <n v="0.66"/>
  </r>
  <r>
    <x v="7"/>
    <x v="0"/>
    <x v="33"/>
    <x v="4"/>
    <x v="1"/>
    <x v="2"/>
    <n v="0.22"/>
    <n v="0.22"/>
    <n v="0"/>
    <n v="0.22"/>
  </r>
  <r>
    <x v="7"/>
    <x v="0"/>
    <x v="33"/>
    <x v="3"/>
    <x v="4"/>
    <x v="0"/>
    <n v="3.84"/>
    <n v="3.84"/>
    <n v="1.1399999999999999"/>
    <n v="3.64"/>
  </r>
  <r>
    <x v="7"/>
    <x v="0"/>
    <x v="33"/>
    <x v="2"/>
    <x v="4"/>
    <x v="1"/>
    <n v="1.44"/>
    <n v="1.44"/>
    <n v="0.01"/>
    <n v="1.36"/>
  </r>
  <r>
    <x v="7"/>
    <x v="0"/>
    <x v="33"/>
    <x v="1"/>
    <x v="0"/>
    <x v="0"/>
    <n v="7.27"/>
    <n v="7.27"/>
    <n v="5.03"/>
    <n v="6.94"/>
  </r>
  <r>
    <x v="7"/>
    <x v="0"/>
    <x v="33"/>
    <x v="4"/>
    <x v="4"/>
    <x v="0"/>
    <n v="32.94"/>
    <n v="32.94"/>
    <n v="4.7699999999999996"/>
    <n v="31.27"/>
  </r>
  <r>
    <x v="7"/>
    <x v="0"/>
    <x v="33"/>
    <x v="4"/>
    <x v="2"/>
    <x v="2"/>
    <n v="0.08"/>
    <n v="0.08"/>
    <n v="0"/>
    <n v="0.08"/>
  </r>
  <r>
    <x v="7"/>
    <x v="0"/>
    <x v="33"/>
    <x v="4"/>
    <x v="3"/>
    <x v="0"/>
    <n v="0.56000000000000005"/>
    <n v="0.56000000000000005"/>
    <n v="0"/>
    <n v="0.5"/>
  </r>
  <r>
    <x v="7"/>
    <x v="0"/>
    <x v="33"/>
    <x v="0"/>
    <x v="4"/>
    <x v="0"/>
    <n v="14.8"/>
    <n v="14.8"/>
    <n v="3.63"/>
    <n v="13.91"/>
  </r>
  <r>
    <x v="7"/>
    <x v="0"/>
    <x v="33"/>
    <x v="4"/>
    <x v="2"/>
    <x v="0"/>
    <n v="0.41"/>
    <n v="0.41"/>
    <n v="0"/>
    <n v="0.38"/>
  </r>
  <r>
    <x v="7"/>
    <x v="0"/>
    <x v="33"/>
    <x v="1"/>
    <x v="4"/>
    <x v="0"/>
    <n v="97.46"/>
    <n v="97.46"/>
    <n v="25.99"/>
    <n v="93.49"/>
  </r>
  <r>
    <x v="7"/>
    <x v="0"/>
    <x v="33"/>
    <x v="2"/>
    <x v="0"/>
    <x v="0"/>
    <n v="7.43"/>
    <n v="7.43"/>
    <n v="6.62"/>
    <n v="6.9"/>
  </r>
  <r>
    <x v="7"/>
    <x v="0"/>
    <x v="33"/>
    <x v="4"/>
    <x v="4"/>
    <x v="2"/>
    <n v="0.28999999999999998"/>
    <n v="0.28999999999999998"/>
    <n v="0.01"/>
    <n v="0.28999999999999998"/>
  </r>
  <r>
    <x v="7"/>
    <x v="0"/>
    <x v="33"/>
    <x v="1"/>
    <x v="1"/>
    <x v="0"/>
    <n v="14.32"/>
    <n v="14.32"/>
    <n v="1.61"/>
    <n v="13.77"/>
  </r>
  <r>
    <x v="7"/>
    <x v="0"/>
    <x v="33"/>
    <x v="1"/>
    <x v="2"/>
    <x v="0"/>
    <n v="2.35"/>
    <n v="2.35"/>
    <n v="0.04"/>
    <n v="2.21"/>
  </r>
  <r>
    <x v="7"/>
    <x v="0"/>
    <x v="33"/>
    <x v="0"/>
    <x v="0"/>
    <x v="0"/>
    <n v="5.14"/>
    <n v="5.14"/>
    <n v="5.45"/>
    <n v="4.78"/>
  </r>
  <r>
    <x v="7"/>
    <x v="7"/>
    <x v="34"/>
    <x v="3"/>
    <x v="4"/>
    <x v="0"/>
    <n v="29.78"/>
    <n v="32.42"/>
    <n v="4.16"/>
    <n v="27.81"/>
  </r>
  <r>
    <x v="7"/>
    <x v="7"/>
    <x v="34"/>
    <x v="1"/>
    <x v="0"/>
    <x v="0"/>
    <n v="8.9600000000000009"/>
    <n v="9.76"/>
    <n v="5.66"/>
    <n v="8.4"/>
  </r>
  <r>
    <x v="7"/>
    <x v="7"/>
    <x v="34"/>
    <x v="0"/>
    <x v="2"/>
    <x v="0"/>
    <n v="0.96"/>
    <n v="1.05"/>
    <n v="0.01"/>
    <n v="0.94"/>
  </r>
  <r>
    <x v="7"/>
    <x v="7"/>
    <x v="34"/>
    <x v="0"/>
    <x v="4"/>
    <x v="0"/>
    <n v="16.23"/>
    <n v="17.670000000000002"/>
    <n v="6.63"/>
    <n v="15.33"/>
  </r>
  <r>
    <x v="7"/>
    <x v="7"/>
    <x v="34"/>
    <x v="0"/>
    <x v="0"/>
    <x v="0"/>
    <n v="8.43"/>
    <n v="9.18"/>
    <n v="5.13"/>
    <n v="7.6"/>
  </r>
  <r>
    <x v="7"/>
    <x v="7"/>
    <x v="34"/>
    <x v="4"/>
    <x v="2"/>
    <x v="0"/>
    <n v="1.95"/>
    <n v="2.12"/>
    <n v="0"/>
    <n v="1.79"/>
  </r>
  <r>
    <x v="7"/>
    <x v="7"/>
    <x v="34"/>
    <x v="3"/>
    <x v="0"/>
    <x v="0"/>
    <n v="0.73"/>
    <n v="0.8"/>
    <n v="0.19"/>
    <n v="0.67"/>
  </r>
  <r>
    <x v="7"/>
    <x v="7"/>
    <x v="34"/>
    <x v="4"/>
    <x v="4"/>
    <x v="0"/>
    <n v="86.53"/>
    <n v="94.22"/>
    <n v="11.97"/>
    <n v="82.41"/>
  </r>
  <r>
    <x v="7"/>
    <x v="7"/>
    <x v="34"/>
    <x v="1"/>
    <x v="4"/>
    <x v="0"/>
    <n v="239.27"/>
    <n v="260.54000000000002"/>
    <n v="48.82"/>
    <n v="227.54"/>
  </r>
  <r>
    <x v="7"/>
    <x v="7"/>
    <x v="34"/>
    <x v="1"/>
    <x v="2"/>
    <x v="1"/>
    <n v="19.399999999999999"/>
    <n v="21.12"/>
    <n v="0.08"/>
    <n v="17.95"/>
  </r>
  <r>
    <x v="7"/>
    <x v="7"/>
    <x v="34"/>
    <x v="1"/>
    <x v="1"/>
    <x v="1"/>
    <n v="6.88"/>
    <n v="7.49"/>
    <n v="0.09"/>
    <n v="6.37"/>
  </r>
  <r>
    <x v="7"/>
    <x v="7"/>
    <x v="34"/>
    <x v="4"/>
    <x v="1"/>
    <x v="0"/>
    <n v="12.79"/>
    <n v="13.93"/>
    <n v="0.82"/>
    <n v="11.86"/>
  </r>
  <r>
    <x v="7"/>
    <x v="7"/>
    <x v="34"/>
    <x v="1"/>
    <x v="1"/>
    <x v="0"/>
    <n v="51.34"/>
    <n v="55.91"/>
    <n v="2.46"/>
    <n v="47.92"/>
  </r>
  <r>
    <x v="7"/>
    <x v="7"/>
    <x v="34"/>
    <x v="1"/>
    <x v="2"/>
    <x v="0"/>
    <n v="13.79"/>
    <n v="15.02"/>
    <n v="0.17"/>
    <n v="13.22"/>
  </r>
  <r>
    <x v="7"/>
    <x v="7"/>
    <x v="34"/>
    <x v="2"/>
    <x v="0"/>
    <x v="0"/>
    <n v="8.06"/>
    <n v="8.7799999999999994"/>
    <n v="4.71"/>
    <n v="7.57"/>
  </r>
  <r>
    <x v="7"/>
    <x v="7"/>
    <x v="34"/>
    <x v="2"/>
    <x v="4"/>
    <x v="0"/>
    <n v="4.54"/>
    <n v="4.95"/>
    <n v="1.37"/>
    <n v="4.34"/>
  </r>
  <r>
    <x v="7"/>
    <x v="7"/>
    <x v="34"/>
    <x v="2"/>
    <x v="3"/>
    <x v="0"/>
    <n v="0.44"/>
    <n v="0.48"/>
    <n v="0"/>
    <n v="0.44"/>
  </r>
  <r>
    <x v="7"/>
    <x v="7"/>
    <x v="34"/>
    <x v="0"/>
    <x v="0"/>
    <x v="1"/>
    <n v="6.31"/>
    <n v="6.87"/>
    <n v="0.19"/>
    <n v="5.83"/>
  </r>
  <r>
    <x v="7"/>
    <x v="7"/>
    <x v="34"/>
    <x v="2"/>
    <x v="3"/>
    <x v="3"/>
    <n v="10.42"/>
    <n v="11.34"/>
    <n v="0.01"/>
    <n v="10.42"/>
  </r>
  <r>
    <x v="7"/>
    <x v="7"/>
    <x v="34"/>
    <x v="2"/>
    <x v="3"/>
    <x v="2"/>
    <n v="4.49"/>
    <n v="4.8899999999999997"/>
    <n v="0.02"/>
    <n v="4.09"/>
  </r>
  <r>
    <x v="7"/>
    <x v="7"/>
    <x v="34"/>
    <x v="1"/>
    <x v="4"/>
    <x v="2"/>
    <n v="0.42"/>
    <n v="0.46"/>
    <n v="0.04"/>
    <n v="0.37"/>
  </r>
  <r>
    <x v="7"/>
    <x v="7"/>
    <x v="34"/>
    <x v="4"/>
    <x v="2"/>
    <x v="2"/>
    <n v="0.92"/>
    <n v="1"/>
    <n v="0"/>
    <n v="0.8"/>
  </r>
  <r>
    <x v="7"/>
    <x v="7"/>
    <x v="34"/>
    <x v="4"/>
    <x v="4"/>
    <x v="2"/>
    <n v="1.08"/>
    <n v="1.18"/>
    <n v="0.02"/>
    <n v="0.96"/>
  </r>
  <r>
    <x v="7"/>
    <x v="7"/>
    <x v="34"/>
    <x v="1"/>
    <x v="0"/>
    <x v="1"/>
    <n v="2.93"/>
    <n v="3.19"/>
    <n v="0.14000000000000001"/>
    <n v="2.71"/>
  </r>
  <r>
    <x v="7"/>
    <x v="7"/>
    <x v="34"/>
    <x v="4"/>
    <x v="1"/>
    <x v="2"/>
    <n v="0.7"/>
    <n v="0.76"/>
    <n v="0.01"/>
    <n v="0.61"/>
  </r>
  <r>
    <x v="7"/>
    <x v="10"/>
    <x v="35"/>
    <x v="4"/>
    <x v="4"/>
    <x v="0"/>
    <n v="28.41"/>
    <n v="30.94"/>
    <n v="3.93"/>
    <n v="27.06"/>
  </r>
  <r>
    <x v="7"/>
    <x v="10"/>
    <x v="35"/>
    <x v="1"/>
    <x v="2"/>
    <x v="1"/>
    <n v="6.37"/>
    <n v="6.94"/>
    <n v="0.03"/>
    <n v="5.89"/>
  </r>
  <r>
    <x v="7"/>
    <x v="10"/>
    <x v="35"/>
    <x v="0"/>
    <x v="4"/>
    <x v="0"/>
    <n v="5.33"/>
    <n v="5.8"/>
    <n v="2.1800000000000002"/>
    <n v="5.03"/>
  </r>
  <r>
    <x v="7"/>
    <x v="10"/>
    <x v="35"/>
    <x v="1"/>
    <x v="4"/>
    <x v="2"/>
    <n v="0.14000000000000001"/>
    <n v="0.15"/>
    <n v="0.01"/>
    <n v="0.12"/>
  </r>
  <r>
    <x v="7"/>
    <x v="10"/>
    <x v="35"/>
    <x v="4"/>
    <x v="2"/>
    <x v="2"/>
    <n v="0.3"/>
    <n v="0.33"/>
    <n v="0"/>
    <n v="0.26"/>
  </r>
  <r>
    <x v="7"/>
    <x v="10"/>
    <x v="35"/>
    <x v="4"/>
    <x v="1"/>
    <x v="2"/>
    <n v="0.23"/>
    <n v="0.25"/>
    <n v="0"/>
    <n v="0.2"/>
  </r>
  <r>
    <x v="7"/>
    <x v="10"/>
    <x v="35"/>
    <x v="2"/>
    <x v="3"/>
    <x v="2"/>
    <n v="1.47"/>
    <n v="1.6"/>
    <n v="0.01"/>
    <n v="1.34"/>
  </r>
  <r>
    <x v="7"/>
    <x v="10"/>
    <x v="35"/>
    <x v="2"/>
    <x v="3"/>
    <x v="3"/>
    <n v="3.42"/>
    <n v="3.72"/>
    <n v="0"/>
    <n v="3.42"/>
  </r>
  <r>
    <x v="7"/>
    <x v="10"/>
    <x v="35"/>
    <x v="0"/>
    <x v="0"/>
    <x v="1"/>
    <n v="2.0699999999999998"/>
    <n v="2.25"/>
    <n v="0.06"/>
    <n v="1.91"/>
  </r>
  <r>
    <x v="7"/>
    <x v="10"/>
    <x v="35"/>
    <x v="1"/>
    <x v="0"/>
    <x v="1"/>
    <n v="0.96"/>
    <n v="1.05"/>
    <n v="0.05"/>
    <n v="0.89"/>
  </r>
  <r>
    <x v="7"/>
    <x v="10"/>
    <x v="35"/>
    <x v="4"/>
    <x v="2"/>
    <x v="0"/>
    <n v="0.64"/>
    <n v="0.7"/>
    <n v="0"/>
    <n v="0.59"/>
  </r>
  <r>
    <x v="7"/>
    <x v="10"/>
    <x v="35"/>
    <x v="3"/>
    <x v="4"/>
    <x v="0"/>
    <n v="9.7799999999999994"/>
    <n v="10.65"/>
    <n v="1.37"/>
    <n v="9.1300000000000008"/>
  </r>
  <r>
    <x v="7"/>
    <x v="10"/>
    <x v="35"/>
    <x v="4"/>
    <x v="4"/>
    <x v="2"/>
    <n v="0.35"/>
    <n v="0.39"/>
    <n v="0.01"/>
    <n v="0.32"/>
  </r>
  <r>
    <x v="7"/>
    <x v="10"/>
    <x v="35"/>
    <x v="1"/>
    <x v="1"/>
    <x v="1"/>
    <n v="2.2599999999999998"/>
    <n v="2.46"/>
    <n v="0.03"/>
    <n v="2.09"/>
  </r>
  <r>
    <x v="7"/>
    <x v="10"/>
    <x v="35"/>
    <x v="0"/>
    <x v="2"/>
    <x v="0"/>
    <n v="0.32"/>
    <n v="0.34"/>
    <n v="0"/>
    <n v="0.31"/>
  </r>
  <r>
    <x v="7"/>
    <x v="10"/>
    <x v="35"/>
    <x v="1"/>
    <x v="0"/>
    <x v="0"/>
    <n v="2.94"/>
    <n v="3.2"/>
    <n v="1.86"/>
    <n v="2.76"/>
  </r>
  <r>
    <x v="7"/>
    <x v="10"/>
    <x v="35"/>
    <x v="1"/>
    <x v="4"/>
    <x v="0"/>
    <n v="78.56"/>
    <n v="85.55"/>
    <n v="16.03"/>
    <n v="74.709999999999994"/>
  </r>
  <r>
    <x v="7"/>
    <x v="10"/>
    <x v="35"/>
    <x v="4"/>
    <x v="1"/>
    <x v="0"/>
    <n v="4.2"/>
    <n v="4.57"/>
    <n v="0.27"/>
    <n v="3.89"/>
  </r>
  <r>
    <x v="7"/>
    <x v="10"/>
    <x v="35"/>
    <x v="1"/>
    <x v="2"/>
    <x v="0"/>
    <n v="4.53"/>
    <n v="4.93"/>
    <n v="0.06"/>
    <n v="4.34"/>
  </r>
  <r>
    <x v="7"/>
    <x v="10"/>
    <x v="35"/>
    <x v="3"/>
    <x v="0"/>
    <x v="0"/>
    <n v="0.24"/>
    <n v="0.26"/>
    <n v="0.06"/>
    <n v="0.22"/>
  </r>
  <r>
    <x v="7"/>
    <x v="10"/>
    <x v="35"/>
    <x v="2"/>
    <x v="0"/>
    <x v="0"/>
    <n v="2.65"/>
    <n v="2.88"/>
    <n v="1.55"/>
    <n v="2.4900000000000002"/>
  </r>
  <r>
    <x v="7"/>
    <x v="10"/>
    <x v="35"/>
    <x v="2"/>
    <x v="4"/>
    <x v="0"/>
    <n v="1.49"/>
    <n v="1.62"/>
    <n v="0.45"/>
    <n v="1.43"/>
  </r>
  <r>
    <x v="7"/>
    <x v="10"/>
    <x v="35"/>
    <x v="2"/>
    <x v="3"/>
    <x v="0"/>
    <n v="0.14000000000000001"/>
    <n v="0.16"/>
    <n v="0"/>
    <n v="0.14000000000000001"/>
  </r>
  <r>
    <x v="7"/>
    <x v="10"/>
    <x v="35"/>
    <x v="0"/>
    <x v="0"/>
    <x v="0"/>
    <n v="2.77"/>
    <n v="3.01"/>
    <n v="1.68"/>
    <n v="2.4900000000000002"/>
  </r>
  <r>
    <x v="7"/>
    <x v="10"/>
    <x v="35"/>
    <x v="1"/>
    <x v="1"/>
    <x v="0"/>
    <n v="16.86"/>
    <n v="18.36"/>
    <n v="0.81"/>
    <n v="15.74"/>
  </r>
  <r>
    <x v="7"/>
    <x v="2"/>
    <x v="36"/>
    <x v="1"/>
    <x v="2"/>
    <x v="1"/>
    <n v="1.59"/>
    <n v="1.87"/>
    <n v="0.01"/>
    <n v="1.45"/>
  </r>
  <r>
    <x v="7"/>
    <x v="2"/>
    <x v="36"/>
    <x v="1"/>
    <x v="1"/>
    <x v="1"/>
    <n v="0.62"/>
    <n v="0.74"/>
    <n v="0.01"/>
    <n v="0.56999999999999995"/>
  </r>
  <r>
    <x v="7"/>
    <x v="2"/>
    <x v="36"/>
    <x v="4"/>
    <x v="1"/>
    <x v="2"/>
    <n v="0.14000000000000001"/>
    <n v="0.17"/>
    <n v="0"/>
    <n v="0.12"/>
  </r>
  <r>
    <x v="7"/>
    <x v="2"/>
    <x v="36"/>
    <x v="1"/>
    <x v="4"/>
    <x v="1"/>
    <n v="0.1"/>
    <n v="0.12"/>
    <n v="0"/>
    <n v="0.1"/>
  </r>
  <r>
    <x v="7"/>
    <x v="2"/>
    <x v="36"/>
    <x v="1"/>
    <x v="0"/>
    <x v="1"/>
    <n v="0.33"/>
    <n v="0.39"/>
    <n v="0.02"/>
    <n v="0.31"/>
  </r>
  <r>
    <x v="7"/>
    <x v="2"/>
    <x v="36"/>
    <x v="0"/>
    <x v="3"/>
    <x v="1"/>
    <n v="0"/>
    <n v="0"/>
    <n v="0"/>
    <n v="0"/>
  </r>
  <r>
    <x v="7"/>
    <x v="2"/>
    <x v="36"/>
    <x v="0"/>
    <x v="4"/>
    <x v="1"/>
    <n v="0"/>
    <n v="0"/>
    <n v="0"/>
    <n v="0"/>
  </r>
  <r>
    <x v="7"/>
    <x v="2"/>
    <x v="36"/>
    <x v="4"/>
    <x v="1"/>
    <x v="1"/>
    <n v="0"/>
    <n v="0"/>
    <n v="0"/>
    <n v="0"/>
  </r>
  <r>
    <x v="7"/>
    <x v="2"/>
    <x v="36"/>
    <x v="1"/>
    <x v="4"/>
    <x v="2"/>
    <n v="0.11"/>
    <n v="0.13"/>
    <n v="0.01"/>
    <n v="0.1"/>
  </r>
  <r>
    <x v="7"/>
    <x v="2"/>
    <x v="36"/>
    <x v="1"/>
    <x v="3"/>
    <x v="1"/>
    <n v="0"/>
    <n v="0"/>
    <n v="0"/>
    <n v="0"/>
  </r>
  <r>
    <x v="7"/>
    <x v="2"/>
    <x v="36"/>
    <x v="4"/>
    <x v="2"/>
    <x v="2"/>
    <n v="0.09"/>
    <n v="0.11"/>
    <n v="0"/>
    <n v="0.08"/>
  </r>
  <r>
    <x v="7"/>
    <x v="2"/>
    <x v="36"/>
    <x v="4"/>
    <x v="0"/>
    <x v="1"/>
    <n v="0.01"/>
    <n v="0.01"/>
    <n v="0"/>
    <n v="0.01"/>
  </r>
  <r>
    <x v="7"/>
    <x v="2"/>
    <x v="36"/>
    <x v="2"/>
    <x v="3"/>
    <x v="3"/>
    <n v="4.83"/>
    <n v="5.69"/>
    <n v="0"/>
    <n v="4.8099999999999996"/>
  </r>
  <r>
    <x v="7"/>
    <x v="2"/>
    <x v="36"/>
    <x v="2"/>
    <x v="1"/>
    <x v="3"/>
    <n v="0"/>
    <n v="0"/>
    <n v="0"/>
    <n v="0"/>
  </r>
  <r>
    <x v="7"/>
    <x v="2"/>
    <x v="36"/>
    <x v="2"/>
    <x v="3"/>
    <x v="2"/>
    <n v="1.17"/>
    <n v="1.38"/>
    <n v="0"/>
    <n v="1.1299999999999999"/>
  </r>
  <r>
    <x v="7"/>
    <x v="2"/>
    <x v="36"/>
    <x v="0"/>
    <x v="0"/>
    <x v="1"/>
    <n v="0.56000000000000005"/>
    <n v="0.66"/>
    <n v="0.02"/>
    <n v="0.5"/>
  </r>
  <r>
    <x v="7"/>
    <x v="2"/>
    <x v="36"/>
    <x v="0"/>
    <x v="2"/>
    <x v="0"/>
    <n v="0.01"/>
    <n v="0.02"/>
    <n v="0"/>
    <n v="0.01"/>
  </r>
  <r>
    <x v="7"/>
    <x v="2"/>
    <x v="36"/>
    <x v="4"/>
    <x v="4"/>
    <x v="2"/>
    <n v="0.17"/>
    <n v="0.2"/>
    <n v="0"/>
    <n v="0.15"/>
  </r>
  <r>
    <x v="7"/>
    <x v="2"/>
    <x v="36"/>
    <x v="1"/>
    <x v="4"/>
    <x v="0"/>
    <n v="26.07"/>
    <n v="30.7"/>
    <n v="4.08"/>
    <n v="24.27"/>
  </r>
  <r>
    <x v="7"/>
    <x v="2"/>
    <x v="36"/>
    <x v="1"/>
    <x v="1"/>
    <x v="0"/>
    <n v="5.0599999999999996"/>
    <n v="5.96"/>
    <n v="0.21"/>
    <n v="4.72"/>
  </r>
  <r>
    <x v="7"/>
    <x v="2"/>
    <x v="36"/>
    <x v="1"/>
    <x v="2"/>
    <x v="0"/>
    <n v="0.38"/>
    <n v="0.45"/>
    <n v="0"/>
    <n v="0.34"/>
  </r>
  <r>
    <x v="7"/>
    <x v="2"/>
    <x v="36"/>
    <x v="2"/>
    <x v="0"/>
    <x v="0"/>
    <n v="0.62"/>
    <n v="0.74"/>
    <n v="0.33"/>
    <n v="0.57999999999999996"/>
  </r>
  <r>
    <x v="7"/>
    <x v="2"/>
    <x v="36"/>
    <x v="2"/>
    <x v="4"/>
    <x v="0"/>
    <n v="0.5"/>
    <n v="0.59"/>
    <n v="0.09"/>
    <n v="0.47"/>
  </r>
  <r>
    <x v="7"/>
    <x v="2"/>
    <x v="36"/>
    <x v="4"/>
    <x v="2"/>
    <x v="0"/>
    <n v="0.01"/>
    <n v="0.01"/>
    <n v="0"/>
    <n v="0.01"/>
  </r>
  <r>
    <x v="7"/>
    <x v="2"/>
    <x v="36"/>
    <x v="1"/>
    <x v="0"/>
    <x v="0"/>
    <n v="1.27"/>
    <n v="1.5"/>
    <n v="0.59"/>
    <n v="1.21"/>
  </r>
  <r>
    <x v="7"/>
    <x v="2"/>
    <x v="36"/>
    <x v="2"/>
    <x v="3"/>
    <x v="1"/>
    <n v="0.02"/>
    <n v="0.03"/>
    <n v="0"/>
    <n v="0.02"/>
  </r>
  <r>
    <x v="7"/>
    <x v="2"/>
    <x v="36"/>
    <x v="0"/>
    <x v="4"/>
    <x v="0"/>
    <n v="1.5"/>
    <n v="1.77"/>
    <n v="0.53"/>
    <n v="1.4"/>
  </r>
  <r>
    <x v="7"/>
    <x v="2"/>
    <x v="36"/>
    <x v="0"/>
    <x v="0"/>
    <x v="0"/>
    <n v="0.75"/>
    <n v="0.88"/>
    <n v="0.4"/>
    <n v="0.68"/>
  </r>
  <r>
    <x v="7"/>
    <x v="2"/>
    <x v="36"/>
    <x v="3"/>
    <x v="4"/>
    <x v="0"/>
    <n v="2.11"/>
    <n v="2.48"/>
    <n v="0.27"/>
    <n v="2"/>
  </r>
  <r>
    <x v="7"/>
    <x v="2"/>
    <x v="36"/>
    <x v="4"/>
    <x v="3"/>
    <x v="0"/>
    <n v="0.01"/>
    <n v="0.01"/>
    <n v="0"/>
    <n v="0.01"/>
  </r>
  <r>
    <x v="7"/>
    <x v="2"/>
    <x v="36"/>
    <x v="4"/>
    <x v="4"/>
    <x v="0"/>
    <n v="11.35"/>
    <n v="13.37"/>
    <n v="1.1000000000000001"/>
    <n v="10.5"/>
  </r>
  <r>
    <x v="7"/>
    <x v="2"/>
    <x v="36"/>
    <x v="3"/>
    <x v="0"/>
    <x v="0"/>
    <n v="0.13"/>
    <n v="0.15"/>
    <n v="0.06"/>
    <n v="0.12"/>
  </r>
  <r>
    <x v="7"/>
    <x v="2"/>
    <x v="36"/>
    <x v="2"/>
    <x v="3"/>
    <x v="0"/>
    <n v="0"/>
    <n v="0"/>
    <n v="0"/>
    <n v="0"/>
  </r>
  <r>
    <x v="7"/>
    <x v="2"/>
    <x v="36"/>
    <x v="4"/>
    <x v="1"/>
    <x v="0"/>
    <n v="1.63"/>
    <n v="1.92"/>
    <n v="0.08"/>
    <n v="1.5"/>
  </r>
  <r>
    <x v="7"/>
    <x v="9"/>
    <x v="37"/>
    <x v="2"/>
    <x v="3"/>
    <x v="3"/>
    <n v="1.07"/>
    <n v="1.96"/>
    <n v="0"/>
    <n v="1.07"/>
  </r>
  <r>
    <x v="7"/>
    <x v="9"/>
    <x v="37"/>
    <x v="4"/>
    <x v="4"/>
    <x v="2"/>
    <n v="0.94"/>
    <n v="1.72"/>
    <n v="0.01"/>
    <n v="0.82"/>
  </r>
  <r>
    <x v="7"/>
    <x v="9"/>
    <x v="37"/>
    <x v="1"/>
    <x v="0"/>
    <x v="1"/>
    <n v="4.04"/>
    <n v="7.4"/>
    <n v="0.19"/>
    <n v="3.73"/>
  </r>
  <r>
    <x v="7"/>
    <x v="9"/>
    <x v="37"/>
    <x v="1"/>
    <x v="4"/>
    <x v="2"/>
    <n v="0.59"/>
    <n v="1.07"/>
    <n v="0.01"/>
    <n v="0.51"/>
  </r>
  <r>
    <x v="7"/>
    <x v="9"/>
    <x v="37"/>
    <x v="2"/>
    <x v="3"/>
    <x v="2"/>
    <n v="0.23"/>
    <n v="0.42"/>
    <n v="0"/>
    <n v="0.23"/>
  </r>
  <r>
    <x v="7"/>
    <x v="9"/>
    <x v="37"/>
    <x v="3"/>
    <x v="0"/>
    <x v="0"/>
    <n v="0.45"/>
    <n v="0.83"/>
    <n v="0.11"/>
    <n v="0.42"/>
  </r>
  <r>
    <x v="7"/>
    <x v="9"/>
    <x v="37"/>
    <x v="1"/>
    <x v="4"/>
    <x v="0"/>
    <n v="338.41"/>
    <n v="619.55999999999995"/>
    <n v="59.73"/>
    <n v="321.81"/>
  </r>
  <r>
    <x v="7"/>
    <x v="9"/>
    <x v="37"/>
    <x v="1"/>
    <x v="0"/>
    <x v="0"/>
    <n v="31.79"/>
    <n v="58.2"/>
    <n v="12.31"/>
    <n v="31.18"/>
  </r>
  <r>
    <x v="7"/>
    <x v="9"/>
    <x v="37"/>
    <x v="0"/>
    <x v="2"/>
    <x v="0"/>
    <n v="1.18"/>
    <n v="2.16"/>
    <n v="0.01"/>
    <n v="1.1499999999999999"/>
  </r>
  <r>
    <x v="7"/>
    <x v="9"/>
    <x v="37"/>
    <x v="0"/>
    <x v="4"/>
    <x v="0"/>
    <n v="27.39"/>
    <n v="50.14"/>
    <n v="10.76"/>
    <n v="25.49"/>
  </r>
  <r>
    <x v="7"/>
    <x v="9"/>
    <x v="37"/>
    <x v="0"/>
    <x v="0"/>
    <x v="0"/>
    <n v="8.39"/>
    <n v="15.36"/>
    <n v="4.95"/>
    <n v="7.63"/>
  </r>
  <r>
    <x v="7"/>
    <x v="9"/>
    <x v="37"/>
    <x v="4"/>
    <x v="2"/>
    <x v="0"/>
    <n v="1.34"/>
    <n v="2.4500000000000002"/>
    <n v="0"/>
    <n v="1.23"/>
  </r>
  <r>
    <x v="7"/>
    <x v="9"/>
    <x v="37"/>
    <x v="4"/>
    <x v="1"/>
    <x v="0"/>
    <n v="13.03"/>
    <n v="23.85"/>
    <n v="1.04"/>
    <n v="12.32"/>
  </r>
  <r>
    <x v="7"/>
    <x v="9"/>
    <x v="37"/>
    <x v="2"/>
    <x v="3"/>
    <x v="0"/>
    <n v="4.13"/>
    <n v="7.55"/>
    <n v="0.01"/>
    <n v="4.13"/>
  </r>
  <r>
    <x v="7"/>
    <x v="9"/>
    <x v="37"/>
    <x v="3"/>
    <x v="4"/>
    <x v="0"/>
    <n v="47.3"/>
    <n v="86.6"/>
    <n v="7.88"/>
    <n v="44.83"/>
  </r>
  <r>
    <x v="7"/>
    <x v="9"/>
    <x v="37"/>
    <x v="0"/>
    <x v="0"/>
    <x v="1"/>
    <n v="8.98"/>
    <n v="16.45"/>
    <n v="0.28000000000000003"/>
    <n v="8.3000000000000007"/>
  </r>
  <r>
    <x v="7"/>
    <x v="9"/>
    <x v="37"/>
    <x v="1"/>
    <x v="2"/>
    <x v="1"/>
    <n v="23.11"/>
    <n v="42.3"/>
    <n v="0.09"/>
    <n v="21.36"/>
  </r>
  <r>
    <x v="7"/>
    <x v="9"/>
    <x v="37"/>
    <x v="1"/>
    <x v="1"/>
    <x v="0"/>
    <n v="42.5"/>
    <n v="77.819999999999993"/>
    <n v="2.4"/>
    <n v="39.729999999999997"/>
  </r>
  <r>
    <x v="7"/>
    <x v="9"/>
    <x v="37"/>
    <x v="1"/>
    <x v="1"/>
    <x v="1"/>
    <n v="7.88"/>
    <n v="14.43"/>
    <n v="0.11"/>
    <n v="7.29"/>
  </r>
  <r>
    <x v="7"/>
    <x v="9"/>
    <x v="37"/>
    <x v="0"/>
    <x v="4"/>
    <x v="1"/>
    <n v="0.05"/>
    <n v="0.09"/>
    <n v="0"/>
    <n v="0.04"/>
  </r>
  <r>
    <x v="7"/>
    <x v="9"/>
    <x v="37"/>
    <x v="2"/>
    <x v="4"/>
    <x v="0"/>
    <n v="5.78"/>
    <n v="10.58"/>
    <n v="1.1200000000000001"/>
    <n v="5.47"/>
  </r>
  <r>
    <x v="7"/>
    <x v="9"/>
    <x v="37"/>
    <x v="2"/>
    <x v="0"/>
    <x v="0"/>
    <n v="4.68"/>
    <n v="8.56"/>
    <n v="2.93"/>
    <n v="4.46"/>
  </r>
  <r>
    <x v="7"/>
    <x v="9"/>
    <x v="37"/>
    <x v="1"/>
    <x v="2"/>
    <x v="0"/>
    <n v="3.29"/>
    <n v="6.02"/>
    <n v="0.08"/>
    <n v="3.08"/>
  </r>
  <r>
    <x v="7"/>
    <x v="9"/>
    <x v="37"/>
    <x v="4"/>
    <x v="4"/>
    <x v="0"/>
    <n v="115.47"/>
    <n v="211.39"/>
    <n v="12.22"/>
    <n v="107.86"/>
  </r>
  <r>
    <x v="7"/>
    <x v="7"/>
    <x v="38"/>
    <x v="1"/>
    <x v="2"/>
    <x v="0"/>
    <n v="2.2599999999999998"/>
    <n v="2.2599999999999998"/>
    <n v="0.03"/>
    <n v="2.17"/>
  </r>
  <r>
    <x v="7"/>
    <x v="7"/>
    <x v="38"/>
    <x v="4"/>
    <x v="4"/>
    <x v="0"/>
    <n v="14.21"/>
    <n v="14.21"/>
    <n v="1.97"/>
    <n v="13.53"/>
  </r>
  <r>
    <x v="7"/>
    <x v="7"/>
    <x v="38"/>
    <x v="4"/>
    <x v="1"/>
    <x v="2"/>
    <n v="0.11"/>
    <n v="0.12"/>
    <n v="0"/>
    <n v="0.1"/>
  </r>
  <r>
    <x v="7"/>
    <x v="7"/>
    <x v="38"/>
    <x v="4"/>
    <x v="2"/>
    <x v="2"/>
    <n v="0.15"/>
    <n v="0.15"/>
    <n v="0"/>
    <n v="0.13"/>
  </r>
  <r>
    <x v="7"/>
    <x v="7"/>
    <x v="38"/>
    <x v="1"/>
    <x v="4"/>
    <x v="2"/>
    <n v="7.0000000000000007E-2"/>
    <n v="7.0000000000000007E-2"/>
    <n v="0.01"/>
    <n v="0.06"/>
  </r>
  <r>
    <x v="7"/>
    <x v="7"/>
    <x v="38"/>
    <x v="2"/>
    <x v="3"/>
    <x v="2"/>
    <n v="0.74"/>
    <n v="0.74"/>
    <n v="0"/>
    <n v="0.67"/>
  </r>
  <r>
    <x v="7"/>
    <x v="7"/>
    <x v="38"/>
    <x v="2"/>
    <x v="3"/>
    <x v="3"/>
    <n v="1.71"/>
    <n v="1.71"/>
    <n v="0"/>
    <n v="1.71"/>
  </r>
  <r>
    <x v="7"/>
    <x v="7"/>
    <x v="38"/>
    <x v="0"/>
    <x v="0"/>
    <x v="1"/>
    <n v="1.04"/>
    <n v="1.04"/>
    <n v="0.03"/>
    <n v="0.96"/>
  </r>
  <r>
    <x v="7"/>
    <x v="7"/>
    <x v="38"/>
    <x v="1"/>
    <x v="0"/>
    <x v="1"/>
    <n v="0.48"/>
    <n v="0.48"/>
    <n v="0.02"/>
    <n v="0.45"/>
  </r>
  <r>
    <x v="7"/>
    <x v="7"/>
    <x v="38"/>
    <x v="1"/>
    <x v="1"/>
    <x v="1"/>
    <n v="1.1299999999999999"/>
    <n v="1.1299999999999999"/>
    <n v="0.02"/>
    <n v="1.05"/>
  </r>
  <r>
    <x v="7"/>
    <x v="7"/>
    <x v="38"/>
    <x v="1"/>
    <x v="2"/>
    <x v="1"/>
    <n v="3.18"/>
    <n v="3.19"/>
    <n v="0.01"/>
    <n v="2.95"/>
  </r>
  <r>
    <x v="7"/>
    <x v="7"/>
    <x v="38"/>
    <x v="3"/>
    <x v="0"/>
    <x v="0"/>
    <n v="0.12"/>
    <n v="0.12"/>
    <n v="0.03"/>
    <n v="0.11"/>
  </r>
  <r>
    <x v="7"/>
    <x v="7"/>
    <x v="38"/>
    <x v="2"/>
    <x v="4"/>
    <x v="0"/>
    <n v="0.75"/>
    <n v="0.75"/>
    <n v="0.22"/>
    <n v="0.71"/>
  </r>
  <r>
    <x v="7"/>
    <x v="7"/>
    <x v="38"/>
    <x v="3"/>
    <x v="4"/>
    <x v="0"/>
    <n v="4.8899999999999997"/>
    <n v="4.8899999999999997"/>
    <n v="0.68"/>
    <n v="4.57"/>
  </r>
  <r>
    <x v="7"/>
    <x v="7"/>
    <x v="38"/>
    <x v="2"/>
    <x v="3"/>
    <x v="0"/>
    <n v="7.0000000000000007E-2"/>
    <n v="7.0000000000000007E-2"/>
    <n v="0"/>
    <n v="7.0000000000000007E-2"/>
  </r>
  <r>
    <x v="7"/>
    <x v="7"/>
    <x v="38"/>
    <x v="4"/>
    <x v="1"/>
    <x v="0"/>
    <n v="2.1"/>
    <n v="2.1"/>
    <n v="0.13"/>
    <n v="1.95"/>
  </r>
  <r>
    <x v="7"/>
    <x v="7"/>
    <x v="38"/>
    <x v="4"/>
    <x v="2"/>
    <x v="0"/>
    <n v="0.32"/>
    <n v="0.32"/>
    <n v="0"/>
    <n v="0.28999999999999998"/>
  </r>
  <r>
    <x v="7"/>
    <x v="7"/>
    <x v="38"/>
    <x v="0"/>
    <x v="0"/>
    <x v="0"/>
    <n v="1.38"/>
    <n v="1.38"/>
    <n v="0.84"/>
    <n v="1.25"/>
  </r>
  <r>
    <x v="7"/>
    <x v="7"/>
    <x v="38"/>
    <x v="0"/>
    <x v="4"/>
    <x v="0"/>
    <n v="2.66"/>
    <n v="2.67"/>
    <n v="1.0900000000000001"/>
    <n v="2.52"/>
  </r>
  <r>
    <x v="7"/>
    <x v="7"/>
    <x v="38"/>
    <x v="0"/>
    <x v="2"/>
    <x v="0"/>
    <n v="0.16"/>
    <n v="0.16"/>
    <n v="0"/>
    <n v="0.15"/>
  </r>
  <r>
    <x v="7"/>
    <x v="7"/>
    <x v="38"/>
    <x v="1"/>
    <x v="0"/>
    <x v="0"/>
    <n v="1.47"/>
    <n v="1.47"/>
    <n v="0.93"/>
    <n v="1.38"/>
  </r>
  <r>
    <x v="7"/>
    <x v="7"/>
    <x v="38"/>
    <x v="1"/>
    <x v="4"/>
    <x v="0"/>
    <n v="39.28"/>
    <n v="39.29"/>
    <n v="8.01"/>
    <n v="37.36"/>
  </r>
  <r>
    <x v="7"/>
    <x v="7"/>
    <x v="38"/>
    <x v="1"/>
    <x v="1"/>
    <x v="0"/>
    <n v="8.43"/>
    <n v="8.43"/>
    <n v="0.4"/>
    <n v="7.87"/>
  </r>
  <r>
    <x v="7"/>
    <x v="7"/>
    <x v="38"/>
    <x v="4"/>
    <x v="4"/>
    <x v="2"/>
    <n v="0.18"/>
    <n v="0.18"/>
    <n v="0"/>
    <n v="0.16"/>
  </r>
  <r>
    <x v="7"/>
    <x v="7"/>
    <x v="38"/>
    <x v="2"/>
    <x v="0"/>
    <x v="0"/>
    <n v="1.32"/>
    <n v="1.32"/>
    <n v="0.77"/>
    <n v="1.24"/>
  </r>
  <r>
    <x v="7"/>
    <x v="1"/>
    <x v="39"/>
    <x v="2"/>
    <x v="3"/>
    <x v="3"/>
    <n v="8.68"/>
    <n v="9.58"/>
    <n v="0.01"/>
    <n v="8.14"/>
  </r>
  <r>
    <x v="7"/>
    <x v="1"/>
    <x v="39"/>
    <x v="2"/>
    <x v="4"/>
    <x v="1"/>
    <n v="0.42"/>
    <n v="0.46"/>
    <n v="0"/>
    <n v="0.42"/>
  </r>
  <r>
    <x v="7"/>
    <x v="1"/>
    <x v="39"/>
    <x v="2"/>
    <x v="4"/>
    <x v="0"/>
    <n v="1.38"/>
    <n v="1.52"/>
    <n v="0.44"/>
    <n v="1.3"/>
  </r>
  <r>
    <x v="7"/>
    <x v="1"/>
    <x v="39"/>
    <x v="2"/>
    <x v="0"/>
    <x v="0"/>
    <n v="1.63"/>
    <n v="1.8"/>
    <n v="1.89"/>
    <n v="1.47"/>
  </r>
  <r>
    <x v="7"/>
    <x v="1"/>
    <x v="39"/>
    <x v="1"/>
    <x v="2"/>
    <x v="0"/>
    <n v="41.22"/>
    <n v="45.49"/>
    <n v="0.43"/>
    <n v="34.799999999999997"/>
  </r>
  <r>
    <x v="7"/>
    <x v="1"/>
    <x v="39"/>
    <x v="1"/>
    <x v="1"/>
    <x v="0"/>
    <n v="44.94"/>
    <n v="49.59"/>
    <n v="2.38"/>
    <n v="38.82"/>
  </r>
  <r>
    <x v="7"/>
    <x v="1"/>
    <x v="39"/>
    <x v="1"/>
    <x v="4"/>
    <x v="0"/>
    <n v="203.95"/>
    <n v="225.05"/>
    <n v="30.96"/>
    <n v="182.55"/>
  </r>
  <r>
    <x v="7"/>
    <x v="1"/>
    <x v="39"/>
    <x v="1"/>
    <x v="0"/>
    <x v="0"/>
    <n v="2.56"/>
    <n v="2.83"/>
    <n v="1.72"/>
    <n v="2.4300000000000002"/>
  </r>
  <r>
    <x v="7"/>
    <x v="1"/>
    <x v="39"/>
    <x v="0"/>
    <x v="4"/>
    <x v="0"/>
    <n v="2.94"/>
    <n v="3.24"/>
    <n v="0.37"/>
    <n v="2.5299999999999998"/>
  </r>
  <r>
    <x v="7"/>
    <x v="1"/>
    <x v="39"/>
    <x v="0"/>
    <x v="0"/>
    <x v="0"/>
    <n v="0.64"/>
    <n v="0.7"/>
    <n v="0.37"/>
    <n v="0.55000000000000004"/>
  </r>
  <r>
    <x v="7"/>
    <x v="1"/>
    <x v="39"/>
    <x v="4"/>
    <x v="1"/>
    <x v="0"/>
    <n v="6.49"/>
    <n v="7.17"/>
    <n v="0.32"/>
    <n v="5.63"/>
  </r>
  <r>
    <x v="7"/>
    <x v="1"/>
    <x v="39"/>
    <x v="4"/>
    <x v="4"/>
    <x v="0"/>
    <n v="36.44"/>
    <n v="40.21"/>
    <n v="4.43"/>
    <n v="31.46"/>
  </r>
  <r>
    <x v="7"/>
    <x v="1"/>
    <x v="39"/>
    <x v="2"/>
    <x v="3"/>
    <x v="0"/>
    <n v="0.37"/>
    <n v="0.41"/>
    <n v="0"/>
    <n v="0.37"/>
  </r>
  <r>
    <x v="7"/>
    <x v="1"/>
    <x v="39"/>
    <x v="2"/>
    <x v="3"/>
    <x v="1"/>
    <n v="1.04"/>
    <n v="1.1399999999999999"/>
    <n v="0"/>
    <n v="1.04"/>
  </r>
  <r>
    <x v="7"/>
    <x v="1"/>
    <x v="39"/>
    <x v="4"/>
    <x v="0"/>
    <x v="1"/>
    <n v="0.22"/>
    <n v="0.24"/>
    <n v="0.02"/>
    <n v="0.18"/>
  </r>
  <r>
    <x v="7"/>
    <x v="1"/>
    <x v="39"/>
    <x v="1"/>
    <x v="3"/>
    <x v="1"/>
    <n v="0.62"/>
    <n v="0.68"/>
    <n v="0.01"/>
    <n v="0.51"/>
  </r>
  <r>
    <x v="7"/>
    <x v="1"/>
    <x v="39"/>
    <x v="1"/>
    <x v="2"/>
    <x v="1"/>
    <n v="7.82"/>
    <n v="8.6300000000000008"/>
    <n v="0.04"/>
    <n v="6.51"/>
  </r>
  <r>
    <x v="7"/>
    <x v="1"/>
    <x v="39"/>
    <x v="1"/>
    <x v="1"/>
    <x v="1"/>
    <n v="4.63"/>
    <n v="5.1100000000000003"/>
    <n v="0.04"/>
    <n v="3.84"/>
  </r>
  <r>
    <x v="7"/>
    <x v="1"/>
    <x v="39"/>
    <x v="1"/>
    <x v="4"/>
    <x v="1"/>
    <n v="0.22"/>
    <n v="0.24"/>
    <n v="0.01"/>
    <n v="0.18"/>
  </r>
  <r>
    <x v="7"/>
    <x v="1"/>
    <x v="39"/>
    <x v="1"/>
    <x v="0"/>
    <x v="1"/>
    <n v="1.47"/>
    <n v="1.63"/>
    <n v="7.0000000000000007E-2"/>
    <n v="1.22"/>
  </r>
  <r>
    <x v="7"/>
    <x v="1"/>
    <x v="39"/>
    <x v="0"/>
    <x v="0"/>
    <x v="1"/>
    <n v="2.48"/>
    <n v="2.74"/>
    <n v="0.06"/>
    <n v="2.0699999999999998"/>
  </r>
  <r>
    <x v="7"/>
    <x v="1"/>
    <x v="39"/>
    <x v="1"/>
    <x v="1"/>
    <x v="2"/>
    <n v="0.06"/>
    <n v="0.06"/>
    <n v="0"/>
    <n v="0.06"/>
  </r>
  <r>
    <x v="7"/>
    <x v="1"/>
    <x v="39"/>
    <x v="4"/>
    <x v="1"/>
    <x v="1"/>
    <n v="0.21"/>
    <n v="0.23"/>
    <n v="0.01"/>
    <n v="0.17"/>
  </r>
  <r>
    <x v="7"/>
    <x v="1"/>
    <x v="39"/>
    <x v="1"/>
    <x v="4"/>
    <x v="2"/>
    <n v="1.71"/>
    <n v="1.89"/>
    <n v="0.06"/>
    <n v="1.44"/>
  </r>
  <r>
    <x v="7"/>
    <x v="1"/>
    <x v="39"/>
    <x v="4"/>
    <x v="2"/>
    <x v="2"/>
    <n v="1.17"/>
    <n v="1.29"/>
    <n v="0.01"/>
    <n v="0.94"/>
  </r>
  <r>
    <x v="7"/>
    <x v="1"/>
    <x v="39"/>
    <x v="4"/>
    <x v="1"/>
    <x v="2"/>
    <n v="0.13"/>
    <n v="0.15"/>
    <n v="0"/>
    <n v="0.11"/>
  </r>
  <r>
    <x v="7"/>
    <x v="1"/>
    <x v="39"/>
    <x v="3"/>
    <x v="4"/>
    <x v="0"/>
    <n v="34.270000000000003"/>
    <n v="37.81"/>
    <n v="4.0199999999999996"/>
    <n v="29.87"/>
  </r>
  <r>
    <x v="7"/>
    <x v="10"/>
    <x v="40"/>
    <x v="4"/>
    <x v="4"/>
    <x v="0"/>
    <n v="25.63"/>
    <n v="35.36"/>
    <n v="3.38"/>
    <n v="24.34"/>
  </r>
  <r>
    <x v="7"/>
    <x v="10"/>
    <x v="40"/>
    <x v="2"/>
    <x v="0"/>
    <x v="0"/>
    <n v="1.22"/>
    <n v="1.68"/>
    <n v="1.07"/>
    <n v="1.1599999999999999"/>
  </r>
  <r>
    <x v="7"/>
    <x v="10"/>
    <x v="40"/>
    <x v="1"/>
    <x v="2"/>
    <x v="0"/>
    <n v="0.45"/>
    <n v="0.63"/>
    <n v="0.01"/>
    <n v="0.42"/>
  </r>
  <r>
    <x v="7"/>
    <x v="10"/>
    <x v="40"/>
    <x v="1"/>
    <x v="1"/>
    <x v="0"/>
    <n v="17.07"/>
    <n v="23.55"/>
    <n v="1.66"/>
    <n v="16.13"/>
  </r>
  <r>
    <x v="7"/>
    <x v="10"/>
    <x v="40"/>
    <x v="1"/>
    <x v="4"/>
    <x v="0"/>
    <n v="83.69"/>
    <n v="115.46"/>
    <n v="20.47"/>
    <n v="78.38"/>
  </r>
  <r>
    <x v="7"/>
    <x v="10"/>
    <x v="40"/>
    <x v="1"/>
    <x v="0"/>
    <x v="0"/>
    <n v="4.1399999999999997"/>
    <n v="5.71"/>
    <n v="2.9"/>
    <n v="3.88"/>
  </r>
  <r>
    <x v="7"/>
    <x v="10"/>
    <x v="40"/>
    <x v="0"/>
    <x v="2"/>
    <x v="0"/>
    <n v="0.48"/>
    <n v="0.66"/>
    <n v="0.01"/>
    <n v="0.46"/>
  </r>
  <r>
    <x v="7"/>
    <x v="10"/>
    <x v="40"/>
    <x v="0"/>
    <x v="4"/>
    <x v="0"/>
    <n v="7.04"/>
    <n v="9.7100000000000009"/>
    <n v="2.4300000000000002"/>
    <n v="6.5"/>
  </r>
  <r>
    <x v="7"/>
    <x v="10"/>
    <x v="40"/>
    <x v="4"/>
    <x v="1"/>
    <x v="0"/>
    <n v="2.54"/>
    <n v="3.5"/>
    <n v="0.13"/>
    <n v="2.35"/>
  </r>
  <r>
    <x v="7"/>
    <x v="10"/>
    <x v="40"/>
    <x v="2"/>
    <x v="4"/>
    <x v="0"/>
    <n v="1.25"/>
    <n v="1.73"/>
    <n v="0.37"/>
    <n v="1.19"/>
  </r>
  <r>
    <x v="7"/>
    <x v="10"/>
    <x v="40"/>
    <x v="3"/>
    <x v="4"/>
    <x v="0"/>
    <n v="4.3499999999999996"/>
    <n v="6"/>
    <n v="0.92"/>
    <n v="4.2"/>
  </r>
  <r>
    <x v="7"/>
    <x v="10"/>
    <x v="40"/>
    <x v="0"/>
    <x v="0"/>
    <x v="1"/>
    <n v="4.09"/>
    <n v="5.65"/>
    <n v="0.12"/>
    <n v="3.79"/>
  </r>
  <r>
    <x v="7"/>
    <x v="10"/>
    <x v="40"/>
    <x v="4"/>
    <x v="4"/>
    <x v="2"/>
    <n v="0.18"/>
    <n v="0.25"/>
    <n v="0.01"/>
    <n v="0.16"/>
  </r>
  <r>
    <x v="7"/>
    <x v="10"/>
    <x v="40"/>
    <x v="1"/>
    <x v="4"/>
    <x v="2"/>
    <n v="0.19"/>
    <n v="0.27"/>
    <n v="0"/>
    <n v="0.17"/>
  </r>
  <r>
    <x v="7"/>
    <x v="10"/>
    <x v="40"/>
    <x v="0"/>
    <x v="0"/>
    <x v="0"/>
    <n v="3.64"/>
    <n v="5.0199999999999996"/>
    <n v="1.55"/>
    <n v="3.25"/>
  </r>
  <r>
    <x v="7"/>
    <x v="10"/>
    <x v="40"/>
    <x v="2"/>
    <x v="3"/>
    <x v="3"/>
    <n v="11.99"/>
    <n v="16.54"/>
    <n v="0.01"/>
    <n v="11.99"/>
  </r>
  <r>
    <x v="7"/>
    <x v="10"/>
    <x v="40"/>
    <x v="3"/>
    <x v="0"/>
    <x v="0"/>
    <n v="7.0000000000000007E-2"/>
    <n v="0.09"/>
    <n v="0.02"/>
    <n v="0.06"/>
  </r>
  <r>
    <x v="7"/>
    <x v="10"/>
    <x v="40"/>
    <x v="0"/>
    <x v="4"/>
    <x v="1"/>
    <n v="0.12"/>
    <n v="0.17"/>
    <n v="0"/>
    <n v="0.12"/>
  </r>
  <r>
    <x v="7"/>
    <x v="10"/>
    <x v="40"/>
    <x v="1"/>
    <x v="0"/>
    <x v="1"/>
    <n v="1.79"/>
    <n v="2.46"/>
    <n v="0.09"/>
    <n v="1.65"/>
  </r>
  <r>
    <x v="7"/>
    <x v="10"/>
    <x v="40"/>
    <x v="1"/>
    <x v="1"/>
    <x v="1"/>
    <n v="4.82"/>
    <n v="6.65"/>
    <n v="0.06"/>
    <n v="4.45"/>
  </r>
  <r>
    <x v="7"/>
    <x v="10"/>
    <x v="40"/>
    <x v="1"/>
    <x v="2"/>
    <x v="1"/>
    <n v="13.06"/>
    <n v="18.02"/>
    <n v="0.05"/>
    <n v="12.07"/>
  </r>
  <r>
    <x v="7"/>
    <x v="10"/>
    <x v="40"/>
    <x v="2"/>
    <x v="3"/>
    <x v="2"/>
    <n v="5.45"/>
    <n v="7.51"/>
    <n v="0.01"/>
    <n v="5.16"/>
  </r>
  <r>
    <x v="7"/>
    <x v="1"/>
    <x v="41"/>
    <x v="4"/>
    <x v="1"/>
    <x v="1"/>
    <n v="0.49"/>
    <n v="0.5"/>
    <n v="0.02"/>
    <n v="0.4"/>
  </r>
  <r>
    <x v="7"/>
    <x v="1"/>
    <x v="41"/>
    <x v="1"/>
    <x v="0"/>
    <x v="0"/>
    <n v="13.05"/>
    <n v="13.47"/>
    <n v="7.79"/>
    <n v="11.7"/>
  </r>
  <r>
    <x v="7"/>
    <x v="1"/>
    <x v="41"/>
    <x v="1"/>
    <x v="2"/>
    <x v="0"/>
    <n v="9.4700000000000006"/>
    <n v="9.7799999999999994"/>
    <n v="7.0000000000000007E-2"/>
    <n v="8.24"/>
  </r>
  <r>
    <x v="7"/>
    <x v="1"/>
    <x v="41"/>
    <x v="1"/>
    <x v="1"/>
    <x v="0"/>
    <n v="37.76"/>
    <n v="38.97"/>
    <n v="1.88"/>
    <n v="34.28"/>
  </r>
  <r>
    <x v="7"/>
    <x v="1"/>
    <x v="41"/>
    <x v="1"/>
    <x v="4"/>
    <x v="0"/>
    <n v="537.98"/>
    <n v="555.27"/>
    <n v="102.38"/>
    <n v="494.23"/>
  </r>
  <r>
    <x v="7"/>
    <x v="1"/>
    <x v="41"/>
    <x v="1"/>
    <x v="2"/>
    <x v="1"/>
    <n v="57.63"/>
    <n v="59.48"/>
    <n v="0.35"/>
    <n v="48.02"/>
  </r>
  <r>
    <x v="7"/>
    <x v="1"/>
    <x v="41"/>
    <x v="4"/>
    <x v="0"/>
    <x v="1"/>
    <n v="0.45"/>
    <n v="0.46"/>
    <n v="0.04"/>
    <n v="0.37"/>
  </r>
  <r>
    <x v="7"/>
    <x v="1"/>
    <x v="41"/>
    <x v="2"/>
    <x v="3"/>
    <x v="3"/>
    <n v="2.16"/>
    <n v="2.23"/>
    <n v="0.01"/>
    <n v="2.16"/>
  </r>
  <r>
    <x v="7"/>
    <x v="1"/>
    <x v="41"/>
    <x v="1"/>
    <x v="1"/>
    <x v="2"/>
    <n v="6.13"/>
    <n v="6.32"/>
    <n v="0.1"/>
    <n v="5.33"/>
  </r>
  <r>
    <x v="7"/>
    <x v="1"/>
    <x v="41"/>
    <x v="1"/>
    <x v="4"/>
    <x v="2"/>
    <n v="5.79"/>
    <n v="5.98"/>
    <n v="0.24"/>
    <n v="5.03"/>
  </r>
  <r>
    <x v="7"/>
    <x v="1"/>
    <x v="41"/>
    <x v="4"/>
    <x v="2"/>
    <x v="2"/>
    <n v="48.02"/>
    <n v="49.56"/>
    <n v="0.45"/>
    <n v="41.76"/>
  </r>
  <r>
    <x v="7"/>
    <x v="1"/>
    <x v="41"/>
    <x v="4"/>
    <x v="1"/>
    <x v="2"/>
    <n v="4.6399999999999997"/>
    <n v="4.79"/>
    <n v="0.12"/>
    <n v="4.03"/>
  </r>
  <r>
    <x v="7"/>
    <x v="1"/>
    <x v="41"/>
    <x v="0"/>
    <x v="0"/>
    <x v="1"/>
    <n v="21.91"/>
    <n v="22.61"/>
    <n v="0.6"/>
    <n v="18.829999999999998"/>
  </r>
  <r>
    <x v="7"/>
    <x v="1"/>
    <x v="41"/>
    <x v="0"/>
    <x v="4"/>
    <x v="1"/>
    <n v="1.1200000000000001"/>
    <n v="1.1499999999999999"/>
    <n v="0.02"/>
    <n v="0.93"/>
  </r>
  <r>
    <x v="7"/>
    <x v="1"/>
    <x v="41"/>
    <x v="0"/>
    <x v="1"/>
    <x v="1"/>
    <n v="1.3"/>
    <n v="1.34"/>
    <n v="0.02"/>
    <n v="1.3"/>
  </r>
  <r>
    <x v="7"/>
    <x v="1"/>
    <x v="41"/>
    <x v="0"/>
    <x v="3"/>
    <x v="1"/>
    <n v="0.67"/>
    <n v="0.7"/>
    <n v="0.01"/>
    <n v="0.67"/>
  </r>
  <r>
    <x v="7"/>
    <x v="1"/>
    <x v="41"/>
    <x v="1"/>
    <x v="0"/>
    <x v="1"/>
    <n v="9.51"/>
    <n v="9.82"/>
    <n v="0.45"/>
    <n v="7.93"/>
  </r>
  <r>
    <x v="7"/>
    <x v="1"/>
    <x v="41"/>
    <x v="2"/>
    <x v="0"/>
    <x v="0"/>
    <n v="7.58"/>
    <n v="7.82"/>
    <n v="8.9600000000000009"/>
    <n v="7.33"/>
  </r>
  <r>
    <x v="7"/>
    <x v="1"/>
    <x v="41"/>
    <x v="1"/>
    <x v="1"/>
    <x v="1"/>
    <n v="34.19"/>
    <n v="35.29"/>
    <n v="0.37"/>
    <n v="28.49"/>
  </r>
  <r>
    <x v="7"/>
    <x v="1"/>
    <x v="41"/>
    <x v="1"/>
    <x v="4"/>
    <x v="1"/>
    <n v="1.04"/>
    <n v="1.07"/>
    <n v="0.03"/>
    <n v="0.87"/>
  </r>
  <r>
    <x v="7"/>
    <x v="1"/>
    <x v="41"/>
    <x v="4"/>
    <x v="4"/>
    <x v="0"/>
    <n v="73.930000000000007"/>
    <n v="76.3"/>
    <n v="7.82"/>
    <n v="66.23"/>
  </r>
  <r>
    <x v="7"/>
    <x v="1"/>
    <x v="41"/>
    <x v="0"/>
    <x v="2"/>
    <x v="0"/>
    <n v="1"/>
    <n v="1.03"/>
    <n v="0.01"/>
    <n v="1"/>
  </r>
  <r>
    <x v="7"/>
    <x v="1"/>
    <x v="41"/>
    <x v="0"/>
    <x v="4"/>
    <x v="0"/>
    <n v="12.12"/>
    <n v="12.51"/>
    <n v="2.86"/>
    <n v="10.98"/>
  </r>
  <r>
    <x v="7"/>
    <x v="1"/>
    <x v="41"/>
    <x v="0"/>
    <x v="0"/>
    <x v="0"/>
    <n v="1.83"/>
    <n v="1.89"/>
    <n v="1.06"/>
    <n v="1.61"/>
  </r>
  <r>
    <x v="7"/>
    <x v="1"/>
    <x v="41"/>
    <x v="4"/>
    <x v="3"/>
    <x v="0"/>
    <n v="14.31"/>
    <n v="14.77"/>
    <n v="0.05"/>
    <n v="12.53"/>
  </r>
  <r>
    <x v="7"/>
    <x v="1"/>
    <x v="41"/>
    <x v="2"/>
    <x v="4"/>
    <x v="0"/>
    <n v="4.12"/>
    <n v="4.25"/>
    <n v="1.4"/>
    <n v="3.98"/>
  </r>
  <r>
    <x v="7"/>
    <x v="1"/>
    <x v="41"/>
    <x v="4"/>
    <x v="1"/>
    <x v="0"/>
    <n v="26.03"/>
    <n v="26.87"/>
    <n v="1.07"/>
    <n v="22.67"/>
  </r>
  <r>
    <x v="7"/>
    <x v="1"/>
    <x v="41"/>
    <x v="1"/>
    <x v="3"/>
    <x v="1"/>
    <n v="0.32"/>
    <n v="0.33"/>
    <n v="0"/>
    <n v="0.27"/>
  </r>
  <r>
    <x v="7"/>
    <x v="1"/>
    <x v="41"/>
    <x v="3"/>
    <x v="4"/>
    <x v="0"/>
    <n v="62.77"/>
    <n v="64.790000000000006"/>
    <n v="8.02"/>
    <n v="56.16"/>
  </r>
  <r>
    <x v="7"/>
    <x v="1"/>
    <x v="41"/>
    <x v="3"/>
    <x v="0"/>
    <x v="0"/>
    <n v="0.16"/>
    <n v="0.16"/>
    <n v="0.03"/>
    <n v="0.14000000000000001"/>
  </r>
  <r>
    <x v="7"/>
    <x v="1"/>
    <x v="41"/>
    <x v="2"/>
    <x v="3"/>
    <x v="1"/>
    <n v="5.14"/>
    <n v="5.3"/>
    <n v="0.03"/>
    <n v="4.47"/>
  </r>
  <r>
    <x v="7"/>
    <x v="1"/>
    <x v="41"/>
    <x v="2"/>
    <x v="4"/>
    <x v="1"/>
    <n v="4.3099999999999996"/>
    <n v="4.45"/>
    <n v="0.01"/>
    <n v="4.3099999999999996"/>
  </r>
  <r>
    <x v="7"/>
    <x v="1"/>
    <x v="41"/>
    <x v="4"/>
    <x v="2"/>
    <x v="0"/>
    <n v="19.079999999999998"/>
    <n v="19.690000000000001"/>
    <n v="0.1"/>
    <n v="16.71"/>
  </r>
  <r>
    <x v="7"/>
    <x v="2"/>
    <x v="42"/>
    <x v="3"/>
    <x v="0"/>
    <x v="0"/>
    <n v="0.78"/>
    <n v="0.92"/>
    <n v="0.21"/>
    <n v="0.72"/>
  </r>
  <r>
    <x v="7"/>
    <x v="2"/>
    <x v="42"/>
    <x v="2"/>
    <x v="0"/>
    <x v="0"/>
    <n v="17.34"/>
    <n v="20.420000000000002"/>
    <n v="4.26"/>
    <n v="16.059999999999999"/>
  </r>
  <r>
    <x v="7"/>
    <x v="2"/>
    <x v="42"/>
    <x v="1"/>
    <x v="2"/>
    <x v="0"/>
    <n v="4.18"/>
    <n v="4.92"/>
    <n v="0.06"/>
    <n v="3.72"/>
  </r>
  <r>
    <x v="7"/>
    <x v="2"/>
    <x v="42"/>
    <x v="1"/>
    <x v="1"/>
    <x v="0"/>
    <n v="37.6"/>
    <n v="44.29"/>
    <n v="1.53"/>
    <n v="35.22"/>
  </r>
  <r>
    <x v="7"/>
    <x v="2"/>
    <x v="42"/>
    <x v="1"/>
    <x v="4"/>
    <x v="0"/>
    <n v="242.62"/>
    <n v="285.77"/>
    <n v="37.75"/>
    <n v="226.1"/>
  </r>
  <r>
    <x v="7"/>
    <x v="2"/>
    <x v="42"/>
    <x v="1"/>
    <x v="0"/>
    <x v="0"/>
    <n v="12.81"/>
    <n v="15.08"/>
    <n v="5.5"/>
    <n v="11.98"/>
  </r>
  <r>
    <x v="7"/>
    <x v="2"/>
    <x v="42"/>
    <x v="0"/>
    <x v="4"/>
    <x v="0"/>
    <n v="14.71"/>
    <n v="17.329999999999998"/>
    <n v="5.58"/>
    <n v="13.66"/>
  </r>
  <r>
    <x v="7"/>
    <x v="2"/>
    <x v="42"/>
    <x v="0"/>
    <x v="0"/>
    <x v="0"/>
    <n v="11.85"/>
    <n v="13.96"/>
    <n v="7.37"/>
    <n v="10.79"/>
  </r>
  <r>
    <x v="7"/>
    <x v="2"/>
    <x v="42"/>
    <x v="4"/>
    <x v="1"/>
    <x v="0"/>
    <n v="6.24"/>
    <n v="7.35"/>
    <n v="0.28000000000000003"/>
    <n v="5.73"/>
  </r>
  <r>
    <x v="7"/>
    <x v="2"/>
    <x v="42"/>
    <x v="4"/>
    <x v="4"/>
    <x v="2"/>
    <n v="0.32"/>
    <n v="0.38"/>
    <n v="0.02"/>
    <n v="0.3"/>
  </r>
  <r>
    <x v="7"/>
    <x v="2"/>
    <x v="42"/>
    <x v="3"/>
    <x v="4"/>
    <x v="0"/>
    <n v="18.420000000000002"/>
    <n v="21.7"/>
    <n v="2.2999999999999998"/>
    <n v="17.36"/>
  </r>
  <r>
    <x v="7"/>
    <x v="2"/>
    <x v="42"/>
    <x v="2"/>
    <x v="3"/>
    <x v="0"/>
    <n v="0.67"/>
    <n v="0.79"/>
    <n v="0"/>
    <n v="0.67"/>
  </r>
  <r>
    <x v="7"/>
    <x v="2"/>
    <x v="42"/>
    <x v="1"/>
    <x v="2"/>
    <x v="1"/>
    <n v="11.17"/>
    <n v="13.16"/>
    <n v="0.04"/>
    <n v="10.16"/>
  </r>
  <r>
    <x v="7"/>
    <x v="2"/>
    <x v="42"/>
    <x v="1"/>
    <x v="1"/>
    <x v="1"/>
    <n v="4.4400000000000004"/>
    <n v="5.22"/>
    <n v="7.0000000000000007E-2"/>
    <n v="4.0199999999999996"/>
  </r>
  <r>
    <x v="7"/>
    <x v="2"/>
    <x v="42"/>
    <x v="1"/>
    <x v="0"/>
    <x v="1"/>
    <n v="2.0099999999999998"/>
    <n v="2.36"/>
    <n v="0.09"/>
    <n v="1.81"/>
  </r>
  <r>
    <x v="7"/>
    <x v="2"/>
    <x v="42"/>
    <x v="0"/>
    <x v="0"/>
    <x v="1"/>
    <n v="4.12"/>
    <n v="4.8499999999999996"/>
    <n v="0.12"/>
    <n v="3.71"/>
  </r>
  <r>
    <x v="7"/>
    <x v="2"/>
    <x v="42"/>
    <x v="2"/>
    <x v="3"/>
    <x v="3"/>
    <n v="40.42"/>
    <n v="47.61"/>
    <n v="0.02"/>
    <n v="40.42"/>
  </r>
  <r>
    <x v="7"/>
    <x v="2"/>
    <x v="42"/>
    <x v="2"/>
    <x v="1"/>
    <x v="3"/>
    <n v="0.28000000000000003"/>
    <n v="0.33"/>
    <n v="0"/>
    <n v="0.27"/>
  </r>
  <r>
    <x v="7"/>
    <x v="2"/>
    <x v="42"/>
    <x v="2"/>
    <x v="3"/>
    <x v="2"/>
    <n v="4.71"/>
    <n v="5.55"/>
    <n v="0.01"/>
    <n v="4.12"/>
  </r>
  <r>
    <x v="7"/>
    <x v="2"/>
    <x v="42"/>
    <x v="1"/>
    <x v="4"/>
    <x v="2"/>
    <n v="0.16"/>
    <n v="0.18"/>
    <n v="0.02"/>
    <n v="0.14000000000000001"/>
  </r>
  <r>
    <x v="7"/>
    <x v="2"/>
    <x v="42"/>
    <x v="4"/>
    <x v="2"/>
    <x v="2"/>
    <n v="0.46"/>
    <n v="0.54"/>
    <n v="0"/>
    <n v="0.4"/>
  </r>
  <r>
    <x v="7"/>
    <x v="2"/>
    <x v="42"/>
    <x v="4"/>
    <x v="1"/>
    <x v="2"/>
    <n v="0.24"/>
    <n v="0.28999999999999998"/>
    <n v="0.01"/>
    <n v="0.21"/>
  </r>
  <r>
    <x v="7"/>
    <x v="2"/>
    <x v="42"/>
    <x v="4"/>
    <x v="4"/>
    <x v="0"/>
    <n v="62.97"/>
    <n v="74.17"/>
    <n v="6.75"/>
    <n v="58.28"/>
  </r>
  <r>
    <x v="7"/>
    <x v="2"/>
    <x v="42"/>
    <x v="2"/>
    <x v="4"/>
    <x v="0"/>
    <n v="2.68"/>
    <n v="3.16"/>
    <n v="0.57999999999999996"/>
    <n v="2.54"/>
  </r>
  <r>
    <x v="7"/>
    <x v="2"/>
    <x v="43"/>
    <x v="3"/>
    <x v="0"/>
    <x v="0"/>
    <n v="7.0000000000000007E-2"/>
    <n v="0.09"/>
    <n v="0.02"/>
    <n v="0.06"/>
  </r>
  <r>
    <x v="7"/>
    <x v="2"/>
    <x v="43"/>
    <x v="2"/>
    <x v="4"/>
    <x v="0"/>
    <n v="2.4"/>
    <n v="3.15"/>
    <n v="0.47"/>
    <n v="2.2999999999999998"/>
  </r>
  <r>
    <x v="7"/>
    <x v="2"/>
    <x v="43"/>
    <x v="2"/>
    <x v="0"/>
    <x v="0"/>
    <n v="3.54"/>
    <n v="4.6500000000000004"/>
    <n v="1.72"/>
    <n v="3.34"/>
  </r>
  <r>
    <x v="7"/>
    <x v="2"/>
    <x v="43"/>
    <x v="1"/>
    <x v="2"/>
    <x v="0"/>
    <n v="0.35"/>
    <n v="0.46"/>
    <n v="0.01"/>
    <n v="0.31"/>
  </r>
  <r>
    <x v="7"/>
    <x v="2"/>
    <x v="43"/>
    <x v="1"/>
    <x v="1"/>
    <x v="0"/>
    <n v="18.03"/>
    <n v="23.66"/>
    <n v="0.94"/>
    <n v="16.850000000000001"/>
  </r>
  <r>
    <x v="7"/>
    <x v="2"/>
    <x v="43"/>
    <x v="1"/>
    <x v="4"/>
    <x v="0"/>
    <n v="135.94"/>
    <n v="178.38"/>
    <n v="23.28"/>
    <n v="126.26"/>
  </r>
  <r>
    <x v="7"/>
    <x v="2"/>
    <x v="43"/>
    <x v="1"/>
    <x v="0"/>
    <x v="0"/>
    <n v="7.05"/>
    <n v="9.25"/>
    <n v="3.65"/>
    <n v="6.71"/>
  </r>
  <r>
    <x v="7"/>
    <x v="2"/>
    <x v="43"/>
    <x v="0"/>
    <x v="4"/>
    <x v="0"/>
    <n v="12.08"/>
    <n v="15.85"/>
    <n v="4.1399999999999997"/>
    <n v="11.39"/>
  </r>
  <r>
    <x v="7"/>
    <x v="2"/>
    <x v="43"/>
    <x v="0"/>
    <x v="0"/>
    <x v="0"/>
    <n v="4"/>
    <n v="5.26"/>
    <n v="2.39"/>
    <n v="3.63"/>
  </r>
  <r>
    <x v="7"/>
    <x v="2"/>
    <x v="43"/>
    <x v="4"/>
    <x v="1"/>
    <x v="0"/>
    <n v="8"/>
    <n v="10.5"/>
    <n v="0.34"/>
    <n v="7.34"/>
  </r>
  <r>
    <x v="7"/>
    <x v="2"/>
    <x v="43"/>
    <x v="4"/>
    <x v="4"/>
    <x v="2"/>
    <n v="0.51"/>
    <n v="0.67"/>
    <n v="0.01"/>
    <n v="0.44"/>
  </r>
  <r>
    <x v="7"/>
    <x v="2"/>
    <x v="43"/>
    <x v="3"/>
    <x v="4"/>
    <x v="0"/>
    <n v="13.31"/>
    <n v="17.46"/>
    <n v="1.86"/>
    <n v="12.89"/>
  </r>
  <r>
    <x v="7"/>
    <x v="2"/>
    <x v="43"/>
    <x v="1"/>
    <x v="2"/>
    <x v="1"/>
    <n v="6.44"/>
    <n v="8.44"/>
    <n v="0.03"/>
    <n v="5.86"/>
  </r>
  <r>
    <x v="7"/>
    <x v="2"/>
    <x v="43"/>
    <x v="1"/>
    <x v="1"/>
    <x v="1"/>
    <n v="2.2599999999999998"/>
    <n v="2.97"/>
    <n v="0.03"/>
    <n v="2.0499999999999998"/>
  </r>
  <r>
    <x v="7"/>
    <x v="2"/>
    <x v="43"/>
    <x v="1"/>
    <x v="0"/>
    <x v="1"/>
    <n v="1.05"/>
    <n v="1.38"/>
    <n v="0.05"/>
    <n v="0.96"/>
  </r>
  <r>
    <x v="7"/>
    <x v="2"/>
    <x v="43"/>
    <x v="4"/>
    <x v="0"/>
    <x v="1"/>
    <n v="0.03"/>
    <n v="0.04"/>
    <n v="0.02"/>
    <n v="0.02"/>
  </r>
  <r>
    <x v="7"/>
    <x v="2"/>
    <x v="43"/>
    <x v="2"/>
    <x v="3"/>
    <x v="2"/>
    <n v="3.03"/>
    <n v="3.97"/>
    <n v="0.01"/>
    <n v="3.03"/>
  </r>
  <r>
    <x v="7"/>
    <x v="2"/>
    <x v="43"/>
    <x v="1"/>
    <x v="4"/>
    <x v="2"/>
    <n v="1.94"/>
    <n v="2.5499999999999998"/>
    <n v="0.01"/>
    <n v="1.69"/>
  </r>
  <r>
    <x v="7"/>
    <x v="2"/>
    <x v="43"/>
    <x v="4"/>
    <x v="2"/>
    <x v="2"/>
    <n v="1.1299999999999999"/>
    <n v="1.48"/>
    <n v="0"/>
    <n v="0.98"/>
  </r>
  <r>
    <x v="7"/>
    <x v="2"/>
    <x v="43"/>
    <x v="4"/>
    <x v="1"/>
    <x v="2"/>
    <n v="0.33"/>
    <n v="0.44"/>
    <n v="0"/>
    <n v="0.28999999999999998"/>
  </r>
  <r>
    <x v="7"/>
    <x v="2"/>
    <x v="43"/>
    <x v="2"/>
    <x v="3"/>
    <x v="3"/>
    <n v="17.77"/>
    <n v="23.32"/>
    <n v="0.01"/>
    <n v="17.77"/>
  </r>
  <r>
    <x v="7"/>
    <x v="2"/>
    <x v="43"/>
    <x v="4"/>
    <x v="4"/>
    <x v="0"/>
    <n v="74.64"/>
    <n v="97.94"/>
    <n v="8.27"/>
    <n v="68.95"/>
  </r>
  <r>
    <x v="7"/>
    <x v="2"/>
    <x v="43"/>
    <x v="0"/>
    <x v="0"/>
    <x v="1"/>
    <n v="2.14"/>
    <n v="2.81"/>
    <n v="7.0000000000000007E-2"/>
    <n v="1.93"/>
  </r>
  <r>
    <x v="7"/>
    <x v="2"/>
    <x v="44"/>
    <x v="4"/>
    <x v="1"/>
    <x v="0"/>
    <n v="12"/>
    <n v="12.75"/>
    <n v="0.54"/>
    <n v="11.05"/>
  </r>
  <r>
    <x v="7"/>
    <x v="2"/>
    <x v="44"/>
    <x v="4"/>
    <x v="2"/>
    <x v="2"/>
    <n v="0.24"/>
    <n v="0.26"/>
    <n v="0"/>
    <n v="0.21"/>
  </r>
  <r>
    <x v="7"/>
    <x v="2"/>
    <x v="44"/>
    <x v="1"/>
    <x v="4"/>
    <x v="2"/>
    <n v="0.64"/>
    <n v="0.67"/>
    <n v="0.02"/>
    <n v="0.55000000000000004"/>
  </r>
  <r>
    <x v="7"/>
    <x v="2"/>
    <x v="44"/>
    <x v="2"/>
    <x v="3"/>
    <x v="2"/>
    <n v="3.52"/>
    <n v="3.74"/>
    <n v="0"/>
    <n v="3.01"/>
  </r>
  <r>
    <x v="7"/>
    <x v="2"/>
    <x v="44"/>
    <x v="2"/>
    <x v="3"/>
    <x v="3"/>
    <n v="39.33"/>
    <n v="41.78"/>
    <n v="0.02"/>
    <n v="39.270000000000003"/>
  </r>
  <r>
    <x v="7"/>
    <x v="2"/>
    <x v="44"/>
    <x v="1"/>
    <x v="0"/>
    <x v="1"/>
    <n v="2.16"/>
    <n v="2.29"/>
    <n v="0.1"/>
    <n v="1.95"/>
  </r>
  <r>
    <x v="7"/>
    <x v="2"/>
    <x v="44"/>
    <x v="1"/>
    <x v="2"/>
    <x v="1"/>
    <n v="13.36"/>
    <n v="14.19"/>
    <n v="0.06"/>
    <n v="12.19"/>
  </r>
  <r>
    <x v="7"/>
    <x v="2"/>
    <x v="44"/>
    <x v="3"/>
    <x v="0"/>
    <x v="0"/>
    <n v="0.25"/>
    <n v="0.26"/>
    <n v="0.05"/>
    <n v="0.23"/>
  </r>
  <r>
    <x v="7"/>
    <x v="2"/>
    <x v="44"/>
    <x v="4"/>
    <x v="4"/>
    <x v="2"/>
    <n v="0.77"/>
    <n v="0.82"/>
    <n v="0.01"/>
    <n v="0.67"/>
  </r>
  <r>
    <x v="7"/>
    <x v="2"/>
    <x v="44"/>
    <x v="4"/>
    <x v="4"/>
    <x v="0"/>
    <n v="78.17"/>
    <n v="83.05"/>
    <n v="6.52"/>
    <n v="71.84"/>
  </r>
  <r>
    <x v="7"/>
    <x v="2"/>
    <x v="44"/>
    <x v="0"/>
    <x v="0"/>
    <x v="1"/>
    <n v="4.54"/>
    <n v="4.82"/>
    <n v="0.14000000000000001"/>
    <n v="4.09"/>
  </r>
  <r>
    <x v="7"/>
    <x v="2"/>
    <x v="44"/>
    <x v="0"/>
    <x v="0"/>
    <x v="0"/>
    <n v="7.18"/>
    <n v="7.63"/>
    <n v="3.37"/>
    <n v="6.54"/>
  </r>
  <r>
    <x v="7"/>
    <x v="2"/>
    <x v="44"/>
    <x v="0"/>
    <x v="4"/>
    <x v="0"/>
    <n v="10.11"/>
    <n v="10.75"/>
    <n v="3.54"/>
    <n v="9.36"/>
  </r>
  <r>
    <x v="7"/>
    <x v="2"/>
    <x v="44"/>
    <x v="1"/>
    <x v="0"/>
    <x v="0"/>
    <n v="8.59"/>
    <n v="9.1300000000000008"/>
    <n v="3.2"/>
    <n v="7.99"/>
  </r>
  <r>
    <x v="7"/>
    <x v="2"/>
    <x v="44"/>
    <x v="1"/>
    <x v="4"/>
    <x v="0"/>
    <n v="167.86"/>
    <n v="178.33"/>
    <n v="25.4"/>
    <n v="154.94"/>
  </r>
  <r>
    <x v="7"/>
    <x v="2"/>
    <x v="44"/>
    <x v="1"/>
    <x v="1"/>
    <x v="0"/>
    <n v="26.88"/>
    <n v="28.56"/>
    <n v="1.1299999999999999"/>
    <n v="24.99"/>
  </r>
  <r>
    <x v="7"/>
    <x v="2"/>
    <x v="44"/>
    <x v="1"/>
    <x v="2"/>
    <x v="0"/>
    <n v="0.97"/>
    <n v="1.03"/>
    <n v="0.05"/>
    <n v="0.9"/>
  </r>
  <r>
    <x v="7"/>
    <x v="2"/>
    <x v="44"/>
    <x v="2"/>
    <x v="0"/>
    <x v="0"/>
    <n v="1.88"/>
    <n v="2"/>
    <n v="1.22"/>
    <n v="1.76"/>
  </r>
  <r>
    <x v="7"/>
    <x v="2"/>
    <x v="44"/>
    <x v="2"/>
    <x v="4"/>
    <x v="0"/>
    <n v="1.59"/>
    <n v="1.69"/>
    <n v="0.34"/>
    <n v="1.51"/>
  </r>
  <r>
    <x v="7"/>
    <x v="2"/>
    <x v="44"/>
    <x v="3"/>
    <x v="4"/>
    <x v="0"/>
    <n v="10.87"/>
    <n v="11.55"/>
    <n v="1.39"/>
    <n v="10.37"/>
  </r>
  <r>
    <x v="7"/>
    <x v="2"/>
    <x v="44"/>
    <x v="1"/>
    <x v="1"/>
    <x v="1"/>
    <n v="4.66"/>
    <n v="4.95"/>
    <n v="0.06"/>
    <n v="4.21"/>
  </r>
  <r>
    <x v="7"/>
    <x v="4"/>
    <x v="45"/>
    <x v="0"/>
    <x v="0"/>
    <x v="1"/>
    <n v="3.29"/>
    <n v="3.37"/>
    <n v="0.1"/>
    <n v="2.79"/>
  </r>
  <r>
    <x v="7"/>
    <x v="4"/>
    <x v="45"/>
    <x v="1"/>
    <x v="4"/>
    <x v="0"/>
    <n v="189.83"/>
    <n v="194.53"/>
    <n v="32.51"/>
    <n v="169.3"/>
  </r>
  <r>
    <x v="7"/>
    <x v="4"/>
    <x v="45"/>
    <x v="4"/>
    <x v="1"/>
    <x v="1"/>
    <n v="0.17"/>
    <n v="0.17"/>
    <n v="0.01"/>
    <n v="0.14000000000000001"/>
  </r>
  <r>
    <x v="7"/>
    <x v="4"/>
    <x v="45"/>
    <x v="4"/>
    <x v="0"/>
    <x v="1"/>
    <n v="0.35"/>
    <n v="0.36"/>
    <n v="0.04"/>
    <n v="0.28999999999999998"/>
  </r>
  <r>
    <x v="7"/>
    <x v="4"/>
    <x v="45"/>
    <x v="2"/>
    <x v="3"/>
    <x v="3"/>
    <n v="15.47"/>
    <n v="15.85"/>
    <n v="0.01"/>
    <n v="15.47"/>
  </r>
  <r>
    <x v="7"/>
    <x v="4"/>
    <x v="45"/>
    <x v="1"/>
    <x v="1"/>
    <x v="2"/>
    <n v="0.41"/>
    <n v="0.42"/>
    <n v="0.01"/>
    <n v="0.34"/>
  </r>
  <r>
    <x v="7"/>
    <x v="4"/>
    <x v="45"/>
    <x v="1"/>
    <x v="4"/>
    <x v="2"/>
    <n v="0.63"/>
    <n v="0.65"/>
    <n v="0.02"/>
    <n v="0.53"/>
  </r>
  <r>
    <x v="7"/>
    <x v="4"/>
    <x v="45"/>
    <x v="4"/>
    <x v="2"/>
    <x v="2"/>
    <n v="1.36"/>
    <n v="1.4"/>
    <n v="0.01"/>
    <n v="1.1399999999999999"/>
  </r>
  <r>
    <x v="7"/>
    <x v="4"/>
    <x v="45"/>
    <x v="2"/>
    <x v="4"/>
    <x v="0"/>
    <n v="10.86"/>
    <n v="11.13"/>
    <n v="4.32"/>
    <n v="10.08"/>
  </r>
  <r>
    <x v="7"/>
    <x v="4"/>
    <x v="45"/>
    <x v="2"/>
    <x v="0"/>
    <x v="0"/>
    <n v="13.79"/>
    <n v="14.13"/>
    <n v="9.4"/>
    <n v="12.18"/>
  </r>
  <r>
    <x v="7"/>
    <x v="4"/>
    <x v="45"/>
    <x v="1"/>
    <x v="2"/>
    <x v="0"/>
    <n v="1.57"/>
    <n v="1.61"/>
    <n v="0.01"/>
    <n v="1.33"/>
  </r>
  <r>
    <x v="7"/>
    <x v="4"/>
    <x v="45"/>
    <x v="1"/>
    <x v="1"/>
    <x v="0"/>
    <n v="11.88"/>
    <n v="12.17"/>
    <n v="0.74"/>
    <n v="10.43"/>
  </r>
  <r>
    <x v="7"/>
    <x v="4"/>
    <x v="45"/>
    <x v="1"/>
    <x v="0"/>
    <x v="1"/>
    <n v="1.85"/>
    <n v="1.89"/>
    <n v="0.09"/>
    <n v="1.54"/>
  </r>
  <r>
    <x v="7"/>
    <x v="4"/>
    <x v="45"/>
    <x v="4"/>
    <x v="1"/>
    <x v="2"/>
    <n v="0.28999999999999998"/>
    <n v="0.3"/>
    <n v="0.01"/>
    <n v="0.24"/>
  </r>
  <r>
    <x v="7"/>
    <x v="4"/>
    <x v="45"/>
    <x v="1"/>
    <x v="1"/>
    <x v="1"/>
    <n v="6.74"/>
    <n v="6.91"/>
    <n v="7.0000000000000007E-2"/>
    <n v="5.62"/>
  </r>
  <r>
    <x v="7"/>
    <x v="4"/>
    <x v="45"/>
    <x v="1"/>
    <x v="4"/>
    <x v="1"/>
    <n v="0.73"/>
    <n v="0.75"/>
    <n v="0.01"/>
    <n v="0.65"/>
  </r>
  <r>
    <x v="7"/>
    <x v="4"/>
    <x v="45"/>
    <x v="4"/>
    <x v="4"/>
    <x v="0"/>
    <n v="17.87"/>
    <n v="18.309999999999999"/>
    <n v="2.11"/>
    <n v="15.62"/>
  </r>
  <r>
    <x v="7"/>
    <x v="4"/>
    <x v="45"/>
    <x v="3"/>
    <x v="0"/>
    <x v="0"/>
    <n v="0.6"/>
    <n v="0.62"/>
    <n v="0.47"/>
    <n v="0.6"/>
  </r>
  <r>
    <x v="7"/>
    <x v="4"/>
    <x v="45"/>
    <x v="2"/>
    <x v="4"/>
    <x v="1"/>
    <n v="0.24"/>
    <n v="0.25"/>
    <n v="0"/>
    <n v="0.2"/>
  </r>
  <r>
    <x v="7"/>
    <x v="4"/>
    <x v="45"/>
    <x v="1"/>
    <x v="3"/>
    <x v="1"/>
    <n v="0.28999999999999998"/>
    <n v="0.28999999999999998"/>
    <n v="0"/>
    <n v="0.24"/>
  </r>
  <r>
    <x v="7"/>
    <x v="4"/>
    <x v="45"/>
    <x v="3"/>
    <x v="4"/>
    <x v="0"/>
    <n v="5.75"/>
    <n v="5.89"/>
    <n v="2.89"/>
    <n v="5.61"/>
  </r>
  <r>
    <x v="7"/>
    <x v="4"/>
    <x v="45"/>
    <x v="4"/>
    <x v="1"/>
    <x v="0"/>
    <n v="20.350000000000001"/>
    <n v="20.85"/>
    <n v="0.69"/>
    <n v="17.46"/>
  </r>
  <r>
    <x v="7"/>
    <x v="4"/>
    <x v="45"/>
    <x v="0"/>
    <x v="0"/>
    <x v="0"/>
    <n v="1.22"/>
    <n v="1.25"/>
    <n v="0.88"/>
    <n v="1.05"/>
  </r>
  <r>
    <x v="7"/>
    <x v="4"/>
    <x v="45"/>
    <x v="0"/>
    <x v="4"/>
    <x v="0"/>
    <n v="7.35"/>
    <n v="7.53"/>
    <n v="2.17"/>
    <n v="6.48"/>
  </r>
  <r>
    <x v="7"/>
    <x v="4"/>
    <x v="45"/>
    <x v="0"/>
    <x v="2"/>
    <x v="0"/>
    <n v="0.4"/>
    <n v="0.41"/>
    <n v="0.01"/>
    <n v="0.4"/>
  </r>
  <r>
    <x v="7"/>
    <x v="4"/>
    <x v="45"/>
    <x v="1"/>
    <x v="0"/>
    <x v="0"/>
    <n v="7.51"/>
    <n v="7.7"/>
    <n v="4.97"/>
    <n v="6.79"/>
  </r>
  <r>
    <x v="7"/>
    <x v="4"/>
    <x v="45"/>
    <x v="1"/>
    <x v="2"/>
    <x v="1"/>
    <n v="9.51"/>
    <n v="9.74"/>
    <n v="7.0000000000000007E-2"/>
    <n v="7.92"/>
  </r>
  <r>
    <x v="7"/>
    <x v="6"/>
    <x v="46"/>
    <x v="4"/>
    <x v="1"/>
    <x v="1"/>
    <n v="0.08"/>
    <n v="0.09"/>
    <n v="0"/>
    <n v="7.0000000000000007E-2"/>
  </r>
  <r>
    <x v="7"/>
    <x v="6"/>
    <x v="46"/>
    <x v="0"/>
    <x v="0"/>
    <x v="1"/>
    <n v="3.88"/>
    <n v="4.29"/>
    <n v="0.1"/>
    <n v="3.29"/>
  </r>
  <r>
    <x v="7"/>
    <x v="6"/>
    <x v="46"/>
    <x v="4"/>
    <x v="0"/>
    <x v="1"/>
    <n v="0.28000000000000003"/>
    <n v="0.31"/>
    <n v="0.03"/>
    <n v="0.24"/>
  </r>
  <r>
    <x v="7"/>
    <x v="6"/>
    <x v="46"/>
    <x v="2"/>
    <x v="3"/>
    <x v="3"/>
    <n v="8.07"/>
    <n v="8.91"/>
    <n v="0"/>
    <n v="7.99"/>
  </r>
  <r>
    <x v="7"/>
    <x v="6"/>
    <x v="46"/>
    <x v="1"/>
    <x v="1"/>
    <x v="2"/>
    <n v="0.06"/>
    <n v="7.0000000000000007E-2"/>
    <n v="0"/>
    <n v="0.05"/>
  </r>
  <r>
    <x v="7"/>
    <x v="6"/>
    <x v="46"/>
    <x v="4"/>
    <x v="2"/>
    <x v="2"/>
    <n v="1.01"/>
    <n v="1.1100000000000001"/>
    <n v="0.01"/>
    <n v="0.84"/>
  </r>
  <r>
    <x v="7"/>
    <x v="6"/>
    <x v="46"/>
    <x v="1"/>
    <x v="0"/>
    <x v="1"/>
    <n v="6.38"/>
    <n v="7.05"/>
    <n v="0.27"/>
    <n v="5.41"/>
  </r>
  <r>
    <x v="7"/>
    <x v="6"/>
    <x v="46"/>
    <x v="0"/>
    <x v="4"/>
    <x v="0"/>
    <n v="7.46"/>
    <n v="8.24"/>
    <n v="2.06"/>
    <n v="6.55"/>
  </r>
  <r>
    <x v="7"/>
    <x v="6"/>
    <x v="46"/>
    <x v="1"/>
    <x v="4"/>
    <x v="2"/>
    <n v="0.63"/>
    <n v="0.7"/>
    <n v="0.03"/>
    <n v="0.52"/>
  </r>
  <r>
    <x v="7"/>
    <x v="6"/>
    <x v="46"/>
    <x v="4"/>
    <x v="4"/>
    <x v="0"/>
    <n v="18.920000000000002"/>
    <n v="20.9"/>
    <n v="3.01"/>
    <n v="16.41"/>
  </r>
  <r>
    <x v="7"/>
    <x v="6"/>
    <x v="46"/>
    <x v="2"/>
    <x v="3"/>
    <x v="0"/>
    <n v="0.18"/>
    <n v="0.2"/>
    <n v="0"/>
    <n v="0.18"/>
  </r>
  <r>
    <x v="7"/>
    <x v="6"/>
    <x v="46"/>
    <x v="2"/>
    <x v="4"/>
    <x v="0"/>
    <n v="2.0699999999999998"/>
    <n v="2.29"/>
    <n v="0.81"/>
    <n v="1.97"/>
  </r>
  <r>
    <x v="7"/>
    <x v="6"/>
    <x v="46"/>
    <x v="2"/>
    <x v="0"/>
    <x v="0"/>
    <n v="2.59"/>
    <n v="2.86"/>
    <n v="2.31"/>
    <n v="2.3199999999999998"/>
  </r>
  <r>
    <x v="7"/>
    <x v="6"/>
    <x v="46"/>
    <x v="1"/>
    <x v="2"/>
    <x v="0"/>
    <n v="1.72"/>
    <n v="1.9"/>
    <n v="0.01"/>
    <n v="1.44"/>
  </r>
  <r>
    <x v="7"/>
    <x v="6"/>
    <x v="46"/>
    <x v="1"/>
    <x v="1"/>
    <x v="0"/>
    <n v="11.78"/>
    <n v="13.02"/>
    <n v="0.62"/>
    <n v="10.130000000000001"/>
  </r>
  <r>
    <x v="7"/>
    <x v="6"/>
    <x v="46"/>
    <x v="1"/>
    <x v="4"/>
    <x v="0"/>
    <n v="111.91"/>
    <n v="123.61"/>
    <n v="20.190000000000001"/>
    <n v="101.29"/>
  </r>
  <r>
    <x v="7"/>
    <x v="6"/>
    <x v="46"/>
    <x v="1"/>
    <x v="0"/>
    <x v="0"/>
    <n v="5.81"/>
    <n v="6.42"/>
    <n v="3.31"/>
    <n v="5.0599999999999996"/>
  </r>
  <r>
    <x v="7"/>
    <x v="6"/>
    <x v="46"/>
    <x v="4"/>
    <x v="1"/>
    <x v="0"/>
    <n v="1.95"/>
    <n v="2.15"/>
    <n v="0.11"/>
    <n v="1.65"/>
  </r>
  <r>
    <x v="7"/>
    <x v="6"/>
    <x v="46"/>
    <x v="0"/>
    <x v="0"/>
    <x v="0"/>
    <n v="1.95"/>
    <n v="2.15"/>
    <n v="1.21"/>
    <n v="1.66"/>
  </r>
  <r>
    <x v="7"/>
    <x v="6"/>
    <x v="46"/>
    <x v="1"/>
    <x v="4"/>
    <x v="1"/>
    <n v="0.13"/>
    <n v="0.14000000000000001"/>
    <n v="0"/>
    <n v="0.11"/>
  </r>
  <r>
    <x v="7"/>
    <x v="6"/>
    <x v="46"/>
    <x v="3"/>
    <x v="4"/>
    <x v="0"/>
    <n v="0.87"/>
    <n v="0.96"/>
    <n v="0.12"/>
    <n v="0.74"/>
  </r>
  <r>
    <x v="7"/>
    <x v="6"/>
    <x v="46"/>
    <x v="3"/>
    <x v="0"/>
    <x v="0"/>
    <n v="0.03"/>
    <n v="0.03"/>
    <n v="0.01"/>
    <n v="0.02"/>
  </r>
  <r>
    <x v="7"/>
    <x v="6"/>
    <x v="46"/>
    <x v="2"/>
    <x v="3"/>
    <x v="1"/>
    <n v="4.33"/>
    <n v="4.79"/>
    <n v="0"/>
    <n v="4.33"/>
  </r>
  <r>
    <x v="7"/>
    <x v="6"/>
    <x v="46"/>
    <x v="2"/>
    <x v="4"/>
    <x v="1"/>
    <n v="9.6999999999999993"/>
    <n v="10.71"/>
    <n v="0.02"/>
    <n v="9.6999999999999993"/>
  </r>
  <r>
    <x v="7"/>
    <x v="6"/>
    <x v="46"/>
    <x v="1"/>
    <x v="3"/>
    <x v="1"/>
    <n v="0.24"/>
    <n v="0.26"/>
    <n v="0"/>
    <n v="0.2"/>
  </r>
  <r>
    <x v="7"/>
    <x v="6"/>
    <x v="46"/>
    <x v="1"/>
    <x v="2"/>
    <x v="1"/>
    <n v="3.11"/>
    <n v="3.43"/>
    <n v="0.02"/>
    <n v="2.63"/>
  </r>
  <r>
    <x v="7"/>
    <x v="6"/>
    <x v="46"/>
    <x v="1"/>
    <x v="1"/>
    <x v="1"/>
    <n v="2.29"/>
    <n v="2.5299999999999998"/>
    <n v="0.02"/>
    <n v="1.94"/>
  </r>
  <r>
    <x v="7"/>
    <x v="7"/>
    <x v="47"/>
    <x v="4"/>
    <x v="4"/>
    <x v="2"/>
    <n v="0.82"/>
    <n v="1.56"/>
    <n v="0.01"/>
    <n v="0.71"/>
  </r>
  <r>
    <x v="7"/>
    <x v="7"/>
    <x v="47"/>
    <x v="0"/>
    <x v="0"/>
    <x v="1"/>
    <n v="2.2000000000000002"/>
    <n v="4.21"/>
    <n v="7.0000000000000007E-2"/>
    <n v="2.04"/>
  </r>
  <r>
    <x v="7"/>
    <x v="7"/>
    <x v="47"/>
    <x v="2"/>
    <x v="4"/>
    <x v="0"/>
    <n v="1.57"/>
    <n v="3.01"/>
    <n v="0.5"/>
    <n v="1.51"/>
  </r>
  <r>
    <x v="7"/>
    <x v="7"/>
    <x v="47"/>
    <x v="2"/>
    <x v="0"/>
    <x v="0"/>
    <n v="2.12"/>
    <n v="4.0599999999999996"/>
    <n v="2.06"/>
    <n v="2.02"/>
  </r>
  <r>
    <x v="7"/>
    <x v="7"/>
    <x v="47"/>
    <x v="1"/>
    <x v="2"/>
    <x v="0"/>
    <n v="2.81"/>
    <n v="5.38"/>
    <n v="0.03"/>
    <n v="2.64"/>
  </r>
  <r>
    <x v="7"/>
    <x v="7"/>
    <x v="47"/>
    <x v="1"/>
    <x v="1"/>
    <x v="0"/>
    <n v="14.79"/>
    <n v="28.32"/>
    <n v="0.74"/>
    <n v="13.72"/>
  </r>
  <r>
    <x v="7"/>
    <x v="7"/>
    <x v="47"/>
    <x v="1"/>
    <x v="4"/>
    <x v="0"/>
    <n v="90.25"/>
    <n v="172.81"/>
    <n v="15.88"/>
    <n v="84.88"/>
  </r>
  <r>
    <x v="7"/>
    <x v="7"/>
    <x v="47"/>
    <x v="1"/>
    <x v="0"/>
    <x v="0"/>
    <n v="5.09"/>
    <n v="9.75"/>
    <n v="3.12"/>
    <n v="4.78"/>
  </r>
  <r>
    <x v="7"/>
    <x v="7"/>
    <x v="47"/>
    <x v="0"/>
    <x v="4"/>
    <x v="0"/>
    <n v="7.49"/>
    <n v="14.35"/>
    <n v="3.09"/>
    <n v="7.05"/>
  </r>
  <r>
    <x v="7"/>
    <x v="7"/>
    <x v="47"/>
    <x v="0"/>
    <x v="0"/>
    <x v="0"/>
    <n v="6.65"/>
    <n v="12.73"/>
    <n v="3.91"/>
    <n v="6.01"/>
  </r>
  <r>
    <x v="7"/>
    <x v="7"/>
    <x v="47"/>
    <x v="4"/>
    <x v="1"/>
    <x v="0"/>
    <n v="3.87"/>
    <n v="7.4"/>
    <n v="0.27"/>
    <n v="3.61"/>
  </r>
  <r>
    <x v="7"/>
    <x v="7"/>
    <x v="47"/>
    <x v="4"/>
    <x v="4"/>
    <x v="0"/>
    <n v="23.02"/>
    <n v="44.07"/>
    <n v="2.66"/>
    <n v="21.37"/>
  </r>
  <r>
    <x v="7"/>
    <x v="7"/>
    <x v="47"/>
    <x v="3"/>
    <x v="4"/>
    <x v="0"/>
    <n v="3.8"/>
    <n v="7.27"/>
    <n v="0.65"/>
    <n v="3.62"/>
  </r>
  <r>
    <x v="7"/>
    <x v="7"/>
    <x v="47"/>
    <x v="3"/>
    <x v="0"/>
    <x v="0"/>
    <n v="0.12"/>
    <n v="0.23"/>
    <n v="0.04"/>
    <n v="0.11"/>
  </r>
  <r>
    <x v="7"/>
    <x v="7"/>
    <x v="47"/>
    <x v="1"/>
    <x v="2"/>
    <x v="1"/>
    <n v="6.41"/>
    <n v="12.27"/>
    <n v="0.02"/>
    <n v="5.92"/>
  </r>
  <r>
    <x v="7"/>
    <x v="7"/>
    <x v="47"/>
    <x v="2"/>
    <x v="3"/>
    <x v="0"/>
    <n v="0.33"/>
    <n v="0.62"/>
    <n v="0"/>
    <n v="0.33"/>
  </r>
  <r>
    <x v="7"/>
    <x v="7"/>
    <x v="47"/>
    <x v="1"/>
    <x v="4"/>
    <x v="2"/>
    <n v="0.45"/>
    <n v="0.86"/>
    <n v="0.01"/>
    <n v="0.39"/>
  </r>
  <r>
    <x v="7"/>
    <x v="7"/>
    <x v="47"/>
    <x v="2"/>
    <x v="3"/>
    <x v="3"/>
    <n v="15.85"/>
    <n v="30.36"/>
    <n v="0.01"/>
    <n v="15.85"/>
  </r>
  <r>
    <x v="7"/>
    <x v="7"/>
    <x v="47"/>
    <x v="2"/>
    <x v="3"/>
    <x v="2"/>
    <n v="0.06"/>
    <n v="0.11"/>
    <n v="0"/>
    <n v="0.06"/>
  </r>
  <r>
    <x v="7"/>
    <x v="7"/>
    <x v="47"/>
    <x v="4"/>
    <x v="2"/>
    <x v="2"/>
    <n v="0.17"/>
    <n v="0.33"/>
    <n v="0"/>
    <n v="0.15"/>
  </r>
  <r>
    <x v="7"/>
    <x v="7"/>
    <x v="47"/>
    <x v="1"/>
    <x v="0"/>
    <x v="1"/>
    <n v="1"/>
    <n v="1.91"/>
    <n v="0.05"/>
    <n v="0.93"/>
  </r>
  <r>
    <x v="7"/>
    <x v="7"/>
    <x v="47"/>
    <x v="1"/>
    <x v="1"/>
    <x v="1"/>
    <n v="2.38"/>
    <n v="4.55"/>
    <n v="0.03"/>
    <n v="2.2000000000000002"/>
  </r>
  <r>
    <x v="7"/>
    <x v="2"/>
    <x v="48"/>
    <x v="0"/>
    <x v="0"/>
    <x v="1"/>
    <n v="7.11"/>
    <n v="8.6199999999999992"/>
    <n v="0.21"/>
    <n v="6.4"/>
  </r>
  <r>
    <x v="7"/>
    <x v="2"/>
    <x v="48"/>
    <x v="1"/>
    <x v="4"/>
    <x v="2"/>
    <n v="6.37"/>
    <n v="7.73"/>
    <n v="0.04"/>
    <n v="5.54"/>
  </r>
  <r>
    <x v="7"/>
    <x v="2"/>
    <x v="48"/>
    <x v="4"/>
    <x v="2"/>
    <x v="2"/>
    <n v="1.48"/>
    <n v="1.79"/>
    <n v="0"/>
    <n v="1.28"/>
  </r>
  <r>
    <x v="7"/>
    <x v="2"/>
    <x v="48"/>
    <x v="3"/>
    <x v="4"/>
    <x v="0"/>
    <n v="127.25"/>
    <n v="154.44999999999999"/>
    <n v="16.239999999999998"/>
    <n v="120.39"/>
  </r>
  <r>
    <x v="7"/>
    <x v="2"/>
    <x v="48"/>
    <x v="4"/>
    <x v="1"/>
    <x v="2"/>
    <n v="0.4"/>
    <n v="0.48"/>
    <n v="0"/>
    <n v="0.35"/>
  </r>
  <r>
    <x v="7"/>
    <x v="2"/>
    <x v="48"/>
    <x v="2"/>
    <x v="3"/>
    <x v="2"/>
    <n v="12.61"/>
    <n v="15.31"/>
    <n v="0.03"/>
    <n v="10.97"/>
  </r>
  <r>
    <x v="7"/>
    <x v="2"/>
    <x v="48"/>
    <x v="2"/>
    <x v="3"/>
    <x v="3"/>
    <n v="65.290000000000006"/>
    <n v="79.25"/>
    <n v="0.04"/>
    <n v="65.290000000000006"/>
  </r>
  <r>
    <x v="7"/>
    <x v="2"/>
    <x v="48"/>
    <x v="4"/>
    <x v="1"/>
    <x v="1"/>
    <n v="0.44"/>
    <n v="0.54"/>
    <n v="0.03"/>
    <n v="0.44"/>
  </r>
  <r>
    <x v="7"/>
    <x v="2"/>
    <x v="48"/>
    <x v="2"/>
    <x v="3"/>
    <x v="1"/>
    <n v="6.17"/>
    <n v="7.49"/>
    <n v="0.01"/>
    <n v="6.17"/>
  </r>
  <r>
    <x v="7"/>
    <x v="2"/>
    <x v="48"/>
    <x v="4"/>
    <x v="4"/>
    <x v="2"/>
    <n v="2.73"/>
    <n v="3.31"/>
    <n v="0.04"/>
    <n v="2.37"/>
  </r>
  <r>
    <x v="7"/>
    <x v="2"/>
    <x v="48"/>
    <x v="3"/>
    <x v="0"/>
    <x v="0"/>
    <n v="16.72"/>
    <n v="20.29"/>
    <n v="11.64"/>
    <n v="16.54"/>
  </r>
  <r>
    <x v="7"/>
    <x v="2"/>
    <x v="48"/>
    <x v="0"/>
    <x v="3"/>
    <x v="1"/>
    <n v="0.13"/>
    <n v="0.16"/>
    <n v="0.01"/>
    <n v="0.12"/>
  </r>
  <r>
    <x v="7"/>
    <x v="2"/>
    <x v="48"/>
    <x v="1"/>
    <x v="0"/>
    <x v="1"/>
    <n v="15.13"/>
    <n v="18.36"/>
    <n v="0.92"/>
    <n v="14.64"/>
  </r>
  <r>
    <x v="7"/>
    <x v="2"/>
    <x v="48"/>
    <x v="1"/>
    <x v="4"/>
    <x v="1"/>
    <n v="4.8600000000000003"/>
    <n v="5.9"/>
    <n v="0.26"/>
    <n v="4.8600000000000003"/>
  </r>
  <r>
    <x v="7"/>
    <x v="2"/>
    <x v="48"/>
    <x v="1"/>
    <x v="1"/>
    <x v="1"/>
    <n v="33.1"/>
    <n v="40.17"/>
    <n v="0.54"/>
    <n v="32.24"/>
  </r>
  <r>
    <x v="7"/>
    <x v="2"/>
    <x v="48"/>
    <x v="1"/>
    <x v="2"/>
    <x v="1"/>
    <n v="42.93"/>
    <n v="52.11"/>
    <n v="0.33"/>
    <n v="40.75"/>
  </r>
  <r>
    <x v="7"/>
    <x v="2"/>
    <x v="48"/>
    <x v="1"/>
    <x v="3"/>
    <x v="1"/>
    <n v="0.69"/>
    <n v="0.83"/>
    <n v="0"/>
    <n v="0.69"/>
  </r>
  <r>
    <x v="7"/>
    <x v="2"/>
    <x v="48"/>
    <x v="4"/>
    <x v="0"/>
    <x v="1"/>
    <n v="2.2200000000000002"/>
    <n v="2.7"/>
    <n v="0.18"/>
    <n v="2.08"/>
  </r>
  <r>
    <x v="7"/>
    <x v="2"/>
    <x v="48"/>
    <x v="4"/>
    <x v="4"/>
    <x v="0"/>
    <n v="278.36"/>
    <n v="337.86"/>
    <n v="27.82"/>
    <n v="260.02999999999997"/>
  </r>
  <r>
    <x v="7"/>
    <x v="2"/>
    <x v="48"/>
    <x v="2"/>
    <x v="0"/>
    <x v="0"/>
    <n v="16.61"/>
    <n v="20.16"/>
    <n v="6.24"/>
    <n v="15.6"/>
  </r>
  <r>
    <x v="7"/>
    <x v="2"/>
    <x v="48"/>
    <x v="4"/>
    <x v="3"/>
    <x v="0"/>
    <n v="2.17"/>
    <n v="2.63"/>
    <n v="0"/>
    <n v="2"/>
  </r>
  <r>
    <x v="7"/>
    <x v="2"/>
    <x v="48"/>
    <x v="0"/>
    <x v="4"/>
    <x v="0"/>
    <n v="40.4"/>
    <n v="49.03"/>
    <n v="13.84"/>
    <n v="38.03"/>
  </r>
  <r>
    <x v="7"/>
    <x v="2"/>
    <x v="48"/>
    <x v="1"/>
    <x v="0"/>
    <x v="0"/>
    <n v="32.32"/>
    <n v="39.229999999999997"/>
    <n v="15.91"/>
    <n v="30.86"/>
  </r>
  <r>
    <x v="7"/>
    <x v="2"/>
    <x v="48"/>
    <x v="1"/>
    <x v="4"/>
    <x v="0"/>
    <n v="829.22"/>
    <n v="1006.45"/>
    <n v="128.16"/>
    <n v="780.28"/>
  </r>
  <r>
    <x v="7"/>
    <x v="2"/>
    <x v="48"/>
    <x v="1"/>
    <x v="2"/>
    <x v="0"/>
    <n v="15.41"/>
    <n v="18.71"/>
    <n v="0.2"/>
    <n v="13.83"/>
  </r>
  <r>
    <x v="7"/>
    <x v="2"/>
    <x v="48"/>
    <x v="2"/>
    <x v="4"/>
    <x v="0"/>
    <n v="22.23"/>
    <n v="26.98"/>
    <n v="2.08"/>
    <n v="20.74"/>
  </r>
  <r>
    <x v="7"/>
    <x v="2"/>
    <x v="48"/>
    <x v="4"/>
    <x v="1"/>
    <x v="0"/>
    <n v="36.69"/>
    <n v="44.53"/>
    <n v="1.64"/>
    <n v="34.049999999999997"/>
  </r>
  <r>
    <x v="7"/>
    <x v="2"/>
    <x v="48"/>
    <x v="0"/>
    <x v="0"/>
    <x v="0"/>
    <n v="10.029999999999999"/>
    <n v="12.18"/>
    <n v="4.37"/>
    <n v="9.18"/>
  </r>
  <r>
    <x v="7"/>
    <x v="2"/>
    <x v="48"/>
    <x v="1"/>
    <x v="1"/>
    <x v="0"/>
    <n v="132.81"/>
    <n v="161.19"/>
    <n v="5.35"/>
    <n v="125.47"/>
  </r>
  <r>
    <x v="7"/>
    <x v="2"/>
    <x v="48"/>
    <x v="4"/>
    <x v="2"/>
    <x v="0"/>
    <n v="3.07"/>
    <n v="3.72"/>
    <n v="0"/>
    <n v="2.83"/>
  </r>
  <r>
    <x v="7"/>
    <x v="3"/>
    <x v="49"/>
    <x v="3"/>
    <x v="4"/>
    <x v="0"/>
    <n v="5952.19"/>
    <n v="5952.19"/>
    <n v="2104.0500000000002"/>
    <n v="5908.83"/>
  </r>
  <r>
    <x v="7"/>
    <x v="3"/>
    <x v="49"/>
    <x v="0"/>
    <x v="4"/>
    <x v="1"/>
    <n v="0.08"/>
    <n v="0.08"/>
    <n v="0"/>
    <n v="7.0000000000000007E-2"/>
  </r>
  <r>
    <x v="7"/>
    <x v="3"/>
    <x v="49"/>
    <x v="0"/>
    <x v="1"/>
    <x v="1"/>
    <n v="0.38"/>
    <n v="0.38"/>
    <n v="0.01"/>
    <n v="0.33"/>
  </r>
  <r>
    <x v="7"/>
    <x v="3"/>
    <x v="49"/>
    <x v="1"/>
    <x v="0"/>
    <x v="1"/>
    <n v="106.47"/>
    <n v="106.47"/>
    <n v="5.09"/>
    <n v="96.23"/>
  </r>
  <r>
    <x v="7"/>
    <x v="3"/>
    <x v="49"/>
    <x v="1"/>
    <x v="4"/>
    <x v="1"/>
    <n v="13.24"/>
    <n v="13.24"/>
    <n v="0.41"/>
    <n v="11.69"/>
  </r>
  <r>
    <x v="7"/>
    <x v="3"/>
    <x v="49"/>
    <x v="1"/>
    <x v="1"/>
    <x v="1"/>
    <n v="260.38"/>
    <n v="260.38"/>
    <n v="3.98"/>
    <n v="236.28"/>
  </r>
  <r>
    <x v="7"/>
    <x v="3"/>
    <x v="49"/>
    <x v="1"/>
    <x v="2"/>
    <x v="1"/>
    <n v="331.31"/>
    <n v="331.31"/>
    <n v="2.38"/>
    <n v="302.56"/>
  </r>
  <r>
    <x v="7"/>
    <x v="3"/>
    <x v="49"/>
    <x v="1"/>
    <x v="3"/>
    <x v="1"/>
    <n v="3.35"/>
    <n v="3.35"/>
    <n v="0.02"/>
    <n v="2.94"/>
  </r>
  <r>
    <x v="7"/>
    <x v="3"/>
    <x v="49"/>
    <x v="4"/>
    <x v="4"/>
    <x v="0"/>
    <n v="2741.23"/>
    <n v="2741.23"/>
    <n v="255.61"/>
    <n v="2665.73"/>
  </r>
  <r>
    <x v="7"/>
    <x v="3"/>
    <x v="49"/>
    <x v="3"/>
    <x v="0"/>
    <x v="0"/>
    <n v="165.97"/>
    <n v="165.97"/>
    <n v="185.32"/>
    <n v="159.97"/>
  </r>
  <r>
    <x v="7"/>
    <x v="3"/>
    <x v="49"/>
    <x v="0"/>
    <x v="0"/>
    <x v="0"/>
    <n v="41.88"/>
    <n v="41.88"/>
    <n v="19.84"/>
    <n v="38.97"/>
  </r>
  <r>
    <x v="7"/>
    <x v="3"/>
    <x v="49"/>
    <x v="4"/>
    <x v="0"/>
    <x v="0"/>
    <n v="7.95"/>
    <n v="7.95"/>
    <n v="6.79"/>
    <n v="7.67"/>
  </r>
  <r>
    <x v="7"/>
    <x v="3"/>
    <x v="49"/>
    <x v="1"/>
    <x v="0"/>
    <x v="0"/>
    <n v="447.92"/>
    <n v="447.92"/>
    <n v="345.6"/>
    <n v="435.26"/>
  </r>
  <r>
    <x v="7"/>
    <x v="3"/>
    <x v="49"/>
    <x v="0"/>
    <x v="4"/>
    <x v="0"/>
    <n v="419.69"/>
    <n v="419.69"/>
    <n v="166.87"/>
    <n v="406.88"/>
  </r>
  <r>
    <x v="7"/>
    <x v="3"/>
    <x v="49"/>
    <x v="4"/>
    <x v="1"/>
    <x v="0"/>
    <n v="523.35"/>
    <n v="523.35"/>
    <n v="19.059999999999999"/>
    <n v="510.12"/>
  </r>
  <r>
    <x v="7"/>
    <x v="3"/>
    <x v="49"/>
    <x v="4"/>
    <x v="2"/>
    <x v="0"/>
    <n v="32.049999999999997"/>
    <n v="32.049999999999997"/>
    <n v="0.64"/>
    <n v="29.94"/>
  </r>
  <r>
    <x v="7"/>
    <x v="3"/>
    <x v="49"/>
    <x v="4"/>
    <x v="3"/>
    <x v="0"/>
    <n v="30.65"/>
    <n v="30.65"/>
    <n v="0.16"/>
    <n v="28.43"/>
  </r>
  <r>
    <x v="7"/>
    <x v="3"/>
    <x v="49"/>
    <x v="2"/>
    <x v="3"/>
    <x v="1"/>
    <n v="24.96"/>
    <n v="24.96"/>
    <n v="0.06"/>
    <n v="23.71"/>
  </r>
  <r>
    <x v="7"/>
    <x v="3"/>
    <x v="49"/>
    <x v="4"/>
    <x v="2"/>
    <x v="2"/>
    <n v="12.86"/>
    <n v="12.86"/>
    <n v="0.06"/>
    <n v="11.65"/>
  </r>
  <r>
    <x v="7"/>
    <x v="3"/>
    <x v="49"/>
    <x v="1"/>
    <x v="4"/>
    <x v="2"/>
    <n v="3.63"/>
    <n v="3.63"/>
    <n v="0.25"/>
    <n v="3.29"/>
  </r>
  <r>
    <x v="7"/>
    <x v="3"/>
    <x v="49"/>
    <x v="1"/>
    <x v="1"/>
    <x v="2"/>
    <n v="2.4500000000000002"/>
    <n v="2.4500000000000002"/>
    <n v="0.06"/>
    <n v="2.2200000000000002"/>
  </r>
  <r>
    <x v="7"/>
    <x v="3"/>
    <x v="49"/>
    <x v="1"/>
    <x v="2"/>
    <x v="2"/>
    <n v="0.33"/>
    <n v="0.33"/>
    <n v="0.01"/>
    <n v="0.3"/>
  </r>
  <r>
    <x v="7"/>
    <x v="3"/>
    <x v="49"/>
    <x v="2"/>
    <x v="2"/>
    <x v="2"/>
    <n v="12.51"/>
    <n v="12.51"/>
    <n v="0.08"/>
    <n v="11.93"/>
  </r>
  <r>
    <x v="7"/>
    <x v="3"/>
    <x v="49"/>
    <x v="2"/>
    <x v="3"/>
    <x v="2"/>
    <n v="65.88"/>
    <n v="65.88"/>
    <n v="0.08"/>
    <n v="61.39"/>
  </r>
  <r>
    <x v="7"/>
    <x v="3"/>
    <x v="49"/>
    <x v="2"/>
    <x v="1"/>
    <x v="3"/>
    <n v="33.090000000000003"/>
    <n v="33.090000000000003"/>
    <n v="0.01"/>
    <n v="33.090000000000003"/>
  </r>
  <r>
    <x v="7"/>
    <x v="3"/>
    <x v="49"/>
    <x v="2"/>
    <x v="3"/>
    <x v="3"/>
    <n v="2102.2800000000002"/>
    <n v="2102.2800000000002"/>
    <n v="1.1200000000000001"/>
    <n v="1881.63"/>
  </r>
  <r>
    <x v="7"/>
    <x v="3"/>
    <x v="49"/>
    <x v="1"/>
    <x v="1"/>
    <x v="0"/>
    <n v="1024.3699999999999"/>
    <n v="1024.3699999999999"/>
    <n v="78.38"/>
    <n v="985.34"/>
  </r>
  <r>
    <x v="7"/>
    <x v="3"/>
    <x v="49"/>
    <x v="4"/>
    <x v="1"/>
    <x v="1"/>
    <n v="2.12"/>
    <n v="2.12"/>
    <n v="0.13"/>
    <n v="1.89"/>
  </r>
  <r>
    <x v="7"/>
    <x v="3"/>
    <x v="49"/>
    <x v="0"/>
    <x v="2"/>
    <x v="0"/>
    <n v="0.4"/>
    <n v="0.4"/>
    <n v="0"/>
    <n v="0.4"/>
  </r>
  <r>
    <x v="7"/>
    <x v="3"/>
    <x v="49"/>
    <x v="2"/>
    <x v="4"/>
    <x v="0"/>
    <n v="313.14999999999998"/>
    <n v="313.14999999999998"/>
    <n v="83.57"/>
    <n v="309.18"/>
  </r>
  <r>
    <x v="7"/>
    <x v="3"/>
    <x v="49"/>
    <x v="4"/>
    <x v="1"/>
    <x v="2"/>
    <n v="8.84"/>
    <n v="8.84"/>
    <n v="0.14000000000000001"/>
    <n v="8"/>
  </r>
  <r>
    <x v="7"/>
    <x v="3"/>
    <x v="49"/>
    <x v="4"/>
    <x v="4"/>
    <x v="2"/>
    <n v="35.06"/>
    <n v="35.06"/>
    <n v="0.46"/>
    <n v="31.76"/>
  </r>
  <r>
    <x v="7"/>
    <x v="3"/>
    <x v="49"/>
    <x v="0"/>
    <x v="0"/>
    <x v="1"/>
    <n v="96.78"/>
    <n v="96.78"/>
    <n v="3.89"/>
    <n v="88.79"/>
  </r>
  <r>
    <x v="7"/>
    <x v="3"/>
    <x v="49"/>
    <x v="1"/>
    <x v="4"/>
    <x v="0"/>
    <n v="8398.56"/>
    <n v="8398.56"/>
    <n v="1356.38"/>
    <n v="8099.92"/>
  </r>
  <r>
    <x v="7"/>
    <x v="3"/>
    <x v="49"/>
    <x v="1"/>
    <x v="2"/>
    <x v="0"/>
    <n v="246.55"/>
    <n v="246.55"/>
    <n v="2.12"/>
    <n v="225.22"/>
  </r>
  <r>
    <x v="7"/>
    <x v="3"/>
    <x v="49"/>
    <x v="2"/>
    <x v="0"/>
    <x v="0"/>
    <n v="167.67"/>
    <n v="167.67"/>
    <n v="121.78"/>
    <n v="163.1"/>
  </r>
  <r>
    <x v="7"/>
    <x v="3"/>
    <x v="49"/>
    <x v="4"/>
    <x v="0"/>
    <x v="1"/>
    <n v="7.42"/>
    <n v="7.42"/>
    <n v="1.19"/>
    <n v="6.5"/>
  </r>
  <r>
    <x v="8"/>
    <x v="0"/>
    <x v="0"/>
    <x v="2"/>
    <x v="4"/>
    <x v="0"/>
    <n v="0.96"/>
    <n v="3.35"/>
    <n v="0.39"/>
    <n v="0.91"/>
  </r>
  <r>
    <x v="8"/>
    <x v="0"/>
    <x v="0"/>
    <x v="2"/>
    <x v="0"/>
    <x v="0"/>
    <n v="1.19"/>
    <n v="4.1500000000000004"/>
    <n v="1.46"/>
    <n v="1.1299999999999999"/>
  </r>
  <r>
    <x v="8"/>
    <x v="0"/>
    <x v="0"/>
    <x v="1"/>
    <x v="2"/>
    <x v="0"/>
    <n v="3.78"/>
    <n v="13.14"/>
    <n v="0.08"/>
    <n v="3.57"/>
  </r>
  <r>
    <x v="8"/>
    <x v="0"/>
    <x v="0"/>
    <x v="1"/>
    <x v="1"/>
    <x v="0"/>
    <n v="7.57"/>
    <n v="26.33"/>
    <n v="0.56000000000000005"/>
    <n v="7.16"/>
  </r>
  <r>
    <x v="8"/>
    <x v="0"/>
    <x v="0"/>
    <x v="1"/>
    <x v="4"/>
    <x v="0"/>
    <n v="28.33"/>
    <n v="98.52"/>
    <n v="6.55"/>
    <n v="26.89"/>
  </r>
  <r>
    <x v="8"/>
    <x v="0"/>
    <x v="0"/>
    <x v="1"/>
    <x v="0"/>
    <x v="0"/>
    <n v="1.46"/>
    <n v="5.07"/>
    <n v="0.76"/>
    <n v="1.39"/>
  </r>
  <r>
    <x v="8"/>
    <x v="0"/>
    <x v="0"/>
    <x v="0"/>
    <x v="4"/>
    <x v="0"/>
    <n v="2.68"/>
    <n v="9.31"/>
    <n v="1.1399999999999999"/>
    <n v="2.58"/>
  </r>
  <r>
    <x v="8"/>
    <x v="0"/>
    <x v="0"/>
    <x v="0"/>
    <x v="0"/>
    <x v="0"/>
    <n v="0.49"/>
    <n v="1.69"/>
    <n v="1.1100000000000001"/>
    <n v="0.46"/>
  </r>
  <r>
    <x v="8"/>
    <x v="0"/>
    <x v="0"/>
    <x v="4"/>
    <x v="3"/>
    <x v="0"/>
    <n v="1.87"/>
    <n v="6.52"/>
    <n v="0.03"/>
    <n v="1.87"/>
  </r>
  <r>
    <x v="8"/>
    <x v="0"/>
    <x v="0"/>
    <x v="4"/>
    <x v="1"/>
    <x v="0"/>
    <n v="2.68"/>
    <n v="9.31"/>
    <n v="0.59"/>
    <n v="2.52"/>
  </r>
  <r>
    <x v="8"/>
    <x v="0"/>
    <x v="0"/>
    <x v="4"/>
    <x v="4"/>
    <x v="0"/>
    <n v="6.88"/>
    <n v="23.94"/>
    <n v="2.91"/>
    <n v="6.48"/>
  </r>
  <r>
    <x v="8"/>
    <x v="0"/>
    <x v="0"/>
    <x v="3"/>
    <x v="1"/>
    <x v="0"/>
    <n v="0.01"/>
    <n v="0.02"/>
    <n v="0"/>
    <n v="0.01"/>
  </r>
  <r>
    <x v="8"/>
    <x v="0"/>
    <x v="0"/>
    <x v="4"/>
    <x v="4"/>
    <x v="2"/>
    <n v="0.01"/>
    <n v="0.05"/>
    <n v="0"/>
    <n v="0.01"/>
  </r>
  <r>
    <x v="8"/>
    <x v="0"/>
    <x v="0"/>
    <x v="1"/>
    <x v="1"/>
    <x v="1"/>
    <n v="2.68"/>
    <n v="9.33"/>
    <n v="0.09"/>
    <n v="2.57"/>
  </r>
  <r>
    <x v="8"/>
    <x v="0"/>
    <x v="0"/>
    <x v="4"/>
    <x v="0"/>
    <x v="0"/>
    <n v="0.15"/>
    <n v="0.52"/>
    <n v="0.06"/>
    <n v="0.14000000000000001"/>
  </r>
  <r>
    <x v="8"/>
    <x v="0"/>
    <x v="0"/>
    <x v="1"/>
    <x v="4"/>
    <x v="1"/>
    <n v="0.16"/>
    <n v="0.56000000000000005"/>
    <n v="0.01"/>
    <n v="0.15"/>
  </r>
  <r>
    <x v="8"/>
    <x v="0"/>
    <x v="0"/>
    <x v="1"/>
    <x v="0"/>
    <x v="1"/>
    <n v="0.04"/>
    <n v="0.14000000000000001"/>
    <n v="0"/>
    <n v="0.04"/>
  </r>
  <r>
    <x v="8"/>
    <x v="0"/>
    <x v="0"/>
    <x v="0"/>
    <x v="4"/>
    <x v="1"/>
    <n v="0.04"/>
    <n v="0.14000000000000001"/>
    <n v="0.01"/>
    <n v="0.04"/>
  </r>
  <r>
    <x v="8"/>
    <x v="0"/>
    <x v="0"/>
    <x v="0"/>
    <x v="0"/>
    <x v="1"/>
    <n v="0.78"/>
    <n v="2.7"/>
    <n v="0.03"/>
    <n v="0.74"/>
  </r>
  <r>
    <x v="8"/>
    <x v="0"/>
    <x v="0"/>
    <x v="4"/>
    <x v="1"/>
    <x v="1"/>
    <n v="0.02"/>
    <n v="0.08"/>
    <n v="0"/>
    <n v="0.02"/>
  </r>
  <r>
    <x v="8"/>
    <x v="0"/>
    <x v="0"/>
    <x v="4"/>
    <x v="4"/>
    <x v="1"/>
    <n v="0.13"/>
    <n v="0.44"/>
    <n v="0.01"/>
    <n v="0.12"/>
  </r>
  <r>
    <x v="8"/>
    <x v="0"/>
    <x v="0"/>
    <x v="4"/>
    <x v="0"/>
    <x v="1"/>
    <n v="0.49"/>
    <n v="1.71"/>
    <n v="0.04"/>
    <n v="0.47"/>
  </r>
  <r>
    <x v="8"/>
    <x v="0"/>
    <x v="0"/>
    <x v="2"/>
    <x v="3"/>
    <x v="3"/>
    <n v="4.66"/>
    <n v="16.21"/>
    <n v="0"/>
    <n v="4.38"/>
  </r>
  <r>
    <x v="8"/>
    <x v="0"/>
    <x v="0"/>
    <x v="2"/>
    <x v="3"/>
    <x v="2"/>
    <n v="0"/>
    <n v="0.01"/>
    <n v="0"/>
    <n v="0"/>
  </r>
  <r>
    <x v="8"/>
    <x v="0"/>
    <x v="0"/>
    <x v="1"/>
    <x v="1"/>
    <x v="2"/>
    <n v="0"/>
    <n v="0.01"/>
    <n v="0"/>
    <n v="0"/>
  </r>
  <r>
    <x v="8"/>
    <x v="0"/>
    <x v="0"/>
    <x v="1"/>
    <x v="4"/>
    <x v="2"/>
    <n v="0.15"/>
    <n v="0.53"/>
    <n v="0.01"/>
    <n v="0.14000000000000001"/>
  </r>
  <r>
    <x v="8"/>
    <x v="0"/>
    <x v="0"/>
    <x v="4"/>
    <x v="2"/>
    <x v="2"/>
    <n v="0"/>
    <n v="0.02"/>
    <n v="0"/>
    <n v="0"/>
  </r>
  <r>
    <x v="8"/>
    <x v="0"/>
    <x v="0"/>
    <x v="4"/>
    <x v="1"/>
    <x v="2"/>
    <n v="0.01"/>
    <n v="0.02"/>
    <n v="0"/>
    <n v="0.01"/>
  </r>
  <r>
    <x v="8"/>
    <x v="0"/>
    <x v="0"/>
    <x v="1"/>
    <x v="2"/>
    <x v="1"/>
    <n v="2.87"/>
    <n v="9.99"/>
    <n v="0.02"/>
    <n v="2.74"/>
  </r>
  <r>
    <x v="8"/>
    <x v="0"/>
    <x v="0"/>
    <x v="3"/>
    <x v="4"/>
    <x v="0"/>
    <n v="2.8"/>
    <n v="9.74"/>
    <n v="0.94"/>
    <n v="2.65"/>
  </r>
  <r>
    <x v="8"/>
    <x v="1"/>
    <x v="1"/>
    <x v="1"/>
    <x v="0"/>
    <x v="0"/>
    <n v="5.61"/>
    <n v="6.8"/>
    <n v="3.65"/>
    <n v="5.26"/>
  </r>
  <r>
    <x v="8"/>
    <x v="1"/>
    <x v="1"/>
    <x v="4"/>
    <x v="0"/>
    <x v="1"/>
    <n v="0.74"/>
    <n v="0.89"/>
    <n v="0.14000000000000001"/>
    <n v="0.62"/>
  </r>
  <r>
    <x v="8"/>
    <x v="1"/>
    <x v="1"/>
    <x v="2"/>
    <x v="3"/>
    <x v="3"/>
    <n v="29.39"/>
    <n v="35.659999999999997"/>
    <n v="0.02"/>
    <n v="25.38"/>
  </r>
  <r>
    <x v="8"/>
    <x v="1"/>
    <x v="1"/>
    <x v="2"/>
    <x v="3"/>
    <x v="2"/>
    <n v="0.08"/>
    <n v="0.1"/>
    <n v="0.01"/>
    <n v="0.08"/>
  </r>
  <r>
    <x v="8"/>
    <x v="1"/>
    <x v="1"/>
    <x v="1"/>
    <x v="1"/>
    <x v="2"/>
    <n v="0.66"/>
    <n v="0.8"/>
    <n v="0.01"/>
    <n v="0.52"/>
  </r>
  <r>
    <x v="8"/>
    <x v="1"/>
    <x v="1"/>
    <x v="1"/>
    <x v="4"/>
    <x v="2"/>
    <n v="0.15"/>
    <n v="0.19"/>
    <n v="0.01"/>
    <n v="0.12"/>
  </r>
  <r>
    <x v="8"/>
    <x v="1"/>
    <x v="1"/>
    <x v="4"/>
    <x v="4"/>
    <x v="1"/>
    <n v="2.68"/>
    <n v="3.26"/>
    <n v="0.19"/>
    <n v="2.25"/>
  </r>
  <r>
    <x v="8"/>
    <x v="1"/>
    <x v="1"/>
    <x v="4"/>
    <x v="4"/>
    <x v="2"/>
    <n v="0.08"/>
    <n v="0.09"/>
    <n v="0.02"/>
    <n v="7.0000000000000007E-2"/>
  </r>
  <r>
    <x v="8"/>
    <x v="1"/>
    <x v="1"/>
    <x v="1"/>
    <x v="2"/>
    <x v="0"/>
    <n v="43.18"/>
    <n v="52.4"/>
    <n v="0.22"/>
    <n v="36.799999999999997"/>
  </r>
  <r>
    <x v="8"/>
    <x v="1"/>
    <x v="1"/>
    <x v="1"/>
    <x v="4"/>
    <x v="0"/>
    <n v="246.2"/>
    <n v="298.73"/>
    <n v="35.99"/>
    <n v="222.87"/>
  </r>
  <r>
    <x v="8"/>
    <x v="1"/>
    <x v="1"/>
    <x v="1"/>
    <x v="1"/>
    <x v="0"/>
    <n v="47.03"/>
    <n v="57.06"/>
    <n v="2.58"/>
    <n v="41.76"/>
  </r>
  <r>
    <x v="8"/>
    <x v="1"/>
    <x v="1"/>
    <x v="4"/>
    <x v="1"/>
    <x v="0"/>
    <n v="63.34"/>
    <n v="76.849999999999994"/>
    <n v="2.2799999999999998"/>
    <n v="57.45"/>
  </r>
  <r>
    <x v="8"/>
    <x v="1"/>
    <x v="1"/>
    <x v="2"/>
    <x v="0"/>
    <x v="0"/>
    <n v="6.91"/>
    <n v="8.3800000000000008"/>
    <n v="4.1399999999999997"/>
    <n v="6.83"/>
  </r>
  <r>
    <x v="8"/>
    <x v="1"/>
    <x v="1"/>
    <x v="2"/>
    <x v="4"/>
    <x v="0"/>
    <n v="36.5"/>
    <n v="44.29"/>
    <n v="9.27"/>
    <n v="35.76"/>
  </r>
  <r>
    <x v="8"/>
    <x v="1"/>
    <x v="1"/>
    <x v="4"/>
    <x v="1"/>
    <x v="2"/>
    <n v="0.35"/>
    <n v="0.42"/>
    <n v="0.02"/>
    <n v="0.27"/>
  </r>
  <r>
    <x v="8"/>
    <x v="1"/>
    <x v="1"/>
    <x v="4"/>
    <x v="4"/>
    <x v="0"/>
    <n v="111.32"/>
    <n v="135.08000000000001"/>
    <n v="12.98"/>
    <n v="99.8"/>
  </r>
  <r>
    <x v="8"/>
    <x v="1"/>
    <x v="1"/>
    <x v="4"/>
    <x v="1"/>
    <x v="1"/>
    <n v="2.2000000000000002"/>
    <n v="2.67"/>
    <n v="0.17"/>
    <n v="1.87"/>
  </r>
  <r>
    <x v="8"/>
    <x v="1"/>
    <x v="1"/>
    <x v="0"/>
    <x v="0"/>
    <x v="0"/>
    <n v="10.02"/>
    <n v="12.16"/>
    <n v="5.09"/>
    <n v="8.58"/>
  </r>
  <r>
    <x v="8"/>
    <x v="1"/>
    <x v="1"/>
    <x v="3"/>
    <x v="4"/>
    <x v="0"/>
    <n v="66.75"/>
    <n v="80.989999999999995"/>
    <n v="10.78"/>
    <n v="65.72"/>
  </r>
  <r>
    <x v="8"/>
    <x v="1"/>
    <x v="1"/>
    <x v="3"/>
    <x v="0"/>
    <x v="0"/>
    <n v="3.47"/>
    <n v="4.21"/>
    <n v="1.06"/>
    <n v="3.47"/>
  </r>
  <r>
    <x v="8"/>
    <x v="1"/>
    <x v="1"/>
    <x v="2"/>
    <x v="3"/>
    <x v="1"/>
    <n v="5.4"/>
    <n v="6.55"/>
    <n v="0.02"/>
    <n v="4.6500000000000004"/>
  </r>
  <r>
    <x v="8"/>
    <x v="1"/>
    <x v="1"/>
    <x v="2"/>
    <x v="4"/>
    <x v="1"/>
    <n v="1.95"/>
    <n v="2.36"/>
    <n v="0.01"/>
    <n v="1.94"/>
  </r>
  <r>
    <x v="8"/>
    <x v="1"/>
    <x v="1"/>
    <x v="1"/>
    <x v="2"/>
    <x v="1"/>
    <n v="52.39"/>
    <n v="63.56"/>
    <n v="0.35"/>
    <n v="44.79"/>
  </r>
  <r>
    <x v="8"/>
    <x v="1"/>
    <x v="1"/>
    <x v="0"/>
    <x v="4"/>
    <x v="0"/>
    <n v="12.75"/>
    <n v="15.47"/>
    <n v="2.87"/>
    <n v="11.1"/>
  </r>
  <r>
    <x v="8"/>
    <x v="1"/>
    <x v="1"/>
    <x v="1"/>
    <x v="4"/>
    <x v="1"/>
    <n v="0.73"/>
    <n v="0.89"/>
    <n v="0.03"/>
    <n v="0.62"/>
  </r>
  <r>
    <x v="8"/>
    <x v="1"/>
    <x v="1"/>
    <x v="1"/>
    <x v="0"/>
    <x v="1"/>
    <n v="4.37"/>
    <n v="5.3"/>
    <n v="0.26"/>
    <n v="3.72"/>
  </r>
  <r>
    <x v="8"/>
    <x v="1"/>
    <x v="1"/>
    <x v="2"/>
    <x v="3"/>
    <x v="0"/>
    <n v="4.8"/>
    <n v="5.83"/>
    <n v="0.04"/>
    <n v="4.8"/>
  </r>
  <r>
    <x v="8"/>
    <x v="1"/>
    <x v="1"/>
    <x v="0"/>
    <x v="4"/>
    <x v="1"/>
    <n v="2.96"/>
    <n v="3.59"/>
    <n v="0.06"/>
    <n v="2.48"/>
  </r>
  <r>
    <x v="8"/>
    <x v="1"/>
    <x v="1"/>
    <x v="1"/>
    <x v="1"/>
    <x v="1"/>
    <n v="1.0900000000000001"/>
    <n v="1.33"/>
    <n v="0.02"/>
    <n v="0.92"/>
  </r>
  <r>
    <x v="8"/>
    <x v="1"/>
    <x v="1"/>
    <x v="0"/>
    <x v="0"/>
    <x v="1"/>
    <n v="1.3"/>
    <n v="1.57"/>
    <n v="0.06"/>
    <n v="1.1399999999999999"/>
  </r>
  <r>
    <x v="8"/>
    <x v="2"/>
    <x v="2"/>
    <x v="4"/>
    <x v="2"/>
    <x v="2"/>
    <n v="0.03"/>
    <n v="0.03"/>
    <n v="0"/>
    <n v="0.03"/>
  </r>
  <r>
    <x v="8"/>
    <x v="2"/>
    <x v="2"/>
    <x v="1"/>
    <x v="4"/>
    <x v="1"/>
    <n v="0.08"/>
    <n v="0.09"/>
    <n v="0"/>
    <n v="0.08"/>
  </r>
  <r>
    <x v="8"/>
    <x v="2"/>
    <x v="2"/>
    <x v="1"/>
    <x v="0"/>
    <x v="1"/>
    <n v="0.52"/>
    <n v="0.56000000000000005"/>
    <n v="0.03"/>
    <n v="0.51"/>
  </r>
  <r>
    <x v="8"/>
    <x v="2"/>
    <x v="2"/>
    <x v="0"/>
    <x v="4"/>
    <x v="1"/>
    <n v="0.09"/>
    <n v="0.09"/>
    <n v="0"/>
    <n v="0.08"/>
  </r>
  <r>
    <x v="8"/>
    <x v="2"/>
    <x v="2"/>
    <x v="0"/>
    <x v="0"/>
    <x v="1"/>
    <n v="0.21"/>
    <n v="0.22"/>
    <n v="0.01"/>
    <n v="0.19"/>
  </r>
  <r>
    <x v="8"/>
    <x v="2"/>
    <x v="2"/>
    <x v="4"/>
    <x v="4"/>
    <x v="1"/>
    <n v="0.05"/>
    <n v="0.05"/>
    <n v="0"/>
    <n v="0.05"/>
  </r>
  <r>
    <x v="8"/>
    <x v="2"/>
    <x v="2"/>
    <x v="4"/>
    <x v="0"/>
    <x v="1"/>
    <n v="0.01"/>
    <n v="0.01"/>
    <n v="0"/>
    <n v="0.01"/>
  </r>
  <r>
    <x v="8"/>
    <x v="2"/>
    <x v="2"/>
    <x v="4"/>
    <x v="4"/>
    <x v="2"/>
    <n v="0.3"/>
    <n v="0.32"/>
    <n v="0.02"/>
    <n v="0.25"/>
  </r>
  <r>
    <x v="8"/>
    <x v="2"/>
    <x v="2"/>
    <x v="1"/>
    <x v="4"/>
    <x v="2"/>
    <n v="0.32"/>
    <n v="0.35"/>
    <n v="0"/>
    <n v="0.27"/>
  </r>
  <r>
    <x v="8"/>
    <x v="2"/>
    <x v="2"/>
    <x v="4"/>
    <x v="1"/>
    <x v="2"/>
    <n v="0.21"/>
    <n v="0.23"/>
    <n v="0"/>
    <n v="0.18"/>
  </r>
  <r>
    <x v="8"/>
    <x v="2"/>
    <x v="2"/>
    <x v="1"/>
    <x v="1"/>
    <x v="1"/>
    <n v="2.04"/>
    <n v="2.2200000000000002"/>
    <n v="0.01"/>
    <n v="1.85"/>
  </r>
  <r>
    <x v="8"/>
    <x v="2"/>
    <x v="2"/>
    <x v="1"/>
    <x v="0"/>
    <x v="0"/>
    <n v="5.36"/>
    <n v="5.83"/>
    <n v="2.1"/>
    <n v="5.19"/>
  </r>
  <r>
    <x v="8"/>
    <x v="2"/>
    <x v="2"/>
    <x v="2"/>
    <x v="3"/>
    <x v="3"/>
    <n v="4.76"/>
    <n v="5.19"/>
    <n v="0"/>
    <n v="4.76"/>
  </r>
  <r>
    <x v="8"/>
    <x v="2"/>
    <x v="2"/>
    <x v="1"/>
    <x v="2"/>
    <x v="1"/>
    <n v="3.97"/>
    <n v="4.32"/>
    <n v="0.01"/>
    <n v="3.65"/>
  </r>
  <r>
    <x v="8"/>
    <x v="2"/>
    <x v="2"/>
    <x v="2"/>
    <x v="3"/>
    <x v="1"/>
    <n v="0.01"/>
    <n v="0.01"/>
    <n v="0"/>
    <n v="0.01"/>
  </r>
  <r>
    <x v="8"/>
    <x v="2"/>
    <x v="2"/>
    <x v="3"/>
    <x v="0"/>
    <x v="0"/>
    <n v="2.17"/>
    <n v="2.37"/>
    <n v="0.35"/>
    <n v="2.2000000000000002"/>
  </r>
  <r>
    <x v="8"/>
    <x v="2"/>
    <x v="2"/>
    <x v="3"/>
    <x v="4"/>
    <x v="0"/>
    <n v="6.91"/>
    <n v="7.52"/>
    <n v="1.22"/>
    <n v="6.73"/>
  </r>
  <r>
    <x v="8"/>
    <x v="2"/>
    <x v="2"/>
    <x v="4"/>
    <x v="4"/>
    <x v="0"/>
    <n v="46.38"/>
    <n v="50.48"/>
    <n v="4.41"/>
    <n v="44.46"/>
  </r>
  <r>
    <x v="8"/>
    <x v="2"/>
    <x v="2"/>
    <x v="4"/>
    <x v="1"/>
    <x v="0"/>
    <n v="6.24"/>
    <n v="6.79"/>
    <n v="0.28999999999999998"/>
    <n v="6.11"/>
  </r>
  <r>
    <x v="8"/>
    <x v="2"/>
    <x v="2"/>
    <x v="2"/>
    <x v="3"/>
    <x v="0"/>
    <n v="3.67"/>
    <n v="3.99"/>
    <n v="0.03"/>
    <n v="3.67"/>
  </r>
  <r>
    <x v="8"/>
    <x v="2"/>
    <x v="2"/>
    <x v="0"/>
    <x v="4"/>
    <x v="0"/>
    <n v="26.74"/>
    <n v="29.11"/>
    <n v="5.48"/>
    <n v="25.14"/>
  </r>
  <r>
    <x v="8"/>
    <x v="2"/>
    <x v="2"/>
    <x v="1"/>
    <x v="4"/>
    <x v="0"/>
    <n v="147.32"/>
    <n v="160.37"/>
    <n v="18.86"/>
    <n v="139.04"/>
  </r>
  <r>
    <x v="8"/>
    <x v="2"/>
    <x v="2"/>
    <x v="1"/>
    <x v="1"/>
    <x v="0"/>
    <n v="14.45"/>
    <n v="15.73"/>
    <n v="0.72"/>
    <n v="13.78"/>
  </r>
  <r>
    <x v="8"/>
    <x v="2"/>
    <x v="2"/>
    <x v="1"/>
    <x v="2"/>
    <x v="0"/>
    <n v="3.37"/>
    <n v="3.67"/>
    <n v="7.0000000000000007E-2"/>
    <n v="3.12"/>
  </r>
  <r>
    <x v="8"/>
    <x v="2"/>
    <x v="2"/>
    <x v="2"/>
    <x v="0"/>
    <x v="0"/>
    <n v="2.91"/>
    <n v="3.17"/>
    <n v="1.04"/>
    <n v="2.8"/>
  </r>
  <r>
    <x v="8"/>
    <x v="2"/>
    <x v="2"/>
    <x v="2"/>
    <x v="4"/>
    <x v="0"/>
    <n v="3.9"/>
    <n v="4.25"/>
    <n v="0.42"/>
    <n v="3.81"/>
  </r>
  <r>
    <x v="8"/>
    <x v="2"/>
    <x v="2"/>
    <x v="0"/>
    <x v="0"/>
    <x v="0"/>
    <n v="1.67"/>
    <n v="1.82"/>
    <n v="0.67"/>
    <n v="1.58"/>
  </r>
  <r>
    <x v="8"/>
    <x v="2"/>
    <x v="3"/>
    <x v="4"/>
    <x v="4"/>
    <x v="1"/>
    <n v="0.08"/>
    <n v="0.09"/>
    <n v="0"/>
    <n v="7.0000000000000007E-2"/>
  </r>
  <r>
    <x v="8"/>
    <x v="2"/>
    <x v="3"/>
    <x v="1"/>
    <x v="0"/>
    <x v="0"/>
    <n v="9.1"/>
    <n v="9.91"/>
    <n v="3.18"/>
    <n v="8.61"/>
  </r>
  <r>
    <x v="8"/>
    <x v="2"/>
    <x v="3"/>
    <x v="1"/>
    <x v="1"/>
    <x v="1"/>
    <n v="5.74"/>
    <n v="6.25"/>
    <n v="0.02"/>
    <n v="5.4"/>
  </r>
  <r>
    <x v="8"/>
    <x v="2"/>
    <x v="3"/>
    <x v="1"/>
    <x v="2"/>
    <x v="1"/>
    <n v="1.22"/>
    <n v="1.33"/>
    <n v="0.01"/>
    <n v="1.17"/>
  </r>
  <r>
    <x v="8"/>
    <x v="2"/>
    <x v="3"/>
    <x v="2"/>
    <x v="3"/>
    <x v="1"/>
    <n v="0.54"/>
    <n v="0.57999999999999996"/>
    <n v="0"/>
    <n v="0.48"/>
  </r>
  <r>
    <x v="8"/>
    <x v="2"/>
    <x v="3"/>
    <x v="3"/>
    <x v="4"/>
    <x v="0"/>
    <n v="5.84"/>
    <n v="6.36"/>
    <n v="1.0900000000000001"/>
    <n v="5.6"/>
  </r>
  <r>
    <x v="8"/>
    <x v="2"/>
    <x v="3"/>
    <x v="2"/>
    <x v="3"/>
    <x v="3"/>
    <n v="19.059999999999999"/>
    <n v="20.75"/>
    <n v="0.01"/>
    <n v="19.059999999999999"/>
  </r>
  <r>
    <x v="8"/>
    <x v="2"/>
    <x v="3"/>
    <x v="4"/>
    <x v="1"/>
    <x v="0"/>
    <n v="4.54"/>
    <n v="4.9400000000000004"/>
    <n v="0.23"/>
    <n v="4.25"/>
  </r>
  <r>
    <x v="8"/>
    <x v="2"/>
    <x v="3"/>
    <x v="1"/>
    <x v="4"/>
    <x v="1"/>
    <n v="7.0000000000000007E-2"/>
    <n v="7.0000000000000007E-2"/>
    <n v="0"/>
    <n v="0.06"/>
  </r>
  <r>
    <x v="8"/>
    <x v="2"/>
    <x v="3"/>
    <x v="0"/>
    <x v="4"/>
    <x v="0"/>
    <n v="10.27"/>
    <n v="11.18"/>
    <n v="2.04"/>
    <n v="9.5500000000000007"/>
  </r>
  <r>
    <x v="8"/>
    <x v="2"/>
    <x v="3"/>
    <x v="3"/>
    <x v="0"/>
    <x v="0"/>
    <n v="2.72"/>
    <n v="2.97"/>
    <n v="0.44"/>
    <n v="2.7"/>
  </r>
  <r>
    <x v="8"/>
    <x v="2"/>
    <x v="3"/>
    <x v="1"/>
    <x v="4"/>
    <x v="0"/>
    <n v="114.62"/>
    <n v="124.77"/>
    <n v="14.64"/>
    <n v="106.94"/>
  </r>
  <r>
    <x v="8"/>
    <x v="2"/>
    <x v="3"/>
    <x v="1"/>
    <x v="1"/>
    <x v="0"/>
    <n v="17.75"/>
    <n v="19.32"/>
    <n v="0.74"/>
    <n v="16.71"/>
  </r>
  <r>
    <x v="8"/>
    <x v="2"/>
    <x v="3"/>
    <x v="1"/>
    <x v="2"/>
    <x v="0"/>
    <n v="8.75"/>
    <n v="9.52"/>
    <n v="0.03"/>
    <n v="8.11"/>
  </r>
  <r>
    <x v="8"/>
    <x v="2"/>
    <x v="3"/>
    <x v="2"/>
    <x v="0"/>
    <x v="0"/>
    <n v="5.17"/>
    <n v="5.63"/>
    <n v="2.0699999999999998"/>
    <n v="4.88"/>
  </r>
  <r>
    <x v="8"/>
    <x v="2"/>
    <x v="3"/>
    <x v="2"/>
    <x v="4"/>
    <x v="0"/>
    <n v="3.7"/>
    <n v="4.0199999999999996"/>
    <n v="0.37"/>
    <n v="3.47"/>
  </r>
  <r>
    <x v="8"/>
    <x v="2"/>
    <x v="3"/>
    <x v="2"/>
    <x v="3"/>
    <x v="0"/>
    <n v="3.22"/>
    <n v="3.5"/>
    <n v="0.03"/>
    <n v="3.22"/>
  </r>
  <r>
    <x v="8"/>
    <x v="2"/>
    <x v="3"/>
    <x v="0"/>
    <x v="0"/>
    <x v="0"/>
    <n v="3.51"/>
    <n v="3.82"/>
    <n v="1.42"/>
    <n v="3.23"/>
  </r>
  <r>
    <x v="8"/>
    <x v="2"/>
    <x v="3"/>
    <x v="2"/>
    <x v="3"/>
    <x v="2"/>
    <n v="1.69"/>
    <n v="1.84"/>
    <n v="0"/>
    <n v="1.55"/>
  </r>
  <r>
    <x v="8"/>
    <x v="2"/>
    <x v="3"/>
    <x v="4"/>
    <x v="4"/>
    <x v="0"/>
    <n v="45.92"/>
    <n v="49.98"/>
    <n v="4.25"/>
    <n v="43.09"/>
  </r>
  <r>
    <x v="8"/>
    <x v="2"/>
    <x v="3"/>
    <x v="1"/>
    <x v="0"/>
    <x v="1"/>
    <n v="0.32"/>
    <n v="0.35"/>
    <n v="0.03"/>
    <n v="0.31"/>
  </r>
  <r>
    <x v="8"/>
    <x v="2"/>
    <x v="3"/>
    <x v="4"/>
    <x v="1"/>
    <x v="2"/>
    <n v="1.19"/>
    <n v="1.3"/>
    <n v="0"/>
    <n v="1.01"/>
  </r>
  <r>
    <x v="8"/>
    <x v="2"/>
    <x v="3"/>
    <x v="4"/>
    <x v="2"/>
    <x v="2"/>
    <n v="0.94"/>
    <n v="1.02"/>
    <n v="0"/>
    <n v="0.78"/>
  </r>
  <r>
    <x v="8"/>
    <x v="2"/>
    <x v="3"/>
    <x v="1"/>
    <x v="1"/>
    <x v="2"/>
    <n v="0.06"/>
    <n v="7.0000000000000007E-2"/>
    <n v="0"/>
    <n v="0.06"/>
  </r>
  <r>
    <x v="8"/>
    <x v="2"/>
    <x v="3"/>
    <x v="4"/>
    <x v="4"/>
    <x v="2"/>
    <n v="2.13"/>
    <n v="2.3199999999999998"/>
    <n v="0.01"/>
    <n v="1.8"/>
  </r>
  <r>
    <x v="8"/>
    <x v="2"/>
    <x v="3"/>
    <x v="2"/>
    <x v="2"/>
    <x v="3"/>
    <n v="0.42"/>
    <n v="0.46"/>
    <n v="0"/>
    <n v="0.42"/>
  </r>
  <r>
    <x v="8"/>
    <x v="2"/>
    <x v="3"/>
    <x v="4"/>
    <x v="0"/>
    <x v="1"/>
    <n v="0.02"/>
    <n v="0.02"/>
    <n v="0"/>
    <n v="0.02"/>
  </r>
  <r>
    <x v="8"/>
    <x v="2"/>
    <x v="3"/>
    <x v="0"/>
    <x v="0"/>
    <x v="1"/>
    <n v="0.32"/>
    <n v="0.35"/>
    <n v="0.02"/>
    <n v="0.28999999999999998"/>
  </r>
  <r>
    <x v="8"/>
    <x v="2"/>
    <x v="3"/>
    <x v="0"/>
    <x v="4"/>
    <x v="1"/>
    <n v="0.35"/>
    <n v="0.38"/>
    <n v="0.01"/>
    <n v="0.31"/>
  </r>
  <r>
    <x v="8"/>
    <x v="2"/>
    <x v="3"/>
    <x v="1"/>
    <x v="4"/>
    <x v="2"/>
    <n v="0.4"/>
    <n v="0.43"/>
    <n v="0.02"/>
    <n v="0.33"/>
  </r>
  <r>
    <x v="8"/>
    <x v="0"/>
    <x v="4"/>
    <x v="3"/>
    <x v="4"/>
    <x v="0"/>
    <n v="6.43"/>
    <n v="9.57"/>
    <n v="1.69"/>
    <n v="6.35"/>
  </r>
  <r>
    <x v="8"/>
    <x v="0"/>
    <x v="4"/>
    <x v="4"/>
    <x v="1"/>
    <x v="0"/>
    <n v="13.81"/>
    <n v="20.56"/>
    <n v="0.91"/>
    <n v="13.37"/>
  </r>
  <r>
    <x v="8"/>
    <x v="0"/>
    <x v="4"/>
    <x v="3"/>
    <x v="0"/>
    <x v="0"/>
    <n v="0.97"/>
    <n v="1.45"/>
    <n v="1.81"/>
    <n v="0.97"/>
  </r>
  <r>
    <x v="8"/>
    <x v="0"/>
    <x v="4"/>
    <x v="2"/>
    <x v="3"/>
    <x v="1"/>
    <n v="8.4499999999999993"/>
    <n v="12.58"/>
    <n v="0.01"/>
    <n v="8.06"/>
  </r>
  <r>
    <x v="8"/>
    <x v="0"/>
    <x v="4"/>
    <x v="3"/>
    <x v="1"/>
    <x v="0"/>
    <n v="0.15"/>
    <n v="0.22"/>
    <n v="0.02"/>
    <n v="0.15"/>
  </r>
  <r>
    <x v="8"/>
    <x v="0"/>
    <x v="4"/>
    <x v="4"/>
    <x v="0"/>
    <x v="0"/>
    <n v="0.33"/>
    <n v="0.5"/>
    <n v="0.06"/>
    <n v="0.31"/>
  </r>
  <r>
    <x v="8"/>
    <x v="0"/>
    <x v="4"/>
    <x v="1"/>
    <x v="2"/>
    <x v="0"/>
    <n v="28.42"/>
    <n v="42.3"/>
    <n v="0.46"/>
    <n v="27.14"/>
  </r>
  <r>
    <x v="8"/>
    <x v="0"/>
    <x v="4"/>
    <x v="2"/>
    <x v="4"/>
    <x v="0"/>
    <n v="30.06"/>
    <n v="44.75"/>
    <n v="10.58"/>
    <n v="29.71"/>
  </r>
  <r>
    <x v="8"/>
    <x v="0"/>
    <x v="4"/>
    <x v="0"/>
    <x v="4"/>
    <x v="0"/>
    <n v="34.159999999999997"/>
    <n v="50.84"/>
    <n v="6.04"/>
    <n v="33.6"/>
  </r>
  <r>
    <x v="8"/>
    <x v="0"/>
    <x v="4"/>
    <x v="1"/>
    <x v="0"/>
    <x v="0"/>
    <n v="13.38"/>
    <n v="19.91"/>
    <n v="10.73"/>
    <n v="13.17"/>
  </r>
  <r>
    <x v="8"/>
    <x v="0"/>
    <x v="4"/>
    <x v="1"/>
    <x v="4"/>
    <x v="0"/>
    <n v="173.16"/>
    <n v="257.74"/>
    <n v="48.22"/>
    <n v="169.15"/>
  </r>
  <r>
    <x v="8"/>
    <x v="0"/>
    <x v="4"/>
    <x v="2"/>
    <x v="3"/>
    <x v="0"/>
    <n v="0.01"/>
    <n v="0.01"/>
    <n v="0"/>
    <n v="0.01"/>
  </r>
  <r>
    <x v="8"/>
    <x v="0"/>
    <x v="4"/>
    <x v="1"/>
    <x v="2"/>
    <x v="1"/>
    <n v="30.47"/>
    <n v="45.36"/>
    <n v="0.11"/>
    <n v="29.06"/>
  </r>
  <r>
    <x v="8"/>
    <x v="0"/>
    <x v="4"/>
    <x v="2"/>
    <x v="0"/>
    <x v="0"/>
    <n v="13.86"/>
    <n v="20.64"/>
    <n v="15.44"/>
    <n v="13.49"/>
  </r>
  <r>
    <x v="8"/>
    <x v="0"/>
    <x v="4"/>
    <x v="4"/>
    <x v="4"/>
    <x v="0"/>
    <n v="64.709999999999994"/>
    <n v="96.32"/>
    <n v="8.65"/>
    <n v="62.5"/>
  </r>
  <r>
    <x v="8"/>
    <x v="0"/>
    <x v="4"/>
    <x v="1"/>
    <x v="1"/>
    <x v="0"/>
    <n v="65.77"/>
    <n v="97.9"/>
    <n v="4.71"/>
    <n v="63.76"/>
  </r>
  <r>
    <x v="8"/>
    <x v="0"/>
    <x v="4"/>
    <x v="2"/>
    <x v="3"/>
    <x v="2"/>
    <n v="1.1100000000000001"/>
    <n v="1.65"/>
    <n v="0"/>
    <n v="1.06"/>
  </r>
  <r>
    <x v="8"/>
    <x v="0"/>
    <x v="4"/>
    <x v="0"/>
    <x v="0"/>
    <x v="0"/>
    <n v="5.03"/>
    <n v="7.49"/>
    <n v="3.41"/>
    <n v="4.8899999999999997"/>
  </r>
  <r>
    <x v="8"/>
    <x v="0"/>
    <x v="4"/>
    <x v="1"/>
    <x v="1"/>
    <x v="1"/>
    <n v="2.95"/>
    <n v="4.3899999999999997"/>
    <n v="0.09"/>
    <n v="2.81"/>
  </r>
  <r>
    <x v="8"/>
    <x v="0"/>
    <x v="4"/>
    <x v="4"/>
    <x v="1"/>
    <x v="2"/>
    <n v="0.04"/>
    <n v="0.06"/>
    <n v="0"/>
    <n v="0.04"/>
  </r>
  <r>
    <x v="8"/>
    <x v="0"/>
    <x v="4"/>
    <x v="1"/>
    <x v="4"/>
    <x v="2"/>
    <n v="7.0000000000000007E-2"/>
    <n v="0.1"/>
    <n v="0"/>
    <n v="0.06"/>
  </r>
  <r>
    <x v="8"/>
    <x v="0"/>
    <x v="4"/>
    <x v="4"/>
    <x v="4"/>
    <x v="2"/>
    <n v="0.06"/>
    <n v="0.08"/>
    <n v="0"/>
    <n v="0.05"/>
  </r>
  <r>
    <x v="8"/>
    <x v="0"/>
    <x v="4"/>
    <x v="2"/>
    <x v="3"/>
    <x v="3"/>
    <n v="158.86000000000001"/>
    <n v="236.46"/>
    <n v="7.0000000000000007E-2"/>
    <n v="154.44"/>
  </r>
  <r>
    <x v="8"/>
    <x v="0"/>
    <x v="4"/>
    <x v="4"/>
    <x v="0"/>
    <x v="1"/>
    <n v="2.56"/>
    <n v="3.81"/>
    <n v="0.15"/>
    <n v="2.44"/>
  </r>
  <r>
    <x v="8"/>
    <x v="0"/>
    <x v="4"/>
    <x v="4"/>
    <x v="4"/>
    <x v="1"/>
    <n v="0.35"/>
    <n v="0.53"/>
    <n v="0.03"/>
    <n v="0.34"/>
  </r>
  <r>
    <x v="8"/>
    <x v="0"/>
    <x v="4"/>
    <x v="4"/>
    <x v="1"/>
    <x v="1"/>
    <n v="0.16"/>
    <n v="0.24"/>
    <n v="0.02"/>
    <n v="0.16"/>
  </r>
  <r>
    <x v="8"/>
    <x v="0"/>
    <x v="4"/>
    <x v="0"/>
    <x v="0"/>
    <x v="1"/>
    <n v="8.76"/>
    <n v="13.04"/>
    <n v="0.2"/>
    <n v="8.36"/>
  </r>
  <r>
    <x v="8"/>
    <x v="0"/>
    <x v="4"/>
    <x v="0"/>
    <x v="4"/>
    <x v="1"/>
    <n v="0.02"/>
    <n v="0.02"/>
    <n v="0"/>
    <n v="0.01"/>
  </r>
  <r>
    <x v="8"/>
    <x v="0"/>
    <x v="4"/>
    <x v="1"/>
    <x v="0"/>
    <x v="1"/>
    <n v="1.55"/>
    <n v="2.2999999999999998"/>
    <n v="7.0000000000000007E-2"/>
    <n v="1.47"/>
  </r>
  <r>
    <x v="8"/>
    <x v="0"/>
    <x v="4"/>
    <x v="1"/>
    <x v="4"/>
    <x v="1"/>
    <n v="0.52"/>
    <n v="0.77"/>
    <n v="0.02"/>
    <n v="0.49"/>
  </r>
  <r>
    <x v="8"/>
    <x v="0"/>
    <x v="4"/>
    <x v="4"/>
    <x v="2"/>
    <x v="2"/>
    <n v="0.04"/>
    <n v="0.06"/>
    <n v="0"/>
    <n v="0.04"/>
  </r>
  <r>
    <x v="8"/>
    <x v="3"/>
    <x v="5"/>
    <x v="4"/>
    <x v="1"/>
    <x v="1"/>
    <n v="0.25"/>
    <n v="0.3"/>
    <n v="0.04"/>
    <n v="0.2"/>
  </r>
  <r>
    <x v="8"/>
    <x v="3"/>
    <x v="5"/>
    <x v="1"/>
    <x v="4"/>
    <x v="1"/>
    <n v="1.35"/>
    <n v="1.63"/>
    <n v="0.12"/>
    <n v="1.0900000000000001"/>
  </r>
  <r>
    <x v="8"/>
    <x v="3"/>
    <x v="5"/>
    <x v="1"/>
    <x v="0"/>
    <x v="1"/>
    <n v="1.43"/>
    <n v="1.73"/>
    <n v="0.16"/>
    <n v="1.1599999999999999"/>
  </r>
  <r>
    <x v="8"/>
    <x v="3"/>
    <x v="5"/>
    <x v="0"/>
    <x v="4"/>
    <x v="1"/>
    <n v="9.59"/>
    <n v="11.57"/>
    <n v="0.39"/>
    <n v="7.71"/>
  </r>
  <r>
    <x v="8"/>
    <x v="3"/>
    <x v="5"/>
    <x v="0"/>
    <x v="0"/>
    <x v="1"/>
    <n v="6.13"/>
    <n v="7.4"/>
    <n v="0.44"/>
    <n v="4.92"/>
  </r>
  <r>
    <x v="8"/>
    <x v="3"/>
    <x v="5"/>
    <x v="4"/>
    <x v="4"/>
    <x v="1"/>
    <n v="0.23"/>
    <n v="0.28000000000000003"/>
    <n v="0.04"/>
    <n v="0.18"/>
  </r>
  <r>
    <x v="8"/>
    <x v="3"/>
    <x v="5"/>
    <x v="4"/>
    <x v="0"/>
    <x v="1"/>
    <n v="1.41"/>
    <n v="1.7"/>
    <n v="0.09"/>
    <n v="1.1299999999999999"/>
  </r>
  <r>
    <x v="8"/>
    <x v="3"/>
    <x v="5"/>
    <x v="2"/>
    <x v="3"/>
    <x v="3"/>
    <n v="57.43"/>
    <n v="69.3"/>
    <n v="0.03"/>
    <n v="56.59"/>
  </r>
  <r>
    <x v="8"/>
    <x v="3"/>
    <x v="5"/>
    <x v="2"/>
    <x v="3"/>
    <x v="2"/>
    <n v="3.11"/>
    <n v="3.76"/>
    <n v="0.01"/>
    <n v="2.83"/>
  </r>
  <r>
    <x v="8"/>
    <x v="3"/>
    <x v="5"/>
    <x v="1"/>
    <x v="1"/>
    <x v="1"/>
    <n v="2.35"/>
    <n v="2.83"/>
    <n v="0.05"/>
    <n v="1.88"/>
  </r>
  <r>
    <x v="8"/>
    <x v="3"/>
    <x v="5"/>
    <x v="4"/>
    <x v="1"/>
    <x v="2"/>
    <n v="0.39"/>
    <n v="0.47"/>
    <n v="0.01"/>
    <n v="0.35"/>
  </r>
  <r>
    <x v="8"/>
    <x v="3"/>
    <x v="5"/>
    <x v="0"/>
    <x v="0"/>
    <x v="0"/>
    <n v="3.32"/>
    <n v="4.01"/>
    <n v="0.48"/>
    <n v="3.11"/>
  </r>
  <r>
    <x v="8"/>
    <x v="3"/>
    <x v="5"/>
    <x v="4"/>
    <x v="2"/>
    <x v="2"/>
    <n v="0.3"/>
    <n v="0.36"/>
    <n v="0"/>
    <n v="0.27"/>
  </r>
  <r>
    <x v="8"/>
    <x v="3"/>
    <x v="5"/>
    <x v="1"/>
    <x v="2"/>
    <x v="1"/>
    <n v="7.6"/>
    <n v="9.17"/>
    <n v="7.0000000000000007E-2"/>
    <n v="6.11"/>
  </r>
  <r>
    <x v="8"/>
    <x v="3"/>
    <x v="5"/>
    <x v="2"/>
    <x v="4"/>
    <x v="1"/>
    <n v="0.17"/>
    <n v="0.2"/>
    <n v="0"/>
    <n v="0.14000000000000001"/>
  </r>
  <r>
    <x v="8"/>
    <x v="3"/>
    <x v="5"/>
    <x v="2"/>
    <x v="3"/>
    <x v="1"/>
    <n v="0.82"/>
    <n v="0.99"/>
    <n v="0"/>
    <n v="0.66"/>
  </r>
  <r>
    <x v="8"/>
    <x v="3"/>
    <x v="5"/>
    <x v="3"/>
    <x v="4"/>
    <x v="0"/>
    <n v="161.16999999999999"/>
    <n v="194.46"/>
    <n v="42.88"/>
    <n v="149.69999999999999"/>
  </r>
  <r>
    <x v="8"/>
    <x v="3"/>
    <x v="5"/>
    <x v="4"/>
    <x v="4"/>
    <x v="2"/>
    <n v="0.64"/>
    <n v="0.77"/>
    <n v="0.03"/>
    <n v="0.57999999999999996"/>
  </r>
  <r>
    <x v="8"/>
    <x v="3"/>
    <x v="5"/>
    <x v="4"/>
    <x v="1"/>
    <x v="0"/>
    <n v="20.71"/>
    <n v="24.99"/>
    <n v="0.3"/>
    <n v="19.59"/>
  </r>
  <r>
    <x v="8"/>
    <x v="3"/>
    <x v="5"/>
    <x v="3"/>
    <x v="0"/>
    <x v="0"/>
    <n v="76.2"/>
    <n v="91.94"/>
    <n v="65.23"/>
    <n v="74.260000000000005"/>
  </r>
  <r>
    <x v="8"/>
    <x v="3"/>
    <x v="5"/>
    <x v="0"/>
    <x v="4"/>
    <x v="0"/>
    <n v="39.869999999999997"/>
    <n v="48.11"/>
    <n v="18.57"/>
    <n v="38.549999999999997"/>
  </r>
  <r>
    <x v="8"/>
    <x v="3"/>
    <x v="5"/>
    <x v="1"/>
    <x v="0"/>
    <x v="0"/>
    <n v="43.3"/>
    <n v="52.24"/>
    <n v="29.09"/>
    <n v="42.05"/>
  </r>
  <r>
    <x v="8"/>
    <x v="3"/>
    <x v="5"/>
    <x v="1"/>
    <x v="4"/>
    <x v="0"/>
    <n v="506.55"/>
    <n v="611.19000000000005"/>
    <n v="119.32"/>
    <n v="484.86"/>
  </r>
  <r>
    <x v="8"/>
    <x v="3"/>
    <x v="5"/>
    <x v="2"/>
    <x v="0"/>
    <x v="0"/>
    <n v="37.67"/>
    <n v="45.45"/>
    <n v="17.04"/>
    <n v="36.07"/>
  </r>
  <r>
    <x v="8"/>
    <x v="3"/>
    <x v="5"/>
    <x v="2"/>
    <x v="4"/>
    <x v="0"/>
    <n v="48.09"/>
    <n v="58.03"/>
    <n v="13.66"/>
    <n v="47.35"/>
  </r>
  <r>
    <x v="8"/>
    <x v="3"/>
    <x v="5"/>
    <x v="4"/>
    <x v="4"/>
    <x v="0"/>
    <n v="249.53"/>
    <n v="301.07"/>
    <n v="26.72"/>
    <n v="235.63"/>
  </r>
  <r>
    <x v="8"/>
    <x v="3"/>
    <x v="5"/>
    <x v="4"/>
    <x v="0"/>
    <x v="0"/>
    <n v="1.03"/>
    <n v="1.24"/>
    <n v="0.79"/>
    <n v="0.95"/>
  </r>
  <r>
    <x v="8"/>
    <x v="0"/>
    <x v="6"/>
    <x v="3"/>
    <x v="4"/>
    <x v="0"/>
    <n v="2.95"/>
    <n v="3.6"/>
    <n v="0.79"/>
    <n v="2.81"/>
  </r>
  <r>
    <x v="8"/>
    <x v="0"/>
    <x v="6"/>
    <x v="1"/>
    <x v="0"/>
    <x v="1"/>
    <n v="0.26"/>
    <n v="0.32"/>
    <n v="0.02"/>
    <n v="0.25"/>
  </r>
  <r>
    <x v="8"/>
    <x v="0"/>
    <x v="6"/>
    <x v="1"/>
    <x v="4"/>
    <x v="1"/>
    <n v="0.79"/>
    <n v="0.97"/>
    <n v="0.03"/>
    <n v="0.75"/>
  </r>
  <r>
    <x v="8"/>
    <x v="0"/>
    <x v="6"/>
    <x v="1"/>
    <x v="1"/>
    <x v="1"/>
    <n v="8.02"/>
    <n v="9.7899999999999991"/>
    <n v="0.26"/>
    <n v="7.64"/>
  </r>
  <r>
    <x v="8"/>
    <x v="0"/>
    <x v="6"/>
    <x v="1"/>
    <x v="2"/>
    <x v="1"/>
    <n v="17.46"/>
    <n v="21.33"/>
    <n v="7.0000000000000007E-2"/>
    <n v="16.62"/>
  </r>
  <r>
    <x v="8"/>
    <x v="0"/>
    <x v="6"/>
    <x v="0"/>
    <x v="4"/>
    <x v="0"/>
    <n v="3.64"/>
    <n v="4.45"/>
    <n v="0.75"/>
    <n v="3.46"/>
  </r>
  <r>
    <x v="8"/>
    <x v="0"/>
    <x v="6"/>
    <x v="3"/>
    <x v="0"/>
    <x v="0"/>
    <n v="1.38"/>
    <n v="1.68"/>
    <n v="0.79"/>
    <n v="1.36"/>
  </r>
  <r>
    <x v="8"/>
    <x v="0"/>
    <x v="6"/>
    <x v="4"/>
    <x v="1"/>
    <x v="1"/>
    <n v="0.05"/>
    <n v="0.06"/>
    <n v="0"/>
    <n v="0.04"/>
  </r>
  <r>
    <x v="8"/>
    <x v="0"/>
    <x v="6"/>
    <x v="3"/>
    <x v="1"/>
    <x v="0"/>
    <n v="0.03"/>
    <n v="0.04"/>
    <n v="0"/>
    <n v="0.03"/>
  </r>
  <r>
    <x v="8"/>
    <x v="0"/>
    <x v="6"/>
    <x v="4"/>
    <x v="0"/>
    <x v="0"/>
    <n v="0.14000000000000001"/>
    <n v="0.17"/>
    <n v="0.02"/>
    <n v="0.13"/>
  </r>
  <r>
    <x v="8"/>
    <x v="0"/>
    <x v="6"/>
    <x v="4"/>
    <x v="4"/>
    <x v="0"/>
    <n v="10.67"/>
    <n v="13.03"/>
    <n v="1.86"/>
    <n v="9.9499999999999993"/>
  </r>
  <r>
    <x v="8"/>
    <x v="0"/>
    <x v="6"/>
    <x v="4"/>
    <x v="1"/>
    <x v="0"/>
    <n v="4.88"/>
    <n v="5.97"/>
    <n v="0.24"/>
    <n v="4.55"/>
  </r>
  <r>
    <x v="8"/>
    <x v="0"/>
    <x v="6"/>
    <x v="4"/>
    <x v="3"/>
    <x v="0"/>
    <n v="4.97"/>
    <n v="6.07"/>
    <n v="0.01"/>
    <n v="4.97"/>
  </r>
  <r>
    <x v="8"/>
    <x v="0"/>
    <x v="6"/>
    <x v="0"/>
    <x v="0"/>
    <x v="0"/>
    <n v="1.36"/>
    <n v="1.66"/>
    <n v="1.1299999999999999"/>
    <n v="1.26"/>
  </r>
  <r>
    <x v="8"/>
    <x v="0"/>
    <x v="6"/>
    <x v="1"/>
    <x v="0"/>
    <x v="0"/>
    <n v="1.68"/>
    <n v="2.0499999999999998"/>
    <n v="0.94"/>
    <n v="1.59"/>
  </r>
  <r>
    <x v="8"/>
    <x v="0"/>
    <x v="6"/>
    <x v="4"/>
    <x v="1"/>
    <x v="2"/>
    <n v="0.5"/>
    <n v="0.62"/>
    <n v="0.01"/>
    <n v="0.47"/>
  </r>
  <r>
    <x v="8"/>
    <x v="0"/>
    <x v="6"/>
    <x v="1"/>
    <x v="4"/>
    <x v="0"/>
    <n v="41.5"/>
    <n v="50.7"/>
    <n v="9.11"/>
    <n v="39.049999999999997"/>
  </r>
  <r>
    <x v="8"/>
    <x v="0"/>
    <x v="6"/>
    <x v="1"/>
    <x v="1"/>
    <x v="0"/>
    <n v="8.02"/>
    <n v="9.8000000000000007"/>
    <n v="0.78"/>
    <n v="7.59"/>
  </r>
  <r>
    <x v="8"/>
    <x v="0"/>
    <x v="6"/>
    <x v="1"/>
    <x v="2"/>
    <x v="0"/>
    <n v="10.99"/>
    <n v="13.42"/>
    <n v="0.12"/>
    <n v="10.31"/>
  </r>
  <r>
    <x v="8"/>
    <x v="0"/>
    <x v="6"/>
    <x v="2"/>
    <x v="0"/>
    <x v="0"/>
    <n v="3.02"/>
    <n v="3.69"/>
    <n v="1.98"/>
    <n v="2.84"/>
  </r>
  <r>
    <x v="8"/>
    <x v="0"/>
    <x v="6"/>
    <x v="2"/>
    <x v="4"/>
    <x v="0"/>
    <n v="3.01"/>
    <n v="3.68"/>
    <n v="0.44"/>
    <n v="2.93"/>
  </r>
  <r>
    <x v="8"/>
    <x v="0"/>
    <x v="6"/>
    <x v="0"/>
    <x v="4"/>
    <x v="1"/>
    <n v="0.27"/>
    <n v="0.33"/>
    <n v="0.03"/>
    <n v="0.26"/>
  </r>
  <r>
    <x v="8"/>
    <x v="0"/>
    <x v="6"/>
    <x v="4"/>
    <x v="4"/>
    <x v="2"/>
    <n v="0.19"/>
    <n v="0.23"/>
    <n v="0.01"/>
    <n v="0.18"/>
  </r>
  <r>
    <x v="8"/>
    <x v="0"/>
    <x v="6"/>
    <x v="0"/>
    <x v="0"/>
    <x v="1"/>
    <n v="2.5"/>
    <n v="3.06"/>
    <n v="0.06"/>
    <n v="2.39"/>
  </r>
  <r>
    <x v="8"/>
    <x v="0"/>
    <x v="6"/>
    <x v="4"/>
    <x v="2"/>
    <x v="2"/>
    <n v="0.66"/>
    <n v="0.81"/>
    <n v="0.01"/>
    <n v="0.62"/>
  </r>
  <r>
    <x v="8"/>
    <x v="0"/>
    <x v="6"/>
    <x v="1"/>
    <x v="4"/>
    <x v="2"/>
    <n v="0.15"/>
    <n v="0.19"/>
    <n v="0.01"/>
    <n v="0.14000000000000001"/>
  </r>
  <r>
    <x v="8"/>
    <x v="0"/>
    <x v="6"/>
    <x v="2"/>
    <x v="3"/>
    <x v="3"/>
    <n v="3.34"/>
    <n v="4.08"/>
    <n v="0"/>
    <n v="3.04"/>
  </r>
  <r>
    <x v="8"/>
    <x v="0"/>
    <x v="6"/>
    <x v="4"/>
    <x v="0"/>
    <x v="1"/>
    <n v="1.1000000000000001"/>
    <n v="1.35"/>
    <n v="0.06"/>
    <n v="1.05"/>
  </r>
  <r>
    <x v="8"/>
    <x v="0"/>
    <x v="6"/>
    <x v="4"/>
    <x v="4"/>
    <x v="1"/>
    <n v="0.21"/>
    <n v="0.25"/>
    <n v="0.01"/>
    <n v="0.2"/>
  </r>
  <r>
    <x v="8"/>
    <x v="4"/>
    <x v="7"/>
    <x v="1"/>
    <x v="4"/>
    <x v="0"/>
    <n v="6659.61"/>
    <n v="6959.55"/>
    <n v="1712.03"/>
    <n v="6092.11"/>
  </r>
  <r>
    <x v="8"/>
    <x v="4"/>
    <x v="7"/>
    <x v="4"/>
    <x v="3"/>
    <x v="0"/>
    <n v="107.25"/>
    <n v="112.08"/>
    <n v="1.33"/>
    <n v="107.25"/>
  </r>
  <r>
    <x v="8"/>
    <x v="4"/>
    <x v="7"/>
    <x v="1"/>
    <x v="0"/>
    <x v="0"/>
    <n v="96.88"/>
    <n v="101.24"/>
    <n v="75.739999999999995"/>
    <n v="90.41"/>
  </r>
  <r>
    <x v="8"/>
    <x v="4"/>
    <x v="7"/>
    <x v="1"/>
    <x v="0"/>
    <x v="1"/>
    <n v="18.05"/>
    <n v="18.86"/>
    <n v="1.88"/>
    <n v="15"/>
  </r>
  <r>
    <x v="8"/>
    <x v="4"/>
    <x v="7"/>
    <x v="4"/>
    <x v="4"/>
    <x v="2"/>
    <n v="0.66"/>
    <n v="0.69"/>
    <n v="0.22"/>
    <n v="0.55000000000000004"/>
  </r>
  <r>
    <x v="8"/>
    <x v="4"/>
    <x v="7"/>
    <x v="4"/>
    <x v="1"/>
    <x v="2"/>
    <n v="44.02"/>
    <n v="46.01"/>
    <n v="1.01"/>
    <n v="36.26"/>
  </r>
  <r>
    <x v="8"/>
    <x v="4"/>
    <x v="7"/>
    <x v="4"/>
    <x v="2"/>
    <x v="2"/>
    <n v="21.54"/>
    <n v="22.51"/>
    <n v="0.31"/>
    <n v="17.739999999999998"/>
  </r>
  <r>
    <x v="8"/>
    <x v="4"/>
    <x v="7"/>
    <x v="1"/>
    <x v="4"/>
    <x v="2"/>
    <n v="3.35"/>
    <n v="3.5"/>
    <n v="0.24"/>
    <n v="2.76"/>
  </r>
  <r>
    <x v="8"/>
    <x v="4"/>
    <x v="7"/>
    <x v="1"/>
    <x v="1"/>
    <x v="2"/>
    <n v="3.08"/>
    <n v="3.22"/>
    <n v="0.02"/>
    <n v="2.54"/>
  </r>
  <r>
    <x v="8"/>
    <x v="4"/>
    <x v="7"/>
    <x v="2"/>
    <x v="3"/>
    <x v="2"/>
    <n v="98.62"/>
    <n v="103.06"/>
    <n v="0.15"/>
    <n v="97.49"/>
  </r>
  <r>
    <x v="8"/>
    <x v="4"/>
    <x v="7"/>
    <x v="2"/>
    <x v="3"/>
    <x v="3"/>
    <n v="144.28"/>
    <n v="150.77000000000001"/>
    <n v="0.12"/>
    <n v="144.06"/>
  </r>
  <r>
    <x v="8"/>
    <x v="4"/>
    <x v="7"/>
    <x v="4"/>
    <x v="0"/>
    <x v="1"/>
    <n v="0.28000000000000003"/>
    <n v="0.28999999999999998"/>
    <n v="7.0000000000000007E-2"/>
    <n v="0.23"/>
  </r>
  <r>
    <x v="8"/>
    <x v="4"/>
    <x v="7"/>
    <x v="4"/>
    <x v="4"/>
    <x v="1"/>
    <n v="13.86"/>
    <n v="14.49"/>
    <n v="1.63"/>
    <n v="11.45"/>
  </r>
  <r>
    <x v="8"/>
    <x v="4"/>
    <x v="7"/>
    <x v="4"/>
    <x v="1"/>
    <x v="1"/>
    <n v="5.79"/>
    <n v="6.05"/>
    <n v="0.14000000000000001"/>
    <n v="4.8"/>
  </r>
  <r>
    <x v="8"/>
    <x v="4"/>
    <x v="7"/>
    <x v="0"/>
    <x v="4"/>
    <x v="0"/>
    <n v="441.9"/>
    <n v="461.8"/>
    <n v="130.09"/>
    <n v="394.01"/>
  </r>
  <r>
    <x v="8"/>
    <x v="4"/>
    <x v="7"/>
    <x v="0"/>
    <x v="4"/>
    <x v="1"/>
    <n v="155.51"/>
    <n v="162.52000000000001"/>
    <n v="1.75"/>
    <n v="128.5"/>
  </r>
  <r>
    <x v="8"/>
    <x v="4"/>
    <x v="7"/>
    <x v="0"/>
    <x v="2"/>
    <x v="0"/>
    <n v="11.52"/>
    <n v="12.03"/>
    <n v="0.15"/>
    <n v="9.32"/>
  </r>
  <r>
    <x v="8"/>
    <x v="4"/>
    <x v="7"/>
    <x v="1"/>
    <x v="4"/>
    <x v="1"/>
    <n v="16.16"/>
    <n v="16.88"/>
    <n v="1.29"/>
    <n v="13.44"/>
  </r>
  <r>
    <x v="8"/>
    <x v="4"/>
    <x v="7"/>
    <x v="1"/>
    <x v="1"/>
    <x v="1"/>
    <n v="206.02"/>
    <n v="215.3"/>
    <n v="1.26"/>
    <n v="170.27"/>
  </r>
  <r>
    <x v="8"/>
    <x v="4"/>
    <x v="7"/>
    <x v="2"/>
    <x v="3"/>
    <x v="1"/>
    <n v="42.35"/>
    <n v="44.26"/>
    <n v="7.0000000000000007E-2"/>
    <n v="35.29"/>
  </r>
  <r>
    <x v="8"/>
    <x v="4"/>
    <x v="7"/>
    <x v="3"/>
    <x v="4"/>
    <x v="0"/>
    <n v="1569.78"/>
    <n v="1640.48"/>
    <n v="399.54"/>
    <n v="1483.73"/>
  </r>
  <r>
    <x v="8"/>
    <x v="4"/>
    <x v="7"/>
    <x v="3"/>
    <x v="1"/>
    <x v="0"/>
    <n v="34.07"/>
    <n v="35.6"/>
    <n v="3.57"/>
    <n v="34.450000000000003"/>
  </r>
  <r>
    <x v="8"/>
    <x v="4"/>
    <x v="7"/>
    <x v="4"/>
    <x v="4"/>
    <x v="0"/>
    <n v="730.78"/>
    <n v="763.69"/>
    <n v="185.9"/>
    <n v="672.73"/>
  </r>
  <r>
    <x v="8"/>
    <x v="4"/>
    <x v="7"/>
    <x v="4"/>
    <x v="1"/>
    <x v="0"/>
    <n v="117.43"/>
    <n v="122.72"/>
    <n v="11.47"/>
    <n v="105.96"/>
  </r>
  <r>
    <x v="8"/>
    <x v="4"/>
    <x v="7"/>
    <x v="3"/>
    <x v="0"/>
    <x v="0"/>
    <n v="100.06"/>
    <n v="104.57"/>
    <n v="57.07"/>
    <n v="101.18"/>
  </r>
  <r>
    <x v="8"/>
    <x v="4"/>
    <x v="7"/>
    <x v="0"/>
    <x v="0"/>
    <x v="0"/>
    <n v="87.28"/>
    <n v="91.21"/>
    <n v="51.63"/>
    <n v="76.84"/>
  </r>
  <r>
    <x v="8"/>
    <x v="4"/>
    <x v="7"/>
    <x v="2"/>
    <x v="4"/>
    <x v="0"/>
    <n v="265.89"/>
    <n v="277.87"/>
    <n v="77.930000000000007"/>
    <n v="245.45"/>
  </r>
  <r>
    <x v="8"/>
    <x v="4"/>
    <x v="7"/>
    <x v="0"/>
    <x v="0"/>
    <x v="1"/>
    <n v="33.659999999999997"/>
    <n v="35.17"/>
    <n v="2.5099999999999998"/>
    <n v="27.81"/>
  </r>
  <r>
    <x v="8"/>
    <x v="4"/>
    <x v="7"/>
    <x v="1"/>
    <x v="2"/>
    <x v="0"/>
    <n v="339.86"/>
    <n v="355.17"/>
    <n v="7.99"/>
    <n v="294.62"/>
  </r>
  <r>
    <x v="8"/>
    <x v="4"/>
    <x v="7"/>
    <x v="1"/>
    <x v="1"/>
    <x v="0"/>
    <n v="2728.87"/>
    <n v="2851.77"/>
    <n v="254.54"/>
    <n v="2423.7800000000002"/>
  </r>
  <r>
    <x v="8"/>
    <x v="4"/>
    <x v="7"/>
    <x v="1"/>
    <x v="2"/>
    <x v="1"/>
    <n v="391.27"/>
    <n v="408.89"/>
    <n v="0.83"/>
    <n v="323.39"/>
  </r>
  <r>
    <x v="8"/>
    <x v="4"/>
    <x v="7"/>
    <x v="2"/>
    <x v="0"/>
    <x v="0"/>
    <n v="201.76"/>
    <n v="210.84"/>
    <n v="232.91"/>
    <n v="185.98"/>
  </r>
  <r>
    <x v="8"/>
    <x v="0"/>
    <x v="8"/>
    <x v="2"/>
    <x v="3"/>
    <x v="3"/>
    <n v="1.88"/>
    <n v="2.88"/>
    <n v="0"/>
    <n v="1.71"/>
  </r>
  <r>
    <x v="8"/>
    <x v="0"/>
    <x v="8"/>
    <x v="1"/>
    <x v="2"/>
    <x v="1"/>
    <n v="6.73"/>
    <n v="10.29"/>
    <n v="0.02"/>
    <n v="6.42"/>
  </r>
  <r>
    <x v="8"/>
    <x v="0"/>
    <x v="8"/>
    <x v="1"/>
    <x v="1"/>
    <x v="1"/>
    <n v="1.44"/>
    <n v="2.2000000000000002"/>
    <n v="0.04"/>
    <n v="1.38"/>
  </r>
  <r>
    <x v="8"/>
    <x v="0"/>
    <x v="8"/>
    <x v="1"/>
    <x v="4"/>
    <x v="1"/>
    <n v="0.14000000000000001"/>
    <n v="0.21"/>
    <n v="0"/>
    <n v="0.13"/>
  </r>
  <r>
    <x v="8"/>
    <x v="0"/>
    <x v="8"/>
    <x v="1"/>
    <x v="0"/>
    <x v="1"/>
    <n v="0.09"/>
    <n v="0.13"/>
    <n v="0"/>
    <n v="0.08"/>
  </r>
  <r>
    <x v="8"/>
    <x v="0"/>
    <x v="8"/>
    <x v="0"/>
    <x v="0"/>
    <x v="1"/>
    <n v="0.86"/>
    <n v="1.31"/>
    <n v="0.02"/>
    <n v="0.82"/>
  </r>
  <r>
    <x v="8"/>
    <x v="0"/>
    <x v="8"/>
    <x v="2"/>
    <x v="3"/>
    <x v="1"/>
    <n v="0"/>
    <n v="0.01"/>
    <n v="0"/>
    <n v="0"/>
  </r>
  <r>
    <x v="8"/>
    <x v="0"/>
    <x v="8"/>
    <x v="4"/>
    <x v="0"/>
    <x v="1"/>
    <n v="0.42"/>
    <n v="0.64"/>
    <n v="0.02"/>
    <n v="0.4"/>
  </r>
  <r>
    <x v="8"/>
    <x v="0"/>
    <x v="8"/>
    <x v="0"/>
    <x v="4"/>
    <x v="1"/>
    <n v="0.1"/>
    <n v="0.15"/>
    <n v="0.02"/>
    <n v="0.09"/>
  </r>
  <r>
    <x v="8"/>
    <x v="0"/>
    <x v="8"/>
    <x v="4"/>
    <x v="1"/>
    <x v="2"/>
    <n v="0.84"/>
    <n v="1.28"/>
    <n v="0.03"/>
    <n v="0.77"/>
  </r>
  <r>
    <x v="8"/>
    <x v="0"/>
    <x v="8"/>
    <x v="4"/>
    <x v="4"/>
    <x v="2"/>
    <n v="0.14000000000000001"/>
    <n v="0.22"/>
    <n v="0"/>
    <n v="0.13"/>
  </r>
  <r>
    <x v="8"/>
    <x v="0"/>
    <x v="8"/>
    <x v="4"/>
    <x v="4"/>
    <x v="1"/>
    <n v="0.19"/>
    <n v="0.3"/>
    <n v="0.01"/>
    <n v="0.18"/>
  </r>
  <r>
    <x v="8"/>
    <x v="0"/>
    <x v="8"/>
    <x v="1"/>
    <x v="0"/>
    <x v="0"/>
    <n v="2.82"/>
    <n v="4.3"/>
    <n v="1.4"/>
    <n v="2.76"/>
  </r>
  <r>
    <x v="8"/>
    <x v="0"/>
    <x v="8"/>
    <x v="4"/>
    <x v="1"/>
    <x v="1"/>
    <n v="0.02"/>
    <n v="0.04"/>
    <n v="0"/>
    <n v="0.02"/>
  </r>
  <r>
    <x v="8"/>
    <x v="0"/>
    <x v="8"/>
    <x v="2"/>
    <x v="0"/>
    <x v="0"/>
    <n v="2.4300000000000002"/>
    <n v="3.71"/>
    <n v="1.89"/>
    <n v="2.39"/>
  </r>
  <r>
    <x v="8"/>
    <x v="0"/>
    <x v="8"/>
    <x v="3"/>
    <x v="4"/>
    <x v="0"/>
    <n v="4.6399999999999997"/>
    <n v="7.09"/>
    <n v="1.48"/>
    <n v="4.47"/>
  </r>
  <r>
    <x v="8"/>
    <x v="0"/>
    <x v="8"/>
    <x v="1"/>
    <x v="2"/>
    <x v="0"/>
    <n v="10.07"/>
    <n v="15.4"/>
    <n v="0.12"/>
    <n v="9.85"/>
  </r>
  <r>
    <x v="8"/>
    <x v="0"/>
    <x v="8"/>
    <x v="1"/>
    <x v="4"/>
    <x v="0"/>
    <n v="34.880000000000003"/>
    <n v="53.32"/>
    <n v="9.15"/>
    <n v="33.880000000000003"/>
  </r>
  <r>
    <x v="8"/>
    <x v="0"/>
    <x v="8"/>
    <x v="0"/>
    <x v="4"/>
    <x v="0"/>
    <n v="4.6900000000000004"/>
    <n v="7.17"/>
    <n v="1.36"/>
    <n v="4.49"/>
  </r>
  <r>
    <x v="8"/>
    <x v="0"/>
    <x v="8"/>
    <x v="0"/>
    <x v="0"/>
    <x v="0"/>
    <n v="2.71"/>
    <n v="4.1399999999999997"/>
    <n v="2.54"/>
    <n v="2.5499999999999998"/>
  </r>
  <r>
    <x v="8"/>
    <x v="0"/>
    <x v="8"/>
    <x v="2"/>
    <x v="4"/>
    <x v="0"/>
    <n v="1"/>
    <n v="1.53"/>
    <n v="0.27"/>
    <n v="0.99"/>
  </r>
  <r>
    <x v="8"/>
    <x v="0"/>
    <x v="8"/>
    <x v="4"/>
    <x v="1"/>
    <x v="0"/>
    <n v="7.31"/>
    <n v="11.17"/>
    <n v="0.5"/>
    <n v="7.04"/>
  </r>
  <r>
    <x v="8"/>
    <x v="0"/>
    <x v="8"/>
    <x v="4"/>
    <x v="4"/>
    <x v="0"/>
    <n v="9.3000000000000007"/>
    <n v="14.22"/>
    <n v="2.71"/>
    <n v="8.9"/>
  </r>
  <r>
    <x v="8"/>
    <x v="0"/>
    <x v="8"/>
    <x v="4"/>
    <x v="0"/>
    <x v="0"/>
    <n v="0.21"/>
    <n v="0.32"/>
    <n v="0.04"/>
    <n v="0.2"/>
  </r>
  <r>
    <x v="8"/>
    <x v="0"/>
    <x v="8"/>
    <x v="3"/>
    <x v="1"/>
    <x v="0"/>
    <n v="0.02"/>
    <n v="0.02"/>
    <n v="0"/>
    <n v="0.02"/>
  </r>
  <r>
    <x v="8"/>
    <x v="0"/>
    <x v="8"/>
    <x v="1"/>
    <x v="1"/>
    <x v="0"/>
    <n v="12.16"/>
    <n v="18.600000000000001"/>
    <n v="0.75"/>
    <n v="11.87"/>
  </r>
  <r>
    <x v="8"/>
    <x v="5"/>
    <x v="9"/>
    <x v="1"/>
    <x v="4"/>
    <x v="1"/>
    <n v="0.31"/>
    <n v="0.33"/>
    <n v="0.01"/>
    <n v="0.3"/>
  </r>
  <r>
    <x v="8"/>
    <x v="5"/>
    <x v="9"/>
    <x v="4"/>
    <x v="4"/>
    <x v="2"/>
    <n v="0.42"/>
    <n v="0.44"/>
    <n v="0.01"/>
    <n v="0.36"/>
  </r>
  <r>
    <x v="8"/>
    <x v="5"/>
    <x v="9"/>
    <x v="4"/>
    <x v="1"/>
    <x v="1"/>
    <n v="1.19"/>
    <n v="1.26"/>
    <n v="0.01"/>
    <n v="1.08"/>
  </r>
  <r>
    <x v="8"/>
    <x v="5"/>
    <x v="9"/>
    <x v="1"/>
    <x v="0"/>
    <x v="1"/>
    <n v="1.47"/>
    <n v="1.57"/>
    <n v="0.04"/>
    <n v="1.44"/>
  </r>
  <r>
    <x v="8"/>
    <x v="5"/>
    <x v="9"/>
    <x v="0"/>
    <x v="4"/>
    <x v="1"/>
    <n v="0.14000000000000001"/>
    <n v="0.15"/>
    <n v="0.01"/>
    <n v="0.13"/>
  </r>
  <r>
    <x v="8"/>
    <x v="5"/>
    <x v="9"/>
    <x v="0"/>
    <x v="0"/>
    <x v="1"/>
    <n v="1.5"/>
    <n v="1.6"/>
    <n v="0.02"/>
    <n v="1.36"/>
  </r>
  <r>
    <x v="8"/>
    <x v="5"/>
    <x v="9"/>
    <x v="4"/>
    <x v="4"/>
    <x v="1"/>
    <n v="2.69"/>
    <n v="2.86"/>
    <n v="0.03"/>
    <n v="2.4500000000000002"/>
  </r>
  <r>
    <x v="8"/>
    <x v="5"/>
    <x v="9"/>
    <x v="4"/>
    <x v="0"/>
    <x v="1"/>
    <n v="0.03"/>
    <n v="0.04"/>
    <n v="0"/>
    <n v="0.03"/>
  </r>
  <r>
    <x v="8"/>
    <x v="5"/>
    <x v="9"/>
    <x v="2"/>
    <x v="3"/>
    <x v="2"/>
    <n v="0.09"/>
    <n v="0.1"/>
    <n v="0"/>
    <n v="0.08"/>
  </r>
  <r>
    <x v="8"/>
    <x v="5"/>
    <x v="9"/>
    <x v="1"/>
    <x v="4"/>
    <x v="2"/>
    <n v="0"/>
    <n v="0"/>
    <n v="0"/>
    <n v="0"/>
  </r>
  <r>
    <x v="8"/>
    <x v="5"/>
    <x v="9"/>
    <x v="4"/>
    <x v="1"/>
    <x v="2"/>
    <n v="0.57999999999999996"/>
    <n v="0.62"/>
    <n v="0.01"/>
    <n v="0.51"/>
  </r>
  <r>
    <x v="8"/>
    <x v="5"/>
    <x v="9"/>
    <x v="1"/>
    <x v="1"/>
    <x v="1"/>
    <n v="6.58"/>
    <n v="7.01"/>
    <n v="0.04"/>
    <n v="6.13"/>
  </r>
  <r>
    <x v="8"/>
    <x v="5"/>
    <x v="9"/>
    <x v="3"/>
    <x v="4"/>
    <x v="0"/>
    <n v="2.56"/>
    <n v="2.72"/>
    <n v="0.83"/>
    <n v="2.38"/>
  </r>
  <r>
    <x v="8"/>
    <x v="5"/>
    <x v="9"/>
    <x v="4"/>
    <x v="2"/>
    <x v="2"/>
    <n v="0.49"/>
    <n v="0.52"/>
    <n v="0"/>
    <n v="0.42"/>
  </r>
  <r>
    <x v="8"/>
    <x v="5"/>
    <x v="9"/>
    <x v="1"/>
    <x v="4"/>
    <x v="0"/>
    <n v="83.26"/>
    <n v="88.61"/>
    <n v="17.05"/>
    <n v="76.099999999999994"/>
  </r>
  <r>
    <x v="8"/>
    <x v="5"/>
    <x v="9"/>
    <x v="2"/>
    <x v="3"/>
    <x v="1"/>
    <n v="0.47"/>
    <n v="0.5"/>
    <n v="0"/>
    <n v="0.43"/>
  </r>
  <r>
    <x v="8"/>
    <x v="5"/>
    <x v="9"/>
    <x v="2"/>
    <x v="4"/>
    <x v="0"/>
    <n v="2.0099999999999998"/>
    <n v="2.14"/>
    <n v="0.41"/>
    <n v="1.88"/>
  </r>
  <r>
    <x v="8"/>
    <x v="5"/>
    <x v="9"/>
    <x v="1"/>
    <x v="2"/>
    <x v="1"/>
    <n v="3.82"/>
    <n v="4.07"/>
    <n v="0.02"/>
    <n v="3.58"/>
  </r>
  <r>
    <x v="8"/>
    <x v="5"/>
    <x v="9"/>
    <x v="1"/>
    <x v="1"/>
    <x v="0"/>
    <n v="14.76"/>
    <n v="15.71"/>
    <n v="0.68"/>
    <n v="13.41"/>
  </r>
  <r>
    <x v="8"/>
    <x v="5"/>
    <x v="9"/>
    <x v="2"/>
    <x v="3"/>
    <x v="0"/>
    <n v="1.89"/>
    <n v="2.02"/>
    <n v="0.02"/>
    <n v="1.89"/>
  </r>
  <r>
    <x v="8"/>
    <x v="5"/>
    <x v="9"/>
    <x v="1"/>
    <x v="0"/>
    <x v="0"/>
    <n v="5.6"/>
    <n v="5.96"/>
    <n v="2.88"/>
    <n v="5.21"/>
  </r>
  <r>
    <x v="8"/>
    <x v="5"/>
    <x v="9"/>
    <x v="0"/>
    <x v="4"/>
    <x v="0"/>
    <n v="5.68"/>
    <n v="6.04"/>
    <n v="1.53"/>
    <n v="5.24"/>
  </r>
  <r>
    <x v="8"/>
    <x v="5"/>
    <x v="9"/>
    <x v="0"/>
    <x v="0"/>
    <x v="0"/>
    <n v="1.8"/>
    <n v="1.92"/>
    <n v="1.0900000000000001"/>
    <n v="1.63"/>
  </r>
  <r>
    <x v="8"/>
    <x v="5"/>
    <x v="9"/>
    <x v="4"/>
    <x v="1"/>
    <x v="0"/>
    <n v="2.8"/>
    <n v="2.98"/>
    <n v="0.13"/>
    <n v="2.59"/>
  </r>
  <r>
    <x v="8"/>
    <x v="5"/>
    <x v="9"/>
    <x v="4"/>
    <x v="4"/>
    <x v="0"/>
    <n v="24.28"/>
    <n v="25.83"/>
    <n v="2.89"/>
    <n v="22.41"/>
  </r>
  <r>
    <x v="8"/>
    <x v="5"/>
    <x v="9"/>
    <x v="3"/>
    <x v="1"/>
    <x v="0"/>
    <n v="0"/>
    <n v="0"/>
    <n v="0"/>
    <n v="0"/>
  </r>
  <r>
    <x v="8"/>
    <x v="5"/>
    <x v="9"/>
    <x v="3"/>
    <x v="0"/>
    <x v="0"/>
    <n v="0.99"/>
    <n v="1.05"/>
    <n v="0.21"/>
    <n v="0.96"/>
  </r>
  <r>
    <x v="8"/>
    <x v="5"/>
    <x v="9"/>
    <x v="2"/>
    <x v="0"/>
    <x v="0"/>
    <n v="1.4"/>
    <n v="1.5"/>
    <n v="1.18"/>
    <n v="1.31"/>
  </r>
  <r>
    <x v="8"/>
    <x v="2"/>
    <x v="10"/>
    <x v="3"/>
    <x v="0"/>
    <x v="0"/>
    <n v="2.36"/>
    <n v="2.56"/>
    <n v="0.38"/>
    <n v="2.34"/>
  </r>
  <r>
    <x v="8"/>
    <x v="2"/>
    <x v="10"/>
    <x v="2"/>
    <x v="3"/>
    <x v="0"/>
    <n v="2.89"/>
    <n v="3.14"/>
    <n v="0.02"/>
    <n v="2.89"/>
  </r>
  <r>
    <x v="8"/>
    <x v="2"/>
    <x v="10"/>
    <x v="4"/>
    <x v="4"/>
    <x v="0"/>
    <n v="56.68"/>
    <n v="61.56"/>
    <n v="4.7699999999999996"/>
    <n v="53.61"/>
  </r>
  <r>
    <x v="8"/>
    <x v="2"/>
    <x v="10"/>
    <x v="0"/>
    <x v="0"/>
    <x v="0"/>
    <n v="3.59"/>
    <n v="3.9"/>
    <n v="1.34"/>
    <n v="3.35"/>
  </r>
  <r>
    <x v="8"/>
    <x v="2"/>
    <x v="10"/>
    <x v="0"/>
    <x v="4"/>
    <x v="0"/>
    <n v="9.23"/>
    <n v="10.029999999999999"/>
    <n v="2.12"/>
    <n v="8.68"/>
  </r>
  <r>
    <x v="8"/>
    <x v="2"/>
    <x v="10"/>
    <x v="1"/>
    <x v="0"/>
    <x v="0"/>
    <n v="5.4"/>
    <n v="5.86"/>
    <n v="2.46"/>
    <n v="5.14"/>
  </r>
  <r>
    <x v="8"/>
    <x v="2"/>
    <x v="10"/>
    <x v="1"/>
    <x v="4"/>
    <x v="0"/>
    <n v="88.09"/>
    <n v="95.68"/>
    <n v="11.86"/>
    <n v="82.86"/>
  </r>
  <r>
    <x v="8"/>
    <x v="2"/>
    <x v="10"/>
    <x v="1"/>
    <x v="1"/>
    <x v="0"/>
    <n v="17.100000000000001"/>
    <n v="18.57"/>
    <n v="0.79"/>
    <n v="16.03"/>
  </r>
  <r>
    <x v="8"/>
    <x v="2"/>
    <x v="10"/>
    <x v="2"/>
    <x v="3"/>
    <x v="1"/>
    <n v="0.2"/>
    <n v="0.22"/>
    <n v="0"/>
    <n v="0.18"/>
  </r>
  <r>
    <x v="8"/>
    <x v="2"/>
    <x v="10"/>
    <x v="2"/>
    <x v="4"/>
    <x v="0"/>
    <n v="2.38"/>
    <n v="2.58"/>
    <n v="0.41"/>
    <n v="2.27"/>
  </r>
  <r>
    <x v="8"/>
    <x v="2"/>
    <x v="10"/>
    <x v="4"/>
    <x v="4"/>
    <x v="1"/>
    <n v="0.05"/>
    <n v="0.05"/>
    <n v="0"/>
    <n v="0.04"/>
  </r>
  <r>
    <x v="8"/>
    <x v="2"/>
    <x v="10"/>
    <x v="2"/>
    <x v="0"/>
    <x v="0"/>
    <n v="5"/>
    <n v="5.43"/>
    <n v="1.49"/>
    <n v="4.7300000000000004"/>
  </r>
  <r>
    <x v="8"/>
    <x v="2"/>
    <x v="10"/>
    <x v="1"/>
    <x v="2"/>
    <x v="1"/>
    <n v="0.56000000000000005"/>
    <n v="0.61"/>
    <n v="0"/>
    <n v="0.5"/>
  </r>
  <r>
    <x v="8"/>
    <x v="2"/>
    <x v="10"/>
    <x v="1"/>
    <x v="1"/>
    <x v="1"/>
    <n v="0.56000000000000005"/>
    <n v="0.61"/>
    <n v="0.01"/>
    <n v="0.51"/>
  </r>
  <r>
    <x v="8"/>
    <x v="2"/>
    <x v="10"/>
    <x v="1"/>
    <x v="4"/>
    <x v="1"/>
    <n v="0.02"/>
    <n v="0.03"/>
    <n v="0"/>
    <n v="0.02"/>
  </r>
  <r>
    <x v="8"/>
    <x v="2"/>
    <x v="10"/>
    <x v="1"/>
    <x v="0"/>
    <x v="1"/>
    <n v="0.2"/>
    <n v="0.22"/>
    <n v="0.02"/>
    <n v="0.2"/>
  </r>
  <r>
    <x v="8"/>
    <x v="2"/>
    <x v="10"/>
    <x v="0"/>
    <x v="4"/>
    <x v="1"/>
    <n v="0.22"/>
    <n v="0.24"/>
    <n v="0.01"/>
    <n v="0.2"/>
  </r>
  <r>
    <x v="8"/>
    <x v="2"/>
    <x v="10"/>
    <x v="4"/>
    <x v="1"/>
    <x v="1"/>
    <n v="0.37"/>
    <n v="0.4"/>
    <n v="0"/>
    <n v="0.33"/>
  </r>
  <r>
    <x v="8"/>
    <x v="2"/>
    <x v="10"/>
    <x v="4"/>
    <x v="0"/>
    <x v="1"/>
    <n v="0"/>
    <n v="0"/>
    <n v="0"/>
    <n v="0"/>
  </r>
  <r>
    <x v="8"/>
    <x v="2"/>
    <x v="10"/>
    <x v="2"/>
    <x v="3"/>
    <x v="3"/>
    <n v="21.35"/>
    <n v="23.19"/>
    <n v="0.01"/>
    <n v="21.35"/>
  </r>
  <r>
    <x v="8"/>
    <x v="2"/>
    <x v="10"/>
    <x v="2"/>
    <x v="3"/>
    <x v="2"/>
    <n v="1.76"/>
    <n v="1.91"/>
    <n v="0"/>
    <n v="1.63"/>
  </r>
  <r>
    <x v="8"/>
    <x v="2"/>
    <x v="10"/>
    <x v="1"/>
    <x v="4"/>
    <x v="2"/>
    <n v="0.27"/>
    <n v="0.28999999999999998"/>
    <n v="0"/>
    <n v="0.22"/>
  </r>
  <r>
    <x v="8"/>
    <x v="2"/>
    <x v="10"/>
    <x v="4"/>
    <x v="1"/>
    <x v="0"/>
    <n v="5.35"/>
    <n v="5.82"/>
    <n v="0.25"/>
    <n v="5.08"/>
  </r>
  <r>
    <x v="8"/>
    <x v="2"/>
    <x v="10"/>
    <x v="0"/>
    <x v="0"/>
    <x v="1"/>
    <n v="0.17"/>
    <n v="0.19"/>
    <n v="0.01"/>
    <n v="0.15"/>
  </r>
  <r>
    <x v="8"/>
    <x v="2"/>
    <x v="10"/>
    <x v="3"/>
    <x v="4"/>
    <x v="0"/>
    <n v="8.44"/>
    <n v="9.17"/>
    <n v="1.58"/>
    <n v="8.06"/>
  </r>
  <r>
    <x v="8"/>
    <x v="2"/>
    <x v="11"/>
    <x v="2"/>
    <x v="3"/>
    <x v="1"/>
    <n v="0.36"/>
    <n v="0.39"/>
    <n v="0"/>
    <n v="0.35"/>
  </r>
  <r>
    <x v="8"/>
    <x v="2"/>
    <x v="11"/>
    <x v="4"/>
    <x v="2"/>
    <x v="2"/>
    <n v="0.5"/>
    <n v="0.54"/>
    <n v="0"/>
    <n v="0.49"/>
  </r>
  <r>
    <x v="8"/>
    <x v="2"/>
    <x v="11"/>
    <x v="1"/>
    <x v="4"/>
    <x v="2"/>
    <n v="1.82"/>
    <n v="1.98"/>
    <n v="0.01"/>
    <n v="1.78"/>
  </r>
  <r>
    <x v="8"/>
    <x v="2"/>
    <x v="11"/>
    <x v="2"/>
    <x v="3"/>
    <x v="3"/>
    <n v="2.42"/>
    <n v="2.63"/>
    <n v="0"/>
    <n v="2.42"/>
  </r>
  <r>
    <x v="8"/>
    <x v="2"/>
    <x v="11"/>
    <x v="4"/>
    <x v="0"/>
    <x v="1"/>
    <n v="0.01"/>
    <n v="0.01"/>
    <n v="0"/>
    <n v="0.01"/>
  </r>
  <r>
    <x v="8"/>
    <x v="2"/>
    <x v="11"/>
    <x v="4"/>
    <x v="4"/>
    <x v="1"/>
    <n v="0.05"/>
    <n v="0.05"/>
    <n v="0"/>
    <n v="0.05"/>
  </r>
  <r>
    <x v="8"/>
    <x v="2"/>
    <x v="11"/>
    <x v="4"/>
    <x v="1"/>
    <x v="1"/>
    <n v="0.2"/>
    <n v="0.22"/>
    <n v="0"/>
    <n v="0.2"/>
  </r>
  <r>
    <x v="8"/>
    <x v="2"/>
    <x v="11"/>
    <x v="0"/>
    <x v="0"/>
    <x v="1"/>
    <n v="0.15"/>
    <n v="0.16"/>
    <n v="0.01"/>
    <n v="0.14000000000000001"/>
  </r>
  <r>
    <x v="8"/>
    <x v="2"/>
    <x v="11"/>
    <x v="0"/>
    <x v="4"/>
    <x v="1"/>
    <n v="0.13"/>
    <n v="0.15"/>
    <n v="0"/>
    <n v="0.13"/>
  </r>
  <r>
    <x v="8"/>
    <x v="2"/>
    <x v="11"/>
    <x v="1"/>
    <x v="0"/>
    <x v="1"/>
    <n v="0.46"/>
    <n v="0.5"/>
    <n v="0.01"/>
    <n v="0.49"/>
  </r>
  <r>
    <x v="8"/>
    <x v="2"/>
    <x v="11"/>
    <x v="1"/>
    <x v="4"/>
    <x v="1"/>
    <n v="0.05"/>
    <n v="0.05"/>
    <n v="0"/>
    <n v="0.05"/>
  </r>
  <r>
    <x v="8"/>
    <x v="2"/>
    <x v="11"/>
    <x v="1"/>
    <x v="2"/>
    <x v="1"/>
    <n v="0.09"/>
    <n v="0.1"/>
    <n v="0"/>
    <n v="0.09"/>
  </r>
  <r>
    <x v="8"/>
    <x v="2"/>
    <x v="11"/>
    <x v="4"/>
    <x v="4"/>
    <x v="2"/>
    <n v="1.34"/>
    <n v="1.46"/>
    <n v="0.02"/>
    <n v="1.31"/>
  </r>
  <r>
    <x v="8"/>
    <x v="2"/>
    <x v="11"/>
    <x v="3"/>
    <x v="0"/>
    <x v="0"/>
    <n v="2.31"/>
    <n v="2.52"/>
    <n v="0.39"/>
    <n v="2.33"/>
  </r>
  <r>
    <x v="8"/>
    <x v="2"/>
    <x v="11"/>
    <x v="3"/>
    <x v="4"/>
    <x v="0"/>
    <n v="8.36"/>
    <n v="9.11"/>
    <n v="1.73"/>
    <n v="8.1"/>
  </r>
  <r>
    <x v="8"/>
    <x v="2"/>
    <x v="11"/>
    <x v="4"/>
    <x v="4"/>
    <x v="0"/>
    <n v="73.239999999999995"/>
    <n v="79.73"/>
    <n v="6.98"/>
    <n v="69.38"/>
  </r>
  <r>
    <x v="8"/>
    <x v="2"/>
    <x v="11"/>
    <x v="4"/>
    <x v="1"/>
    <x v="0"/>
    <n v="7.89"/>
    <n v="8.59"/>
    <n v="0.32"/>
    <n v="7.45"/>
  </r>
  <r>
    <x v="8"/>
    <x v="2"/>
    <x v="11"/>
    <x v="0"/>
    <x v="0"/>
    <x v="0"/>
    <n v="4.01"/>
    <n v="4.37"/>
    <n v="1.77"/>
    <n v="3.75"/>
  </r>
  <r>
    <x v="8"/>
    <x v="2"/>
    <x v="11"/>
    <x v="0"/>
    <x v="4"/>
    <x v="0"/>
    <n v="13.65"/>
    <n v="14.86"/>
    <n v="3.06"/>
    <n v="12.8"/>
  </r>
  <r>
    <x v="8"/>
    <x v="2"/>
    <x v="11"/>
    <x v="1"/>
    <x v="0"/>
    <x v="0"/>
    <n v="6.57"/>
    <n v="7.15"/>
    <n v="2.82"/>
    <n v="6.32"/>
  </r>
  <r>
    <x v="8"/>
    <x v="2"/>
    <x v="11"/>
    <x v="1"/>
    <x v="4"/>
    <x v="0"/>
    <n v="124.49"/>
    <n v="135.52000000000001"/>
    <n v="18.45"/>
    <n v="117.45"/>
  </r>
  <r>
    <x v="8"/>
    <x v="2"/>
    <x v="11"/>
    <x v="1"/>
    <x v="1"/>
    <x v="0"/>
    <n v="21.62"/>
    <n v="23.53"/>
    <n v="0.97"/>
    <n v="20.39"/>
  </r>
  <r>
    <x v="8"/>
    <x v="2"/>
    <x v="11"/>
    <x v="2"/>
    <x v="0"/>
    <x v="0"/>
    <n v="7.51"/>
    <n v="8.17"/>
    <n v="1.69"/>
    <n v="7.17"/>
  </r>
  <r>
    <x v="8"/>
    <x v="2"/>
    <x v="11"/>
    <x v="2"/>
    <x v="4"/>
    <x v="0"/>
    <n v="3.57"/>
    <n v="3.89"/>
    <n v="0.46"/>
    <n v="3.42"/>
  </r>
  <r>
    <x v="8"/>
    <x v="2"/>
    <x v="11"/>
    <x v="2"/>
    <x v="3"/>
    <x v="0"/>
    <n v="4.75"/>
    <n v="5.17"/>
    <n v="0.04"/>
    <n v="4.75"/>
  </r>
  <r>
    <x v="8"/>
    <x v="2"/>
    <x v="11"/>
    <x v="1"/>
    <x v="1"/>
    <x v="1"/>
    <n v="1.31"/>
    <n v="1.43"/>
    <n v="0.01"/>
    <n v="1.35"/>
  </r>
  <r>
    <x v="8"/>
    <x v="2"/>
    <x v="12"/>
    <x v="4"/>
    <x v="1"/>
    <x v="2"/>
    <n v="1.19"/>
    <n v="1.29"/>
    <n v="0.01"/>
    <n v="1.25"/>
  </r>
  <r>
    <x v="8"/>
    <x v="2"/>
    <x v="12"/>
    <x v="1"/>
    <x v="2"/>
    <x v="1"/>
    <n v="30.38"/>
    <n v="33.07"/>
    <n v="0.15"/>
    <n v="29.52"/>
  </r>
  <r>
    <x v="8"/>
    <x v="2"/>
    <x v="12"/>
    <x v="2"/>
    <x v="3"/>
    <x v="0"/>
    <n v="1.91"/>
    <n v="2.08"/>
    <n v="0.02"/>
    <n v="1.91"/>
  </r>
  <r>
    <x v="8"/>
    <x v="2"/>
    <x v="12"/>
    <x v="2"/>
    <x v="4"/>
    <x v="0"/>
    <n v="30.58"/>
    <n v="33.28"/>
    <n v="3.4"/>
    <n v="28.76"/>
  </r>
  <r>
    <x v="8"/>
    <x v="2"/>
    <x v="12"/>
    <x v="2"/>
    <x v="0"/>
    <x v="0"/>
    <n v="27.23"/>
    <n v="29.65"/>
    <n v="14.43"/>
    <n v="25.86"/>
  </r>
  <r>
    <x v="8"/>
    <x v="2"/>
    <x v="12"/>
    <x v="1"/>
    <x v="2"/>
    <x v="0"/>
    <n v="11.43"/>
    <n v="12.44"/>
    <n v="0.21"/>
    <n v="10.26"/>
  </r>
  <r>
    <x v="8"/>
    <x v="2"/>
    <x v="12"/>
    <x v="1"/>
    <x v="1"/>
    <x v="0"/>
    <n v="93.48"/>
    <n v="101.77"/>
    <n v="4.05"/>
    <n v="86.71"/>
  </r>
  <r>
    <x v="8"/>
    <x v="2"/>
    <x v="12"/>
    <x v="1"/>
    <x v="4"/>
    <x v="0"/>
    <n v="687.36"/>
    <n v="748.25"/>
    <n v="82.81"/>
    <n v="636.59"/>
  </r>
  <r>
    <x v="8"/>
    <x v="2"/>
    <x v="12"/>
    <x v="1"/>
    <x v="0"/>
    <x v="0"/>
    <n v="46.68"/>
    <n v="50.81"/>
    <n v="22.19"/>
    <n v="44.27"/>
  </r>
  <r>
    <x v="8"/>
    <x v="2"/>
    <x v="12"/>
    <x v="0"/>
    <x v="4"/>
    <x v="0"/>
    <n v="78.11"/>
    <n v="85.03"/>
    <n v="15"/>
    <n v="72.81"/>
  </r>
  <r>
    <x v="8"/>
    <x v="2"/>
    <x v="12"/>
    <x v="0"/>
    <x v="0"/>
    <x v="0"/>
    <n v="16.57"/>
    <n v="18.04"/>
    <n v="6.92"/>
    <n v="15.09"/>
  </r>
  <r>
    <x v="8"/>
    <x v="2"/>
    <x v="12"/>
    <x v="4"/>
    <x v="1"/>
    <x v="0"/>
    <n v="27.26"/>
    <n v="29.68"/>
    <n v="1.32"/>
    <n v="25.36"/>
  </r>
  <r>
    <x v="8"/>
    <x v="2"/>
    <x v="12"/>
    <x v="4"/>
    <x v="4"/>
    <x v="0"/>
    <n v="242.89"/>
    <n v="264.41000000000003"/>
    <n v="21.03"/>
    <n v="232.11"/>
  </r>
  <r>
    <x v="8"/>
    <x v="2"/>
    <x v="12"/>
    <x v="4"/>
    <x v="2"/>
    <x v="2"/>
    <n v="1.87"/>
    <n v="2.04"/>
    <n v="0"/>
    <n v="1.97"/>
  </r>
  <r>
    <x v="8"/>
    <x v="2"/>
    <x v="12"/>
    <x v="2"/>
    <x v="3"/>
    <x v="1"/>
    <n v="4.7300000000000004"/>
    <n v="5.15"/>
    <n v="0.01"/>
    <n v="4.51"/>
  </r>
  <r>
    <x v="8"/>
    <x v="2"/>
    <x v="12"/>
    <x v="1"/>
    <x v="4"/>
    <x v="2"/>
    <n v="0.5"/>
    <n v="0.54"/>
    <n v="0.02"/>
    <n v="0.52"/>
  </r>
  <r>
    <x v="8"/>
    <x v="2"/>
    <x v="12"/>
    <x v="1"/>
    <x v="1"/>
    <x v="1"/>
    <n v="7.47"/>
    <n v="8.1300000000000008"/>
    <n v="0.12"/>
    <n v="7.59"/>
  </r>
  <r>
    <x v="8"/>
    <x v="2"/>
    <x v="12"/>
    <x v="1"/>
    <x v="4"/>
    <x v="1"/>
    <n v="7.1"/>
    <n v="7.73"/>
    <n v="0.12"/>
    <n v="7.3"/>
  </r>
  <r>
    <x v="8"/>
    <x v="2"/>
    <x v="12"/>
    <x v="1"/>
    <x v="0"/>
    <x v="1"/>
    <n v="3.92"/>
    <n v="4.26"/>
    <n v="0.34"/>
    <n v="4.0599999999999996"/>
  </r>
  <r>
    <x v="8"/>
    <x v="2"/>
    <x v="12"/>
    <x v="0"/>
    <x v="4"/>
    <x v="1"/>
    <n v="5.43"/>
    <n v="5.91"/>
    <n v="0.13"/>
    <n v="5.14"/>
  </r>
  <r>
    <x v="8"/>
    <x v="2"/>
    <x v="12"/>
    <x v="0"/>
    <x v="0"/>
    <x v="1"/>
    <n v="5.03"/>
    <n v="5.48"/>
    <n v="0.24"/>
    <n v="4.7699999999999996"/>
  </r>
  <r>
    <x v="8"/>
    <x v="2"/>
    <x v="12"/>
    <x v="4"/>
    <x v="1"/>
    <x v="1"/>
    <n v="1.33"/>
    <n v="1.45"/>
    <n v="0.01"/>
    <n v="1.27"/>
  </r>
  <r>
    <x v="8"/>
    <x v="2"/>
    <x v="12"/>
    <x v="4"/>
    <x v="4"/>
    <x v="1"/>
    <n v="0.92"/>
    <n v="1"/>
    <n v="0.03"/>
    <n v="0.89"/>
  </r>
  <r>
    <x v="8"/>
    <x v="2"/>
    <x v="12"/>
    <x v="4"/>
    <x v="0"/>
    <x v="1"/>
    <n v="0.09"/>
    <n v="0.1"/>
    <n v="0.02"/>
    <n v="0.09"/>
  </r>
  <r>
    <x v="8"/>
    <x v="2"/>
    <x v="12"/>
    <x v="2"/>
    <x v="3"/>
    <x v="3"/>
    <n v="68.319999999999993"/>
    <n v="74.38"/>
    <n v="0.05"/>
    <n v="68.319999999999993"/>
  </r>
  <r>
    <x v="8"/>
    <x v="2"/>
    <x v="12"/>
    <x v="2"/>
    <x v="3"/>
    <x v="2"/>
    <n v="1.27"/>
    <n v="1.39"/>
    <n v="0"/>
    <n v="1.37"/>
  </r>
  <r>
    <x v="8"/>
    <x v="2"/>
    <x v="12"/>
    <x v="3"/>
    <x v="0"/>
    <x v="0"/>
    <n v="31.62"/>
    <n v="34.43"/>
    <n v="10.11"/>
    <n v="30.93"/>
  </r>
  <r>
    <x v="8"/>
    <x v="2"/>
    <x v="12"/>
    <x v="3"/>
    <x v="4"/>
    <x v="0"/>
    <n v="130.66"/>
    <n v="142.24"/>
    <n v="32.380000000000003"/>
    <n v="125.54"/>
  </r>
  <r>
    <x v="8"/>
    <x v="2"/>
    <x v="12"/>
    <x v="3"/>
    <x v="1"/>
    <x v="0"/>
    <n v="3.48"/>
    <n v="3.79"/>
    <n v="0.24"/>
    <n v="3.37"/>
  </r>
  <r>
    <x v="8"/>
    <x v="2"/>
    <x v="12"/>
    <x v="4"/>
    <x v="4"/>
    <x v="2"/>
    <n v="2.2599999999999998"/>
    <n v="2.46"/>
    <n v="0.04"/>
    <n v="2.4"/>
  </r>
  <r>
    <x v="8"/>
    <x v="2"/>
    <x v="13"/>
    <x v="4"/>
    <x v="4"/>
    <x v="1"/>
    <n v="2.84"/>
    <n v="3.09"/>
    <n v="7.0000000000000007E-2"/>
    <n v="2.58"/>
  </r>
  <r>
    <x v="8"/>
    <x v="2"/>
    <x v="13"/>
    <x v="1"/>
    <x v="4"/>
    <x v="2"/>
    <n v="2.72"/>
    <n v="2.96"/>
    <n v="0.12"/>
    <n v="2.13"/>
  </r>
  <r>
    <x v="8"/>
    <x v="2"/>
    <x v="13"/>
    <x v="1"/>
    <x v="1"/>
    <x v="1"/>
    <n v="10.220000000000001"/>
    <n v="11.13"/>
    <n v="0.2"/>
    <n v="9.67"/>
  </r>
  <r>
    <x v="8"/>
    <x v="2"/>
    <x v="13"/>
    <x v="1"/>
    <x v="0"/>
    <x v="1"/>
    <n v="10.4"/>
    <n v="11.33"/>
    <n v="0.37"/>
    <n v="10.07"/>
  </r>
  <r>
    <x v="8"/>
    <x v="2"/>
    <x v="13"/>
    <x v="2"/>
    <x v="3"/>
    <x v="1"/>
    <n v="8.84"/>
    <n v="9.6300000000000008"/>
    <n v="0.03"/>
    <n v="8.07"/>
  </r>
  <r>
    <x v="8"/>
    <x v="2"/>
    <x v="13"/>
    <x v="4"/>
    <x v="1"/>
    <x v="1"/>
    <n v="3.08"/>
    <n v="3.35"/>
    <n v="0.03"/>
    <n v="2.81"/>
  </r>
  <r>
    <x v="8"/>
    <x v="2"/>
    <x v="13"/>
    <x v="3"/>
    <x v="0"/>
    <x v="0"/>
    <n v="9.25"/>
    <n v="10.06"/>
    <n v="1.65"/>
    <n v="8.98"/>
  </r>
  <r>
    <x v="8"/>
    <x v="2"/>
    <x v="13"/>
    <x v="4"/>
    <x v="0"/>
    <x v="1"/>
    <n v="0.62"/>
    <n v="0.68"/>
    <n v="0.04"/>
    <n v="0.56999999999999995"/>
  </r>
  <r>
    <x v="8"/>
    <x v="2"/>
    <x v="13"/>
    <x v="2"/>
    <x v="3"/>
    <x v="3"/>
    <n v="238.52"/>
    <n v="259.64999999999998"/>
    <n v="0.13"/>
    <n v="236.9"/>
  </r>
  <r>
    <x v="8"/>
    <x v="2"/>
    <x v="13"/>
    <x v="2"/>
    <x v="2"/>
    <x v="3"/>
    <n v="2.3199999999999998"/>
    <n v="2.5299999999999998"/>
    <n v="0"/>
    <n v="2.3199999999999998"/>
  </r>
  <r>
    <x v="8"/>
    <x v="2"/>
    <x v="13"/>
    <x v="2"/>
    <x v="1"/>
    <x v="3"/>
    <n v="17.41"/>
    <n v="18.95"/>
    <n v="0.02"/>
    <n v="17.05"/>
  </r>
  <r>
    <x v="8"/>
    <x v="2"/>
    <x v="13"/>
    <x v="2"/>
    <x v="4"/>
    <x v="3"/>
    <n v="0.27"/>
    <n v="0.28999999999999998"/>
    <n v="0"/>
    <n v="0.27"/>
  </r>
  <r>
    <x v="8"/>
    <x v="2"/>
    <x v="13"/>
    <x v="2"/>
    <x v="3"/>
    <x v="2"/>
    <n v="1.84"/>
    <n v="2"/>
    <n v="0"/>
    <n v="1.46"/>
  </r>
  <r>
    <x v="8"/>
    <x v="2"/>
    <x v="13"/>
    <x v="0"/>
    <x v="0"/>
    <x v="1"/>
    <n v="6.83"/>
    <n v="7.43"/>
    <n v="0.28000000000000003"/>
    <n v="6.19"/>
  </r>
  <r>
    <x v="8"/>
    <x v="2"/>
    <x v="13"/>
    <x v="0"/>
    <x v="2"/>
    <x v="0"/>
    <n v="0.24"/>
    <n v="0.26"/>
    <n v="0"/>
    <n v="0.23"/>
  </r>
  <r>
    <x v="8"/>
    <x v="2"/>
    <x v="13"/>
    <x v="1"/>
    <x v="4"/>
    <x v="0"/>
    <n v="1114.22"/>
    <n v="1212.93"/>
    <n v="152.24"/>
    <n v="1020.1"/>
  </r>
  <r>
    <x v="8"/>
    <x v="2"/>
    <x v="13"/>
    <x v="1"/>
    <x v="1"/>
    <x v="0"/>
    <n v="127"/>
    <n v="138.25"/>
    <n v="4.93"/>
    <n v="116.7"/>
  </r>
  <r>
    <x v="8"/>
    <x v="2"/>
    <x v="13"/>
    <x v="1"/>
    <x v="2"/>
    <x v="0"/>
    <n v="47.17"/>
    <n v="51.34"/>
    <n v="0.56999999999999995"/>
    <n v="42.06"/>
  </r>
  <r>
    <x v="8"/>
    <x v="2"/>
    <x v="13"/>
    <x v="2"/>
    <x v="0"/>
    <x v="0"/>
    <n v="49.06"/>
    <n v="53.4"/>
    <n v="20.29"/>
    <n v="45.58"/>
  </r>
  <r>
    <x v="8"/>
    <x v="2"/>
    <x v="13"/>
    <x v="2"/>
    <x v="4"/>
    <x v="0"/>
    <n v="62.63"/>
    <n v="68.180000000000007"/>
    <n v="6.39"/>
    <n v="58.01"/>
  </r>
  <r>
    <x v="8"/>
    <x v="2"/>
    <x v="13"/>
    <x v="1"/>
    <x v="2"/>
    <x v="1"/>
    <n v="18.420000000000002"/>
    <n v="20.05"/>
    <n v="0.14000000000000001"/>
    <n v="17.13"/>
  </r>
  <r>
    <x v="8"/>
    <x v="2"/>
    <x v="13"/>
    <x v="2"/>
    <x v="3"/>
    <x v="0"/>
    <n v="2.87"/>
    <n v="3.13"/>
    <n v="0.02"/>
    <n v="2.87"/>
  </r>
  <r>
    <x v="8"/>
    <x v="2"/>
    <x v="13"/>
    <x v="0"/>
    <x v="4"/>
    <x v="1"/>
    <n v="7.27"/>
    <n v="7.92"/>
    <n v="0.15"/>
    <n v="6.59"/>
  </r>
  <r>
    <x v="8"/>
    <x v="2"/>
    <x v="13"/>
    <x v="0"/>
    <x v="4"/>
    <x v="0"/>
    <n v="166.46"/>
    <n v="181.21"/>
    <n v="35.729999999999997"/>
    <n v="153.12"/>
  </r>
  <r>
    <x v="8"/>
    <x v="2"/>
    <x v="13"/>
    <x v="0"/>
    <x v="0"/>
    <x v="0"/>
    <n v="49.49"/>
    <n v="53.87"/>
    <n v="16.75"/>
    <n v="45.02"/>
  </r>
  <r>
    <x v="8"/>
    <x v="2"/>
    <x v="13"/>
    <x v="4"/>
    <x v="1"/>
    <x v="0"/>
    <n v="53.05"/>
    <n v="57.75"/>
    <n v="2.2000000000000002"/>
    <n v="49.14"/>
  </r>
  <r>
    <x v="8"/>
    <x v="2"/>
    <x v="13"/>
    <x v="4"/>
    <x v="4"/>
    <x v="0"/>
    <n v="415.19"/>
    <n v="451.97"/>
    <n v="36.89"/>
    <n v="385.89"/>
  </r>
  <r>
    <x v="8"/>
    <x v="2"/>
    <x v="13"/>
    <x v="3"/>
    <x v="1"/>
    <x v="0"/>
    <n v="7.92"/>
    <n v="8.6199999999999992"/>
    <n v="1.52"/>
    <n v="7.84"/>
  </r>
  <r>
    <x v="8"/>
    <x v="2"/>
    <x v="13"/>
    <x v="3"/>
    <x v="4"/>
    <x v="0"/>
    <n v="202.28"/>
    <n v="220.2"/>
    <n v="50.17"/>
    <n v="193.47"/>
  </r>
  <r>
    <x v="8"/>
    <x v="2"/>
    <x v="13"/>
    <x v="2"/>
    <x v="2"/>
    <x v="0"/>
    <n v="0.04"/>
    <n v="0.04"/>
    <n v="0"/>
    <n v="0.04"/>
  </r>
  <r>
    <x v="8"/>
    <x v="2"/>
    <x v="13"/>
    <x v="4"/>
    <x v="1"/>
    <x v="2"/>
    <n v="9.26"/>
    <n v="10.08"/>
    <n v="0.03"/>
    <n v="7.25"/>
  </r>
  <r>
    <x v="8"/>
    <x v="2"/>
    <x v="13"/>
    <x v="4"/>
    <x v="4"/>
    <x v="2"/>
    <n v="5.98"/>
    <n v="6.5"/>
    <n v="7.0000000000000007E-2"/>
    <n v="4.68"/>
  </r>
  <r>
    <x v="8"/>
    <x v="2"/>
    <x v="13"/>
    <x v="1"/>
    <x v="4"/>
    <x v="1"/>
    <n v="0.78"/>
    <n v="0.85"/>
    <n v="7.0000000000000007E-2"/>
    <n v="0.78"/>
  </r>
  <r>
    <x v="8"/>
    <x v="2"/>
    <x v="13"/>
    <x v="1"/>
    <x v="0"/>
    <x v="0"/>
    <n v="86.8"/>
    <n v="94.49"/>
    <n v="33.950000000000003"/>
    <n v="80.09"/>
  </r>
  <r>
    <x v="8"/>
    <x v="2"/>
    <x v="13"/>
    <x v="4"/>
    <x v="2"/>
    <x v="2"/>
    <n v="0.09"/>
    <n v="0.1"/>
    <n v="0"/>
    <n v="7.0000000000000007E-2"/>
  </r>
  <r>
    <x v="8"/>
    <x v="2"/>
    <x v="14"/>
    <x v="1"/>
    <x v="1"/>
    <x v="1"/>
    <n v="1"/>
    <n v="1.0900000000000001"/>
    <n v="0.01"/>
    <n v="0.95"/>
  </r>
  <r>
    <x v="8"/>
    <x v="2"/>
    <x v="14"/>
    <x v="1"/>
    <x v="1"/>
    <x v="0"/>
    <n v="4.96"/>
    <n v="5.4"/>
    <n v="0.36"/>
    <n v="4.66"/>
  </r>
  <r>
    <x v="8"/>
    <x v="2"/>
    <x v="14"/>
    <x v="1"/>
    <x v="0"/>
    <x v="0"/>
    <n v="3.39"/>
    <n v="3.69"/>
    <n v="1.65"/>
    <n v="3.26"/>
  </r>
  <r>
    <x v="8"/>
    <x v="2"/>
    <x v="14"/>
    <x v="0"/>
    <x v="4"/>
    <x v="0"/>
    <n v="6.47"/>
    <n v="7.04"/>
    <n v="1.34"/>
    <n v="6.13"/>
  </r>
  <r>
    <x v="8"/>
    <x v="2"/>
    <x v="14"/>
    <x v="0"/>
    <x v="0"/>
    <x v="0"/>
    <n v="1.02"/>
    <n v="1.1100000000000001"/>
    <n v="0.44"/>
    <n v="0.94"/>
  </r>
  <r>
    <x v="8"/>
    <x v="2"/>
    <x v="14"/>
    <x v="4"/>
    <x v="1"/>
    <x v="0"/>
    <n v="1.56"/>
    <n v="1.7"/>
    <n v="0.08"/>
    <n v="1.47"/>
  </r>
  <r>
    <x v="8"/>
    <x v="2"/>
    <x v="14"/>
    <x v="4"/>
    <x v="4"/>
    <x v="0"/>
    <n v="5.3"/>
    <n v="5.77"/>
    <n v="0.56999999999999995"/>
    <n v="4.97"/>
  </r>
  <r>
    <x v="8"/>
    <x v="2"/>
    <x v="14"/>
    <x v="3"/>
    <x v="4"/>
    <x v="0"/>
    <n v="1.8"/>
    <n v="1.96"/>
    <n v="0.48"/>
    <n v="1.72"/>
  </r>
  <r>
    <x v="8"/>
    <x v="2"/>
    <x v="14"/>
    <x v="3"/>
    <x v="0"/>
    <x v="0"/>
    <n v="1.61"/>
    <n v="1.75"/>
    <n v="0.26"/>
    <n v="1.59"/>
  </r>
  <r>
    <x v="8"/>
    <x v="2"/>
    <x v="14"/>
    <x v="1"/>
    <x v="2"/>
    <x v="1"/>
    <n v="0.33"/>
    <n v="0.36"/>
    <n v="0"/>
    <n v="0.28999999999999998"/>
  </r>
  <r>
    <x v="8"/>
    <x v="2"/>
    <x v="14"/>
    <x v="2"/>
    <x v="0"/>
    <x v="0"/>
    <n v="2.2200000000000002"/>
    <n v="2.41"/>
    <n v="1.04"/>
    <n v="2.14"/>
  </r>
  <r>
    <x v="8"/>
    <x v="2"/>
    <x v="14"/>
    <x v="1"/>
    <x v="4"/>
    <x v="1"/>
    <n v="0.08"/>
    <n v="0.09"/>
    <n v="0.01"/>
    <n v="0.08"/>
  </r>
  <r>
    <x v="8"/>
    <x v="2"/>
    <x v="14"/>
    <x v="1"/>
    <x v="0"/>
    <x v="1"/>
    <n v="0.03"/>
    <n v="0.04"/>
    <n v="0"/>
    <n v="0.03"/>
  </r>
  <r>
    <x v="8"/>
    <x v="2"/>
    <x v="14"/>
    <x v="0"/>
    <x v="4"/>
    <x v="1"/>
    <n v="0.16"/>
    <n v="0.18"/>
    <n v="0"/>
    <n v="0.14000000000000001"/>
  </r>
  <r>
    <x v="8"/>
    <x v="2"/>
    <x v="14"/>
    <x v="0"/>
    <x v="0"/>
    <x v="1"/>
    <n v="0.12"/>
    <n v="0.13"/>
    <n v="0.01"/>
    <n v="0.1"/>
  </r>
  <r>
    <x v="8"/>
    <x v="2"/>
    <x v="14"/>
    <x v="2"/>
    <x v="3"/>
    <x v="3"/>
    <n v="0.42"/>
    <n v="0.46"/>
    <n v="0"/>
    <n v="0.42"/>
  </r>
  <r>
    <x v="8"/>
    <x v="2"/>
    <x v="14"/>
    <x v="2"/>
    <x v="3"/>
    <x v="2"/>
    <n v="0.95"/>
    <n v="1.03"/>
    <n v="0"/>
    <n v="0.89"/>
  </r>
  <r>
    <x v="8"/>
    <x v="2"/>
    <x v="14"/>
    <x v="1"/>
    <x v="4"/>
    <x v="2"/>
    <n v="1.46"/>
    <n v="1.59"/>
    <n v="0.02"/>
    <n v="1.35"/>
  </r>
  <r>
    <x v="8"/>
    <x v="2"/>
    <x v="14"/>
    <x v="4"/>
    <x v="4"/>
    <x v="2"/>
    <n v="0.05"/>
    <n v="0.05"/>
    <n v="0"/>
    <n v="0.05"/>
  </r>
  <r>
    <x v="8"/>
    <x v="2"/>
    <x v="14"/>
    <x v="2"/>
    <x v="3"/>
    <x v="1"/>
    <n v="0.25"/>
    <n v="0.27"/>
    <n v="0"/>
    <n v="0.22"/>
  </r>
  <r>
    <x v="8"/>
    <x v="2"/>
    <x v="14"/>
    <x v="2"/>
    <x v="3"/>
    <x v="0"/>
    <n v="9.3699999999999992"/>
    <n v="10.199999999999999"/>
    <n v="0.08"/>
    <n v="9.3699999999999992"/>
  </r>
  <r>
    <x v="8"/>
    <x v="2"/>
    <x v="14"/>
    <x v="2"/>
    <x v="4"/>
    <x v="0"/>
    <n v="2.82"/>
    <n v="3.07"/>
    <n v="0.38"/>
    <n v="2.72"/>
  </r>
  <r>
    <x v="8"/>
    <x v="2"/>
    <x v="14"/>
    <x v="1"/>
    <x v="4"/>
    <x v="0"/>
    <n v="37.78"/>
    <n v="41.13"/>
    <n v="6.09"/>
    <n v="35.39"/>
  </r>
  <r>
    <x v="8"/>
    <x v="4"/>
    <x v="15"/>
    <x v="1"/>
    <x v="0"/>
    <x v="0"/>
    <n v="11.74"/>
    <n v="11.83"/>
    <n v="7.5"/>
    <n v="11.28"/>
  </r>
  <r>
    <x v="8"/>
    <x v="4"/>
    <x v="15"/>
    <x v="1"/>
    <x v="1"/>
    <x v="2"/>
    <n v="0.59"/>
    <n v="0.59"/>
    <n v="0.05"/>
    <n v="0.54"/>
  </r>
  <r>
    <x v="8"/>
    <x v="4"/>
    <x v="15"/>
    <x v="1"/>
    <x v="4"/>
    <x v="2"/>
    <n v="0.04"/>
    <n v="0.04"/>
    <n v="0.03"/>
    <n v="0.04"/>
  </r>
  <r>
    <x v="8"/>
    <x v="4"/>
    <x v="15"/>
    <x v="4"/>
    <x v="2"/>
    <x v="2"/>
    <n v="0.02"/>
    <n v="0.02"/>
    <n v="0"/>
    <n v="0.02"/>
  </r>
  <r>
    <x v="8"/>
    <x v="4"/>
    <x v="15"/>
    <x v="4"/>
    <x v="1"/>
    <x v="2"/>
    <n v="0.16"/>
    <n v="0.16"/>
    <n v="0.02"/>
    <n v="0.18"/>
  </r>
  <r>
    <x v="8"/>
    <x v="4"/>
    <x v="15"/>
    <x v="0"/>
    <x v="4"/>
    <x v="0"/>
    <n v="4.1100000000000003"/>
    <n v="4.1500000000000004"/>
    <n v="0.75"/>
    <n v="4.18"/>
  </r>
  <r>
    <x v="8"/>
    <x v="4"/>
    <x v="15"/>
    <x v="4"/>
    <x v="4"/>
    <x v="1"/>
    <n v="0.03"/>
    <n v="0.03"/>
    <n v="0.03"/>
    <n v="0.02"/>
  </r>
  <r>
    <x v="8"/>
    <x v="4"/>
    <x v="15"/>
    <x v="1"/>
    <x v="4"/>
    <x v="0"/>
    <n v="156.54"/>
    <n v="157.81"/>
    <n v="33.36"/>
    <n v="147.79"/>
  </r>
  <r>
    <x v="8"/>
    <x v="4"/>
    <x v="15"/>
    <x v="1"/>
    <x v="1"/>
    <x v="0"/>
    <n v="27.03"/>
    <n v="27.25"/>
    <n v="1.93"/>
    <n v="25.84"/>
  </r>
  <r>
    <x v="8"/>
    <x v="4"/>
    <x v="15"/>
    <x v="1"/>
    <x v="2"/>
    <x v="0"/>
    <n v="5.76"/>
    <n v="5.81"/>
    <n v="0.06"/>
    <n v="5.15"/>
  </r>
  <r>
    <x v="8"/>
    <x v="4"/>
    <x v="15"/>
    <x v="2"/>
    <x v="0"/>
    <x v="0"/>
    <n v="4.26"/>
    <n v="4.29"/>
    <n v="3"/>
    <n v="4.17"/>
  </r>
  <r>
    <x v="8"/>
    <x v="4"/>
    <x v="15"/>
    <x v="2"/>
    <x v="4"/>
    <x v="0"/>
    <n v="5.32"/>
    <n v="5.37"/>
    <n v="1.71"/>
    <n v="5.08"/>
  </r>
  <r>
    <x v="8"/>
    <x v="4"/>
    <x v="15"/>
    <x v="4"/>
    <x v="4"/>
    <x v="2"/>
    <n v="0.05"/>
    <n v="0.05"/>
    <n v="0.03"/>
    <n v="0.05"/>
  </r>
  <r>
    <x v="8"/>
    <x v="4"/>
    <x v="15"/>
    <x v="4"/>
    <x v="0"/>
    <x v="1"/>
    <n v="0.03"/>
    <n v="0.03"/>
    <n v="0.06"/>
    <n v="0.03"/>
  </r>
  <r>
    <x v="8"/>
    <x v="4"/>
    <x v="15"/>
    <x v="4"/>
    <x v="1"/>
    <x v="1"/>
    <n v="7.0000000000000007E-2"/>
    <n v="7.0000000000000007E-2"/>
    <n v="0.01"/>
    <n v="0.06"/>
  </r>
  <r>
    <x v="8"/>
    <x v="4"/>
    <x v="15"/>
    <x v="0"/>
    <x v="4"/>
    <x v="1"/>
    <n v="0.35"/>
    <n v="0.36"/>
    <n v="0.17"/>
    <n v="0.3"/>
  </r>
  <r>
    <x v="8"/>
    <x v="4"/>
    <x v="15"/>
    <x v="1"/>
    <x v="0"/>
    <x v="1"/>
    <n v="0.16"/>
    <n v="0.16"/>
    <n v="0.12"/>
    <n v="0.14000000000000001"/>
  </r>
  <r>
    <x v="8"/>
    <x v="4"/>
    <x v="15"/>
    <x v="1"/>
    <x v="4"/>
    <x v="1"/>
    <n v="0.15"/>
    <n v="0.16"/>
    <n v="0.08"/>
    <n v="0.13"/>
  </r>
  <r>
    <x v="8"/>
    <x v="4"/>
    <x v="15"/>
    <x v="4"/>
    <x v="1"/>
    <x v="0"/>
    <n v="14.37"/>
    <n v="14.49"/>
    <n v="0.82"/>
    <n v="13.07"/>
  </r>
  <r>
    <x v="8"/>
    <x v="4"/>
    <x v="15"/>
    <x v="1"/>
    <x v="1"/>
    <x v="1"/>
    <n v="2.2200000000000002"/>
    <n v="2.2400000000000002"/>
    <n v="0.1"/>
    <n v="1.9"/>
  </r>
  <r>
    <x v="8"/>
    <x v="4"/>
    <x v="15"/>
    <x v="1"/>
    <x v="2"/>
    <x v="1"/>
    <n v="8.5"/>
    <n v="8.57"/>
    <n v="0.15"/>
    <n v="7.14"/>
  </r>
  <r>
    <x v="8"/>
    <x v="4"/>
    <x v="15"/>
    <x v="2"/>
    <x v="3"/>
    <x v="1"/>
    <n v="0"/>
    <n v="0"/>
    <n v="0.01"/>
    <n v="0"/>
  </r>
  <r>
    <x v="8"/>
    <x v="4"/>
    <x v="15"/>
    <x v="3"/>
    <x v="0"/>
    <x v="0"/>
    <n v="0.18"/>
    <n v="0.18"/>
    <n v="0.06"/>
    <n v="0.19"/>
  </r>
  <r>
    <x v="8"/>
    <x v="4"/>
    <x v="15"/>
    <x v="3"/>
    <x v="4"/>
    <x v="0"/>
    <n v="7.93"/>
    <n v="7.99"/>
    <n v="1.27"/>
    <n v="7.57"/>
  </r>
  <r>
    <x v="8"/>
    <x v="4"/>
    <x v="15"/>
    <x v="4"/>
    <x v="4"/>
    <x v="0"/>
    <n v="25.95"/>
    <n v="26.16"/>
    <n v="4.01"/>
    <n v="23.98"/>
  </r>
  <r>
    <x v="8"/>
    <x v="4"/>
    <x v="15"/>
    <x v="0"/>
    <x v="0"/>
    <x v="0"/>
    <n v="2.5299999999999998"/>
    <n v="2.5499999999999998"/>
    <n v="0.96"/>
    <n v="2.4700000000000002"/>
  </r>
  <r>
    <x v="8"/>
    <x v="4"/>
    <x v="15"/>
    <x v="2"/>
    <x v="3"/>
    <x v="3"/>
    <n v="10.54"/>
    <n v="10.62"/>
    <n v="0.01"/>
    <n v="8.85"/>
  </r>
  <r>
    <x v="8"/>
    <x v="4"/>
    <x v="15"/>
    <x v="3"/>
    <x v="1"/>
    <x v="0"/>
    <n v="0.27"/>
    <n v="0.27"/>
    <n v="0.03"/>
    <n v="0.28000000000000003"/>
  </r>
  <r>
    <x v="8"/>
    <x v="5"/>
    <x v="16"/>
    <x v="3"/>
    <x v="1"/>
    <x v="0"/>
    <n v="0"/>
    <n v="0"/>
    <n v="0"/>
    <n v="0"/>
  </r>
  <r>
    <x v="8"/>
    <x v="5"/>
    <x v="16"/>
    <x v="2"/>
    <x v="3"/>
    <x v="2"/>
    <n v="0.01"/>
    <n v="0.01"/>
    <n v="0"/>
    <n v="0.01"/>
  </r>
  <r>
    <x v="8"/>
    <x v="5"/>
    <x v="16"/>
    <x v="2"/>
    <x v="3"/>
    <x v="3"/>
    <n v="7.0000000000000007E-2"/>
    <n v="0.08"/>
    <n v="0"/>
    <n v="0.06"/>
  </r>
  <r>
    <x v="8"/>
    <x v="5"/>
    <x v="16"/>
    <x v="4"/>
    <x v="0"/>
    <x v="1"/>
    <n v="0"/>
    <n v="0.01"/>
    <n v="0"/>
    <n v="0"/>
  </r>
  <r>
    <x v="8"/>
    <x v="5"/>
    <x v="16"/>
    <x v="4"/>
    <x v="4"/>
    <x v="1"/>
    <n v="0.44"/>
    <n v="0.5"/>
    <n v="0.01"/>
    <n v="0.39"/>
  </r>
  <r>
    <x v="8"/>
    <x v="5"/>
    <x v="16"/>
    <x v="4"/>
    <x v="1"/>
    <x v="1"/>
    <n v="0.22"/>
    <n v="0.24"/>
    <n v="0"/>
    <n v="0.19"/>
  </r>
  <r>
    <x v="8"/>
    <x v="5"/>
    <x v="16"/>
    <x v="0"/>
    <x v="0"/>
    <x v="1"/>
    <n v="0.24"/>
    <n v="0.28000000000000003"/>
    <n v="0"/>
    <n v="0.22"/>
  </r>
  <r>
    <x v="8"/>
    <x v="5"/>
    <x v="16"/>
    <x v="0"/>
    <x v="4"/>
    <x v="1"/>
    <n v="0.02"/>
    <n v="0.02"/>
    <n v="0"/>
    <n v="0.02"/>
  </r>
  <r>
    <x v="8"/>
    <x v="5"/>
    <x v="16"/>
    <x v="1"/>
    <x v="0"/>
    <x v="1"/>
    <n v="0.27"/>
    <n v="0.31"/>
    <n v="0.01"/>
    <n v="0.26"/>
  </r>
  <r>
    <x v="8"/>
    <x v="5"/>
    <x v="16"/>
    <x v="1"/>
    <x v="4"/>
    <x v="1"/>
    <n v="0.12"/>
    <n v="0.14000000000000001"/>
    <n v="0"/>
    <n v="0.11"/>
  </r>
  <r>
    <x v="8"/>
    <x v="5"/>
    <x v="16"/>
    <x v="1"/>
    <x v="1"/>
    <x v="1"/>
    <n v="0.76"/>
    <n v="0.87"/>
    <n v="0.01"/>
    <n v="0.72"/>
  </r>
  <r>
    <x v="8"/>
    <x v="5"/>
    <x v="16"/>
    <x v="1"/>
    <x v="2"/>
    <x v="1"/>
    <n v="0.36"/>
    <n v="0.41"/>
    <n v="0"/>
    <n v="0.33"/>
  </r>
  <r>
    <x v="8"/>
    <x v="5"/>
    <x v="16"/>
    <x v="2"/>
    <x v="3"/>
    <x v="1"/>
    <n v="7.0000000000000007E-2"/>
    <n v="0.08"/>
    <n v="0"/>
    <n v="0.06"/>
  </r>
  <r>
    <x v="8"/>
    <x v="5"/>
    <x v="16"/>
    <x v="4"/>
    <x v="1"/>
    <x v="2"/>
    <n v="0.65"/>
    <n v="0.73"/>
    <n v="0.01"/>
    <n v="0.54"/>
  </r>
  <r>
    <x v="8"/>
    <x v="5"/>
    <x v="16"/>
    <x v="3"/>
    <x v="4"/>
    <x v="0"/>
    <n v="1.56"/>
    <n v="1.77"/>
    <n v="0.48"/>
    <n v="1.48"/>
  </r>
  <r>
    <x v="8"/>
    <x v="5"/>
    <x v="16"/>
    <x v="4"/>
    <x v="4"/>
    <x v="2"/>
    <n v="0.06"/>
    <n v="7.0000000000000007E-2"/>
    <n v="0"/>
    <n v="0.05"/>
  </r>
  <r>
    <x v="8"/>
    <x v="5"/>
    <x v="16"/>
    <x v="4"/>
    <x v="4"/>
    <x v="0"/>
    <n v="12.57"/>
    <n v="14.23"/>
    <n v="1.66"/>
    <n v="11.71"/>
  </r>
  <r>
    <x v="8"/>
    <x v="5"/>
    <x v="16"/>
    <x v="4"/>
    <x v="1"/>
    <x v="0"/>
    <n v="1.46"/>
    <n v="1.65"/>
    <n v="0.06"/>
    <n v="1.37"/>
  </r>
  <r>
    <x v="8"/>
    <x v="5"/>
    <x v="16"/>
    <x v="0"/>
    <x v="0"/>
    <x v="0"/>
    <n v="1.27"/>
    <n v="1.44"/>
    <n v="0.68"/>
    <n v="1.1499999999999999"/>
  </r>
  <r>
    <x v="8"/>
    <x v="5"/>
    <x v="16"/>
    <x v="0"/>
    <x v="4"/>
    <x v="0"/>
    <n v="4.25"/>
    <n v="4.8099999999999996"/>
    <n v="1.07"/>
    <n v="3.92"/>
  </r>
  <r>
    <x v="8"/>
    <x v="5"/>
    <x v="16"/>
    <x v="1"/>
    <x v="0"/>
    <x v="0"/>
    <n v="2.78"/>
    <n v="3.15"/>
    <n v="1.67"/>
    <n v="2.56"/>
  </r>
  <r>
    <x v="8"/>
    <x v="5"/>
    <x v="16"/>
    <x v="1"/>
    <x v="4"/>
    <x v="0"/>
    <n v="53.78"/>
    <n v="60.87"/>
    <n v="11.63"/>
    <n v="48.73"/>
  </r>
  <r>
    <x v="8"/>
    <x v="5"/>
    <x v="16"/>
    <x v="1"/>
    <x v="1"/>
    <x v="0"/>
    <n v="8.7200000000000006"/>
    <n v="9.8699999999999992"/>
    <n v="0.51"/>
    <n v="7.89"/>
  </r>
  <r>
    <x v="8"/>
    <x v="5"/>
    <x v="16"/>
    <x v="1"/>
    <x v="2"/>
    <x v="0"/>
    <n v="0.2"/>
    <n v="0.23"/>
    <n v="0.01"/>
    <n v="0.18"/>
  </r>
  <r>
    <x v="8"/>
    <x v="5"/>
    <x v="16"/>
    <x v="2"/>
    <x v="0"/>
    <x v="0"/>
    <n v="1.45"/>
    <n v="1.64"/>
    <n v="1.02"/>
    <n v="1.35"/>
  </r>
  <r>
    <x v="8"/>
    <x v="5"/>
    <x v="16"/>
    <x v="2"/>
    <x v="4"/>
    <x v="0"/>
    <n v="2.25"/>
    <n v="2.5499999999999998"/>
    <n v="0.37"/>
    <n v="2.11"/>
  </r>
  <r>
    <x v="8"/>
    <x v="5"/>
    <x v="16"/>
    <x v="2"/>
    <x v="3"/>
    <x v="0"/>
    <n v="0.05"/>
    <n v="0.05"/>
    <n v="0.02"/>
    <n v="0.05"/>
  </r>
  <r>
    <x v="8"/>
    <x v="5"/>
    <x v="16"/>
    <x v="3"/>
    <x v="0"/>
    <x v="0"/>
    <n v="0.84"/>
    <n v="0.95"/>
    <n v="0.18"/>
    <n v="0.81"/>
  </r>
  <r>
    <x v="8"/>
    <x v="6"/>
    <x v="17"/>
    <x v="3"/>
    <x v="4"/>
    <x v="0"/>
    <n v="53.53"/>
    <n v="58.21"/>
    <n v="7.6"/>
    <n v="49.25"/>
  </r>
  <r>
    <x v="8"/>
    <x v="6"/>
    <x v="17"/>
    <x v="4"/>
    <x v="0"/>
    <x v="1"/>
    <n v="1.76"/>
    <n v="1.91"/>
    <n v="0.15"/>
    <n v="1.51"/>
  </r>
  <r>
    <x v="8"/>
    <x v="6"/>
    <x v="17"/>
    <x v="4"/>
    <x v="4"/>
    <x v="1"/>
    <n v="3.08"/>
    <n v="3.35"/>
    <n v="0.09"/>
    <n v="2.64"/>
  </r>
  <r>
    <x v="8"/>
    <x v="6"/>
    <x v="17"/>
    <x v="4"/>
    <x v="1"/>
    <x v="1"/>
    <n v="0.43"/>
    <n v="0.47"/>
    <n v="0.02"/>
    <n v="0.37"/>
  </r>
  <r>
    <x v="8"/>
    <x v="6"/>
    <x v="17"/>
    <x v="0"/>
    <x v="0"/>
    <x v="1"/>
    <n v="2.95"/>
    <n v="3.21"/>
    <n v="0.06"/>
    <n v="2.5299999999999998"/>
  </r>
  <r>
    <x v="8"/>
    <x v="6"/>
    <x v="17"/>
    <x v="0"/>
    <x v="4"/>
    <x v="1"/>
    <n v="0.7"/>
    <n v="0.76"/>
    <n v="7.0000000000000007E-2"/>
    <n v="0.6"/>
  </r>
  <r>
    <x v="8"/>
    <x v="6"/>
    <x v="17"/>
    <x v="1"/>
    <x v="0"/>
    <x v="1"/>
    <n v="2.68"/>
    <n v="2.91"/>
    <n v="0.08"/>
    <n v="2.34"/>
  </r>
  <r>
    <x v="8"/>
    <x v="6"/>
    <x v="17"/>
    <x v="1"/>
    <x v="4"/>
    <x v="1"/>
    <n v="1.8"/>
    <n v="1.95"/>
    <n v="0.04"/>
    <n v="1.57"/>
  </r>
  <r>
    <x v="8"/>
    <x v="6"/>
    <x v="17"/>
    <x v="1"/>
    <x v="1"/>
    <x v="1"/>
    <n v="11.66"/>
    <n v="12.67"/>
    <n v="0.12"/>
    <n v="10"/>
  </r>
  <r>
    <x v="8"/>
    <x v="6"/>
    <x v="17"/>
    <x v="1"/>
    <x v="2"/>
    <x v="1"/>
    <n v="15.9"/>
    <n v="17.29"/>
    <n v="0.06"/>
    <n v="13.66"/>
  </r>
  <r>
    <x v="8"/>
    <x v="6"/>
    <x v="17"/>
    <x v="2"/>
    <x v="4"/>
    <x v="1"/>
    <n v="0.17"/>
    <n v="0.19"/>
    <n v="0"/>
    <n v="0.17"/>
  </r>
  <r>
    <x v="8"/>
    <x v="6"/>
    <x v="17"/>
    <x v="2"/>
    <x v="3"/>
    <x v="2"/>
    <n v="6.25"/>
    <n v="6.8"/>
    <n v="0.02"/>
    <n v="6.05"/>
  </r>
  <r>
    <x v="8"/>
    <x v="6"/>
    <x v="17"/>
    <x v="3"/>
    <x v="0"/>
    <x v="0"/>
    <n v="5.41"/>
    <n v="5.89"/>
    <n v="1.98"/>
    <n v="5.41"/>
  </r>
  <r>
    <x v="8"/>
    <x v="6"/>
    <x v="17"/>
    <x v="4"/>
    <x v="0"/>
    <x v="0"/>
    <n v="0.38"/>
    <n v="0.41"/>
    <n v="0.4"/>
    <n v="0.38"/>
  </r>
  <r>
    <x v="8"/>
    <x v="6"/>
    <x v="17"/>
    <x v="3"/>
    <x v="1"/>
    <x v="0"/>
    <n v="0.15"/>
    <n v="0.16"/>
    <n v="0.01"/>
    <n v="0.15"/>
  </r>
  <r>
    <x v="8"/>
    <x v="6"/>
    <x v="17"/>
    <x v="4"/>
    <x v="4"/>
    <x v="0"/>
    <n v="185.25"/>
    <n v="201.43"/>
    <n v="25.39"/>
    <n v="168.65"/>
  </r>
  <r>
    <x v="8"/>
    <x v="6"/>
    <x v="17"/>
    <x v="0"/>
    <x v="0"/>
    <x v="0"/>
    <n v="26.73"/>
    <n v="29.06"/>
    <n v="12.67"/>
    <n v="23.85"/>
  </r>
  <r>
    <x v="8"/>
    <x v="6"/>
    <x v="17"/>
    <x v="0"/>
    <x v="4"/>
    <x v="0"/>
    <n v="54.08"/>
    <n v="58.8"/>
    <n v="20.95"/>
    <n v="53.76"/>
  </r>
  <r>
    <x v="8"/>
    <x v="6"/>
    <x v="17"/>
    <x v="1"/>
    <x v="0"/>
    <x v="0"/>
    <n v="23.12"/>
    <n v="25.14"/>
    <n v="10.73"/>
    <n v="21.3"/>
  </r>
  <r>
    <x v="8"/>
    <x v="6"/>
    <x v="17"/>
    <x v="1"/>
    <x v="4"/>
    <x v="0"/>
    <n v="409.79"/>
    <n v="445.59"/>
    <n v="61.3"/>
    <n v="379.89"/>
  </r>
  <r>
    <x v="8"/>
    <x v="6"/>
    <x v="17"/>
    <x v="1"/>
    <x v="1"/>
    <x v="0"/>
    <n v="42.96"/>
    <n v="46.72"/>
    <n v="2.33"/>
    <n v="38.770000000000003"/>
  </r>
  <r>
    <x v="8"/>
    <x v="6"/>
    <x v="17"/>
    <x v="1"/>
    <x v="2"/>
    <x v="0"/>
    <n v="17.86"/>
    <n v="19.420000000000002"/>
    <n v="0.19"/>
    <n v="15.57"/>
  </r>
  <r>
    <x v="8"/>
    <x v="6"/>
    <x v="17"/>
    <x v="2"/>
    <x v="0"/>
    <x v="0"/>
    <n v="22.06"/>
    <n v="23.99"/>
    <n v="11.82"/>
    <n v="21.84"/>
  </r>
  <r>
    <x v="8"/>
    <x v="6"/>
    <x v="17"/>
    <x v="2"/>
    <x v="4"/>
    <x v="0"/>
    <n v="17.45"/>
    <n v="18.98"/>
    <n v="5.31"/>
    <n v="17"/>
  </r>
  <r>
    <x v="8"/>
    <x v="6"/>
    <x v="17"/>
    <x v="2"/>
    <x v="3"/>
    <x v="1"/>
    <n v="3.56"/>
    <n v="3.88"/>
    <n v="0.01"/>
    <n v="3.31"/>
  </r>
  <r>
    <x v="8"/>
    <x v="6"/>
    <x v="17"/>
    <x v="1"/>
    <x v="3"/>
    <x v="2"/>
    <n v="0.66"/>
    <n v="0.72"/>
    <n v="0.04"/>
    <n v="0.64"/>
  </r>
  <r>
    <x v="8"/>
    <x v="6"/>
    <x v="17"/>
    <x v="1"/>
    <x v="2"/>
    <x v="2"/>
    <n v="0.02"/>
    <n v="0.02"/>
    <n v="0"/>
    <n v="0.02"/>
  </r>
  <r>
    <x v="8"/>
    <x v="6"/>
    <x v="17"/>
    <x v="1"/>
    <x v="1"/>
    <x v="2"/>
    <n v="4.3099999999999996"/>
    <n v="4.68"/>
    <n v="0.06"/>
    <n v="4.17"/>
  </r>
  <r>
    <x v="8"/>
    <x v="6"/>
    <x v="17"/>
    <x v="1"/>
    <x v="4"/>
    <x v="2"/>
    <n v="0.47"/>
    <n v="0.51"/>
    <n v="0.01"/>
    <n v="0.4"/>
  </r>
  <r>
    <x v="8"/>
    <x v="6"/>
    <x v="17"/>
    <x v="4"/>
    <x v="1"/>
    <x v="2"/>
    <n v="0.49"/>
    <n v="0.53"/>
    <n v="0.02"/>
    <n v="0.41"/>
  </r>
  <r>
    <x v="8"/>
    <x v="6"/>
    <x v="17"/>
    <x v="4"/>
    <x v="4"/>
    <x v="2"/>
    <n v="0.9"/>
    <n v="0.98"/>
    <n v="0.08"/>
    <n v="0.76"/>
  </r>
  <r>
    <x v="8"/>
    <x v="6"/>
    <x v="17"/>
    <x v="4"/>
    <x v="1"/>
    <x v="0"/>
    <n v="19.45"/>
    <n v="21.15"/>
    <n v="1.06"/>
    <n v="17.77"/>
  </r>
  <r>
    <x v="8"/>
    <x v="6"/>
    <x v="18"/>
    <x v="0"/>
    <x v="0"/>
    <x v="1"/>
    <n v="2.34"/>
    <n v="2.99"/>
    <n v="0.05"/>
    <n v="1.9"/>
  </r>
  <r>
    <x v="8"/>
    <x v="6"/>
    <x v="18"/>
    <x v="2"/>
    <x v="4"/>
    <x v="1"/>
    <n v="0.04"/>
    <n v="0.04"/>
    <n v="0"/>
    <n v="0.03"/>
  </r>
  <r>
    <x v="8"/>
    <x v="6"/>
    <x v="18"/>
    <x v="1"/>
    <x v="2"/>
    <x v="1"/>
    <n v="8.32"/>
    <n v="10.65"/>
    <n v="0.03"/>
    <n v="6.64"/>
  </r>
  <r>
    <x v="8"/>
    <x v="6"/>
    <x v="18"/>
    <x v="1"/>
    <x v="1"/>
    <x v="1"/>
    <n v="2.13"/>
    <n v="2.72"/>
    <n v="0.02"/>
    <n v="1.71"/>
  </r>
  <r>
    <x v="8"/>
    <x v="6"/>
    <x v="18"/>
    <x v="4"/>
    <x v="4"/>
    <x v="2"/>
    <n v="0.02"/>
    <n v="0.03"/>
    <n v="0"/>
    <n v="0.01"/>
  </r>
  <r>
    <x v="8"/>
    <x v="6"/>
    <x v="18"/>
    <x v="4"/>
    <x v="1"/>
    <x v="2"/>
    <n v="0.01"/>
    <n v="0.02"/>
    <n v="0"/>
    <n v="0.01"/>
  </r>
  <r>
    <x v="8"/>
    <x v="6"/>
    <x v="18"/>
    <x v="2"/>
    <x v="3"/>
    <x v="2"/>
    <n v="0.23"/>
    <n v="0.28999999999999998"/>
    <n v="0.04"/>
    <n v="0.13"/>
  </r>
  <r>
    <x v="8"/>
    <x v="6"/>
    <x v="18"/>
    <x v="4"/>
    <x v="0"/>
    <x v="1"/>
    <n v="0.27"/>
    <n v="0.35"/>
    <n v="0.02"/>
    <n v="0.22"/>
  </r>
  <r>
    <x v="8"/>
    <x v="6"/>
    <x v="18"/>
    <x v="2"/>
    <x v="3"/>
    <x v="1"/>
    <n v="0.42"/>
    <n v="0.53"/>
    <n v="0"/>
    <n v="0.38"/>
  </r>
  <r>
    <x v="8"/>
    <x v="6"/>
    <x v="18"/>
    <x v="4"/>
    <x v="1"/>
    <x v="1"/>
    <n v="0.05"/>
    <n v="0.06"/>
    <n v="0"/>
    <n v="0.04"/>
  </r>
  <r>
    <x v="8"/>
    <x v="6"/>
    <x v="18"/>
    <x v="1"/>
    <x v="1"/>
    <x v="2"/>
    <n v="1"/>
    <n v="1.27"/>
    <n v="0.01"/>
    <n v="0.56000000000000005"/>
  </r>
  <r>
    <x v="8"/>
    <x v="6"/>
    <x v="18"/>
    <x v="0"/>
    <x v="4"/>
    <x v="1"/>
    <n v="0.27"/>
    <n v="0.34"/>
    <n v="0.03"/>
    <n v="0.22"/>
  </r>
  <r>
    <x v="8"/>
    <x v="6"/>
    <x v="18"/>
    <x v="1"/>
    <x v="4"/>
    <x v="1"/>
    <n v="0.5"/>
    <n v="0.65"/>
    <n v="0.01"/>
    <n v="0.38"/>
  </r>
  <r>
    <x v="8"/>
    <x v="6"/>
    <x v="18"/>
    <x v="1"/>
    <x v="0"/>
    <x v="1"/>
    <n v="0.46"/>
    <n v="0.59"/>
    <n v="0.01"/>
    <n v="0.36"/>
  </r>
  <r>
    <x v="8"/>
    <x v="6"/>
    <x v="18"/>
    <x v="4"/>
    <x v="4"/>
    <x v="1"/>
    <n v="0.06"/>
    <n v="0.08"/>
    <n v="0.01"/>
    <n v="0.05"/>
  </r>
  <r>
    <x v="8"/>
    <x v="6"/>
    <x v="18"/>
    <x v="1"/>
    <x v="4"/>
    <x v="0"/>
    <n v="73.91"/>
    <n v="94.61"/>
    <n v="14.68"/>
    <n v="63.48"/>
  </r>
  <r>
    <x v="8"/>
    <x v="6"/>
    <x v="18"/>
    <x v="2"/>
    <x v="3"/>
    <x v="3"/>
    <n v="0.95"/>
    <n v="1.22"/>
    <n v="0"/>
    <n v="0.76"/>
  </r>
  <r>
    <x v="8"/>
    <x v="6"/>
    <x v="18"/>
    <x v="3"/>
    <x v="0"/>
    <x v="0"/>
    <n v="3.58"/>
    <n v="4.59"/>
    <n v="1.33"/>
    <n v="3.4"/>
  </r>
  <r>
    <x v="8"/>
    <x v="6"/>
    <x v="18"/>
    <x v="2"/>
    <x v="0"/>
    <x v="0"/>
    <n v="8.24"/>
    <n v="10.54"/>
    <n v="3.63"/>
    <n v="7.59"/>
  </r>
  <r>
    <x v="8"/>
    <x v="6"/>
    <x v="18"/>
    <x v="1"/>
    <x v="1"/>
    <x v="0"/>
    <n v="24.52"/>
    <n v="31.39"/>
    <n v="1.37"/>
    <n v="20.9"/>
  </r>
  <r>
    <x v="8"/>
    <x v="6"/>
    <x v="18"/>
    <x v="1"/>
    <x v="0"/>
    <x v="0"/>
    <n v="11.98"/>
    <n v="15.33"/>
    <n v="4.97"/>
    <n v="10.23"/>
  </r>
  <r>
    <x v="8"/>
    <x v="6"/>
    <x v="18"/>
    <x v="0"/>
    <x v="4"/>
    <x v="0"/>
    <n v="18.420000000000002"/>
    <n v="23.58"/>
    <n v="3.79"/>
    <n v="15.79"/>
  </r>
  <r>
    <x v="8"/>
    <x v="6"/>
    <x v="18"/>
    <x v="0"/>
    <x v="0"/>
    <x v="0"/>
    <n v="9.67"/>
    <n v="12.37"/>
    <n v="4.67"/>
    <n v="8.2200000000000006"/>
  </r>
  <r>
    <x v="8"/>
    <x v="6"/>
    <x v="18"/>
    <x v="4"/>
    <x v="1"/>
    <x v="0"/>
    <n v="4.74"/>
    <n v="6.07"/>
    <n v="0.22"/>
    <n v="4.0999999999999996"/>
  </r>
  <r>
    <x v="8"/>
    <x v="6"/>
    <x v="18"/>
    <x v="3"/>
    <x v="4"/>
    <x v="0"/>
    <n v="4"/>
    <n v="5.12"/>
    <n v="0.71"/>
    <n v="3.57"/>
  </r>
  <r>
    <x v="8"/>
    <x v="6"/>
    <x v="18"/>
    <x v="4"/>
    <x v="4"/>
    <x v="0"/>
    <n v="26.25"/>
    <n v="33.6"/>
    <n v="5.22"/>
    <n v="22.5"/>
  </r>
  <r>
    <x v="8"/>
    <x v="6"/>
    <x v="18"/>
    <x v="2"/>
    <x v="4"/>
    <x v="0"/>
    <n v="15.1"/>
    <n v="19.32"/>
    <n v="3.29"/>
    <n v="13.6"/>
  </r>
  <r>
    <x v="8"/>
    <x v="6"/>
    <x v="18"/>
    <x v="1"/>
    <x v="2"/>
    <x v="0"/>
    <n v="5.45"/>
    <n v="6.97"/>
    <n v="0.04"/>
    <n v="4.53"/>
  </r>
  <r>
    <x v="8"/>
    <x v="6"/>
    <x v="18"/>
    <x v="3"/>
    <x v="1"/>
    <x v="0"/>
    <n v="0.08"/>
    <n v="0.11"/>
    <n v="0.01"/>
    <n v="7.0000000000000007E-2"/>
  </r>
  <r>
    <x v="8"/>
    <x v="2"/>
    <x v="19"/>
    <x v="2"/>
    <x v="0"/>
    <x v="0"/>
    <n v="6.58"/>
    <n v="7.16"/>
    <n v="3.59"/>
    <n v="6.23"/>
  </r>
  <r>
    <x v="8"/>
    <x v="2"/>
    <x v="19"/>
    <x v="4"/>
    <x v="1"/>
    <x v="0"/>
    <n v="8.18"/>
    <n v="8.9"/>
    <n v="0.37"/>
    <n v="7.42"/>
  </r>
  <r>
    <x v="8"/>
    <x v="2"/>
    <x v="19"/>
    <x v="0"/>
    <x v="4"/>
    <x v="0"/>
    <n v="40.659999999999997"/>
    <n v="44.26"/>
    <n v="7.56"/>
    <n v="37.83"/>
  </r>
  <r>
    <x v="8"/>
    <x v="2"/>
    <x v="19"/>
    <x v="1"/>
    <x v="0"/>
    <x v="0"/>
    <n v="16.920000000000002"/>
    <n v="18.420000000000002"/>
    <n v="7.64"/>
    <n v="15.91"/>
  </r>
  <r>
    <x v="8"/>
    <x v="2"/>
    <x v="19"/>
    <x v="1"/>
    <x v="4"/>
    <x v="0"/>
    <n v="209.72"/>
    <n v="228.3"/>
    <n v="26.7"/>
    <n v="194.95"/>
  </r>
  <r>
    <x v="8"/>
    <x v="2"/>
    <x v="19"/>
    <x v="1"/>
    <x v="2"/>
    <x v="0"/>
    <n v="0.87"/>
    <n v="0.94"/>
    <n v="0.01"/>
    <n v="0.74"/>
  </r>
  <r>
    <x v="8"/>
    <x v="2"/>
    <x v="19"/>
    <x v="3"/>
    <x v="1"/>
    <x v="0"/>
    <n v="5.88"/>
    <n v="6.4"/>
    <n v="0.41"/>
    <n v="5.59"/>
  </r>
  <r>
    <x v="8"/>
    <x v="2"/>
    <x v="19"/>
    <x v="2"/>
    <x v="4"/>
    <x v="0"/>
    <n v="11.52"/>
    <n v="12.54"/>
    <n v="2.0699999999999998"/>
    <n v="10.97"/>
  </r>
  <r>
    <x v="8"/>
    <x v="2"/>
    <x v="19"/>
    <x v="0"/>
    <x v="4"/>
    <x v="1"/>
    <n v="0.02"/>
    <n v="0.02"/>
    <n v="0"/>
    <n v="0.02"/>
  </r>
  <r>
    <x v="8"/>
    <x v="2"/>
    <x v="19"/>
    <x v="4"/>
    <x v="4"/>
    <x v="2"/>
    <n v="7.08"/>
    <n v="7.71"/>
    <n v="0.01"/>
    <n v="7.97"/>
  </r>
  <r>
    <x v="8"/>
    <x v="2"/>
    <x v="19"/>
    <x v="1"/>
    <x v="1"/>
    <x v="0"/>
    <n v="37.86"/>
    <n v="41.22"/>
    <n v="1.26"/>
    <n v="35.200000000000003"/>
  </r>
  <r>
    <x v="8"/>
    <x v="2"/>
    <x v="19"/>
    <x v="3"/>
    <x v="4"/>
    <x v="0"/>
    <n v="27.04"/>
    <n v="29.43"/>
    <n v="6.9"/>
    <n v="25.71"/>
  </r>
  <r>
    <x v="8"/>
    <x v="2"/>
    <x v="19"/>
    <x v="3"/>
    <x v="0"/>
    <x v="0"/>
    <n v="23.31"/>
    <n v="25.38"/>
    <n v="4.49"/>
    <n v="22.22"/>
  </r>
  <r>
    <x v="8"/>
    <x v="2"/>
    <x v="19"/>
    <x v="2"/>
    <x v="3"/>
    <x v="1"/>
    <n v="0.08"/>
    <n v="0.09"/>
    <n v="0"/>
    <n v="7.0000000000000007E-2"/>
  </r>
  <r>
    <x v="8"/>
    <x v="2"/>
    <x v="19"/>
    <x v="1"/>
    <x v="2"/>
    <x v="1"/>
    <n v="0.15"/>
    <n v="0.16"/>
    <n v="0"/>
    <n v="0.13"/>
  </r>
  <r>
    <x v="8"/>
    <x v="2"/>
    <x v="19"/>
    <x v="1"/>
    <x v="1"/>
    <x v="1"/>
    <n v="0.17"/>
    <n v="0.18"/>
    <n v="0"/>
    <n v="0.15"/>
  </r>
  <r>
    <x v="8"/>
    <x v="2"/>
    <x v="19"/>
    <x v="1"/>
    <x v="0"/>
    <x v="1"/>
    <n v="0.01"/>
    <n v="0.01"/>
    <n v="0"/>
    <n v="0.01"/>
  </r>
  <r>
    <x v="8"/>
    <x v="2"/>
    <x v="19"/>
    <x v="0"/>
    <x v="0"/>
    <x v="1"/>
    <n v="0.02"/>
    <n v="0.03"/>
    <n v="0"/>
    <n v="0.02"/>
  </r>
  <r>
    <x v="8"/>
    <x v="2"/>
    <x v="19"/>
    <x v="4"/>
    <x v="0"/>
    <x v="1"/>
    <n v="0"/>
    <n v="0"/>
    <n v="0"/>
    <n v="0"/>
  </r>
  <r>
    <x v="8"/>
    <x v="2"/>
    <x v="19"/>
    <x v="4"/>
    <x v="2"/>
    <x v="2"/>
    <n v="0.02"/>
    <n v="0.02"/>
    <n v="0"/>
    <n v="0.02"/>
  </r>
  <r>
    <x v="8"/>
    <x v="2"/>
    <x v="19"/>
    <x v="4"/>
    <x v="1"/>
    <x v="2"/>
    <n v="0.04"/>
    <n v="0.04"/>
    <n v="0"/>
    <n v="0.04"/>
  </r>
  <r>
    <x v="8"/>
    <x v="2"/>
    <x v="19"/>
    <x v="0"/>
    <x v="0"/>
    <x v="0"/>
    <n v="3.44"/>
    <n v="3.74"/>
    <n v="1.88"/>
    <n v="3.04"/>
  </r>
  <r>
    <x v="8"/>
    <x v="2"/>
    <x v="19"/>
    <x v="2"/>
    <x v="3"/>
    <x v="0"/>
    <n v="2.86"/>
    <n v="3.11"/>
    <n v="0.02"/>
    <n v="2.86"/>
  </r>
  <r>
    <x v="8"/>
    <x v="2"/>
    <x v="19"/>
    <x v="1"/>
    <x v="4"/>
    <x v="1"/>
    <n v="0.02"/>
    <n v="0.02"/>
    <n v="0"/>
    <n v="0.02"/>
  </r>
  <r>
    <x v="8"/>
    <x v="2"/>
    <x v="19"/>
    <x v="4"/>
    <x v="4"/>
    <x v="0"/>
    <n v="30.86"/>
    <n v="33.6"/>
    <n v="3.01"/>
    <n v="28.13"/>
  </r>
  <r>
    <x v="8"/>
    <x v="7"/>
    <x v="20"/>
    <x v="2"/>
    <x v="3"/>
    <x v="2"/>
    <n v="0.02"/>
    <n v="0.02"/>
    <n v="0"/>
    <n v="0.02"/>
  </r>
  <r>
    <x v="8"/>
    <x v="7"/>
    <x v="20"/>
    <x v="2"/>
    <x v="0"/>
    <x v="0"/>
    <n v="2.0099999999999998"/>
    <n v="1.9"/>
    <n v="2.14"/>
    <n v="1.9"/>
  </r>
  <r>
    <x v="8"/>
    <x v="7"/>
    <x v="20"/>
    <x v="2"/>
    <x v="4"/>
    <x v="0"/>
    <n v="4.3"/>
    <n v="4.08"/>
    <n v="1.31"/>
    <n v="4.05"/>
  </r>
  <r>
    <x v="8"/>
    <x v="7"/>
    <x v="20"/>
    <x v="1"/>
    <x v="1"/>
    <x v="0"/>
    <n v="35.71"/>
    <n v="33.840000000000003"/>
    <n v="1.58"/>
    <n v="33.08"/>
  </r>
  <r>
    <x v="8"/>
    <x v="7"/>
    <x v="20"/>
    <x v="2"/>
    <x v="3"/>
    <x v="0"/>
    <n v="0.13"/>
    <n v="0.12"/>
    <n v="0.02"/>
    <n v="0.13"/>
  </r>
  <r>
    <x v="8"/>
    <x v="7"/>
    <x v="20"/>
    <x v="4"/>
    <x v="4"/>
    <x v="2"/>
    <n v="0.02"/>
    <n v="0.02"/>
    <n v="0"/>
    <n v="0.02"/>
  </r>
  <r>
    <x v="8"/>
    <x v="7"/>
    <x v="20"/>
    <x v="4"/>
    <x v="2"/>
    <x v="2"/>
    <n v="0"/>
    <n v="0"/>
    <n v="0"/>
    <n v="0"/>
  </r>
  <r>
    <x v="8"/>
    <x v="7"/>
    <x v="20"/>
    <x v="2"/>
    <x v="3"/>
    <x v="3"/>
    <n v="6.42"/>
    <n v="6.09"/>
    <n v="0"/>
    <n v="6.42"/>
  </r>
  <r>
    <x v="8"/>
    <x v="7"/>
    <x v="20"/>
    <x v="4"/>
    <x v="0"/>
    <x v="1"/>
    <n v="0"/>
    <n v="0"/>
    <n v="0"/>
    <n v="0"/>
  </r>
  <r>
    <x v="8"/>
    <x v="7"/>
    <x v="20"/>
    <x v="4"/>
    <x v="4"/>
    <x v="1"/>
    <n v="0.03"/>
    <n v="0.03"/>
    <n v="0"/>
    <n v="0.03"/>
  </r>
  <r>
    <x v="8"/>
    <x v="7"/>
    <x v="20"/>
    <x v="0"/>
    <x v="0"/>
    <x v="1"/>
    <n v="0.16"/>
    <n v="0.15"/>
    <n v="0"/>
    <n v="0.14000000000000001"/>
  </r>
  <r>
    <x v="8"/>
    <x v="7"/>
    <x v="20"/>
    <x v="0"/>
    <x v="4"/>
    <x v="1"/>
    <n v="0.02"/>
    <n v="0.01"/>
    <n v="0"/>
    <n v="0.01"/>
  </r>
  <r>
    <x v="8"/>
    <x v="7"/>
    <x v="20"/>
    <x v="1"/>
    <x v="0"/>
    <x v="1"/>
    <n v="0.21"/>
    <n v="0.2"/>
    <n v="0.01"/>
    <n v="0.2"/>
  </r>
  <r>
    <x v="8"/>
    <x v="7"/>
    <x v="20"/>
    <x v="0"/>
    <x v="4"/>
    <x v="0"/>
    <n v="6.81"/>
    <n v="6.45"/>
    <n v="2.23"/>
    <n v="6.35"/>
  </r>
  <r>
    <x v="8"/>
    <x v="7"/>
    <x v="20"/>
    <x v="4"/>
    <x v="1"/>
    <x v="2"/>
    <n v="0"/>
    <n v="0"/>
    <n v="0"/>
    <n v="0"/>
  </r>
  <r>
    <x v="8"/>
    <x v="7"/>
    <x v="20"/>
    <x v="1"/>
    <x v="0"/>
    <x v="0"/>
    <n v="6.73"/>
    <n v="6.38"/>
    <n v="4.8099999999999996"/>
    <n v="6.31"/>
  </r>
  <r>
    <x v="8"/>
    <x v="7"/>
    <x v="20"/>
    <x v="1"/>
    <x v="4"/>
    <x v="1"/>
    <n v="0.05"/>
    <n v="0.04"/>
    <n v="0"/>
    <n v="0.04"/>
  </r>
  <r>
    <x v="8"/>
    <x v="7"/>
    <x v="20"/>
    <x v="0"/>
    <x v="0"/>
    <x v="0"/>
    <n v="1.69"/>
    <n v="1.6"/>
    <n v="1.01"/>
    <n v="1.53"/>
  </r>
  <r>
    <x v="8"/>
    <x v="7"/>
    <x v="20"/>
    <x v="4"/>
    <x v="1"/>
    <x v="0"/>
    <n v="16.82"/>
    <n v="15.94"/>
    <n v="0.85"/>
    <n v="15.61"/>
  </r>
  <r>
    <x v="8"/>
    <x v="7"/>
    <x v="20"/>
    <x v="4"/>
    <x v="4"/>
    <x v="0"/>
    <n v="98.11"/>
    <n v="92.96"/>
    <n v="10.57"/>
    <n v="90.62"/>
  </r>
  <r>
    <x v="8"/>
    <x v="7"/>
    <x v="20"/>
    <x v="3"/>
    <x v="4"/>
    <x v="0"/>
    <n v="8.83"/>
    <n v="8.3699999999999992"/>
    <n v="2.76"/>
    <n v="8.34"/>
  </r>
  <r>
    <x v="8"/>
    <x v="7"/>
    <x v="20"/>
    <x v="3"/>
    <x v="0"/>
    <x v="0"/>
    <n v="4.5599999999999996"/>
    <n v="4.32"/>
    <n v="0.75"/>
    <n v="4.47"/>
  </r>
  <r>
    <x v="8"/>
    <x v="7"/>
    <x v="20"/>
    <x v="2"/>
    <x v="3"/>
    <x v="1"/>
    <n v="0.3"/>
    <n v="0.28999999999999998"/>
    <n v="0"/>
    <n v="0.26"/>
  </r>
  <r>
    <x v="8"/>
    <x v="7"/>
    <x v="20"/>
    <x v="1"/>
    <x v="2"/>
    <x v="1"/>
    <n v="0.21"/>
    <n v="0.2"/>
    <n v="0"/>
    <n v="0.18"/>
  </r>
  <r>
    <x v="8"/>
    <x v="7"/>
    <x v="20"/>
    <x v="1"/>
    <x v="1"/>
    <x v="1"/>
    <n v="0.26"/>
    <n v="0.25"/>
    <n v="0"/>
    <n v="0.23"/>
  </r>
  <r>
    <x v="8"/>
    <x v="7"/>
    <x v="20"/>
    <x v="3"/>
    <x v="1"/>
    <x v="0"/>
    <n v="0.42"/>
    <n v="0.4"/>
    <n v="0.03"/>
    <n v="0.41"/>
  </r>
  <r>
    <x v="8"/>
    <x v="7"/>
    <x v="20"/>
    <x v="1"/>
    <x v="4"/>
    <x v="0"/>
    <n v="114.51"/>
    <n v="108.5"/>
    <n v="21.82"/>
    <n v="106.06"/>
  </r>
  <r>
    <x v="8"/>
    <x v="2"/>
    <x v="21"/>
    <x v="4"/>
    <x v="4"/>
    <x v="2"/>
    <n v="0.64"/>
    <n v="0.69"/>
    <n v="0.01"/>
    <n v="0.62"/>
  </r>
  <r>
    <x v="8"/>
    <x v="2"/>
    <x v="21"/>
    <x v="1"/>
    <x v="0"/>
    <x v="0"/>
    <n v="26.07"/>
    <n v="28.38"/>
    <n v="11.53"/>
    <n v="24.03"/>
  </r>
  <r>
    <x v="8"/>
    <x v="2"/>
    <x v="21"/>
    <x v="1"/>
    <x v="4"/>
    <x v="0"/>
    <n v="359.88"/>
    <n v="391.76"/>
    <n v="52.07"/>
    <n v="330.35"/>
  </r>
  <r>
    <x v="8"/>
    <x v="2"/>
    <x v="21"/>
    <x v="1"/>
    <x v="1"/>
    <x v="0"/>
    <n v="64.58"/>
    <n v="70.3"/>
    <n v="2.75"/>
    <n v="59.44"/>
  </r>
  <r>
    <x v="8"/>
    <x v="2"/>
    <x v="21"/>
    <x v="1"/>
    <x v="2"/>
    <x v="0"/>
    <n v="2.68"/>
    <n v="2.92"/>
    <n v="0.03"/>
    <n v="2.4300000000000002"/>
  </r>
  <r>
    <x v="8"/>
    <x v="2"/>
    <x v="21"/>
    <x v="2"/>
    <x v="0"/>
    <x v="0"/>
    <n v="22.99"/>
    <n v="25.02"/>
    <n v="10.56"/>
    <n v="21.45"/>
  </r>
  <r>
    <x v="8"/>
    <x v="2"/>
    <x v="21"/>
    <x v="2"/>
    <x v="4"/>
    <x v="0"/>
    <n v="20.21"/>
    <n v="22"/>
    <n v="3.06"/>
    <n v="19.14"/>
  </r>
  <r>
    <x v="8"/>
    <x v="2"/>
    <x v="21"/>
    <x v="1"/>
    <x v="4"/>
    <x v="2"/>
    <n v="0.48"/>
    <n v="0.52"/>
    <n v="0.02"/>
    <n v="0.46"/>
  </r>
  <r>
    <x v="8"/>
    <x v="2"/>
    <x v="21"/>
    <x v="2"/>
    <x v="3"/>
    <x v="0"/>
    <n v="3.8"/>
    <n v="4.1399999999999997"/>
    <n v="0.03"/>
    <n v="3.8"/>
  </r>
  <r>
    <x v="8"/>
    <x v="2"/>
    <x v="21"/>
    <x v="4"/>
    <x v="1"/>
    <x v="2"/>
    <n v="0.31"/>
    <n v="0.34"/>
    <n v="0"/>
    <n v="0.3"/>
  </r>
  <r>
    <x v="8"/>
    <x v="2"/>
    <x v="21"/>
    <x v="2"/>
    <x v="3"/>
    <x v="2"/>
    <n v="8.89"/>
    <n v="9.68"/>
    <n v="0.01"/>
    <n v="8.41"/>
  </r>
  <r>
    <x v="8"/>
    <x v="2"/>
    <x v="21"/>
    <x v="4"/>
    <x v="1"/>
    <x v="0"/>
    <n v="13.33"/>
    <n v="14.51"/>
    <n v="0.69"/>
    <n v="12.58"/>
  </r>
  <r>
    <x v="8"/>
    <x v="2"/>
    <x v="21"/>
    <x v="0"/>
    <x v="4"/>
    <x v="0"/>
    <n v="37.369999999999997"/>
    <n v="40.68"/>
    <n v="8.6199999999999992"/>
    <n v="34.51"/>
  </r>
  <r>
    <x v="8"/>
    <x v="2"/>
    <x v="21"/>
    <x v="4"/>
    <x v="2"/>
    <x v="2"/>
    <n v="0.4"/>
    <n v="0.43"/>
    <n v="0"/>
    <n v="0.39"/>
  </r>
  <r>
    <x v="8"/>
    <x v="2"/>
    <x v="21"/>
    <x v="1"/>
    <x v="1"/>
    <x v="1"/>
    <n v="4.59"/>
    <n v="5"/>
    <n v="0.04"/>
    <n v="3.83"/>
  </r>
  <r>
    <x v="8"/>
    <x v="2"/>
    <x v="21"/>
    <x v="2"/>
    <x v="3"/>
    <x v="3"/>
    <n v="55.63"/>
    <n v="60.56"/>
    <n v="0.04"/>
    <n v="55.63"/>
  </r>
  <r>
    <x v="8"/>
    <x v="2"/>
    <x v="21"/>
    <x v="4"/>
    <x v="0"/>
    <x v="1"/>
    <n v="0.02"/>
    <n v="0.02"/>
    <n v="0.01"/>
    <n v="0.01"/>
  </r>
  <r>
    <x v="8"/>
    <x v="2"/>
    <x v="21"/>
    <x v="4"/>
    <x v="4"/>
    <x v="1"/>
    <n v="0.66"/>
    <n v="0.72"/>
    <n v="0.02"/>
    <n v="0.55000000000000004"/>
  </r>
  <r>
    <x v="8"/>
    <x v="2"/>
    <x v="21"/>
    <x v="4"/>
    <x v="1"/>
    <x v="1"/>
    <n v="1"/>
    <n v="1.0900000000000001"/>
    <n v="0.01"/>
    <n v="0.83"/>
  </r>
  <r>
    <x v="8"/>
    <x v="2"/>
    <x v="21"/>
    <x v="0"/>
    <x v="0"/>
    <x v="1"/>
    <n v="4.21"/>
    <n v="4.58"/>
    <n v="0.16"/>
    <n v="3.47"/>
  </r>
  <r>
    <x v="8"/>
    <x v="2"/>
    <x v="21"/>
    <x v="0"/>
    <x v="4"/>
    <x v="1"/>
    <n v="6.74"/>
    <n v="7.34"/>
    <n v="0.13"/>
    <n v="5.56"/>
  </r>
  <r>
    <x v="8"/>
    <x v="2"/>
    <x v="21"/>
    <x v="1"/>
    <x v="4"/>
    <x v="1"/>
    <n v="0.14000000000000001"/>
    <n v="0.15"/>
    <n v="0.01"/>
    <n v="0.13"/>
  </r>
  <r>
    <x v="8"/>
    <x v="2"/>
    <x v="21"/>
    <x v="1"/>
    <x v="2"/>
    <x v="1"/>
    <n v="6.48"/>
    <n v="7.05"/>
    <n v="0.03"/>
    <n v="5.37"/>
  </r>
  <r>
    <x v="8"/>
    <x v="2"/>
    <x v="21"/>
    <x v="2"/>
    <x v="3"/>
    <x v="1"/>
    <n v="5.49"/>
    <n v="5.97"/>
    <n v="0.01"/>
    <n v="4.5599999999999996"/>
  </r>
  <r>
    <x v="8"/>
    <x v="2"/>
    <x v="21"/>
    <x v="3"/>
    <x v="0"/>
    <x v="0"/>
    <n v="9.4499999999999993"/>
    <n v="10.29"/>
    <n v="1.53"/>
    <n v="9.1999999999999993"/>
  </r>
  <r>
    <x v="8"/>
    <x v="2"/>
    <x v="21"/>
    <x v="3"/>
    <x v="4"/>
    <x v="0"/>
    <n v="46.3"/>
    <n v="50.4"/>
    <n v="8.35"/>
    <n v="43.25"/>
  </r>
  <r>
    <x v="8"/>
    <x v="2"/>
    <x v="21"/>
    <x v="3"/>
    <x v="1"/>
    <x v="0"/>
    <n v="2"/>
    <n v="2.17"/>
    <n v="0.14000000000000001"/>
    <n v="1.94"/>
  </r>
  <r>
    <x v="8"/>
    <x v="2"/>
    <x v="21"/>
    <x v="0"/>
    <x v="0"/>
    <x v="0"/>
    <n v="12.14"/>
    <n v="13.22"/>
    <n v="5.15"/>
    <n v="11.03"/>
  </r>
  <r>
    <x v="8"/>
    <x v="2"/>
    <x v="21"/>
    <x v="4"/>
    <x v="4"/>
    <x v="0"/>
    <n v="90.68"/>
    <n v="98.71"/>
    <n v="8.9600000000000009"/>
    <n v="84.9"/>
  </r>
  <r>
    <x v="8"/>
    <x v="2"/>
    <x v="21"/>
    <x v="1"/>
    <x v="0"/>
    <x v="1"/>
    <n v="0.48"/>
    <n v="0.52"/>
    <n v="0.03"/>
    <n v="0.41"/>
  </r>
  <r>
    <x v="8"/>
    <x v="8"/>
    <x v="22"/>
    <x v="2"/>
    <x v="3"/>
    <x v="3"/>
    <n v="3.38"/>
    <n v="3.84"/>
    <n v="0"/>
    <n v="3.21"/>
  </r>
  <r>
    <x v="8"/>
    <x v="8"/>
    <x v="22"/>
    <x v="3"/>
    <x v="4"/>
    <x v="0"/>
    <n v="283.89999999999998"/>
    <n v="322.60000000000002"/>
    <n v="40.94"/>
    <n v="264.11"/>
  </r>
  <r>
    <x v="8"/>
    <x v="8"/>
    <x v="22"/>
    <x v="3"/>
    <x v="0"/>
    <x v="0"/>
    <n v="75.63"/>
    <n v="85.94"/>
    <n v="19.829999999999998"/>
    <n v="69.989999999999995"/>
  </r>
  <r>
    <x v="8"/>
    <x v="8"/>
    <x v="22"/>
    <x v="2"/>
    <x v="3"/>
    <x v="1"/>
    <n v="15.92"/>
    <n v="18.09"/>
    <n v="0.02"/>
    <n v="14.8"/>
  </r>
  <r>
    <x v="8"/>
    <x v="8"/>
    <x v="22"/>
    <x v="1"/>
    <x v="4"/>
    <x v="2"/>
    <n v="14.29"/>
    <n v="16.23"/>
    <n v="0.4"/>
    <n v="12.35"/>
  </r>
  <r>
    <x v="8"/>
    <x v="8"/>
    <x v="22"/>
    <x v="1"/>
    <x v="2"/>
    <x v="1"/>
    <n v="42.24"/>
    <n v="48"/>
    <n v="0.15"/>
    <n v="38.01"/>
  </r>
  <r>
    <x v="8"/>
    <x v="8"/>
    <x v="22"/>
    <x v="1"/>
    <x v="1"/>
    <x v="1"/>
    <n v="37.1"/>
    <n v="42.16"/>
    <n v="0.47"/>
    <n v="32.99"/>
  </r>
  <r>
    <x v="8"/>
    <x v="8"/>
    <x v="22"/>
    <x v="1"/>
    <x v="4"/>
    <x v="1"/>
    <n v="1.83"/>
    <n v="2.08"/>
    <n v="0.06"/>
    <n v="1.56"/>
  </r>
  <r>
    <x v="8"/>
    <x v="8"/>
    <x v="22"/>
    <x v="1"/>
    <x v="0"/>
    <x v="1"/>
    <n v="8.94"/>
    <n v="10.16"/>
    <n v="0.61"/>
    <n v="8.01"/>
  </r>
  <r>
    <x v="8"/>
    <x v="8"/>
    <x v="22"/>
    <x v="1"/>
    <x v="1"/>
    <x v="2"/>
    <n v="1.1100000000000001"/>
    <n v="1.27"/>
    <n v="0.03"/>
    <n v="1.0900000000000001"/>
  </r>
  <r>
    <x v="8"/>
    <x v="8"/>
    <x v="22"/>
    <x v="0"/>
    <x v="4"/>
    <x v="1"/>
    <n v="4.49"/>
    <n v="5.0999999999999996"/>
    <n v="0.4"/>
    <n v="4.01"/>
  </r>
  <r>
    <x v="8"/>
    <x v="8"/>
    <x v="22"/>
    <x v="4"/>
    <x v="0"/>
    <x v="1"/>
    <n v="9.2899999999999991"/>
    <n v="10.56"/>
    <n v="0.49"/>
    <n v="7.58"/>
  </r>
  <r>
    <x v="8"/>
    <x v="8"/>
    <x v="22"/>
    <x v="1"/>
    <x v="2"/>
    <x v="2"/>
    <n v="0.51"/>
    <n v="0.56999999999999995"/>
    <n v="0.02"/>
    <n v="0.48"/>
  </r>
  <r>
    <x v="8"/>
    <x v="8"/>
    <x v="22"/>
    <x v="2"/>
    <x v="3"/>
    <x v="2"/>
    <n v="44.98"/>
    <n v="51.11"/>
    <n v="0.02"/>
    <n v="45.05"/>
  </r>
  <r>
    <x v="8"/>
    <x v="8"/>
    <x v="22"/>
    <x v="2"/>
    <x v="0"/>
    <x v="3"/>
    <n v="0.04"/>
    <n v="0.04"/>
    <n v="0"/>
    <n v="0.03"/>
  </r>
  <r>
    <x v="8"/>
    <x v="8"/>
    <x v="22"/>
    <x v="2"/>
    <x v="4"/>
    <x v="3"/>
    <n v="0.22"/>
    <n v="0.25"/>
    <n v="0.02"/>
    <n v="0.18"/>
  </r>
  <r>
    <x v="8"/>
    <x v="8"/>
    <x v="22"/>
    <x v="4"/>
    <x v="4"/>
    <x v="2"/>
    <n v="0.36"/>
    <n v="0.41"/>
    <n v="0.03"/>
    <n v="0.32"/>
  </r>
  <r>
    <x v="8"/>
    <x v="8"/>
    <x v="22"/>
    <x v="2"/>
    <x v="1"/>
    <x v="3"/>
    <n v="121.13"/>
    <n v="137.63999999999999"/>
    <n v="0.09"/>
    <n v="99.93"/>
  </r>
  <r>
    <x v="8"/>
    <x v="8"/>
    <x v="22"/>
    <x v="4"/>
    <x v="1"/>
    <x v="2"/>
    <n v="1.78"/>
    <n v="2.02"/>
    <n v="0.09"/>
    <n v="1.61"/>
  </r>
  <r>
    <x v="8"/>
    <x v="8"/>
    <x v="22"/>
    <x v="2"/>
    <x v="2"/>
    <x v="3"/>
    <n v="321.08"/>
    <n v="364.85"/>
    <n v="7.0000000000000007E-2"/>
    <n v="264.89"/>
  </r>
  <r>
    <x v="8"/>
    <x v="8"/>
    <x v="22"/>
    <x v="3"/>
    <x v="1"/>
    <x v="0"/>
    <n v="0.67"/>
    <n v="0.76"/>
    <n v="0.2"/>
    <n v="0.63"/>
  </r>
  <r>
    <x v="8"/>
    <x v="8"/>
    <x v="22"/>
    <x v="0"/>
    <x v="2"/>
    <x v="0"/>
    <n v="13.47"/>
    <n v="15.3"/>
    <n v="0.2"/>
    <n v="13.51"/>
  </r>
  <r>
    <x v="8"/>
    <x v="8"/>
    <x v="22"/>
    <x v="0"/>
    <x v="0"/>
    <x v="1"/>
    <n v="86.79"/>
    <n v="98.62"/>
    <n v="1.61"/>
    <n v="78.099999999999994"/>
  </r>
  <r>
    <x v="8"/>
    <x v="8"/>
    <x v="22"/>
    <x v="1"/>
    <x v="1"/>
    <x v="0"/>
    <n v="18.07"/>
    <n v="20.53"/>
    <n v="4.79"/>
    <n v="16.88"/>
  </r>
  <r>
    <x v="8"/>
    <x v="8"/>
    <x v="22"/>
    <x v="2"/>
    <x v="4"/>
    <x v="0"/>
    <n v="106"/>
    <n v="120.45"/>
    <n v="14.66"/>
    <n v="98.46"/>
  </r>
  <r>
    <x v="8"/>
    <x v="8"/>
    <x v="22"/>
    <x v="2"/>
    <x v="0"/>
    <x v="0"/>
    <n v="537.92999999999995"/>
    <n v="611.25"/>
    <n v="103.5"/>
    <n v="491.53"/>
  </r>
  <r>
    <x v="8"/>
    <x v="8"/>
    <x v="22"/>
    <x v="4"/>
    <x v="0"/>
    <x v="0"/>
    <n v="1.52"/>
    <n v="1.73"/>
    <n v="0.38"/>
    <n v="1.36"/>
  </r>
  <r>
    <x v="8"/>
    <x v="8"/>
    <x v="22"/>
    <x v="0"/>
    <x v="4"/>
    <x v="0"/>
    <n v="116.38"/>
    <n v="132.25"/>
    <n v="11.52"/>
    <n v="106.08"/>
  </r>
  <r>
    <x v="8"/>
    <x v="8"/>
    <x v="22"/>
    <x v="1"/>
    <x v="2"/>
    <x v="0"/>
    <n v="79.48"/>
    <n v="90.32"/>
    <n v="1.03"/>
    <n v="65.28"/>
  </r>
  <r>
    <x v="8"/>
    <x v="8"/>
    <x v="22"/>
    <x v="1"/>
    <x v="4"/>
    <x v="0"/>
    <n v="1172.78"/>
    <n v="1332.64"/>
    <n v="151.11000000000001"/>
    <n v="1042.67"/>
  </r>
  <r>
    <x v="8"/>
    <x v="8"/>
    <x v="22"/>
    <x v="1"/>
    <x v="0"/>
    <x v="0"/>
    <n v="268.67"/>
    <n v="305.29000000000002"/>
    <n v="73.77"/>
    <n v="241.75"/>
  </r>
  <r>
    <x v="8"/>
    <x v="8"/>
    <x v="22"/>
    <x v="4"/>
    <x v="1"/>
    <x v="0"/>
    <n v="10.88"/>
    <n v="12.36"/>
    <n v="1.62"/>
    <n v="10.76"/>
  </r>
  <r>
    <x v="8"/>
    <x v="8"/>
    <x v="22"/>
    <x v="4"/>
    <x v="4"/>
    <x v="0"/>
    <n v="258.08999999999997"/>
    <n v="293.27"/>
    <n v="21.98"/>
    <n v="236.58"/>
  </r>
  <r>
    <x v="8"/>
    <x v="8"/>
    <x v="22"/>
    <x v="0"/>
    <x v="1"/>
    <x v="0"/>
    <n v="30.85"/>
    <n v="35.049999999999997"/>
    <n v="1.27"/>
    <n v="30.93"/>
  </r>
  <r>
    <x v="8"/>
    <x v="8"/>
    <x v="22"/>
    <x v="0"/>
    <x v="0"/>
    <x v="0"/>
    <n v="108.4"/>
    <n v="123.18"/>
    <n v="24.73"/>
    <n v="96.14"/>
  </r>
  <r>
    <x v="8"/>
    <x v="8"/>
    <x v="22"/>
    <x v="0"/>
    <x v="3"/>
    <x v="0"/>
    <n v="17.16"/>
    <n v="19.489999999999998"/>
    <n v="0.11"/>
    <n v="17.16"/>
  </r>
  <r>
    <x v="8"/>
    <x v="6"/>
    <x v="23"/>
    <x v="4"/>
    <x v="4"/>
    <x v="1"/>
    <n v="0.16"/>
    <n v="0.2"/>
    <n v="0"/>
    <n v="0.12"/>
  </r>
  <r>
    <x v="8"/>
    <x v="6"/>
    <x v="23"/>
    <x v="1"/>
    <x v="4"/>
    <x v="0"/>
    <n v="99.77"/>
    <n v="125.22"/>
    <n v="17.43"/>
    <n v="90.06"/>
  </r>
  <r>
    <x v="8"/>
    <x v="6"/>
    <x v="23"/>
    <x v="4"/>
    <x v="4"/>
    <x v="2"/>
    <n v="0.01"/>
    <n v="0.01"/>
    <n v="0"/>
    <n v="0"/>
  </r>
  <r>
    <x v="8"/>
    <x v="6"/>
    <x v="23"/>
    <x v="4"/>
    <x v="1"/>
    <x v="2"/>
    <n v="7.0000000000000007E-2"/>
    <n v="0.09"/>
    <n v="0"/>
    <n v="0.04"/>
  </r>
  <r>
    <x v="8"/>
    <x v="6"/>
    <x v="23"/>
    <x v="4"/>
    <x v="2"/>
    <x v="2"/>
    <n v="0.02"/>
    <n v="0.03"/>
    <n v="0"/>
    <n v="0.02"/>
  </r>
  <r>
    <x v="8"/>
    <x v="6"/>
    <x v="23"/>
    <x v="2"/>
    <x v="3"/>
    <x v="0"/>
    <n v="2.11"/>
    <n v="2.64"/>
    <n v="0.02"/>
    <n v="2.11"/>
  </r>
  <r>
    <x v="8"/>
    <x v="6"/>
    <x v="23"/>
    <x v="2"/>
    <x v="3"/>
    <x v="3"/>
    <n v="2.79"/>
    <n v="3.51"/>
    <n v="0"/>
    <n v="2.79"/>
  </r>
  <r>
    <x v="8"/>
    <x v="6"/>
    <x v="23"/>
    <x v="1"/>
    <x v="0"/>
    <x v="0"/>
    <n v="6.08"/>
    <n v="7.63"/>
    <n v="2.58"/>
    <n v="5.43"/>
  </r>
  <r>
    <x v="8"/>
    <x v="6"/>
    <x v="23"/>
    <x v="1"/>
    <x v="2"/>
    <x v="0"/>
    <n v="4.24"/>
    <n v="5.32"/>
    <n v="0.03"/>
    <n v="3.57"/>
  </r>
  <r>
    <x v="8"/>
    <x v="6"/>
    <x v="23"/>
    <x v="2"/>
    <x v="0"/>
    <x v="0"/>
    <n v="2.97"/>
    <n v="3.73"/>
    <n v="1.18"/>
    <n v="2.9"/>
  </r>
  <r>
    <x v="8"/>
    <x v="6"/>
    <x v="23"/>
    <x v="2"/>
    <x v="4"/>
    <x v="0"/>
    <n v="10.050000000000001"/>
    <n v="12.61"/>
    <n v="1.95"/>
    <n v="9.23"/>
  </r>
  <r>
    <x v="8"/>
    <x v="6"/>
    <x v="23"/>
    <x v="1"/>
    <x v="2"/>
    <x v="2"/>
    <n v="0.01"/>
    <n v="0.01"/>
    <n v="0"/>
    <n v="0.01"/>
  </r>
  <r>
    <x v="8"/>
    <x v="6"/>
    <x v="23"/>
    <x v="1"/>
    <x v="4"/>
    <x v="1"/>
    <n v="0.26"/>
    <n v="0.33"/>
    <n v="0.01"/>
    <n v="0.22"/>
  </r>
  <r>
    <x v="8"/>
    <x v="6"/>
    <x v="23"/>
    <x v="0"/>
    <x v="4"/>
    <x v="0"/>
    <n v="7.03"/>
    <n v="8.82"/>
    <n v="1.32"/>
    <n v="6.28"/>
  </r>
  <r>
    <x v="8"/>
    <x v="6"/>
    <x v="23"/>
    <x v="0"/>
    <x v="0"/>
    <x v="0"/>
    <n v="4.41"/>
    <n v="5.54"/>
    <n v="1.98"/>
    <n v="3.78"/>
  </r>
  <r>
    <x v="8"/>
    <x v="6"/>
    <x v="23"/>
    <x v="3"/>
    <x v="4"/>
    <x v="0"/>
    <n v="13.74"/>
    <n v="17.25"/>
    <n v="2"/>
    <n v="11.78"/>
  </r>
  <r>
    <x v="8"/>
    <x v="6"/>
    <x v="23"/>
    <x v="4"/>
    <x v="1"/>
    <x v="1"/>
    <n v="0.16"/>
    <n v="0.2"/>
    <n v="0.01"/>
    <n v="0.15"/>
  </r>
  <r>
    <x v="8"/>
    <x v="6"/>
    <x v="23"/>
    <x v="0"/>
    <x v="0"/>
    <x v="1"/>
    <n v="1.53"/>
    <n v="1.92"/>
    <n v="0.03"/>
    <n v="1.19"/>
  </r>
  <r>
    <x v="8"/>
    <x v="6"/>
    <x v="23"/>
    <x v="4"/>
    <x v="1"/>
    <x v="0"/>
    <n v="4.34"/>
    <n v="5.45"/>
    <n v="0.2"/>
    <n v="3.83"/>
  </r>
  <r>
    <x v="8"/>
    <x v="6"/>
    <x v="23"/>
    <x v="1"/>
    <x v="0"/>
    <x v="1"/>
    <n v="0.32"/>
    <n v="0.41"/>
    <n v="0.01"/>
    <n v="0.27"/>
  </r>
  <r>
    <x v="8"/>
    <x v="6"/>
    <x v="23"/>
    <x v="4"/>
    <x v="0"/>
    <x v="1"/>
    <n v="0.34"/>
    <n v="0.42"/>
    <n v="0.02"/>
    <n v="0.27"/>
  </r>
  <r>
    <x v="8"/>
    <x v="6"/>
    <x v="23"/>
    <x v="1"/>
    <x v="1"/>
    <x v="1"/>
    <n v="4.51"/>
    <n v="5.66"/>
    <n v="0.03"/>
    <n v="3.52"/>
  </r>
  <r>
    <x v="8"/>
    <x v="6"/>
    <x v="23"/>
    <x v="1"/>
    <x v="2"/>
    <x v="1"/>
    <n v="4.7"/>
    <n v="5.89"/>
    <n v="0.02"/>
    <n v="3.69"/>
  </r>
  <r>
    <x v="8"/>
    <x v="6"/>
    <x v="23"/>
    <x v="2"/>
    <x v="3"/>
    <x v="1"/>
    <n v="0"/>
    <n v="0"/>
    <n v="0"/>
    <n v="0"/>
  </r>
  <r>
    <x v="8"/>
    <x v="6"/>
    <x v="23"/>
    <x v="1"/>
    <x v="1"/>
    <x v="0"/>
    <n v="18.72"/>
    <n v="23.49"/>
    <n v="0.91"/>
    <n v="16.32"/>
  </r>
  <r>
    <x v="8"/>
    <x v="6"/>
    <x v="23"/>
    <x v="4"/>
    <x v="4"/>
    <x v="0"/>
    <n v="11.52"/>
    <n v="14.46"/>
    <n v="2"/>
    <n v="10"/>
  </r>
  <r>
    <x v="8"/>
    <x v="6"/>
    <x v="23"/>
    <x v="0"/>
    <x v="4"/>
    <x v="1"/>
    <n v="0.33"/>
    <n v="0.41"/>
    <n v="0.04"/>
    <n v="0.25"/>
  </r>
  <r>
    <x v="8"/>
    <x v="0"/>
    <x v="24"/>
    <x v="1"/>
    <x v="2"/>
    <x v="0"/>
    <n v="15.99"/>
    <n v="23.68"/>
    <n v="0.17"/>
    <n v="14.83"/>
  </r>
  <r>
    <x v="8"/>
    <x v="0"/>
    <x v="24"/>
    <x v="4"/>
    <x v="4"/>
    <x v="0"/>
    <n v="23.41"/>
    <n v="34.69"/>
    <n v="5.45"/>
    <n v="22.04"/>
  </r>
  <r>
    <x v="8"/>
    <x v="0"/>
    <x v="24"/>
    <x v="4"/>
    <x v="1"/>
    <x v="0"/>
    <n v="10.220000000000001"/>
    <n v="15.15"/>
    <n v="0.95"/>
    <n v="9.7200000000000006"/>
  </r>
  <r>
    <x v="8"/>
    <x v="0"/>
    <x v="24"/>
    <x v="2"/>
    <x v="0"/>
    <x v="0"/>
    <n v="10.08"/>
    <n v="14.94"/>
    <n v="6.78"/>
    <n v="9.48"/>
  </r>
  <r>
    <x v="8"/>
    <x v="0"/>
    <x v="24"/>
    <x v="1"/>
    <x v="1"/>
    <x v="0"/>
    <n v="10.93"/>
    <n v="16.190000000000001"/>
    <n v="0.74"/>
    <n v="10.25"/>
  </r>
  <r>
    <x v="8"/>
    <x v="0"/>
    <x v="24"/>
    <x v="1"/>
    <x v="4"/>
    <x v="0"/>
    <n v="98.34"/>
    <n v="145.69"/>
    <n v="19.61"/>
    <n v="92.94"/>
  </r>
  <r>
    <x v="8"/>
    <x v="0"/>
    <x v="24"/>
    <x v="1"/>
    <x v="0"/>
    <x v="0"/>
    <n v="6.59"/>
    <n v="9.76"/>
    <n v="4.22"/>
    <n v="6.28"/>
  </r>
  <r>
    <x v="8"/>
    <x v="0"/>
    <x v="24"/>
    <x v="0"/>
    <x v="4"/>
    <x v="0"/>
    <n v="10.75"/>
    <n v="15.93"/>
    <n v="3.15"/>
    <n v="10.26"/>
  </r>
  <r>
    <x v="8"/>
    <x v="0"/>
    <x v="24"/>
    <x v="2"/>
    <x v="4"/>
    <x v="0"/>
    <n v="5.55"/>
    <n v="8.2200000000000006"/>
    <n v="1.61"/>
    <n v="5.37"/>
  </r>
  <r>
    <x v="8"/>
    <x v="0"/>
    <x v="24"/>
    <x v="4"/>
    <x v="1"/>
    <x v="1"/>
    <n v="7.0000000000000007E-2"/>
    <n v="0.11"/>
    <n v="0.01"/>
    <n v="7.0000000000000007E-2"/>
  </r>
  <r>
    <x v="8"/>
    <x v="0"/>
    <x v="24"/>
    <x v="0"/>
    <x v="0"/>
    <x v="0"/>
    <n v="3.55"/>
    <n v="5.25"/>
    <n v="5.19"/>
    <n v="3.35"/>
  </r>
  <r>
    <x v="8"/>
    <x v="0"/>
    <x v="24"/>
    <x v="4"/>
    <x v="4"/>
    <x v="2"/>
    <n v="0.23"/>
    <n v="0.34"/>
    <n v="0.01"/>
    <n v="0.23"/>
  </r>
  <r>
    <x v="8"/>
    <x v="0"/>
    <x v="24"/>
    <x v="4"/>
    <x v="1"/>
    <x v="2"/>
    <n v="0.14000000000000001"/>
    <n v="0.2"/>
    <n v="0.01"/>
    <n v="0.13"/>
  </r>
  <r>
    <x v="8"/>
    <x v="0"/>
    <x v="24"/>
    <x v="4"/>
    <x v="2"/>
    <x v="2"/>
    <n v="0.19"/>
    <n v="0.28000000000000003"/>
    <n v="0"/>
    <n v="0.19"/>
  </r>
  <r>
    <x v="8"/>
    <x v="0"/>
    <x v="24"/>
    <x v="1"/>
    <x v="4"/>
    <x v="2"/>
    <n v="0.4"/>
    <n v="0.59"/>
    <n v="0.04"/>
    <n v="0.39"/>
  </r>
  <r>
    <x v="8"/>
    <x v="0"/>
    <x v="24"/>
    <x v="2"/>
    <x v="3"/>
    <x v="2"/>
    <n v="1.44"/>
    <n v="2.13"/>
    <n v="0.01"/>
    <n v="1.4"/>
  </r>
  <r>
    <x v="8"/>
    <x v="0"/>
    <x v="24"/>
    <x v="2"/>
    <x v="3"/>
    <x v="3"/>
    <n v="18.32"/>
    <n v="27.14"/>
    <n v="0.01"/>
    <n v="17.89"/>
  </r>
  <r>
    <x v="8"/>
    <x v="0"/>
    <x v="24"/>
    <x v="1"/>
    <x v="1"/>
    <x v="1"/>
    <n v="5.19"/>
    <n v="7.68"/>
    <n v="0.25"/>
    <n v="4.9400000000000004"/>
  </r>
  <r>
    <x v="8"/>
    <x v="0"/>
    <x v="24"/>
    <x v="4"/>
    <x v="4"/>
    <x v="1"/>
    <n v="0.44"/>
    <n v="0.65"/>
    <n v="0.03"/>
    <n v="0.42"/>
  </r>
  <r>
    <x v="8"/>
    <x v="0"/>
    <x v="24"/>
    <x v="4"/>
    <x v="0"/>
    <x v="0"/>
    <n v="0.4"/>
    <n v="0.6"/>
    <n v="0.08"/>
    <n v="0.37"/>
  </r>
  <r>
    <x v="8"/>
    <x v="0"/>
    <x v="24"/>
    <x v="0"/>
    <x v="0"/>
    <x v="1"/>
    <n v="2.89"/>
    <n v="4.28"/>
    <n v="0.09"/>
    <n v="2.76"/>
  </r>
  <r>
    <x v="8"/>
    <x v="0"/>
    <x v="24"/>
    <x v="0"/>
    <x v="4"/>
    <x v="1"/>
    <n v="0.27"/>
    <n v="0.41"/>
    <n v="0.04"/>
    <n v="0.26"/>
  </r>
  <r>
    <x v="8"/>
    <x v="0"/>
    <x v="24"/>
    <x v="1"/>
    <x v="0"/>
    <x v="1"/>
    <n v="0.16"/>
    <n v="0.24"/>
    <n v="0.01"/>
    <n v="0.15"/>
  </r>
  <r>
    <x v="8"/>
    <x v="0"/>
    <x v="24"/>
    <x v="1"/>
    <x v="4"/>
    <x v="1"/>
    <n v="0.54"/>
    <n v="0.8"/>
    <n v="0.02"/>
    <n v="0.51"/>
  </r>
  <r>
    <x v="8"/>
    <x v="0"/>
    <x v="24"/>
    <x v="1"/>
    <x v="2"/>
    <x v="1"/>
    <n v="15.36"/>
    <n v="22.76"/>
    <n v="0.08"/>
    <n v="14.66"/>
  </r>
  <r>
    <x v="8"/>
    <x v="0"/>
    <x v="24"/>
    <x v="3"/>
    <x v="0"/>
    <x v="0"/>
    <n v="1.46"/>
    <n v="2.16"/>
    <n v="1.59"/>
    <n v="1.43"/>
  </r>
  <r>
    <x v="8"/>
    <x v="0"/>
    <x v="24"/>
    <x v="3"/>
    <x v="4"/>
    <x v="0"/>
    <n v="8.86"/>
    <n v="13.13"/>
    <n v="2.0499999999999998"/>
    <n v="8.43"/>
  </r>
  <r>
    <x v="8"/>
    <x v="0"/>
    <x v="24"/>
    <x v="3"/>
    <x v="1"/>
    <x v="0"/>
    <n v="0.01"/>
    <n v="0.01"/>
    <n v="0"/>
    <n v="0.01"/>
  </r>
  <r>
    <x v="8"/>
    <x v="0"/>
    <x v="24"/>
    <x v="4"/>
    <x v="0"/>
    <x v="1"/>
    <n v="1.3"/>
    <n v="1.93"/>
    <n v="0.09"/>
    <n v="1.24"/>
  </r>
  <r>
    <x v="8"/>
    <x v="2"/>
    <x v="25"/>
    <x v="4"/>
    <x v="1"/>
    <x v="1"/>
    <n v="0.14000000000000001"/>
    <n v="0.16"/>
    <n v="0"/>
    <n v="0.13"/>
  </r>
  <r>
    <x v="8"/>
    <x v="2"/>
    <x v="25"/>
    <x v="3"/>
    <x v="0"/>
    <x v="0"/>
    <n v="11.84"/>
    <n v="12.89"/>
    <n v="5.65"/>
    <n v="11.83"/>
  </r>
  <r>
    <x v="8"/>
    <x v="2"/>
    <x v="25"/>
    <x v="2"/>
    <x v="0"/>
    <x v="0"/>
    <n v="15.07"/>
    <n v="16.41"/>
    <n v="5.34"/>
    <n v="14.63"/>
  </r>
  <r>
    <x v="8"/>
    <x v="2"/>
    <x v="25"/>
    <x v="1"/>
    <x v="2"/>
    <x v="0"/>
    <n v="3.82"/>
    <n v="4.16"/>
    <n v="0.08"/>
    <n v="3.49"/>
  </r>
  <r>
    <x v="8"/>
    <x v="2"/>
    <x v="25"/>
    <x v="1"/>
    <x v="1"/>
    <x v="0"/>
    <n v="69.44"/>
    <n v="75.59"/>
    <n v="2.6"/>
    <n v="65.63"/>
  </r>
  <r>
    <x v="8"/>
    <x v="2"/>
    <x v="25"/>
    <x v="1"/>
    <x v="4"/>
    <x v="0"/>
    <n v="427.75"/>
    <n v="465.64"/>
    <n v="59.42"/>
    <n v="403.64"/>
  </r>
  <r>
    <x v="8"/>
    <x v="2"/>
    <x v="25"/>
    <x v="1"/>
    <x v="0"/>
    <x v="0"/>
    <n v="33.979999999999997"/>
    <n v="37"/>
    <n v="15.2"/>
    <n v="32.6"/>
  </r>
  <r>
    <x v="8"/>
    <x v="2"/>
    <x v="25"/>
    <x v="0"/>
    <x v="4"/>
    <x v="0"/>
    <n v="63.83"/>
    <n v="69.489999999999995"/>
    <n v="12.93"/>
    <n v="60.43"/>
  </r>
  <r>
    <x v="8"/>
    <x v="2"/>
    <x v="25"/>
    <x v="0"/>
    <x v="0"/>
    <x v="0"/>
    <n v="10.33"/>
    <n v="11.24"/>
    <n v="4.72"/>
    <n v="9.48"/>
  </r>
  <r>
    <x v="8"/>
    <x v="2"/>
    <x v="25"/>
    <x v="2"/>
    <x v="3"/>
    <x v="0"/>
    <n v="3.91"/>
    <n v="4.25"/>
    <n v="0.03"/>
    <n v="3.91"/>
  </r>
  <r>
    <x v="8"/>
    <x v="2"/>
    <x v="25"/>
    <x v="4"/>
    <x v="0"/>
    <x v="1"/>
    <n v="0.02"/>
    <n v="0.03"/>
    <n v="0"/>
    <n v="0.02"/>
  </r>
  <r>
    <x v="8"/>
    <x v="2"/>
    <x v="25"/>
    <x v="4"/>
    <x v="4"/>
    <x v="0"/>
    <n v="140.24"/>
    <n v="152.66999999999999"/>
    <n v="13.02"/>
    <n v="132.38"/>
  </r>
  <r>
    <x v="8"/>
    <x v="2"/>
    <x v="25"/>
    <x v="3"/>
    <x v="4"/>
    <x v="0"/>
    <n v="71.33"/>
    <n v="77.650000000000006"/>
    <n v="12.4"/>
    <n v="69.61"/>
  </r>
  <r>
    <x v="8"/>
    <x v="2"/>
    <x v="25"/>
    <x v="4"/>
    <x v="1"/>
    <x v="0"/>
    <n v="23.41"/>
    <n v="25.49"/>
    <n v="1.04"/>
    <n v="22.25"/>
  </r>
  <r>
    <x v="8"/>
    <x v="2"/>
    <x v="25"/>
    <x v="2"/>
    <x v="3"/>
    <x v="1"/>
    <n v="4.08"/>
    <n v="4.4400000000000004"/>
    <n v="0"/>
    <n v="3.76"/>
  </r>
  <r>
    <x v="8"/>
    <x v="2"/>
    <x v="25"/>
    <x v="2"/>
    <x v="3"/>
    <x v="3"/>
    <n v="21.58"/>
    <n v="23.49"/>
    <n v="0.01"/>
    <n v="21.58"/>
  </r>
  <r>
    <x v="8"/>
    <x v="2"/>
    <x v="25"/>
    <x v="2"/>
    <x v="4"/>
    <x v="0"/>
    <n v="15.65"/>
    <n v="17.03"/>
    <n v="2.5099999999999998"/>
    <n v="15.27"/>
  </r>
  <r>
    <x v="8"/>
    <x v="2"/>
    <x v="25"/>
    <x v="4"/>
    <x v="4"/>
    <x v="2"/>
    <n v="0.19"/>
    <n v="0.21"/>
    <n v="0"/>
    <n v="0.18"/>
  </r>
  <r>
    <x v="8"/>
    <x v="2"/>
    <x v="25"/>
    <x v="4"/>
    <x v="1"/>
    <x v="2"/>
    <n v="0.04"/>
    <n v="0.04"/>
    <n v="0"/>
    <n v="0.04"/>
  </r>
  <r>
    <x v="8"/>
    <x v="2"/>
    <x v="25"/>
    <x v="1"/>
    <x v="4"/>
    <x v="2"/>
    <n v="0.44"/>
    <n v="0.48"/>
    <n v="0"/>
    <n v="0.4"/>
  </r>
  <r>
    <x v="8"/>
    <x v="2"/>
    <x v="25"/>
    <x v="3"/>
    <x v="1"/>
    <x v="0"/>
    <n v="2.5"/>
    <n v="2.72"/>
    <n v="0.17"/>
    <n v="2.4700000000000002"/>
  </r>
  <r>
    <x v="8"/>
    <x v="2"/>
    <x v="25"/>
    <x v="2"/>
    <x v="3"/>
    <x v="2"/>
    <n v="5.72"/>
    <n v="6.22"/>
    <n v="0"/>
    <n v="5.22"/>
  </r>
  <r>
    <x v="8"/>
    <x v="2"/>
    <x v="25"/>
    <x v="1"/>
    <x v="2"/>
    <x v="1"/>
    <n v="1.48"/>
    <n v="1.61"/>
    <n v="0.01"/>
    <n v="1.39"/>
  </r>
  <r>
    <x v="8"/>
    <x v="2"/>
    <x v="25"/>
    <x v="4"/>
    <x v="4"/>
    <x v="1"/>
    <n v="0.17"/>
    <n v="0.19"/>
    <n v="0"/>
    <n v="0.16"/>
  </r>
  <r>
    <x v="8"/>
    <x v="2"/>
    <x v="25"/>
    <x v="0"/>
    <x v="0"/>
    <x v="1"/>
    <n v="0.73"/>
    <n v="0.79"/>
    <n v="0.03"/>
    <n v="0.67"/>
  </r>
  <r>
    <x v="8"/>
    <x v="2"/>
    <x v="25"/>
    <x v="0"/>
    <x v="4"/>
    <x v="1"/>
    <n v="1.2"/>
    <n v="1.31"/>
    <n v="0.02"/>
    <n v="1.1000000000000001"/>
  </r>
  <r>
    <x v="8"/>
    <x v="2"/>
    <x v="25"/>
    <x v="1"/>
    <x v="0"/>
    <x v="1"/>
    <n v="0.5"/>
    <n v="0.54"/>
    <n v="0.03"/>
    <n v="0.5"/>
  </r>
  <r>
    <x v="8"/>
    <x v="2"/>
    <x v="25"/>
    <x v="1"/>
    <x v="4"/>
    <x v="1"/>
    <n v="0.02"/>
    <n v="0.02"/>
    <n v="0"/>
    <n v="0.02"/>
  </r>
  <r>
    <x v="8"/>
    <x v="2"/>
    <x v="25"/>
    <x v="1"/>
    <x v="1"/>
    <x v="1"/>
    <n v="0.56000000000000005"/>
    <n v="0.61"/>
    <n v="0.01"/>
    <n v="0.52"/>
  </r>
  <r>
    <x v="8"/>
    <x v="2"/>
    <x v="25"/>
    <x v="1"/>
    <x v="1"/>
    <x v="2"/>
    <n v="0.04"/>
    <n v="0.04"/>
    <n v="0"/>
    <n v="0.03"/>
  </r>
  <r>
    <x v="8"/>
    <x v="1"/>
    <x v="26"/>
    <x v="3"/>
    <x v="1"/>
    <x v="0"/>
    <n v="0.01"/>
    <n v="0.01"/>
    <n v="0"/>
    <n v="0.01"/>
  </r>
  <r>
    <x v="8"/>
    <x v="1"/>
    <x v="26"/>
    <x v="0"/>
    <x v="4"/>
    <x v="0"/>
    <n v="8.16"/>
    <n v="9.2100000000000009"/>
    <n v="2.0499999999999998"/>
    <n v="6.9"/>
  </r>
  <r>
    <x v="8"/>
    <x v="1"/>
    <x v="26"/>
    <x v="4"/>
    <x v="4"/>
    <x v="0"/>
    <n v="10.4"/>
    <n v="11.74"/>
    <n v="1.39"/>
    <n v="8.89"/>
  </r>
  <r>
    <x v="8"/>
    <x v="1"/>
    <x v="26"/>
    <x v="4"/>
    <x v="1"/>
    <x v="0"/>
    <n v="1.34"/>
    <n v="1.51"/>
    <n v="0.06"/>
    <n v="1.32"/>
  </r>
  <r>
    <x v="8"/>
    <x v="1"/>
    <x v="26"/>
    <x v="0"/>
    <x v="0"/>
    <x v="0"/>
    <n v="0.18"/>
    <n v="0.21"/>
    <n v="0.05"/>
    <n v="0.16"/>
  </r>
  <r>
    <x v="8"/>
    <x v="1"/>
    <x v="26"/>
    <x v="1"/>
    <x v="0"/>
    <x v="0"/>
    <n v="2.61"/>
    <n v="2.94"/>
    <n v="1.1399999999999999"/>
    <n v="2.2200000000000002"/>
  </r>
  <r>
    <x v="8"/>
    <x v="1"/>
    <x v="26"/>
    <x v="1"/>
    <x v="4"/>
    <x v="0"/>
    <n v="21.57"/>
    <n v="24.35"/>
    <n v="2.92"/>
    <n v="19.03"/>
  </r>
  <r>
    <x v="8"/>
    <x v="1"/>
    <x v="26"/>
    <x v="1"/>
    <x v="1"/>
    <x v="0"/>
    <n v="3.49"/>
    <n v="3.94"/>
    <n v="0.14000000000000001"/>
    <n v="2.95"/>
  </r>
  <r>
    <x v="8"/>
    <x v="1"/>
    <x v="26"/>
    <x v="1"/>
    <x v="2"/>
    <x v="0"/>
    <n v="0.11"/>
    <n v="0.12"/>
    <n v="0"/>
    <n v="0.09"/>
  </r>
  <r>
    <x v="8"/>
    <x v="1"/>
    <x v="26"/>
    <x v="3"/>
    <x v="4"/>
    <x v="0"/>
    <n v="0.79"/>
    <n v="0.89"/>
    <n v="0.23"/>
    <n v="0.66"/>
  </r>
  <r>
    <x v="8"/>
    <x v="1"/>
    <x v="26"/>
    <x v="2"/>
    <x v="4"/>
    <x v="0"/>
    <n v="4.78"/>
    <n v="5.4"/>
    <n v="0.98"/>
    <n v="4.2"/>
  </r>
  <r>
    <x v="8"/>
    <x v="1"/>
    <x v="26"/>
    <x v="0"/>
    <x v="4"/>
    <x v="1"/>
    <n v="0.02"/>
    <n v="0.02"/>
    <n v="0"/>
    <n v="0.01"/>
  </r>
  <r>
    <x v="8"/>
    <x v="1"/>
    <x v="26"/>
    <x v="2"/>
    <x v="0"/>
    <x v="0"/>
    <n v="0.64"/>
    <n v="0.73"/>
    <n v="0.31"/>
    <n v="0.6"/>
  </r>
  <r>
    <x v="8"/>
    <x v="1"/>
    <x v="26"/>
    <x v="1"/>
    <x v="2"/>
    <x v="1"/>
    <n v="0.14000000000000001"/>
    <n v="0.16"/>
    <n v="0.03"/>
    <n v="0.12"/>
  </r>
  <r>
    <x v="8"/>
    <x v="1"/>
    <x v="26"/>
    <x v="1"/>
    <x v="4"/>
    <x v="1"/>
    <n v="0.25"/>
    <n v="0.28999999999999998"/>
    <n v="0.01"/>
    <n v="0.23"/>
  </r>
  <r>
    <x v="8"/>
    <x v="1"/>
    <x v="26"/>
    <x v="4"/>
    <x v="1"/>
    <x v="1"/>
    <n v="0.03"/>
    <n v="0.03"/>
    <n v="0"/>
    <n v="0.03"/>
  </r>
  <r>
    <x v="8"/>
    <x v="1"/>
    <x v="26"/>
    <x v="4"/>
    <x v="0"/>
    <x v="1"/>
    <n v="0.02"/>
    <n v="0.02"/>
    <n v="0"/>
    <n v="0.01"/>
  </r>
  <r>
    <x v="8"/>
    <x v="1"/>
    <x v="26"/>
    <x v="2"/>
    <x v="3"/>
    <x v="3"/>
    <n v="0"/>
    <n v="0"/>
    <n v="0"/>
    <n v="0"/>
  </r>
  <r>
    <x v="8"/>
    <x v="1"/>
    <x v="26"/>
    <x v="1"/>
    <x v="1"/>
    <x v="2"/>
    <n v="0.02"/>
    <n v="0.03"/>
    <n v="0"/>
    <n v="0.02"/>
  </r>
  <r>
    <x v="8"/>
    <x v="1"/>
    <x v="26"/>
    <x v="4"/>
    <x v="1"/>
    <x v="2"/>
    <n v="0.02"/>
    <n v="0.02"/>
    <n v="0"/>
    <n v="0.02"/>
  </r>
  <r>
    <x v="8"/>
    <x v="1"/>
    <x v="26"/>
    <x v="1"/>
    <x v="1"/>
    <x v="1"/>
    <n v="0.27"/>
    <n v="0.3"/>
    <n v="0.01"/>
    <n v="0.24"/>
  </r>
  <r>
    <x v="8"/>
    <x v="1"/>
    <x v="26"/>
    <x v="2"/>
    <x v="3"/>
    <x v="1"/>
    <n v="0.01"/>
    <n v="0.01"/>
    <n v="0"/>
    <n v="0.01"/>
  </r>
  <r>
    <x v="8"/>
    <x v="2"/>
    <x v="27"/>
    <x v="4"/>
    <x v="4"/>
    <x v="1"/>
    <n v="0.06"/>
    <n v="0.08"/>
    <n v="0"/>
    <n v="0.06"/>
  </r>
  <r>
    <x v="8"/>
    <x v="2"/>
    <x v="27"/>
    <x v="2"/>
    <x v="3"/>
    <x v="1"/>
    <n v="1.93"/>
    <n v="2.6"/>
    <n v="0"/>
    <n v="1.92"/>
  </r>
  <r>
    <x v="8"/>
    <x v="2"/>
    <x v="27"/>
    <x v="1"/>
    <x v="2"/>
    <x v="1"/>
    <n v="0.06"/>
    <n v="0.08"/>
    <n v="0"/>
    <n v="0.06"/>
  </r>
  <r>
    <x v="8"/>
    <x v="2"/>
    <x v="27"/>
    <x v="1"/>
    <x v="1"/>
    <x v="1"/>
    <n v="0.16"/>
    <n v="0.22"/>
    <n v="0"/>
    <n v="0.17"/>
  </r>
  <r>
    <x v="8"/>
    <x v="2"/>
    <x v="27"/>
    <x v="1"/>
    <x v="4"/>
    <x v="1"/>
    <n v="7.0000000000000007E-2"/>
    <n v="0.09"/>
    <n v="0"/>
    <n v="0.08"/>
  </r>
  <r>
    <x v="8"/>
    <x v="2"/>
    <x v="27"/>
    <x v="1"/>
    <x v="0"/>
    <x v="1"/>
    <n v="0.09"/>
    <n v="0.12"/>
    <n v="0"/>
    <n v="0.1"/>
  </r>
  <r>
    <x v="8"/>
    <x v="2"/>
    <x v="27"/>
    <x v="0"/>
    <x v="4"/>
    <x v="1"/>
    <n v="0.21"/>
    <n v="0.28000000000000003"/>
    <n v="0"/>
    <n v="0.21"/>
  </r>
  <r>
    <x v="8"/>
    <x v="2"/>
    <x v="27"/>
    <x v="0"/>
    <x v="0"/>
    <x v="1"/>
    <n v="0.2"/>
    <n v="0.27"/>
    <n v="0.01"/>
    <n v="0.2"/>
  </r>
  <r>
    <x v="8"/>
    <x v="2"/>
    <x v="27"/>
    <x v="3"/>
    <x v="0"/>
    <x v="0"/>
    <n v="3.34"/>
    <n v="4.49"/>
    <n v="0.56000000000000005"/>
    <n v="3.34"/>
  </r>
  <r>
    <x v="8"/>
    <x v="2"/>
    <x v="27"/>
    <x v="2"/>
    <x v="4"/>
    <x v="0"/>
    <n v="2.5099999999999998"/>
    <n v="3.38"/>
    <n v="0.32"/>
    <n v="2.46"/>
  </r>
  <r>
    <x v="8"/>
    <x v="2"/>
    <x v="27"/>
    <x v="0"/>
    <x v="4"/>
    <x v="0"/>
    <n v="7.93"/>
    <n v="10.67"/>
    <n v="1.65"/>
    <n v="7.54"/>
  </r>
  <r>
    <x v="8"/>
    <x v="2"/>
    <x v="27"/>
    <x v="4"/>
    <x v="0"/>
    <x v="1"/>
    <n v="0.01"/>
    <n v="0.01"/>
    <n v="0"/>
    <n v="0.01"/>
  </r>
  <r>
    <x v="8"/>
    <x v="2"/>
    <x v="27"/>
    <x v="2"/>
    <x v="3"/>
    <x v="3"/>
    <n v="2.5"/>
    <n v="3.36"/>
    <n v="0"/>
    <n v="2.5"/>
  </r>
  <r>
    <x v="8"/>
    <x v="2"/>
    <x v="27"/>
    <x v="4"/>
    <x v="1"/>
    <x v="1"/>
    <n v="0.06"/>
    <n v="0.08"/>
    <n v="0"/>
    <n v="0.06"/>
  </r>
  <r>
    <x v="8"/>
    <x v="2"/>
    <x v="27"/>
    <x v="3"/>
    <x v="4"/>
    <x v="0"/>
    <n v="4.59"/>
    <n v="6.17"/>
    <n v="1.36"/>
    <n v="4.47"/>
  </r>
  <r>
    <x v="8"/>
    <x v="2"/>
    <x v="27"/>
    <x v="3"/>
    <x v="1"/>
    <x v="0"/>
    <n v="0.26"/>
    <n v="0.35"/>
    <n v="0.02"/>
    <n v="0.26"/>
  </r>
  <r>
    <x v="8"/>
    <x v="2"/>
    <x v="27"/>
    <x v="4"/>
    <x v="4"/>
    <x v="0"/>
    <n v="27.21"/>
    <n v="36.590000000000003"/>
    <n v="2.58"/>
    <n v="25.64"/>
  </r>
  <r>
    <x v="8"/>
    <x v="2"/>
    <x v="27"/>
    <x v="0"/>
    <x v="0"/>
    <x v="0"/>
    <n v="1.53"/>
    <n v="2.0499999999999998"/>
    <n v="0.66"/>
    <n v="1.42"/>
  </r>
  <r>
    <x v="8"/>
    <x v="2"/>
    <x v="27"/>
    <x v="1"/>
    <x v="0"/>
    <x v="0"/>
    <n v="4.0599999999999996"/>
    <n v="5.46"/>
    <n v="2.0699999999999998"/>
    <n v="3.91"/>
  </r>
  <r>
    <x v="8"/>
    <x v="2"/>
    <x v="27"/>
    <x v="1"/>
    <x v="4"/>
    <x v="0"/>
    <n v="66.81"/>
    <n v="89.86"/>
    <n v="10.95"/>
    <n v="63.44"/>
  </r>
  <r>
    <x v="8"/>
    <x v="2"/>
    <x v="27"/>
    <x v="1"/>
    <x v="1"/>
    <x v="0"/>
    <n v="8.4600000000000009"/>
    <n v="11.37"/>
    <n v="0.44"/>
    <n v="8.02"/>
  </r>
  <r>
    <x v="8"/>
    <x v="2"/>
    <x v="27"/>
    <x v="2"/>
    <x v="0"/>
    <x v="0"/>
    <n v="2.34"/>
    <n v="3.14"/>
    <n v="0.9"/>
    <n v="2.2599999999999998"/>
  </r>
  <r>
    <x v="8"/>
    <x v="2"/>
    <x v="27"/>
    <x v="4"/>
    <x v="4"/>
    <x v="2"/>
    <n v="0.48"/>
    <n v="0.65"/>
    <n v="0.02"/>
    <n v="0.43"/>
  </r>
  <r>
    <x v="8"/>
    <x v="2"/>
    <x v="27"/>
    <x v="4"/>
    <x v="1"/>
    <x v="2"/>
    <n v="0.11"/>
    <n v="0.14000000000000001"/>
    <n v="0"/>
    <n v="0.09"/>
  </r>
  <r>
    <x v="8"/>
    <x v="2"/>
    <x v="27"/>
    <x v="2"/>
    <x v="3"/>
    <x v="0"/>
    <n v="2"/>
    <n v="2.69"/>
    <n v="0.02"/>
    <n v="2"/>
  </r>
  <r>
    <x v="8"/>
    <x v="2"/>
    <x v="27"/>
    <x v="1"/>
    <x v="4"/>
    <x v="2"/>
    <n v="4.62"/>
    <n v="6.21"/>
    <n v="0.05"/>
    <n v="4.09"/>
  </r>
  <r>
    <x v="8"/>
    <x v="2"/>
    <x v="27"/>
    <x v="4"/>
    <x v="1"/>
    <x v="0"/>
    <n v="3.92"/>
    <n v="5.28"/>
    <n v="0.18"/>
    <n v="3.71"/>
  </r>
  <r>
    <x v="8"/>
    <x v="5"/>
    <x v="28"/>
    <x v="1"/>
    <x v="1"/>
    <x v="1"/>
    <n v="0.8"/>
    <n v="0.86"/>
    <n v="0.01"/>
    <n v="0.74"/>
  </r>
  <r>
    <x v="8"/>
    <x v="5"/>
    <x v="28"/>
    <x v="2"/>
    <x v="3"/>
    <x v="1"/>
    <n v="0.34"/>
    <n v="0.37"/>
    <n v="0"/>
    <n v="0.31"/>
  </r>
  <r>
    <x v="8"/>
    <x v="5"/>
    <x v="28"/>
    <x v="2"/>
    <x v="0"/>
    <x v="0"/>
    <n v="4.46"/>
    <n v="4.8099999999999996"/>
    <n v="2.37"/>
    <n v="4.17"/>
  </r>
  <r>
    <x v="8"/>
    <x v="5"/>
    <x v="28"/>
    <x v="1"/>
    <x v="2"/>
    <x v="0"/>
    <n v="0.54"/>
    <n v="0.57999999999999996"/>
    <n v="0.02"/>
    <n v="0.48"/>
  </r>
  <r>
    <x v="8"/>
    <x v="5"/>
    <x v="28"/>
    <x v="1"/>
    <x v="1"/>
    <x v="0"/>
    <n v="25.02"/>
    <n v="26.96"/>
    <n v="1.34"/>
    <n v="22.88"/>
  </r>
  <r>
    <x v="8"/>
    <x v="5"/>
    <x v="28"/>
    <x v="1"/>
    <x v="4"/>
    <x v="0"/>
    <n v="141.9"/>
    <n v="152.91"/>
    <n v="30.8"/>
    <n v="130.41"/>
  </r>
  <r>
    <x v="8"/>
    <x v="5"/>
    <x v="28"/>
    <x v="1"/>
    <x v="0"/>
    <x v="0"/>
    <n v="12.03"/>
    <n v="12.97"/>
    <n v="6.42"/>
    <n v="11.22"/>
  </r>
  <r>
    <x v="8"/>
    <x v="5"/>
    <x v="28"/>
    <x v="0"/>
    <x v="4"/>
    <x v="0"/>
    <n v="13.36"/>
    <n v="14.4"/>
    <n v="3.21"/>
    <n v="12.36"/>
  </r>
  <r>
    <x v="8"/>
    <x v="5"/>
    <x v="28"/>
    <x v="0"/>
    <x v="0"/>
    <x v="0"/>
    <n v="4.71"/>
    <n v="5.07"/>
    <n v="2.2200000000000002"/>
    <n v="4.26"/>
  </r>
  <r>
    <x v="8"/>
    <x v="5"/>
    <x v="28"/>
    <x v="4"/>
    <x v="1"/>
    <x v="0"/>
    <n v="4.37"/>
    <n v="4.7"/>
    <n v="0.2"/>
    <n v="4.0199999999999996"/>
  </r>
  <r>
    <x v="8"/>
    <x v="5"/>
    <x v="28"/>
    <x v="4"/>
    <x v="4"/>
    <x v="0"/>
    <n v="46.58"/>
    <n v="50.19"/>
    <n v="5.13"/>
    <n v="42.93"/>
  </r>
  <r>
    <x v="8"/>
    <x v="5"/>
    <x v="28"/>
    <x v="3"/>
    <x v="1"/>
    <x v="0"/>
    <n v="0.01"/>
    <n v="0.01"/>
    <n v="0"/>
    <n v="0.01"/>
  </r>
  <r>
    <x v="8"/>
    <x v="5"/>
    <x v="28"/>
    <x v="3"/>
    <x v="4"/>
    <x v="0"/>
    <n v="6.89"/>
    <n v="7.42"/>
    <n v="1.82"/>
    <n v="6.39"/>
  </r>
  <r>
    <x v="8"/>
    <x v="5"/>
    <x v="28"/>
    <x v="2"/>
    <x v="4"/>
    <x v="0"/>
    <n v="4.72"/>
    <n v="5.09"/>
    <n v="0.8"/>
    <n v="4.4400000000000004"/>
  </r>
  <r>
    <x v="8"/>
    <x v="5"/>
    <x v="28"/>
    <x v="1"/>
    <x v="4"/>
    <x v="1"/>
    <n v="0.03"/>
    <n v="0.04"/>
    <n v="0"/>
    <n v="0.03"/>
  </r>
  <r>
    <x v="8"/>
    <x v="5"/>
    <x v="28"/>
    <x v="1"/>
    <x v="2"/>
    <x v="1"/>
    <n v="2.29"/>
    <n v="2.4700000000000002"/>
    <n v="0.01"/>
    <n v="2.1"/>
  </r>
  <r>
    <x v="8"/>
    <x v="5"/>
    <x v="28"/>
    <x v="1"/>
    <x v="0"/>
    <x v="1"/>
    <n v="0.91"/>
    <n v="0.98"/>
    <n v="0.03"/>
    <n v="0.88"/>
  </r>
  <r>
    <x v="8"/>
    <x v="5"/>
    <x v="28"/>
    <x v="0"/>
    <x v="4"/>
    <x v="1"/>
    <n v="0.17"/>
    <n v="0.18"/>
    <n v="0.01"/>
    <n v="0.15"/>
  </r>
  <r>
    <x v="8"/>
    <x v="5"/>
    <x v="28"/>
    <x v="0"/>
    <x v="0"/>
    <x v="1"/>
    <n v="1.33"/>
    <n v="1.44"/>
    <n v="0.02"/>
    <n v="1.22"/>
  </r>
  <r>
    <x v="8"/>
    <x v="5"/>
    <x v="28"/>
    <x v="4"/>
    <x v="1"/>
    <x v="1"/>
    <n v="1.4"/>
    <n v="1.51"/>
    <n v="0.01"/>
    <n v="1.28"/>
  </r>
  <r>
    <x v="8"/>
    <x v="5"/>
    <x v="28"/>
    <x v="4"/>
    <x v="4"/>
    <x v="1"/>
    <n v="2.0299999999999998"/>
    <n v="2.19"/>
    <n v="0.02"/>
    <n v="1.86"/>
  </r>
  <r>
    <x v="8"/>
    <x v="5"/>
    <x v="28"/>
    <x v="4"/>
    <x v="0"/>
    <x v="1"/>
    <n v="0.03"/>
    <n v="0.03"/>
    <n v="0"/>
    <n v="0.03"/>
  </r>
  <r>
    <x v="8"/>
    <x v="5"/>
    <x v="28"/>
    <x v="2"/>
    <x v="3"/>
    <x v="3"/>
    <n v="5.74"/>
    <n v="6.18"/>
    <n v="0"/>
    <n v="5.74"/>
  </r>
  <r>
    <x v="8"/>
    <x v="5"/>
    <x v="28"/>
    <x v="2"/>
    <x v="3"/>
    <x v="2"/>
    <n v="7.6"/>
    <n v="8.19"/>
    <n v="0"/>
    <n v="5.88"/>
  </r>
  <r>
    <x v="8"/>
    <x v="5"/>
    <x v="28"/>
    <x v="1"/>
    <x v="4"/>
    <x v="2"/>
    <n v="0.01"/>
    <n v="0.01"/>
    <n v="0"/>
    <n v="0.01"/>
  </r>
  <r>
    <x v="8"/>
    <x v="5"/>
    <x v="28"/>
    <x v="4"/>
    <x v="2"/>
    <x v="2"/>
    <n v="0.02"/>
    <n v="0.02"/>
    <n v="0"/>
    <n v="0.01"/>
  </r>
  <r>
    <x v="8"/>
    <x v="5"/>
    <x v="28"/>
    <x v="4"/>
    <x v="1"/>
    <x v="2"/>
    <n v="0.68"/>
    <n v="0.73"/>
    <n v="0.01"/>
    <n v="0.49"/>
  </r>
  <r>
    <x v="8"/>
    <x v="5"/>
    <x v="28"/>
    <x v="4"/>
    <x v="4"/>
    <x v="2"/>
    <n v="0.55000000000000004"/>
    <n v="0.59"/>
    <n v="0.01"/>
    <n v="0.4"/>
  </r>
  <r>
    <x v="8"/>
    <x v="5"/>
    <x v="28"/>
    <x v="3"/>
    <x v="0"/>
    <x v="0"/>
    <n v="2.52"/>
    <n v="2.71"/>
    <n v="0.53"/>
    <n v="2.44"/>
  </r>
  <r>
    <x v="8"/>
    <x v="5"/>
    <x v="28"/>
    <x v="2"/>
    <x v="3"/>
    <x v="0"/>
    <n v="2.02"/>
    <n v="2.1800000000000002"/>
    <n v="0.02"/>
    <n v="2.02"/>
  </r>
  <r>
    <x v="8"/>
    <x v="2"/>
    <x v="29"/>
    <x v="1"/>
    <x v="2"/>
    <x v="1"/>
    <n v="0.31"/>
    <n v="0.34"/>
    <n v="0"/>
    <n v="0.3"/>
  </r>
  <r>
    <x v="8"/>
    <x v="2"/>
    <x v="29"/>
    <x v="2"/>
    <x v="4"/>
    <x v="0"/>
    <n v="1.7"/>
    <n v="1.85"/>
    <n v="0.22"/>
    <n v="1.67"/>
  </r>
  <r>
    <x v="8"/>
    <x v="2"/>
    <x v="29"/>
    <x v="2"/>
    <x v="0"/>
    <x v="0"/>
    <n v="2.78"/>
    <n v="3.03"/>
    <n v="1.44"/>
    <n v="2.67"/>
  </r>
  <r>
    <x v="8"/>
    <x v="2"/>
    <x v="29"/>
    <x v="1"/>
    <x v="2"/>
    <x v="0"/>
    <n v="0.18"/>
    <n v="0.19"/>
    <n v="0"/>
    <n v="0.16"/>
  </r>
  <r>
    <x v="8"/>
    <x v="2"/>
    <x v="29"/>
    <x v="1"/>
    <x v="1"/>
    <x v="0"/>
    <n v="2.95"/>
    <n v="3.21"/>
    <n v="0.25"/>
    <n v="2.86"/>
  </r>
  <r>
    <x v="8"/>
    <x v="2"/>
    <x v="29"/>
    <x v="1"/>
    <x v="4"/>
    <x v="0"/>
    <n v="40.44"/>
    <n v="44.02"/>
    <n v="6.91"/>
    <n v="38.049999999999997"/>
  </r>
  <r>
    <x v="8"/>
    <x v="2"/>
    <x v="29"/>
    <x v="1"/>
    <x v="0"/>
    <x v="0"/>
    <n v="3.95"/>
    <n v="4.3"/>
    <n v="1.66"/>
    <n v="3.73"/>
  </r>
  <r>
    <x v="8"/>
    <x v="2"/>
    <x v="29"/>
    <x v="0"/>
    <x v="4"/>
    <x v="0"/>
    <n v="5.59"/>
    <n v="6.08"/>
    <n v="1.22"/>
    <n v="5.31"/>
  </r>
  <r>
    <x v="8"/>
    <x v="2"/>
    <x v="29"/>
    <x v="0"/>
    <x v="0"/>
    <x v="0"/>
    <n v="1.95"/>
    <n v="2.12"/>
    <n v="0.91"/>
    <n v="1.81"/>
  </r>
  <r>
    <x v="8"/>
    <x v="2"/>
    <x v="29"/>
    <x v="4"/>
    <x v="1"/>
    <x v="0"/>
    <n v="0.15"/>
    <n v="0.16"/>
    <n v="0.01"/>
    <n v="0.15"/>
  </r>
  <r>
    <x v="8"/>
    <x v="2"/>
    <x v="29"/>
    <x v="4"/>
    <x v="4"/>
    <x v="0"/>
    <n v="9.99"/>
    <n v="10.87"/>
    <n v="1.05"/>
    <n v="9.6199999999999992"/>
  </r>
  <r>
    <x v="8"/>
    <x v="2"/>
    <x v="29"/>
    <x v="3"/>
    <x v="4"/>
    <x v="0"/>
    <n v="1.02"/>
    <n v="1.1100000000000001"/>
    <n v="0.28999999999999998"/>
    <n v="1"/>
  </r>
  <r>
    <x v="8"/>
    <x v="2"/>
    <x v="29"/>
    <x v="2"/>
    <x v="3"/>
    <x v="1"/>
    <n v="0.18"/>
    <n v="0.19"/>
    <n v="0"/>
    <n v="0.17"/>
  </r>
  <r>
    <x v="8"/>
    <x v="2"/>
    <x v="29"/>
    <x v="2"/>
    <x v="3"/>
    <x v="0"/>
    <n v="6.38"/>
    <n v="6.95"/>
    <n v="0.05"/>
    <n v="6.38"/>
  </r>
  <r>
    <x v="8"/>
    <x v="2"/>
    <x v="29"/>
    <x v="1"/>
    <x v="1"/>
    <x v="1"/>
    <n v="0.39"/>
    <n v="0.43"/>
    <n v="0"/>
    <n v="0.38"/>
  </r>
  <r>
    <x v="8"/>
    <x v="2"/>
    <x v="29"/>
    <x v="1"/>
    <x v="4"/>
    <x v="1"/>
    <n v="0.03"/>
    <n v="0.03"/>
    <n v="0"/>
    <n v="0.03"/>
  </r>
  <r>
    <x v="8"/>
    <x v="2"/>
    <x v="29"/>
    <x v="1"/>
    <x v="0"/>
    <x v="1"/>
    <n v="0.1"/>
    <n v="0.11"/>
    <n v="0.01"/>
    <n v="0.1"/>
  </r>
  <r>
    <x v="8"/>
    <x v="2"/>
    <x v="29"/>
    <x v="0"/>
    <x v="4"/>
    <x v="1"/>
    <n v="0.14000000000000001"/>
    <n v="0.15"/>
    <n v="0"/>
    <n v="0.13"/>
  </r>
  <r>
    <x v="8"/>
    <x v="2"/>
    <x v="29"/>
    <x v="0"/>
    <x v="0"/>
    <x v="1"/>
    <n v="0.13"/>
    <n v="0.14000000000000001"/>
    <n v="0"/>
    <n v="0.12"/>
  </r>
  <r>
    <x v="8"/>
    <x v="2"/>
    <x v="29"/>
    <x v="4"/>
    <x v="4"/>
    <x v="1"/>
    <n v="0.02"/>
    <n v="0.02"/>
    <n v="0"/>
    <n v="0.02"/>
  </r>
  <r>
    <x v="8"/>
    <x v="2"/>
    <x v="29"/>
    <x v="4"/>
    <x v="0"/>
    <x v="1"/>
    <n v="0.01"/>
    <n v="0.01"/>
    <n v="0"/>
    <n v="0.01"/>
  </r>
  <r>
    <x v="8"/>
    <x v="2"/>
    <x v="29"/>
    <x v="2"/>
    <x v="3"/>
    <x v="2"/>
    <n v="0.02"/>
    <n v="0.03"/>
    <n v="0"/>
    <n v="0.03"/>
  </r>
  <r>
    <x v="8"/>
    <x v="2"/>
    <x v="29"/>
    <x v="1"/>
    <x v="4"/>
    <x v="2"/>
    <n v="0.25"/>
    <n v="0.27"/>
    <n v="0"/>
    <n v="0.24"/>
  </r>
  <r>
    <x v="8"/>
    <x v="2"/>
    <x v="29"/>
    <x v="4"/>
    <x v="2"/>
    <x v="2"/>
    <n v="0"/>
    <n v="0"/>
    <n v="0"/>
    <n v="0"/>
  </r>
  <r>
    <x v="8"/>
    <x v="2"/>
    <x v="29"/>
    <x v="4"/>
    <x v="1"/>
    <x v="2"/>
    <n v="0"/>
    <n v="0"/>
    <n v="0"/>
    <n v="0"/>
  </r>
  <r>
    <x v="8"/>
    <x v="2"/>
    <x v="29"/>
    <x v="4"/>
    <x v="4"/>
    <x v="2"/>
    <n v="0.04"/>
    <n v="0.05"/>
    <n v="0.01"/>
    <n v="0.04"/>
  </r>
  <r>
    <x v="8"/>
    <x v="2"/>
    <x v="29"/>
    <x v="3"/>
    <x v="0"/>
    <x v="0"/>
    <n v="0.9"/>
    <n v="0.98"/>
    <n v="0.14000000000000001"/>
    <n v="0.9"/>
  </r>
  <r>
    <x v="8"/>
    <x v="5"/>
    <x v="30"/>
    <x v="1"/>
    <x v="2"/>
    <x v="1"/>
    <n v="2.5099999999999998"/>
    <n v="2.74"/>
    <n v="0.01"/>
    <n v="2.3199999999999998"/>
  </r>
  <r>
    <x v="8"/>
    <x v="5"/>
    <x v="30"/>
    <x v="4"/>
    <x v="4"/>
    <x v="2"/>
    <n v="0.57999999999999996"/>
    <n v="0.64"/>
    <n v="0.04"/>
    <n v="0.68"/>
  </r>
  <r>
    <x v="8"/>
    <x v="5"/>
    <x v="30"/>
    <x v="4"/>
    <x v="1"/>
    <x v="2"/>
    <n v="0.65"/>
    <n v="0.71"/>
    <n v="0.04"/>
    <n v="0.75"/>
  </r>
  <r>
    <x v="8"/>
    <x v="5"/>
    <x v="30"/>
    <x v="4"/>
    <x v="2"/>
    <x v="2"/>
    <n v="0.52"/>
    <n v="0.56999999999999995"/>
    <n v="0.01"/>
    <n v="0.61"/>
  </r>
  <r>
    <x v="8"/>
    <x v="5"/>
    <x v="30"/>
    <x v="1"/>
    <x v="4"/>
    <x v="2"/>
    <n v="0.01"/>
    <n v="0.01"/>
    <n v="0"/>
    <n v="0.02"/>
  </r>
  <r>
    <x v="8"/>
    <x v="5"/>
    <x v="30"/>
    <x v="2"/>
    <x v="3"/>
    <x v="2"/>
    <n v="0.19"/>
    <n v="0.21"/>
    <n v="0"/>
    <n v="0.23"/>
  </r>
  <r>
    <x v="8"/>
    <x v="5"/>
    <x v="30"/>
    <x v="2"/>
    <x v="3"/>
    <x v="3"/>
    <n v="3.68"/>
    <n v="4"/>
    <n v="0"/>
    <n v="3.68"/>
  </r>
  <r>
    <x v="8"/>
    <x v="5"/>
    <x v="30"/>
    <x v="4"/>
    <x v="0"/>
    <x v="1"/>
    <n v="0.03"/>
    <n v="0.04"/>
    <n v="0"/>
    <n v="0.03"/>
  </r>
  <r>
    <x v="8"/>
    <x v="5"/>
    <x v="30"/>
    <x v="4"/>
    <x v="1"/>
    <x v="1"/>
    <n v="1.44"/>
    <n v="1.56"/>
    <n v="0.01"/>
    <n v="1.31"/>
  </r>
  <r>
    <x v="8"/>
    <x v="5"/>
    <x v="30"/>
    <x v="0"/>
    <x v="4"/>
    <x v="1"/>
    <n v="0.14000000000000001"/>
    <n v="0.15"/>
    <n v="0.01"/>
    <n v="0.12"/>
  </r>
  <r>
    <x v="8"/>
    <x v="5"/>
    <x v="30"/>
    <x v="1"/>
    <x v="0"/>
    <x v="1"/>
    <n v="0.83"/>
    <n v="0.91"/>
    <n v="0.02"/>
    <n v="0.81"/>
  </r>
  <r>
    <x v="8"/>
    <x v="5"/>
    <x v="30"/>
    <x v="1"/>
    <x v="4"/>
    <x v="1"/>
    <n v="0.37"/>
    <n v="0.4"/>
    <n v="0.01"/>
    <n v="0.37"/>
  </r>
  <r>
    <x v="8"/>
    <x v="5"/>
    <x v="30"/>
    <x v="2"/>
    <x v="4"/>
    <x v="0"/>
    <n v="7.6"/>
    <n v="8.2799999999999994"/>
    <n v="1.25"/>
    <n v="7.09"/>
  </r>
  <r>
    <x v="8"/>
    <x v="5"/>
    <x v="30"/>
    <x v="2"/>
    <x v="3"/>
    <x v="0"/>
    <n v="0.03"/>
    <n v="0.04"/>
    <n v="0.01"/>
    <n v="0.03"/>
  </r>
  <r>
    <x v="8"/>
    <x v="5"/>
    <x v="30"/>
    <x v="2"/>
    <x v="0"/>
    <x v="0"/>
    <n v="4.32"/>
    <n v="4.7"/>
    <n v="2.86"/>
    <n v="4.04"/>
  </r>
  <r>
    <x v="8"/>
    <x v="5"/>
    <x v="30"/>
    <x v="2"/>
    <x v="3"/>
    <x v="1"/>
    <n v="0.33"/>
    <n v="0.36"/>
    <n v="0"/>
    <n v="0.3"/>
  </r>
  <r>
    <x v="8"/>
    <x v="5"/>
    <x v="30"/>
    <x v="3"/>
    <x v="0"/>
    <x v="0"/>
    <n v="1.69"/>
    <n v="1.84"/>
    <n v="0.38"/>
    <n v="1.64"/>
  </r>
  <r>
    <x v="8"/>
    <x v="5"/>
    <x v="30"/>
    <x v="3"/>
    <x v="4"/>
    <x v="0"/>
    <n v="12.56"/>
    <n v="13.67"/>
    <n v="2.4"/>
    <n v="11.63"/>
  </r>
  <r>
    <x v="8"/>
    <x v="5"/>
    <x v="30"/>
    <x v="3"/>
    <x v="1"/>
    <x v="0"/>
    <n v="0.02"/>
    <n v="0.02"/>
    <n v="0"/>
    <n v="0.02"/>
  </r>
  <r>
    <x v="8"/>
    <x v="5"/>
    <x v="30"/>
    <x v="4"/>
    <x v="4"/>
    <x v="0"/>
    <n v="76.78"/>
    <n v="83.58"/>
    <n v="9.39"/>
    <n v="70.42"/>
  </r>
  <r>
    <x v="8"/>
    <x v="5"/>
    <x v="30"/>
    <x v="4"/>
    <x v="1"/>
    <x v="0"/>
    <n v="8.69"/>
    <n v="9.4600000000000009"/>
    <n v="0.4"/>
    <n v="8.02"/>
  </r>
  <r>
    <x v="8"/>
    <x v="5"/>
    <x v="30"/>
    <x v="0"/>
    <x v="0"/>
    <x v="0"/>
    <n v="7.13"/>
    <n v="7.76"/>
    <n v="3.94"/>
    <n v="6.48"/>
  </r>
  <r>
    <x v="8"/>
    <x v="5"/>
    <x v="30"/>
    <x v="0"/>
    <x v="4"/>
    <x v="0"/>
    <n v="20.440000000000001"/>
    <n v="22.26"/>
    <n v="5.91"/>
    <n v="18.73"/>
  </r>
  <r>
    <x v="8"/>
    <x v="5"/>
    <x v="30"/>
    <x v="1"/>
    <x v="0"/>
    <x v="0"/>
    <n v="18.14"/>
    <n v="19.75"/>
    <n v="11.32"/>
    <n v="16.75"/>
  </r>
  <r>
    <x v="8"/>
    <x v="5"/>
    <x v="30"/>
    <x v="1"/>
    <x v="4"/>
    <x v="0"/>
    <n v="315.01"/>
    <n v="342.92"/>
    <n v="75.59"/>
    <n v="287.27"/>
  </r>
  <r>
    <x v="8"/>
    <x v="5"/>
    <x v="30"/>
    <x v="1"/>
    <x v="1"/>
    <x v="0"/>
    <n v="46.39"/>
    <n v="50.5"/>
    <n v="3.36"/>
    <n v="42.32"/>
  </r>
  <r>
    <x v="8"/>
    <x v="5"/>
    <x v="30"/>
    <x v="0"/>
    <x v="0"/>
    <x v="1"/>
    <n v="1.81"/>
    <n v="1.97"/>
    <n v="0.03"/>
    <n v="1.65"/>
  </r>
  <r>
    <x v="8"/>
    <x v="5"/>
    <x v="30"/>
    <x v="1"/>
    <x v="1"/>
    <x v="1"/>
    <n v="0.71"/>
    <n v="0.78"/>
    <n v="0.01"/>
    <n v="0.66"/>
  </r>
  <r>
    <x v="8"/>
    <x v="5"/>
    <x v="30"/>
    <x v="4"/>
    <x v="4"/>
    <x v="1"/>
    <n v="1.82"/>
    <n v="1.98"/>
    <n v="0.02"/>
    <n v="1.67"/>
  </r>
  <r>
    <x v="8"/>
    <x v="6"/>
    <x v="31"/>
    <x v="1"/>
    <x v="1"/>
    <x v="1"/>
    <n v="7.5"/>
    <n v="7.5"/>
    <n v="0.05"/>
    <n v="6.43"/>
  </r>
  <r>
    <x v="8"/>
    <x v="6"/>
    <x v="31"/>
    <x v="2"/>
    <x v="3"/>
    <x v="0"/>
    <n v="2.25"/>
    <n v="2.25"/>
    <n v="0.02"/>
    <n v="2.25"/>
  </r>
  <r>
    <x v="8"/>
    <x v="6"/>
    <x v="31"/>
    <x v="2"/>
    <x v="4"/>
    <x v="0"/>
    <n v="23.73"/>
    <n v="23.73"/>
    <n v="4.95"/>
    <n v="21.68"/>
  </r>
  <r>
    <x v="8"/>
    <x v="6"/>
    <x v="31"/>
    <x v="2"/>
    <x v="0"/>
    <x v="0"/>
    <n v="6.57"/>
    <n v="6.57"/>
    <n v="3.27"/>
    <n v="6.25"/>
  </r>
  <r>
    <x v="8"/>
    <x v="6"/>
    <x v="31"/>
    <x v="1"/>
    <x v="2"/>
    <x v="0"/>
    <n v="1.98"/>
    <n v="1.98"/>
    <n v="0.02"/>
    <n v="1.68"/>
  </r>
  <r>
    <x v="8"/>
    <x v="6"/>
    <x v="31"/>
    <x v="1"/>
    <x v="1"/>
    <x v="0"/>
    <n v="28.52"/>
    <n v="28.52"/>
    <n v="1.65"/>
    <n v="24.92"/>
  </r>
  <r>
    <x v="8"/>
    <x v="6"/>
    <x v="31"/>
    <x v="1"/>
    <x v="4"/>
    <x v="0"/>
    <n v="203.05"/>
    <n v="203.05"/>
    <n v="41.83"/>
    <n v="185.62"/>
  </r>
  <r>
    <x v="8"/>
    <x v="6"/>
    <x v="31"/>
    <x v="1"/>
    <x v="0"/>
    <x v="0"/>
    <n v="12.63"/>
    <n v="12.63"/>
    <n v="5.77"/>
    <n v="11.19"/>
  </r>
  <r>
    <x v="8"/>
    <x v="6"/>
    <x v="31"/>
    <x v="0"/>
    <x v="4"/>
    <x v="0"/>
    <n v="25"/>
    <n v="25"/>
    <n v="4.53"/>
    <n v="22.51"/>
  </r>
  <r>
    <x v="8"/>
    <x v="6"/>
    <x v="31"/>
    <x v="0"/>
    <x v="0"/>
    <x v="0"/>
    <n v="1.92"/>
    <n v="1.92"/>
    <n v="0.9"/>
    <n v="1.7"/>
  </r>
  <r>
    <x v="8"/>
    <x v="6"/>
    <x v="31"/>
    <x v="4"/>
    <x v="1"/>
    <x v="0"/>
    <n v="4.4800000000000004"/>
    <n v="4.4800000000000004"/>
    <n v="0.43"/>
    <n v="3.82"/>
  </r>
  <r>
    <x v="8"/>
    <x v="6"/>
    <x v="31"/>
    <x v="4"/>
    <x v="4"/>
    <x v="0"/>
    <n v="40.630000000000003"/>
    <n v="40.630000000000003"/>
    <n v="9.51"/>
    <n v="35.909999999999997"/>
  </r>
  <r>
    <x v="8"/>
    <x v="6"/>
    <x v="31"/>
    <x v="4"/>
    <x v="4"/>
    <x v="2"/>
    <n v="0.3"/>
    <n v="0.3"/>
    <n v="0.03"/>
    <n v="0.24"/>
  </r>
  <r>
    <x v="8"/>
    <x v="6"/>
    <x v="31"/>
    <x v="1"/>
    <x v="2"/>
    <x v="1"/>
    <n v="14.67"/>
    <n v="14.67"/>
    <n v="0.05"/>
    <n v="12.66"/>
  </r>
  <r>
    <x v="8"/>
    <x v="6"/>
    <x v="31"/>
    <x v="1"/>
    <x v="4"/>
    <x v="1"/>
    <n v="0.8"/>
    <n v="0.8"/>
    <n v="0.02"/>
    <n v="0.7"/>
  </r>
  <r>
    <x v="8"/>
    <x v="6"/>
    <x v="31"/>
    <x v="1"/>
    <x v="0"/>
    <x v="1"/>
    <n v="0.51"/>
    <n v="0.51"/>
    <n v="0.01"/>
    <n v="0.44"/>
  </r>
  <r>
    <x v="8"/>
    <x v="6"/>
    <x v="31"/>
    <x v="0"/>
    <x v="4"/>
    <x v="1"/>
    <n v="0.28999999999999998"/>
    <n v="0.28999999999999998"/>
    <n v="0.03"/>
    <n v="0.24"/>
  </r>
  <r>
    <x v="8"/>
    <x v="6"/>
    <x v="31"/>
    <x v="0"/>
    <x v="0"/>
    <x v="1"/>
    <n v="1.9"/>
    <n v="1.9"/>
    <n v="0.04"/>
    <n v="1.51"/>
  </r>
  <r>
    <x v="8"/>
    <x v="6"/>
    <x v="31"/>
    <x v="4"/>
    <x v="1"/>
    <x v="1"/>
    <n v="7.0000000000000007E-2"/>
    <n v="7.0000000000000007E-2"/>
    <n v="0"/>
    <n v="7.0000000000000007E-2"/>
  </r>
  <r>
    <x v="8"/>
    <x v="6"/>
    <x v="31"/>
    <x v="4"/>
    <x v="0"/>
    <x v="1"/>
    <n v="0.16"/>
    <n v="0.16"/>
    <n v="0.01"/>
    <n v="0.15"/>
  </r>
  <r>
    <x v="8"/>
    <x v="6"/>
    <x v="31"/>
    <x v="2"/>
    <x v="3"/>
    <x v="3"/>
    <n v="10.79"/>
    <n v="10.79"/>
    <n v="0.01"/>
    <n v="8.94"/>
  </r>
  <r>
    <x v="8"/>
    <x v="6"/>
    <x v="31"/>
    <x v="2"/>
    <x v="3"/>
    <x v="2"/>
    <n v="0.56000000000000005"/>
    <n v="0.56000000000000005"/>
    <n v="0"/>
    <n v="0.54"/>
  </r>
  <r>
    <x v="8"/>
    <x v="6"/>
    <x v="31"/>
    <x v="1"/>
    <x v="1"/>
    <x v="2"/>
    <n v="0.63"/>
    <n v="0.63"/>
    <n v="0.01"/>
    <n v="0.54"/>
  </r>
  <r>
    <x v="8"/>
    <x v="6"/>
    <x v="31"/>
    <x v="4"/>
    <x v="2"/>
    <x v="2"/>
    <n v="0.09"/>
    <n v="0.09"/>
    <n v="0"/>
    <n v="0.08"/>
  </r>
  <r>
    <x v="8"/>
    <x v="6"/>
    <x v="31"/>
    <x v="4"/>
    <x v="1"/>
    <x v="2"/>
    <n v="0.47"/>
    <n v="0.47"/>
    <n v="0.05"/>
    <n v="0.38"/>
  </r>
  <r>
    <x v="8"/>
    <x v="6"/>
    <x v="31"/>
    <x v="3"/>
    <x v="4"/>
    <x v="0"/>
    <n v="1.44"/>
    <n v="1.44"/>
    <n v="0.35"/>
    <n v="1.31"/>
  </r>
  <r>
    <x v="8"/>
    <x v="9"/>
    <x v="32"/>
    <x v="2"/>
    <x v="3"/>
    <x v="1"/>
    <n v="0.03"/>
    <n v="0.06"/>
    <n v="0"/>
    <n v="0.03"/>
  </r>
  <r>
    <x v="8"/>
    <x v="9"/>
    <x v="32"/>
    <x v="2"/>
    <x v="3"/>
    <x v="0"/>
    <n v="7.0000000000000007E-2"/>
    <n v="0.13"/>
    <n v="0.04"/>
    <n v="7.0000000000000007E-2"/>
  </r>
  <r>
    <x v="8"/>
    <x v="9"/>
    <x v="32"/>
    <x v="2"/>
    <x v="4"/>
    <x v="0"/>
    <n v="1.48"/>
    <n v="2.63"/>
    <n v="0.23"/>
    <n v="1.38"/>
  </r>
  <r>
    <x v="8"/>
    <x v="9"/>
    <x v="32"/>
    <x v="2"/>
    <x v="0"/>
    <x v="0"/>
    <n v="0.2"/>
    <n v="0.36"/>
    <n v="0.13"/>
    <n v="0.19"/>
  </r>
  <r>
    <x v="8"/>
    <x v="9"/>
    <x v="32"/>
    <x v="1"/>
    <x v="1"/>
    <x v="0"/>
    <n v="12.37"/>
    <n v="21.98"/>
    <n v="0.84"/>
    <n v="11.28"/>
  </r>
  <r>
    <x v="8"/>
    <x v="9"/>
    <x v="32"/>
    <x v="1"/>
    <x v="4"/>
    <x v="0"/>
    <n v="85.38"/>
    <n v="151.74"/>
    <n v="19.77"/>
    <n v="77.86"/>
  </r>
  <r>
    <x v="8"/>
    <x v="9"/>
    <x v="32"/>
    <x v="1"/>
    <x v="0"/>
    <x v="0"/>
    <n v="4.96"/>
    <n v="8.82"/>
    <n v="2.89"/>
    <n v="4.58"/>
  </r>
  <r>
    <x v="8"/>
    <x v="9"/>
    <x v="32"/>
    <x v="0"/>
    <x v="4"/>
    <x v="0"/>
    <n v="5.92"/>
    <n v="10.52"/>
    <n v="1.6"/>
    <n v="5.42"/>
  </r>
  <r>
    <x v="8"/>
    <x v="9"/>
    <x v="32"/>
    <x v="0"/>
    <x v="0"/>
    <x v="0"/>
    <n v="1.38"/>
    <n v="2.4500000000000002"/>
    <n v="0.71"/>
    <n v="1.25"/>
  </r>
  <r>
    <x v="8"/>
    <x v="9"/>
    <x v="32"/>
    <x v="4"/>
    <x v="1"/>
    <x v="0"/>
    <n v="2.1800000000000002"/>
    <n v="3.88"/>
    <n v="0.09"/>
    <n v="2.0099999999999998"/>
  </r>
  <r>
    <x v="8"/>
    <x v="9"/>
    <x v="32"/>
    <x v="4"/>
    <x v="4"/>
    <x v="0"/>
    <n v="20.69"/>
    <n v="36.770000000000003"/>
    <n v="2.2799999999999998"/>
    <n v="18.97"/>
  </r>
  <r>
    <x v="8"/>
    <x v="9"/>
    <x v="32"/>
    <x v="3"/>
    <x v="1"/>
    <x v="0"/>
    <n v="0"/>
    <n v="0.01"/>
    <n v="0"/>
    <n v="0"/>
  </r>
  <r>
    <x v="8"/>
    <x v="9"/>
    <x v="32"/>
    <x v="4"/>
    <x v="1"/>
    <x v="2"/>
    <n v="0.16"/>
    <n v="0.28999999999999998"/>
    <n v="0.01"/>
    <n v="0.19"/>
  </r>
  <r>
    <x v="8"/>
    <x v="9"/>
    <x v="32"/>
    <x v="3"/>
    <x v="0"/>
    <x v="0"/>
    <n v="0.65"/>
    <n v="1.1499999999999999"/>
    <n v="0.14000000000000001"/>
    <n v="0.63"/>
  </r>
  <r>
    <x v="8"/>
    <x v="9"/>
    <x v="32"/>
    <x v="1"/>
    <x v="4"/>
    <x v="2"/>
    <n v="0"/>
    <n v="0"/>
    <n v="0"/>
    <n v="0"/>
  </r>
  <r>
    <x v="8"/>
    <x v="9"/>
    <x v="32"/>
    <x v="1"/>
    <x v="2"/>
    <x v="1"/>
    <n v="0.47"/>
    <n v="0.83"/>
    <n v="0"/>
    <n v="0.43"/>
  </r>
  <r>
    <x v="8"/>
    <x v="9"/>
    <x v="32"/>
    <x v="1"/>
    <x v="1"/>
    <x v="1"/>
    <n v="0.14000000000000001"/>
    <n v="0.25"/>
    <n v="0"/>
    <n v="0.13"/>
  </r>
  <r>
    <x v="8"/>
    <x v="9"/>
    <x v="32"/>
    <x v="1"/>
    <x v="4"/>
    <x v="1"/>
    <n v="7.0000000000000007E-2"/>
    <n v="0.12"/>
    <n v="0"/>
    <n v="7.0000000000000007E-2"/>
  </r>
  <r>
    <x v="8"/>
    <x v="9"/>
    <x v="32"/>
    <x v="1"/>
    <x v="0"/>
    <x v="1"/>
    <n v="0.15"/>
    <n v="0.26"/>
    <n v="0"/>
    <n v="0.14000000000000001"/>
  </r>
  <r>
    <x v="8"/>
    <x v="9"/>
    <x v="32"/>
    <x v="0"/>
    <x v="4"/>
    <x v="1"/>
    <n v="0.01"/>
    <n v="0.03"/>
    <n v="0"/>
    <n v="0.01"/>
  </r>
  <r>
    <x v="8"/>
    <x v="9"/>
    <x v="32"/>
    <x v="0"/>
    <x v="0"/>
    <x v="1"/>
    <n v="0.32"/>
    <n v="0.57999999999999996"/>
    <n v="0"/>
    <n v="0.3"/>
  </r>
  <r>
    <x v="8"/>
    <x v="9"/>
    <x v="32"/>
    <x v="4"/>
    <x v="1"/>
    <x v="1"/>
    <n v="0.27"/>
    <n v="0.48"/>
    <n v="0"/>
    <n v="0.25"/>
  </r>
  <r>
    <x v="8"/>
    <x v="9"/>
    <x v="32"/>
    <x v="4"/>
    <x v="4"/>
    <x v="1"/>
    <n v="0.33"/>
    <n v="0.57999999999999996"/>
    <n v="0"/>
    <n v="0.3"/>
  </r>
  <r>
    <x v="8"/>
    <x v="9"/>
    <x v="32"/>
    <x v="4"/>
    <x v="0"/>
    <x v="1"/>
    <n v="0"/>
    <n v="0.01"/>
    <n v="0"/>
    <n v="0"/>
  </r>
  <r>
    <x v="8"/>
    <x v="9"/>
    <x v="32"/>
    <x v="2"/>
    <x v="3"/>
    <x v="3"/>
    <n v="1.39"/>
    <n v="2.4700000000000002"/>
    <n v="0"/>
    <n v="1.39"/>
  </r>
  <r>
    <x v="8"/>
    <x v="9"/>
    <x v="32"/>
    <x v="2"/>
    <x v="3"/>
    <x v="2"/>
    <n v="0.04"/>
    <n v="7.0000000000000007E-2"/>
    <n v="0"/>
    <n v="0.05"/>
  </r>
  <r>
    <x v="8"/>
    <x v="9"/>
    <x v="32"/>
    <x v="4"/>
    <x v="4"/>
    <x v="2"/>
    <n v="0.14000000000000001"/>
    <n v="0.25"/>
    <n v="0.01"/>
    <n v="0.16"/>
  </r>
  <r>
    <x v="8"/>
    <x v="9"/>
    <x v="32"/>
    <x v="3"/>
    <x v="4"/>
    <x v="0"/>
    <n v="4.8499999999999996"/>
    <n v="8.6199999999999992"/>
    <n v="1.03"/>
    <n v="4.49"/>
  </r>
  <r>
    <x v="8"/>
    <x v="9"/>
    <x v="32"/>
    <x v="4"/>
    <x v="2"/>
    <x v="2"/>
    <n v="0.13"/>
    <n v="0.24"/>
    <n v="0"/>
    <n v="0.16"/>
  </r>
  <r>
    <x v="8"/>
    <x v="0"/>
    <x v="33"/>
    <x v="3"/>
    <x v="1"/>
    <x v="0"/>
    <n v="0.03"/>
    <n v="0.03"/>
    <n v="0"/>
    <n v="0.03"/>
  </r>
  <r>
    <x v="8"/>
    <x v="0"/>
    <x v="33"/>
    <x v="4"/>
    <x v="1"/>
    <x v="2"/>
    <n v="0.06"/>
    <n v="0.06"/>
    <n v="0"/>
    <n v="0.06"/>
  </r>
  <r>
    <x v="8"/>
    <x v="0"/>
    <x v="33"/>
    <x v="4"/>
    <x v="2"/>
    <x v="2"/>
    <n v="0.39"/>
    <n v="0.39"/>
    <n v="0.01"/>
    <n v="0.37"/>
  </r>
  <r>
    <x v="8"/>
    <x v="0"/>
    <x v="33"/>
    <x v="1"/>
    <x v="4"/>
    <x v="2"/>
    <n v="0.09"/>
    <n v="0.09"/>
    <n v="0"/>
    <n v="0.09"/>
  </r>
  <r>
    <x v="8"/>
    <x v="0"/>
    <x v="33"/>
    <x v="2"/>
    <x v="3"/>
    <x v="3"/>
    <n v="7.71"/>
    <n v="7.71"/>
    <n v="0"/>
    <n v="7.12"/>
  </r>
  <r>
    <x v="8"/>
    <x v="0"/>
    <x v="33"/>
    <x v="4"/>
    <x v="0"/>
    <x v="1"/>
    <n v="0.36"/>
    <n v="0.36"/>
    <n v="0.02"/>
    <n v="0.35"/>
  </r>
  <r>
    <x v="8"/>
    <x v="0"/>
    <x v="33"/>
    <x v="4"/>
    <x v="4"/>
    <x v="1"/>
    <n v="0.1"/>
    <n v="0.1"/>
    <n v="0.01"/>
    <n v="0.09"/>
  </r>
  <r>
    <x v="8"/>
    <x v="0"/>
    <x v="33"/>
    <x v="0"/>
    <x v="0"/>
    <x v="1"/>
    <n v="1.06"/>
    <n v="1.06"/>
    <n v="0.03"/>
    <n v="1.01"/>
  </r>
  <r>
    <x v="8"/>
    <x v="0"/>
    <x v="33"/>
    <x v="1"/>
    <x v="0"/>
    <x v="1"/>
    <n v="0.05"/>
    <n v="0.05"/>
    <n v="0"/>
    <n v="0.05"/>
  </r>
  <r>
    <x v="8"/>
    <x v="0"/>
    <x v="33"/>
    <x v="1"/>
    <x v="4"/>
    <x v="1"/>
    <n v="0.04"/>
    <n v="0.04"/>
    <n v="0"/>
    <n v="0.04"/>
  </r>
  <r>
    <x v="8"/>
    <x v="0"/>
    <x v="33"/>
    <x v="1"/>
    <x v="1"/>
    <x v="1"/>
    <n v="1.1100000000000001"/>
    <n v="1.1100000000000001"/>
    <n v="0.03"/>
    <n v="1.07"/>
  </r>
  <r>
    <x v="8"/>
    <x v="0"/>
    <x v="33"/>
    <x v="1"/>
    <x v="2"/>
    <x v="1"/>
    <n v="2.8"/>
    <n v="2.8"/>
    <n v="0.01"/>
    <n v="2.67"/>
  </r>
  <r>
    <x v="8"/>
    <x v="0"/>
    <x v="33"/>
    <x v="2"/>
    <x v="3"/>
    <x v="1"/>
    <n v="0.03"/>
    <n v="0.03"/>
    <n v="0"/>
    <n v="0.02"/>
  </r>
  <r>
    <x v="8"/>
    <x v="0"/>
    <x v="33"/>
    <x v="4"/>
    <x v="4"/>
    <x v="2"/>
    <n v="0.12"/>
    <n v="0.12"/>
    <n v="0"/>
    <n v="0.11"/>
  </r>
  <r>
    <x v="8"/>
    <x v="0"/>
    <x v="33"/>
    <x v="3"/>
    <x v="4"/>
    <x v="0"/>
    <n v="1.1499999999999999"/>
    <n v="1.1499999999999999"/>
    <n v="0.48"/>
    <n v="1.1200000000000001"/>
  </r>
  <r>
    <x v="8"/>
    <x v="0"/>
    <x v="33"/>
    <x v="4"/>
    <x v="1"/>
    <x v="1"/>
    <n v="0.03"/>
    <n v="0.03"/>
    <n v="0"/>
    <n v="0.03"/>
  </r>
  <r>
    <x v="8"/>
    <x v="0"/>
    <x v="33"/>
    <x v="4"/>
    <x v="0"/>
    <x v="0"/>
    <n v="0.81"/>
    <n v="0.81"/>
    <n v="0.1"/>
    <n v="0.76"/>
  </r>
  <r>
    <x v="8"/>
    <x v="0"/>
    <x v="33"/>
    <x v="4"/>
    <x v="4"/>
    <x v="0"/>
    <n v="28.3"/>
    <n v="28.3"/>
    <n v="6.54"/>
    <n v="26.77"/>
  </r>
  <r>
    <x v="8"/>
    <x v="0"/>
    <x v="33"/>
    <x v="4"/>
    <x v="1"/>
    <x v="0"/>
    <n v="22.09"/>
    <n v="22.09"/>
    <n v="1.9"/>
    <n v="20.87"/>
  </r>
  <r>
    <x v="8"/>
    <x v="0"/>
    <x v="33"/>
    <x v="0"/>
    <x v="0"/>
    <x v="0"/>
    <n v="3.42"/>
    <n v="3.42"/>
    <n v="2.63"/>
    <n v="3.2"/>
  </r>
  <r>
    <x v="8"/>
    <x v="0"/>
    <x v="33"/>
    <x v="0"/>
    <x v="4"/>
    <x v="0"/>
    <n v="12.76"/>
    <n v="12.76"/>
    <n v="2.62"/>
    <n v="12.22"/>
  </r>
  <r>
    <x v="8"/>
    <x v="0"/>
    <x v="33"/>
    <x v="1"/>
    <x v="0"/>
    <x v="0"/>
    <n v="4.43"/>
    <n v="4.43"/>
    <n v="2.63"/>
    <n v="4.24"/>
  </r>
  <r>
    <x v="8"/>
    <x v="0"/>
    <x v="33"/>
    <x v="1"/>
    <x v="4"/>
    <x v="0"/>
    <n v="108.55"/>
    <n v="108.55"/>
    <n v="32.17"/>
    <n v="103.82"/>
  </r>
  <r>
    <x v="8"/>
    <x v="0"/>
    <x v="33"/>
    <x v="1"/>
    <x v="1"/>
    <x v="0"/>
    <n v="16.16"/>
    <n v="16.16"/>
    <n v="1.56"/>
    <n v="15.41"/>
  </r>
  <r>
    <x v="8"/>
    <x v="0"/>
    <x v="33"/>
    <x v="1"/>
    <x v="2"/>
    <x v="0"/>
    <n v="2.2799999999999998"/>
    <n v="2.2799999999999998"/>
    <n v="0.03"/>
    <n v="2.21"/>
  </r>
  <r>
    <x v="8"/>
    <x v="0"/>
    <x v="33"/>
    <x v="2"/>
    <x v="0"/>
    <x v="0"/>
    <n v="9.1300000000000008"/>
    <n v="9.1300000000000008"/>
    <n v="5.81"/>
    <n v="8.7100000000000009"/>
  </r>
  <r>
    <x v="8"/>
    <x v="0"/>
    <x v="33"/>
    <x v="2"/>
    <x v="4"/>
    <x v="0"/>
    <n v="8.51"/>
    <n v="8.51"/>
    <n v="2.13"/>
    <n v="8.2200000000000006"/>
  </r>
  <r>
    <x v="8"/>
    <x v="0"/>
    <x v="33"/>
    <x v="3"/>
    <x v="0"/>
    <x v="0"/>
    <n v="0.31"/>
    <n v="0.31"/>
    <n v="0.26"/>
    <n v="0.31"/>
  </r>
  <r>
    <x v="8"/>
    <x v="0"/>
    <x v="33"/>
    <x v="0"/>
    <x v="4"/>
    <x v="1"/>
    <n v="0.2"/>
    <n v="0.2"/>
    <n v="0.02"/>
    <n v="0.19"/>
  </r>
  <r>
    <x v="8"/>
    <x v="7"/>
    <x v="34"/>
    <x v="0"/>
    <x v="4"/>
    <x v="1"/>
    <n v="0.32"/>
    <n v="0.34"/>
    <n v="0.04"/>
    <n v="0.3"/>
  </r>
  <r>
    <x v="8"/>
    <x v="7"/>
    <x v="34"/>
    <x v="4"/>
    <x v="2"/>
    <x v="2"/>
    <n v="1.48"/>
    <n v="1.54"/>
    <n v="0.01"/>
    <n v="1.39"/>
  </r>
  <r>
    <x v="8"/>
    <x v="7"/>
    <x v="34"/>
    <x v="1"/>
    <x v="4"/>
    <x v="2"/>
    <n v="0.11"/>
    <n v="0.12"/>
    <n v="0.03"/>
    <n v="0.11"/>
  </r>
  <r>
    <x v="8"/>
    <x v="7"/>
    <x v="34"/>
    <x v="2"/>
    <x v="3"/>
    <x v="2"/>
    <n v="12.21"/>
    <n v="12.75"/>
    <n v="0.01"/>
    <n v="11.84"/>
  </r>
  <r>
    <x v="8"/>
    <x v="7"/>
    <x v="34"/>
    <x v="2"/>
    <x v="3"/>
    <x v="3"/>
    <n v="10.16"/>
    <n v="10.61"/>
    <n v="0.01"/>
    <n v="10.15"/>
  </r>
  <r>
    <x v="8"/>
    <x v="7"/>
    <x v="34"/>
    <x v="4"/>
    <x v="0"/>
    <x v="1"/>
    <n v="0.03"/>
    <n v="0.03"/>
    <n v="0"/>
    <n v="0.03"/>
  </r>
  <r>
    <x v="8"/>
    <x v="7"/>
    <x v="34"/>
    <x v="4"/>
    <x v="4"/>
    <x v="1"/>
    <n v="1.76"/>
    <n v="1.84"/>
    <n v="0.04"/>
    <n v="1.62"/>
  </r>
  <r>
    <x v="8"/>
    <x v="7"/>
    <x v="34"/>
    <x v="4"/>
    <x v="1"/>
    <x v="2"/>
    <n v="1.88"/>
    <n v="1.97"/>
    <n v="0.03"/>
    <n v="1.77"/>
  </r>
  <r>
    <x v="8"/>
    <x v="7"/>
    <x v="34"/>
    <x v="0"/>
    <x v="0"/>
    <x v="1"/>
    <n v="2.02"/>
    <n v="2.11"/>
    <n v="0.06"/>
    <n v="1.85"/>
  </r>
  <r>
    <x v="8"/>
    <x v="7"/>
    <x v="34"/>
    <x v="4"/>
    <x v="4"/>
    <x v="2"/>
    <n v="1.62"/>
    <n v="1.69"/>
    <n v="0.05"/>
    <n v="1.55"/>
  </r>
  <r>
    <x v="8"/>
    <x v="7"/>
    <x v="34"/>
    <x v="1"/>
    <x v="0"/>
    <x v="1"/>
    <n v="0.85"/>
    <n v="0.89"/>
    <n v="0.04"/>
    <n v="0.82"/>
  </r>
  <r>
    <x v="8"/>
    <x v="7"/>
    <x v="34"/>
    <x v="1"/>
    <x v="4"/>
    <x v="1"/>
    <n v="0.26"/>
    <n v="0.27"/>
    <n v="0.01"/>
    <n v="0.25"/>
  </r>
  <r>
    <x v="8"/>
    <x v="7"/>
    <x v="34"/>
    <x v="1"/>
    <x v="1"/>
    <x v="1"/>
    <n v="10.95"/>
    <n v="11.44"/>
    <n v="0.12"/>
    <n v="10.26"/>
  </r>
  <r>
    <x v="8"/>
    <x v="7"/>
    <x v="34"/>
    <x v="1"/>
    <x v="2"/>
    <x v="1"/>
    <n v="13.36"/>
    <n v="13.95"/>
    <n v="0.06"/>
    <n v="12.42"/>
  </r>
  <r>
    <x v="8"/>
    <x v="7"/>
    <x v="34"/>
    <x v="2"/>
    <x v="3"/>
    <x v="1"/>
    <n v="1.27"/>
    <n v="1.33"/>
    <n v="0.01"/>
    <n v="1.17"/>
  </r>
  <r>
    <x v="8"/>
    <x v="7"/>
    <x v="34"/>
    <x v="3"/>
    <x v="0"/>
    <x v="0"/>
    <n v="4.62"/>
    <n v="4.82"/>
    <n v="0.85"/>
    <n v="4.5599999999999996"/>
  </r>
  <r>
    <x v="8"/>
    <x v="7"/>
    <x v="34"/>
    <x v="4"/>
    <x v="1"/>
    <x v="1"/>
    <n v="2.25"/>
    <n v="2.35"/>
    <n v="0.02"/>
    <n v="2.0699999999999998"/>
  </r>
  <r>
    <x v="8"/>
    <x v="7"/>
    <x v="34"/>
    <x v="0"/>
    <x v="0"/>
    <x v="0"/>
    <n v="12.41"/>
    <n v="12.96"/>
    <n v="5.04"/>
    <n v="11.3"/>
  </r>
  <r>
    <x v="8"/>
    <x v="7"/>
    <x v="34"/>
    <x v="2"/>
    <x v="3"/>
    <x v="0"/>
    <n v="2.4500000000000002"/>
    <n v="2.56"/>
    <n v="0.01"/>
    <n v="2.4500000000000002"/>
  </r>
  <r>
    <x v="8"/>
    <x v="7"/>
    <x v="34"/>
    <x v="2"/>
    <x v="4"/>
    <x v="0"/>
    <n v="13.1"/>
    <n v="13.68"/>
    <n v="2.5299999999999998"/>
    <n v="12.63"/>
  </r>
  <r>
    <x v="8"/>
    <x v="7"/>
    <x v="34"/>
    <x v="2"/>
    <x v="0"/>
    <x v="0"/>
    <n v="8.91"/>
    <n v="9.3000000000000007"/>
    <n v="5.78"/>
    <n v="8.58"/>
  </r>
  <r>
    <x v="8"/>
    <x v="7"/>
    <x v="34"/>
    <x v="1"/>
    <x v="2"/>
    <x v="0"/>
    <n v="3.82"/>
    <n v="3.99"/>
    <n v="0.04"/>
    <n v="3.5"/>
  </r>
  <r>
    <x v="8"/>
    <x v="7"/>
    <x v="34"/>
    <x v="1"/>
    <x v="1"/>
    <x v="0"/>
    <n v="47.89"/>
    <n v="50.01"/>
    <n v="2.2200000000000002"/>
    <n v="44.45"/>
  </r>
  <r>
    <x v="8"/>
    <x v="7"/>
    <x v="34"/>
    <x v="1"/>
    <x v="4"/>
    <x v="0"/>
    <n v="230.49"/>
    <n v="240.7"/>
    <n v="39.76"/>
    <n v="214.92"/>
  </r>
  <r>
    <x v="8"/>
    <x v="7"/>
    <x v="34"/>
    <x v="0"/>
    <x v="4"/>
    <x v="0"/>
    <n v="50.26"/>
    <n v="52.49"/>
    <n v="11.42"/>
    <n v="46.96"/>
  </r>
  <r>
    <x v="8"/>
    <x v="7"/>
    <x v="34"/>
    <x v="4"/>
    <x v="1"/>
    <x v="0"/>
    <n v="20.14"/>
    <n v="21.03"/>
    <n v="1.05"/>
    <n v="18.89"/>
  </r>
  <r>
    <x v="8"/>
    <x v="7"/>
    <x v="34"/>
    <x v="4"/>
    <x v="4"/>
    <x v="0"/>
    <n v="91.37"/>
    <n v="95.42"/>
    <n v="14.13"/>
    <n v="85.54"/>
  </r>
  <r>
    <x v="8"/>
    <x v="7"/>
    <x v="34"/>
    <x v="3"/>
    <x v="1"/>
    <x v="0"/>
    <n v="0.27"/>
    <n v="0.28000000000000003"/>
    <n v="0.02"/>
    <n v="0.27"/>
  </r>
  <r>
    <x v="8"/>
    <x v="7"/>
    <x v="34"/>
    <x v="3"/>
    <x v="4"/>
    <x v="0"/>
    <n v="15.04"/>
    <n v="15.71"/>
    <n v="3.39"/>
    <n v="14.22"/>
  </r>
  <r>
    <x v="8"/>
    <x v="7"/>
    <x v="34"/>
    <x v="1"/>
    <x v="0"/>
    <x v="0"/>
    <n v="11.65"/>
    <n v="12.16"/>
    <n v="7.18"/>
    <n v="11.05"/>
  </r>
  <r>
    <x v="8"/>
    <x v="10"/>
    <x v="35"/>
    <x v="4"/>
    <x v="1"/>
    <x v="2"/>
    <n v="0.49"/>
    <n v="0.51"/>
    <n v="0.01"/>
    <n v="0.46"/>
  </r>
  <r>
    <x v="8"/>
    <x v="10"/>
    <x v="35"/>
    <x v="1"/>
    <x v="1"/>
    <x v="0"/>
    <n v="15.42"/>
    <n v="16.100000000000001"/>
    <n v="0.71"/>
    <n v="14.31"/>
  </r>
  <r>
    <x v="8"/>
    <x v="10"/>
    <x v="35"/>
    <x v="2"/>
    <x v="4"/>
    <x v="0"/>
    <n v="4.55"/>
    <n v="4.75"/>
    <n v="0.88"/>
    <n v="4.38"/>
  </r>
  <r>
    <x v="8"/>
    <x v="10"/>
    <x v="35"/>
    <x v="2"/>
    <x v="0"/>
    <x v="0"/>
    <n v="3.09"/>
    <n v="3.23"/>
    <n v="2"/>
    <n v="2.98"/>
  </r>
  <r>
    <x v="8"/>
    <x v="10"/>
    <x v="35"/>
    <x v="4"/>
    <x v="2"/>
    <x v="2"/>
    <n v="0.39"/>
    <n v="0.41"/>
    <n v="0"/>
    <n v="0.36"/>
  </r>
  <r>
    <x v="8"/>
    <x v="10"/>
    <x v="35"/>
    <x v="1"/>
    <x v="2"/>
    <x v="0"/>
    <n v="1.23"/>
    <n v="1.29"/>
    <n v="0.01"/>
    <n v="1.1299999999999999"/>
  </r>
  <r>
    <x v="8"/>
    <x v="10"/>
    <x v="35"/>
    <x v="2"/>
    <x v="3"/>
    <x v="0"/>
    <n v="2.77"/>
    <n v="2.89"/>
    <n v="0.02"/>
    <n v="2.77"/>
  </r>
  <r>
    <x v="8"/>
    <x v="10"/>
    <x v="35"/>
    <x v="2"/>
    <x v="3"/>
    <x v="1"/>
    <n v="0.32"/>
    <n v="0.33"/>
    <n v="0"/>
    <n v="0.28999999999999998"/>
  </r>
  <r>
    <x v="8"/>
    <x v="10"/>
    <x v="35"/>
    <x v="1"/>
    <x v="4"/>
    <x v="0"/>
    <n v="74.14"/>
    <n v="77.430000000000007"/>
    <n v="12.79"/>
    <n v="69.14"/>
  </r>
  <r>
    <x v="8"/>
    <x v="10"/>
    <x v="35"/>
    <x v="0"/>
    <x v="4"/>
    <x v="0"/>
    <n v="16.190000000000001"/>
    <n v="16.91"/>
    <n v="3.68"/>
    <n v="15.13"/>
  </r>
  <r>
    <x v="8"/>
    <x v="10"/>
    <x v="35"/>
    <x v="0"/>
    <x v="0"/>
    <x v="0"/>
    <n v="4"/>
    <n v="4.18"/>
    <n v="1.62"/>
    <n v="3.64"/>
  </r>
  <r>
    <x v="8"/>
    <x v="10"/>
    <x v="35"/>
    <x v="4"/>
    <x v="1"/>
    <x v="0"/>
    <n v="6.48"/>
    <n v="6.77"/>
    <n v="0.34"/>
    <n v="6.08"/>
  </r>
  <r>
    <x v="8"/>
    <x v="10"/>
    <x v="35"/>
    <x v="4"/>
    <x v="4"/>
    <x v="0"/>
    <n v="29.39"/>
    <n v="30.69"/>
    <n v="4.55"/>
    <n v="27.51"/>
  </r>
  <r>
    <x v="8"/>
    <x v="10"/>
    <x v="35"/>
    <x v="3"/>
    <x v="1"/>
    <x v="0"/>
    <n v="0.09"/>
    <n v="0.09"/>
    <n v="0.01"/>
    <n v="0.09"/>
  </r>
  <r>
    <x v="8"/>
    <x v="10"/>
    <x v="35"/>
    <x v="3"/>
    <x v="4"/>
    <x v="0"/>
    <n v="4.8499999999999996"/>
    <n v="5.07"/>
    <n v="1.0900000000000001"/>
    <n v="4.59"/>
  </r>
  <r>
    <x v="8"/>
    <x v="10"/>
    <x v="35"/>
    <x v="1"/>
    <x v="4"/>
    <x v="2"/>
    <n v="0.03"/>
    <n v="0.03"/>
    <n v="0.01"/>
    <n v="0.03"/>
  </r>
  <r>
    <x v="8"/>
    <x v="10"/>
    <x v="35"/>
    <x v="3"/>
    <x v="0"/>
    <x v="0"/>
    <n v="1.49"/>
    <n v="1.56"/>
    <n v="0.27"/>
    <n v="1.47"/>
  </r>
  <r>
    <x v="8"/>
    <x v="10"/>
    <x v="35"/>
    <x v="1"/>
    <x v="0"/>
    <x v="0"/>
    <n v="3.75"/>
    <n v="3.91"/>
    <n v="2.31"/>
    <n v="3.56"/>
  </r>
  <r>
    <x v="8"/>
    <x v="10"/>
    <x v="35"/>
    <x v="1"/>
    <x v="2"/>
    <x v="1"/>
    <n v="3.31"/>
    <n v="3.46"/>
    <n v="0.02"/>
    <n v="3.08"/>
  </r>
  <r>
    <x v="8"/>
    <x v="10"/>
    <x v="35"/>
    <x v="1"/>
    <x v="1"/>
    <x v="1"/>
    <n v="2.71"/>
    <n v="2.83"/>
    <n v="0.03"/>
    <n v="2.54"/>
  </r>
  <r>
    <x v="8"/>
    <x v="10"/>
    <x v="35"/>
    <x v="1"/>
    <x v="4"/>
    <x v="1"/>
    <n v="0.06"/>
    <n v="7.0000000000000007E-2"/>
    <n v="0"/>
    <n v="0.06"/>
  </r>
  <r>
    <x v="8"/>
    <x v="10"/>
    <x v="35"/>
    <x v="2"/>
    <x v="3"/>
    <x v="3"/>
    <n v="4.9000000000000004"/>
    <n v="5.12"/>
    <n v="0.01"/>
    <n v="4.9000000000000004"/>
  </r>
  <r>
    <x v="8"/>
    <x v="10"/>
    <x v="35"/>
    <x v="1"/>
    <x v="0"/>
    <x v="1"/>
    <n v="0.21"/>
    <n v="0.22"/>
    <n v="0.01"/>
    <n v="0.2"/>
  </r>
  <r>
    <x v="8"/>
    <x v="10"/>
    <x v="35"/>
    <x v="2"/>
    <x v="3"/>
    <x v="2"/>
    <n v="3.23"/>
    <n v="3.37"/>
    <n v="0"/>
    <n v="3.13"/>
  </r>
  <r>
    <x v="8"/>
    <x v="10"/>
    <x v="35"/>
    <x v="4"/>
    <x v="4"/>
    <x v="2"/>
    <n v="0.42"/>
    <n v="0.44"/>
    <n v="0.01"/>
    <n v="0.4"/>
  </r>
  <r>
    <x v="8"/>
    <x v="10"/>
    <x v="35"/>
    <x v="4"/>
    <x v="0"/>
    <x v="1"/>
    <n v="0.01"/>
    <n v="0.01"/>
    <n v="0"/>
    <n v="0.01"/>
  </r>
  <r>
    <x v="8"/>
    <x v="10"/>
    <x v="35"/>
    <x v="4"/>
    <x v="4"/>
    <x v="1"/>
    <n v="0.44"/>
    <n v="0.46"/>
    <n v="0.01"/>
    <n v="0.4"/>
  </r>
  <r>
    <x v="8"/>
    <x v="10"/>
    <x v="35"/>
    <x v="4"/>
    <x v="1"/>
    <x v="1"/>
    <n v="0.56000000000000005"/>
    <n v="0.57999999999999996"/>
    <n v="0"/>
    <n v="0.51"/>
  </r>
  <r>
    <x v="8"/>
    <x v="10"/>
    <x v="35"/>
    <x v="0"/>
    <x v="0"/>
    <x v="1"/>
    <n v="0.5"/>
    <n v="0.52"/>
    <n v="0.01"/>
    <n v="0.46"/>
  </r>
  <r>
    <x v="8"/>
    <x v="10"/>
    <x v="35"/>
    <x v="0"/>
    <x v="4"/>
    <x v="1"/>
    <n v="0.08"/>
    <n v="0.08"/>
    <n v="0.01"/>
    <n v="7.0000000000000007E-2"/>
  </r>
  <r>
    <x v="8"/>
    <x v="2"/>
    <x v="36"/>
    <x v="3"/>
    <x v="0"/>
    <x v="0"/>
    <n v="0.68"/>
    <n v="0.74"/>
    <n v="0.18"/>
    <n v="0.67"/>
  </r>
  <r>
    <x v="8"/>
    <x v="2"/>
    <x v="36"/>
    <x v="0"/>
    <x v="4"/>
    <x v="0"/>
    <n v="2.71"/>
    <n v="2.95"/>
    <n v="0.56000000000000005"/>
    <n v="2.54"/>
  </r>
  <r>
    <x v="8"/>
    <x v="2"/>
    <x v="36"/>
    <x v="3"/>
    <x v="1"/>
    <x v="0"/>
    <n v="0.13"/>
    <n v="0.15"/>
    <n v="0.01"/>
    <n v="0.13"/>
  </r>
  <r>
    <x v="8"/>
    <x v="2"/>
    <x v="36"/>
    <x v="4"/>
    <x v="4"/>
    <x v="0"/>
    <n v="11.09"/>
    <n v="12.08"/>
    <n v="1.02"/>
    <n v="10.46"/>
  </r>
  <r>
    <x v="8"/>
    <x v="2"/>
    <x v="36"/>
    <x v="4"/>
    <x v="1"/>
    <x v="0"/>
    <n v="1.31"/>
    <n v="1.43"/>
    <n v="0.06"/>
    <n v="1.24"/>
  </r>
  <r>
    <x v="8"/>
    <x v="2"/>
    <x v="36"/>
    <x v="0"/>
    <x v="0"/>
    <x v="0"/>
    <n v="0.82"/>
    <n v="0.89"/>
    <n v="0.33"/>
    <n v="0.76"/>
  </r>
  <r>
    <x v="8"/>
    <x v="2"/>
    <x v="36"/>
    <x v="3"/>
    <x v="4"/>
    <x v="0"/>
    <n v="2.59"/>
    <n v="2.82"/>
    <n v="0.49"/>
    <n v="2.4700000000000002"/>
  </r>
  <r>
    <x v="8"/>
    <x v="2"/>
    <x v="36"/>
    <x v="1"/>
    <x v="0"/>
    <x v="0"/>
    <n v="1.95"/>
    <n v="2.12"/>
    <n v="0.79"/>
    <n v="1.84"/>
  </r>
  <r>
    <x v="8"/>
    <x v="2"/>
    <x v="36"/>
    <x v="1"/>
    <x v="4"/>
    <x v="0"/>
    <n v="26.52"/>
    <n v="28.87"/>
    <n v="3.67"/>
    <n v="24.8"/>
  </r>
  <r>
    <x v="8"/>
    <x v="2"/>
    <x v="36"/>
    <x v="1"/>
    <x v="0"/>
    <x v="1"/>
    <n v="0.47"/>
    <n v="0.51"/>
    <n v="0.01"/>
    <n v="0.46"/>
  </r>
  <r>
    <x v="8"/>
    <x v="2"/>
    <x v="36"/>
    <x v="1"/>
    <x v="2"/>
    <x v="0"/>
    <n v="0.82"/>
    <n v="0.89"/>
    <n v="0.01"/>
    <n v="0.75"/>
  </r>
  <r>
    <x v="8"/>
    <x v="2"/>
    <x v="36"/>
    <x v="2"/>
    <x v="0"/>
    <x v="0"/>
    <n v="1.59"/>
    <n v="1.74"/>
    <n v="0.6"/>
    <n v="1.51"/>
  </r>
  <r>
    <x v="8"/>
    <x v="2"/>
    <x v="36"/>
    <x v="2"/>
    <x v="4"/>
    <x v="0"/>
    <n v="1.34"/>
    <n v="1.45"/>
    <n v="0.15"/>
    <n v="1.26"/>
  </r>
  <r>
    <x v="8"/>
    <x v="2"/>
    <x v="36"/>
    <x v="2"/>
    <x v="3"/>
    <x v="1"/>
    <n v="0.34"/>
    <n v="0.37"/>
    <n v="0"/>
    <n v="0.3"/>
  </r>
  <r>
    <x v="8"/>
    <x v="2"/>
    <x v="36"/>
    <x v="1"/>
    <x v="1"/>
    <x v="0"/>
    <n v="4.33"/>
    <n v="4.71"/>
    <n v="0.21"/>
    <n v="4.0599999999999996"/>
  </r>
  <r>
    <x v="8"/>
    <x v="2"/>
    <x v="36"/>
    <x v="4"/>
    <x v="2"/>
    <x v="2"/>
    <n v="0.12"/>
    <n v="0.14000000000000001"/>
    <n v="0"/>
    <n v="0.11"/>
  </r>
  <r>
    <x v="8"/>
    <x v="2"/>
    <x v="36"/>
    <x v="1"/>
    <x v="1"/>
    <x v="1"/>
    <n v="2.1"/>
    <n v="2.29"/>
    <n v="0.01"/>
    <n v="1.96"/>
  </r>
  <r>
    <x v="8"/>
    <x v="2"/>
    <x v="36"/>
    <x v="1"/>
    <x v="2"/>
    <x v="1"/>
    <n v="2.72"/>
    <n v="2.96"/>
    <n v="0"/>
    <n v="2.5"/>
  </r>
  <r>
    <x v="8"/>
    <x v="2"/>
    <x v="36"/>
    <x v="4"/>
    <x v="1"/>
    <x v="2"/>
    <n v="0.11"/>
    <n v="0.12"/>
    <n v="0"/>
    <n v="0.09"/>
  </r>
  <r>
    <x v="8"/>
    <x v="2"/>
    <x v="36"/>
    <x v="1"/>
    <x v="4"/>
    <x v="2"/>
    <n v="0.1"/>
    <n v="0.11"/>
    <n v="0"/>
    <n v="0.09"/>
  </r>
  <r>
    <x v="8"/>
    <x v="2"/>
    <x v="36"/>
    <x v="1"/>
    <x v="1"/>
    <x v="2"/>
    <n v="0.12"/>
    <n v="0.13"/>
    <n v="0"/>
    <n v="0.11"/>
  </r>
  <r>
    <x v="8"/>
    <x v="2"/>
    <x v="36"/>
    <x v="2"/>
    <x v="3"/>
    <x v="2"/>
    <n v="0.31"/>
    <n v="0.34"/>
    <n v="0"/>
    <n v="0.28999999999999998"/>
  </r>
  <r>
    <x v="8"/>
    <x v="2"/>
    <x v="36"/>
    <x v="2"/>
    <x v="3"/>
    <x v="3"/>
    <n v="3.5"/>
    <n v="3.81"/>
    <n v="0"/>
    <n v="3.5"/>
  </r>
  <r>
    <x v="8"/>
    <x v="2"/>
    <x v="36"/>
    <x v="0"/>
    <x v="4"/>
    <x v="1"/>
    <n v="7.0000000000000007E-2"/>
    <n v="0.08"/>
    <n v="0.01"/>
    <n v="0.06"/>
  </r>
  <r>
    <x v="8"/>
    <x v="2"/>
    <x v="36"/>
    <x v="4"/>
    <x v="4"/>
    <x v="2"/>
    <n v="0.19"/>
    <n v="0.21"/>
    <n v="0"/>
    <n v="0.17"/>
  </r>
  <r>
    <x v="8"/>
    <x v="2"/>
    <x v="36"/>
    <x v="4"/>
    <x v="0"/>
    <x v="1"/>
    <n v="0.04"/>
    <n v="0.05"/>
    <n v="0"/>
    <n v="0.04"/>
  </r>
  <r>
    <x v="8"/>
    <x v="2"/>
    <x v="36"/>
    <x v="1"/>
    <x v="4"/>
    <x v="1"/>
    <n v="0.13"/>
    <n v="0.14000000000000001"/>
    <n v="0"/>
    <n v="0.12"/>
  </r>
  <r>
    <x v="8"/>
    <x v="2"/>
    <x v="36"/>
    <x v="2"/>
    <x v="3"/>
    <x v="0"/>
    <n v="6.14"/>
    <n v="6.68"/>
    <n v="0.05"/>
    <n v="6.14"/>
  </r>
  <r>
    <x v="8"/>
    <x v="2"/>
    <x v="36"/>
    <x v="0"/>
    <x v="0"/>
    <x v="1"/>
    <n v="0.51"/>
    <n v="0.55000000000000004"/>
    <n v="0.01"/>
    <n v="0.45"/>
  </r>
  <r>
    <x v="8"/>
    <x v="2"/>
    <x v="36"/>
    <x v="4"/>
    <x v="1"/>
    <x v="1"/>
    <n v="0.16"/>
    <n v="0.18"/>
    <n v="0"/>
    <n v="0.15"/>
  </r>
  <r>
    <x v="8"/>
    <x v="2"/>
    <x v="36"/>
    <x v="4"/>
    <x v="4"/>
    <x v="1"/>
    <n v="0.34"/>
    <n v="0.37"/>
    <n v="0"/>
    <n v="0.3"/>
  </r>
  <r>
    <x v="8"/>
    <x v="9"/>
    <x v="37"/>
    <x v="2"/>
    <x v="3"/>
    <x v="2"/>
    <n v="1.61"/>
    <n v="2.86"/>
    <n v="0"/>
    <n v="1.18"/>
  </r>
  <r>
    <x v="8"/>
    <x v="9"/>
    <x v="37"/>
    <x v="2"/>
    <x v="3"/>
    <x v="3"/>
    <n v="4.68"/>
    <n v="8.32"/>
    <n v="0"/>
    <n v="4.68"/>
  </r>
  <r>
    <x v="8"/>
    <x v="9"/>
    <x v="37"/>
    <x v="4"/>
    <x v="0"/>
    <x v="1"/>
    <n v="0.09"/>
    <n v="0.15"/>
    <n v="0.01"/>
    <n v="0.08"/>
  </r>
  <r>
    <x v="8"/>
    <x v="9"/>
    <x v="37"/>
    <x v="4"/>
    <x v="4"/>
    <x v="1"/>
    <n v="8.33"/>
    <n v="14.81"/>
    <n v="0.1"/>
    <n v="7.69"/>
  </r>
  <r>
    <x v="8"/>
    <x v="9"/>
    <x v="37"/>
    <x v="4"/>
    <x v="1"/>
    <x v="1"/>
    <n v="5.5"/>
    <n v="9.77"/>
    <n v="0.03"/>
    <n v="5.07"/>
  </r>
  <r>
    <x v="8"/>
    <x v="9"/>
    <x v="37"/>
    <x v="4"/>
    <x v="4"/>
    <x v="2"/>
    <n v="0.03"/>
    <n v="0.06"/>
    <n v="0"/>
    <n v="0.02"/>
  </r>
  <r>
    <x v="8"/>
    <x v="9"/>
    <x v="37"/>
    <x v="1"/>
    <x v="4"/>
    <x v="1"/>
    <n v="1.21"/>
    <n v="2.14"/>
    <n v="0.02"/>
    <n v="1.2"/>
  </r>
  <r>
    <x v="8"/>
    <x v="9"/>
    <x v="37"/>
    <x v="1"/>
    <x v="1"/>
    <x v="1"/>
    <n v="9.2899999999999991"/>
    <n v="16.52"/>
    <n v="7.0000000000000007E-2"/>
    <n v="8.59"/>
  </r>
  <r>
    <x v="8"/>
    <x v="9"/>
    <x v="37"/>
    <x v="1"/>
    <x v="2"/>
    <x v="1"/>
    <n v="5.51"/>
    <n v="9.7899999999999991"/>
    <n v="0.02"/>
    <n v="5.09"/>
  </r>
  <r>
    <x v="8"/>
    <x v="9"/>
    <x v="37"/>
    <x v="2"/>
    <x v="3"/>
    <x v="1"/>
    <n v="0.74"/>
    <n v="1.31"/>
    <n v="0.01"/>
    <n v="0.68"/>
  </r>
  <r>
    <x v="8"/>
    <x v="9"/>
    <x v="37"/>
    <x v="0"/>
    <x v="0"/>
    <x v="1"/>
    <n v="8.9600000000000009"/>
    <n v="15.92"/>
    <n v="0.14000000000000001"/>
    <n v="8.23"/>
  </r>
  <r>
    <x v="8"/>
    <x v="9"/>
    <x v="37"/>
    <x v="0"/>
    <x v="4"/>
    <x v="1"/>
    <n v="0.86"/>
    <n v="1.52"/>
    <n v="0.1"/>
    <n v="0.79"/>
  </r>
  <r>
    <x v="8"/>
    <x v="9"/>
    <x v="37"/>
    <x v="1"/>
    <x v="0"/>
    <x v="1"/>
    <n v="0.55000000000000004"/>
    <n v="0.97"/>
    <n v="0.02"/>
    <n v="0.51"/>
  </r>
  <r>
    <x v="8"/>
    <x v="9"/>
    <x v="37"/>
    <x v="1"/>
    <x v="2"/>
    <x v="0"/>
    <n v="5.4"/>
    <n v="9.6"/>
    <n v="7.0000000000000007E-2"/>
    <n v="4.96"/>
  </r>
  <r>
    <x v="8"/>
    <x v="9"/>
    <x v="37"/>
    <x v="1"/>
    <x v="4"/>
    <x v="2"/>
    <n v="0.02"/>
    <n v="0.03"/>
    <n v="0"/>
    <n v="0.01"/>
  </r>
  <r>
    <x v="8"/>
    <x v="9"/>
    <x v="37"/>
    <x v="2"/>
    <x v="4"/>
    <x v="0"/>
    <n v="15.65"/>
    <n v="27.82"/>
    <n v="2.86"/>
    <n v="14.9"/>
  </r>
  <r>
    <x v="8"/>
    <x v="9"/>
    <x v="37"/>
    <x v="3"/>
    <x v="4"/>
    <x v="0"/>
    <n v="13.91"/>
    <n v="24.73"/>
    <n v="2.89"/>
    <n v="13.34"/>
  </r>
  <r>
    <x v="8"/>
    <x v="9"/>
    <x v="37"/>
    <x v="2"/>
    <x v="0"/>
    <x v="0"/>
    <n v="14.91"/>
    <n v="26.5"/>
    <n v="10.78"/>
    <n v="14.24"/>
  </r>
  <r>
    <x v="8"/>
    <x v="9"/>
    <x v="37"/>
    <x v="3"/>
    <x v="1"/>
    <x v="0"/>
    <n v="0.02"/>
    <n v="0.04"/>
    <n v="0"/>
    <n v="0.02"/>
  </r>
  <r>
    <x v="8"/>
    <x v="9"/>
    <x v="37"/>
    <x v="4"/>
    <x v="4"/>
    <x v="0"/>
    <n v="188.22"/>
    <n v="334.54"/>
    <n v="20.72"/>
    <n v="177.31"/>
  </r>
  <r>
    <x v="8"/>
    <x v="9"/>
    <x v="37"/>
    <x v="4"/>
    <x v="1"/>
    <x v="0"/>
    <n v="15.99"/>
    <n v="28.42"/>
    <n v="0.95"/>
    <n v="15.16"/>
  </r>
  <r>
    <x v="8"/>
    <x v="9"/>
    <x v="37"/>
    <x v="0"/>
    <x v="0"/>
    <x v="0"/>
    <n v="7.95"/>
    <n v="14.13"/>
    <n v="4.3600000000000003"/>
    <n v="7.36"/>
  </r>
  <r>
    <x v="8"/>
    <x v="9"/>
    <x v="37"/>
    <x v="0"/>
    <x v="4"/>
    <x v="0"/>
    <n v="55.44"/>
    <n v="98.53"/>
    <n v="14.97"/>
    <n v="51.71"/>
  </r>
  <r>
    <x v="8"/>
    <x v="9"/>
    <x v="37"/>
    <x v="1"/>
    <x v="0"/>
    <x v="0"/>
    <n v="43.57"/>
    <n v="77.44"/>
    <n v="15.68"/>
    <n v="43.63"/>
  </r>
  <r>
    <x v="8"/>
    <x v="9"/>
    <x v="37"/>
    <x v="1"/>
    <x v="4"/>
    <x v="0"/>
    <n v="271.49"/>
    <n v="482.53"/>
    <n v="49.27"/>
    <n v="259.11"/>
  </r>
  <r>
    <x v="8"/>
    <x v="9"/>
    <x v="37"/>
    <x v="1"/>
    <x v="1"/>
    <x v="0"/>
    <n v="38.15"/>
    <n v="67.81"/>
    <n v="2.04"/>
    <n v="35.97"/>
  </r>
  <r>
    <x v="8"/>
    <x v="9"/>
    <x v="37"/>
    <x v="2"/>
    <x v="3"/>
    <x v="0"/>
    <n v="0.59"/>
    <n v="1.04"/>
    <n v="0.01"/>
    <n v="0.59"/>
  </r>
  <r>
    <x v="8"/>
    <x v="7"/>
    <x v="38"/>
    <x v="0"/>
    <x v="0"/>
    <x v="0"/>
    <n v="1.64"/>
    <n v="1.64"/>
    <n v="0.7"/>
    <n v="1.49"/>
  </r>
  <r>
    <x v="8"/>
    <x v="7"/>
    <x v="38"/>
    <x v="0"/>
    <x v="4"/>
    <x v="0"/>
    <n v="6.64"/>
    <n v="6.64"/>
    <n v="1.58"/>
    <n v="6.2"/>
  </r>
  <r>
    <x v="8"/>
    <x v="7"/>
    <x v="38"/>
    <x v="1"/>
    <x v="0"/>
    <x v="0"/>
    <n v="1.55"/>
    <n v="1.55"/>
    <n v="1.01"/>
    <n v="1.47"/>
  </r>
  <r>
    <x v="8"/>
    <x v="7"/>
    <x v="38"/>
    <x v="1"/>
    <x v="4"/>
    <x v="0"/>
    <n v="30.71"/>
    <n v="30.71"/>
    <n v="5.57"/>
    <n v="28.64"/>
  </r>
  <r>
    <x v="8"/>
    <x v="7"/>
    <x v="38"/>
    <x v="1"/>
    <x v="1"/>
    <x v="0"/>
    <n v="6.43"/>
    <n v="6.43"/>
    <n v="0.31"/>
    <n v="5.97"/>
  </r>
  <r>
    <x v="8"/>
    <x v="7"/>
    <x v="38"/>
    <x v="2"/>
    <x v="0"/>
    <x v="0"/>
    <n v="1.42"/>
    <n v="1.42"/>
    <n v="0.97"/>
    <n v="1.37"/>
  </r>
  <r>
    <x v="8"/>
    <x v="7"/>
    <x v="38"/>
    <x v="2"/>
    <x v="4"/>
    <x v="0"/>
    <n v="2.1"/>
    <n v="2.1"/>
    <n v="0.43"/>
    <n v="2.02"/>
  </r>
  <r>
    <x v="8"/>
    <x v="7"/>
    <x v="38"/>
    <x v="2"/>
    <x v="3"/>
    <x v="0"/>
    <n v="2.5099999999999998"/>
    <n v="2.5099999999999998"/>
    <n v="0.02"/>
    <n v="2.5099999999999998"/>
  </r>
  <r>
    <x v="8"/>
    <x v="7"/>
    <x v="38"/>
    <x v="3"/>
    <x v="0"/>
    <x v="0"/>
    <n v="0.63"/>
    <n v="0.63"/>
    <n v="0.12"/>
    <n v="0.62"/>
  </r>
  <r>
    <x v="8"/>
    <x v="7"/>
    <x v="38"/>
    <x v="1"/>
    <x v="2"/>
    <x v="0"/>
    <n v="0.51"/>
    <n v="0.51"/>
    <n v="0.01"/>
    <n v="0.47"/>
  </r>
  <r>
    <x v="8"/>
    <x v="7"/>
    <x v="38"/>
    <x v="4"/>
    <x v="4"/>
    <x v="2"/>
    <n v="0.25"/>
    <n v="0.25"/>
    <n v="0.01"/>
    <n v="0.24"/>
  </r>
  <r>
    <x v="8"/>
    <x v="7"/>
    <x v="38"/>
    <x v="3"/>
    <x v="1"/>
    <x v="0"/>
    <n v="0.04"/>
    <n v="0.04"/>
    <n v="0"/>
    <n v="0.04"/>
  </r>
  <r>
    <x v="8"/>
    <x v="7"/>
    <x v="38"/>
    <x v="4"/>
    <x v="1"/>
    <x v="0"/>
    <n v="2.7"/>
    <n v="2.7"/>
    <n v="0.15"/>
    <n v="2.5299999999999998"/>
  </r>
  <r>
    <x v="8"/>
    <x v="7"/>
    <x v="38"/>
    <x v="1"/>
    <x v="4"/>
    <x v="2"/>
    <n v="0.02"/>
    <n v="0.02"/>
    <n v="0.01"/>
    <n v="0.02"/>
  </r>
  <r>
    <x v="8"/>
    <x v="7"/>
    <x v="38"/>
    <x v="4"/>
    <x v="2"/>
    <x v="2"/>
    <n v="0.23"/>
    <n v="0.23"/>
    <n v="0"/>
    <n v="0.22"/>
  </r>
  <r>
    <x v="8"/>
    <x v="7"/>
    <x v="38"/>
    <x v="4"/>
    <x v="1"/>
    <x v="2"/>
    <n v="0.28999999999999998"/>
    <n v="0.28999999999999998"/>
    <n v="0.01"/>
    <n v="0.27"/>
  </r>
  <r>
    <x v="8"/>
    <x v="7"/>
    <x v="38"/>
    <x v="2"/>
    <x v="3"/>
    <x v="2"/>
    <n v="1.86"/>
    <n v="1.86"/>
    <n v="0"/>
    <n v="1.8"/>
  </r>
  <r>
    <x v="8"/>
    <x v="7"/>
    <x v="38"/>
    <x v="2"/>
    <x v="3"/>
    <x v="3"/>
    <n v="0.82"/>
    <n v="0.82"/>
    <n v="0"/>
    <n v="0.82"/>
  </r>
  <r>
    <x v="8"/>
    <x v="7"/>
    <x v="38"/>
    <x v="4"/>
    <x v="0"/>
    <x v="1"/>
    <n v="0.01"/>
    <n v="0.01"/>
    <n v="0"/>
    <n v="0.01"/>
  </r>
  <r>
    <x v="8"/>
    <x v="7"/>
    <x v="38"/>
    <x v="4"/>
    <x v="4"/>
    <x v="1"/>
    <n v="0.28999999999999998"/>
    <n v="0.28999999999999998"/>
    <n v="0.01"/>
    <n v="0.26"/>
  </r>
  <r>
    <x v="8"/>
    <x v="7"/>
    <x v="38"/>
    <x v="2"/>
    <x v="3"/>
    <x v="1"/>
    <n v="0.22"/>
    <n v="0.22"/>
    <n v="0"/>
    <n v="0.21"/>
  </r>
  <r>
    <x v="8"/>
    <x v="7"/>
    <x v="38"/>
    <x v="0"/>
    <x v="0"/>
    <x v="1"/>
    <n v="0.33"/>
    <n v="0.33"/>
    <n v="0.01"/>
    <n v="0.3"/>
  </r>
  <r>
    <x v="8"/>
    <x v="7"/>
    <x v="38"/>
    <x v="0"/>
    <x v="4"/>
    <x v="1"/>
    <n v="0.06"/>
    <n v="0.06"/>
    <n v="0.01"/>
    <n v="0.05"/>
  </r>
  <r>
    <x v="8"/>
    <x v="7"/>
    <x v="38"/>
    <x v="1"/>
    <x v="0"/>
    <x v="1"/>
    <n v="0.14000000000000001"/>
    <n v="0.14000000000000001"/>
    <n v="0.01"/>
    <n v="0.13"/>
  </r>
  <r>
    <x v="8"/>
    <x v="7"/>
    <x v="38"/>
    <x v="1"/>
    <x v="4"/>
    <x v="1"/>
    <n v="0.04"/>
    <n v="0.04"/>
    <n v="0"/>
    <n v="0.04"/>
  </r>
  <r>
    <x v="8"/>
    <x v="7"/>
    <x v="38"/>
    <x v="1"/>
    <x v="1"/>
    <x v="1"/>
    <n v="1.78"/>
    <n v="1.78"/>
    <n v="0.02"/>
    <n v="1.67"/>
  </r>
  <r>
    <x v="8"/>
    <x v="7"/>
    <x v="38"/>
    <x v="1"/>
    <x v="2"/>
    <x v="1"/>
    <n v="2.17"/>
    <n v="2.17"/>
    <n v="0.01"/>
    <n v="2.02"/>
  </r>
  <r>
    <x v="8"/>
    <x v="7"/>
    <x v="38"/>
    <x v="4"/>
    <x v="1"/>
    <x v="1"/>
    <n v="0.36"/>
    <n v="0.36"/>
    <n v="0"/>
    <n v="0.33"/>
  </r>
  <r>
    <x v="8"/>
    <x v="7"/>
    <x v="38"/>
    <x v="3"/>
    <x v="4"/>
    <x v="0"/>
    <n v="2.04"/>
    <n v="2.04"/>
    <n v="0.48"/>
    <n v="1.93"/>
  </r>
  <r>
    <x v="8"/>
    <x v="7"/>
    <x v="38"/>
    <x v="4"/>
    <x v="4"/>
    <x v="0"/>
    <n v="12.16"/>
    <n v="12.16"/>
    <n v="1.98"/>
    <n v="11.39"/>
  </r>
  <r>
    <x v="8"/>
    <x v="1"/>
    <x v="39"/>
    <x v="1"/>
    <x v="0"/>
    <x v="1"/>
    <n v="0.78"/>
    <n v="0.82"/>
    <n v="0.05"/>
    <n v="0.68"/>
  </r>
  <r>
    <x v="8"/>
    <x v="1"/>
    <x v="39"/>
    <x v="0"/>
    <x v="4"/>
    <x v="1"/>
    <n v="0.11"/>
    <n v="0.11"/>
    <n v="0.02"/>
    <n v="0.09"/>
  </r>
  <r>
    <x v="8"/>
    <x v="1"/>
    <x v="39"/>
    <x v="0"/>
    <x v="0"/>
    <x v="1"/>
    <n v="0.74"/>
    <n v="0.78"/>
    <n v="0.03"/>
    <n v="0.61"/>
  </r>
  <r>
    <x v="8"/>
    <x v="1"/>
    <x v="39"/>
    <x v="4"/>
    <x v="1"/>
    <x v="1"/>
    <n v="0.27"/>
    <n v="0.28999999999999998"/>
    <n v="0.02"/>
    <n v="0.22"/>
  </r>
  <r>
    <x v="8"/>
    <x v="1"/>
    <x v="39"/>
    <x v="4"/>
    <x v="4"/>
    <x v="1"/>
    <n v="0.32"/>
    <n v="0.34"/>
    <n v="0.02"/>
    <n v="0.27"/>
  </r>
  <r>
    <x v="8"/>
    <x v="1"/>
    <x v="39"/>
    <x v="4"/>
    <x v="0"/>
    <x v="1"/>
    <n v="0.18"/>
    <n v="0.19"/>
    <n v="0.03"/>
    <n v="0.15"/>
  </r>
  <r>
    <x v="8"/>
    <x v="1"/>
    <x v="39"/>
    <x v="4"/>
    <x v="1"/>
    <x v="2"/>
    <n v="0.09"/>
    <n v="0.09"/>
    <n v="0.02"/>
    <n v="0.08"/>
  </r>
  <r>
    <x v="8"/>
    <x v="1"/>
    <x v="39"/>
    <x v="1"/>
    <x v="1"/>
    <x v="2"/>
    <n v="0.45"/>
    <n v="0.47"/>
    <n v="0.02"/>
    <n v="0.45"/>
  </r>
  <r>
    <x v="8"/>
    <x v="1"/>
    <x v="39"/>
    <x v="4"/>
    <x v="4"/>
    <x v="2"/>
    <n v="0.13"/>
    <n v="0.13"/>
    <n v="0.02"/>
    <n v="0.11"/>
  </r>
  <r>
    <x v="8"/>
    <x v="1"/>
    <x v="39"/>
    <x v="1"/>
    <x v="4"/>
    <x v="1"/>
    <n v="0.7"/>
    <n v="0.74"/>
    <n v="0.03"/>
    <n v="0.57999999999999996"/>
  </r>
  <r>
    <x v="8"/>
    <x v="1"/>
    <x v="39"/>
    <x v="0"/>
    <x v="0"/>
    <x v="0"/>
    <n v="2.3199999999999998"/>
    <n v="2.4500000000000002"/>
    <n v="1.19"/>
    <n v="2.06"/>
  </r>
  <r>
    <x v="8"/>
    <x v="1"/>
    <x v="39"/>
    <x v="2"/>
    <x v="3"/>
    <x v="3"/>
    <n v="3.17"/>
    <n v="3.34"/>
    <n v="0"/>
    <n v="2.88"/>
  </r>
  <r>
    <x v="8"/>
    <x v="1"/>
    <x v="39"/>
    <x v="0"/>
    <x v="4"/>
    <x v="0"/>
    <n v="30.81"/>
    <n v="32.54"/>
    <n v="2.4900000000000002"/>
    <n v="27.42"/>
  </r>
  <r>
    <x v="8"/>
    <x v="1"/>
    <x v="39"/>
    <x v="2"/>
    <x v="3"/>
    <x v="0"/>
    <n v="0.19"/>
    <n v="0.2"/>
    <n v="0"/>
    <n v="0.19"/>
  </r>
  <r>
    <x v="8"/>
    <x v="1"/>
    <x v="39"/>
    <x v="2"/>
    <x v="4"/>
    <x v="0"/>
    <n v="3.37"/>
    <n v="3.56"/>
    <n v="0.69"/>
    <n v="3.03"/>
  </r>
  <r>
    <x v="8"/>
    <x v="1"/>
    <x v="39"/>
    <x v="2"/>
    <x v="0"/>
    <x v="0"/>
    <n v="3.2"/>
    <n v="3.38"/>
    <n v="2.29"/>
    <n v="2.94"/>
  </r>
  <r>
    <x v="8"/>
    <x v="1"/>
    <x v="39"/>
    <x v="1"/>
    <x v="2"/>
    <x v="0"/>
    <n v="11.84"/>
    <n v="12.5"/>
    <n v="0.06"/>
    <n v="9.9"/>
  </r>
  <r>
    <x v="8"/>
    <x v="1"/>
    <x v="39"/>
    <x v="1"/>
    <x v="1"/>
    <x v="0"/>
    <n v="38"/>
    <n v="40.14"/>
    <n v="1.55"/>
    <n v="33.22"/>
  </r>
  <r>
    <x v="8"/>
    <x v="1"/>
    <x v="39"/>
    <x v="4"/>
    <x v="4"/>
    <x v="0"/>
    <n v="58.21"/>
    <n v="61.49"/>
    <n v="8.01"/>
    <n v="51.64"/>
  </r>
  <r>
    <x v="8"/>
    <x v="1"/>
    <x v="39"/>
    <x v="1"/>
    <x v="0"/>
    <x v="0"/>
    <n v="8.11"/>
    <n v="8.57"/>
    <n v="4.25"/>
    <n v="7.62"/>
  </r>
  <r>
    <x v="8"/>
    <x v="1"/>
    <x v="39"/>
    <x v="1"/>
    <x v="1"/>
    <x v="1"/>
    <n v="5.35"/>
    <n v="5.65"/>
    <n v="0.08"/>
    <n v="4.5"/>
  </r>
  <r>
    <x v="8"/>
    <x v="1"/>
    <x v="39"/>
    <x v="4"/>
    <x v="1"/>
    <x v="0"/>
    <n v="4.72"/>
    <n v="4.99"/>
    <n v="0.18"/>
    <n v="4.22"/>
  </r>
  <r>
    <x v="8"/>
    <x v="1"/>
    <x v="39"/>
    <x v="3"/>
    <x v="1"/>
    <x v="0"/>
    <n v="0.34"/>
    <n v="0.36"/>
    <n v="0.02"/>
    <n v="0.34"/>
  </r>
  <r>
    <x v="8"/>
    <x v="1"/>
    <x v="39"/>
    <x v="3"/>
    <x v="4"/>
    <x v="0"/>
    <n v="42.4"/>
    <n v="44.79"/>
    <n v="7.32"/>
    <n v="39.92"/>
  </r>
  <r>
    <x v="8"/>
    <x v="1"/>
    <x v="39"/>
    <x v="3"/>
    <x v="0"/>
    <x v="0"/>
    <n v="3.6"/>
    <n v="3.8"/>
    <n v="1.1499999999999999"/>
    <n v="3.6"/>
  </r>
  <r>
    <x v="8"/>
    <x v="1"/>
    <x v="39"/>
    <x v="2"/>
    <x v="3"/>
    <x v="1"/>
    <n v="5.16"/>
    <n v="5.45"/>
    <n v="0.01"/>
    <n v="4.59"/>
  </r>
  <r>
    <x v="8"/>
    <x v="1"/>
    <x v="39"/>
    <x v="1"/>
    <x v="2"/>
    <x v="1"/>
    <n v="4.6100000000000003"/>
    <n v="4.87"/>
    <n v="0.03"/>
    <n v="3.84"/>
  </r>
  <r>
    <x v="8"/>
    <x v="1"/>
    <x v="39"/>
    <x v="1"/>
    <x v="4"/>
    <x v="0"/>
    <n v="187.4"/>
    <n v="197.95"/>
    <n v="29.07"/>
    <n v="164.33"/>
  </r>
  <r>
    <x v="8"/>
    <x v="1"/>
    <x v="39"/>
    <x v="2"/>
    <x v="3"/>
    <x v="2"/>
    <n v="0.92"/>
    <n v="0.97"/>
    <n v="0"/>
    <n v="0.92"/>
  </r>
  <r>
    <x v="8"/>
    <x v="10"/>
    <x v="40"/>
    <x v="3"/>
    <x v="0"/>
    <x v="0"/>
    <n v="2.94"/>
    <n v="3.72"/>
    <n v="0.47"/>
    <n v="2.92"/>
  </r>
  <r>
    <x v="8"/>
    <x v="10"/>
    <x v="40"/>
    <x v="4"/>
    <x v="1"/>
    <x v="2"/>
    <n v="0.25"/>
    <n v="0.31"/>
    <n v="0.01"/>
    <n v="0.14000000000000001"/>
  </r>
  <r>
    <x v="8"/>
    <x v="10"/>
    <x v="40"/>
    <x v="4"/>
    <x v="2"/>
    <x v="2"/>
    <n v="0.79"/>
    <n v="1"/>
    <n v="0.01"/>
    <n v="0.44"/>
  </r>
  <r>
    <x v="8"/>
    <x v="10"/>
    <x v="40"/>
    <x v="2"/>
    <x v="3"/>
    <x v="2"/>
    <n v="15"/>
    <n v="18.97"/>
    <n v="0"/>
    <n v="8.75"/>
  </r>
  <r>
    <x v="8"/>
    <x v="10"/>
    <x v="40"/>
    <x v="4"/>
    <x v="0"/>
    <x v="1"/>
    <n v="0.03"/>
    <n v="0.03"/>
    <n v="0"/>
    <n v="0.03"/>
  </r>
  <r>
    <x v="8"/>
    <x v="10"/>
    <x v="40"/>
    <x v="4"/>
    <x v="4"/>
    <x v="1"/>
    <n v="2.35"/>
    <n v="2.97"/>
    <n v="0.04"/>
    <n v="2.16"/>
  </r>
  <r>
    <x v="8"/>
    <x v="10"/>
    <x v="40"/>
    <x v="4"/>
    <x v="1"/>
    <x v="1"/>
    <n v="0.98"/>
    <n v="1.24"/>
    <n v="0.01"/>
    <n v="0.9"/>
  </r>
  <r>
    <x v="8"/>
    <x v="10"/>
    <x v="40"/>
    <x v="0"/>
    <x v="0"/>
    <x v="1"/>
    <n v="1.98"/>
    <n v="2.5099999999999998"/>
    <n v="0.05"/>
    <n v="1.82"/>
  </r>
  <r>
    <x v="8"/>
    <x v="10"/>
    <x v="40"/>
    <x v="0"/>
    <x v="4"/>
    <x v="1"/>
    <n v="0.21"/>
    <n v="0.26"/>
    <n v="0.03"/>
    <n v="0.19"/>
  </r>
  <r>
    <x v="8"/>
    <x v="10"/>
    <x v="40"/>
    <x v="1"/>
    <x v="0"/>
    <x v="1"/>
    <n v="1.86"/>
    <n v="2.35"/>
    <n v="0.08"/>
    <n v="1.83"/>
  </r>
  <r>
    <x v="8"/>
    <x v="10"/>
    <x v="40"/>
    <x v="1"/>
    <x v="4"/>
    <x v="1"/>
    <n v="0.25"/>
    <n v="0.32"/>
    <n v="0.01"/>
    <n v="0.25"/>
  </r>
  <r>
    <x v="8"/>
    <x v="10"/>
    <x v="40"/>
    <x v="1"/>
    <x v="1"/>
    <x v="1"/>
    <n v="3.88"/>
    <n v="4.91"/>
    <n v="0.04"/>
    <n v="3.62"/>
  </r>
  <r>
    <x v="8"/>
    <x v="10"/>
    <x v="40"/>
    <x v="4"/>
    <x v="4"/>
    <x v="2"/>
    <n v="0.06"/>
    <n v="0.08"/>
    <n v="0"/>
    <n v="0.03"/>
  </r>
  <r>
    <x v="8"/>
    <x v="10"/>
    <x v="40"/>
    <x v="2"/>
    <x v="3"/>
    <x v="1"/>
    <n v="1.56"/>
    <n v="1.97"/>
    <n v="0.02"/>
    <n v="1.43"/>
  </r>
  <r>
    <x v="8"/>
    <x v="10"/>
    <x v="40"/>
    <x v="1"/>
    <x v="4"/>
    <x v="2"/>
    <n v="0.31"/>
    <n v="0.39"/>
    <n v="0"/>
    <n v="0.17"/>
  </r>
  <r>
    <x v="8"/>
    <x v="10"/>
    <x v="40"/>
    <x v="3"/>
    <x v="4"/>
    <x v="0"/>
    <n v="2.93"/>
    <n v="3.7"/>
    <n v="0.77"/>
    <n v="2.85"/>
  </r>
  <r>
    <x v="8"/>
    <x v="10"/>
    <x v="40"/>
    <x v="3"/>
    <x v="1"/>
    <x v="0"/>
    <n v="0.08"/>
    <n v="0.1"/>
    <n v="0.01"/>
    <n v="0.08"/>
  </r>
  <r>
    <x v="8"/>
    <x v="10"/>
    <x v="40"/>
    <x v="4"/>
    <x v="4"/>
    <x v="0"/>
    <n v="35.97"/>
    <n v="45.49"/>
    <n v="4.87"/>
    <n v="34.29"/>
  </r>
  <r>
    <x v="8"/>
    <x v="10"/>
    <x v="40"/>
    <x v="4"/>
    <x v="1"/>
    <x v="0"/>
    <n v="7.58"/>
    <n v="9.59"/>
    <n v="0.36"/>
    <n v="7.21"/>
  </r>
  <r>
    <x v="8"/>
    <x v="10"/>
    <x v="40"/>
    <x v="0"/>
    <x v="0"/>
    <x v="0"/>
    <n v="3.47"/>
    <n v="4.3899999999999997"/>
    <n v="1.38"/>
    <n v="3.17"/>
  </r>
  <r>
    <x v="8"/>
    <x v="10"/>
    <x v="40"/>
    <x v="0"/>
    <x v="4"/>
    <x v="0"/>
    <n v="12.92"/>
    <n v="16.34"/>
    <n v="2.75"/>
    <n v="11.99"/>
  </r>
  <r>
    <x v="8"/>
    <x v="10"/>
    <x v="40"/>
    <x v="1"/>
    <x v="0"/>
    <x v="0"/>
    <n v="7.67"/>
    <n v="9.69"/>
    <n v="4.62"/>
    <n v="7.26"/>
  </r>
  <r>
    <x v="8"/>
    <x v="10"/>
    <x v="40"/>
    <x v="1"/>
    <x v="4"/>
    <x v="0"/>
    <n v="125.73"/>
    <n v="159.01"/>
    <n v="23.98"/>
    <n v="117.96"/>
  </r>
  <r>
    <x v="8"/>
    <x v="10"/>
    <x v="40"/>
    <x v="1"/>
    <x v="1"/>
    <x v="0"/>
    <n v="12.71"/>
    <n v="16.07"/>
    <n v="1.41"/>
    <n v="11.92"/>
  </r>
  <r>
    <x v="8"/>
    <x v="10"/>
    <x v="40"/>
    <x v="1"/>
    <x v="2"/>
    <x v="0"/>
    <n v="2.15"/>
    <n v="2.71"/>
    <n v="0.02"/>
    <n v="1.99"/>
  </r>
  <r>
    <x v="8"/>
    <x v="10"/>
    <x v="40"/>
    <x v="2"/>
    <x v="0"/>
    <x v="0"/>
    <n v="1.25"/>
    <n v="1.58"/>
    <n v="1.1200000000000001"/>
    <n v="1.21"/>
  </r>
  <r>
    <x v="8"/>
    <x v="10"/>
    <x v="40"/>
    <x v="2"/>
    <x v="4"/>
    <x v="0"/>
    <n v="2.08"/>
    <n v="2.62"/>
    <n v="0.48"/>
    <n v="2.04"/>
  </r>
  <r>
    <x v="8"/>
    <x v="10"/>
    <x v="40"/>
    <x v="2"/>
    <x v="3"/>
    <x v="0"/>
    <n v="0.06"/>
    <n v="0.08"/>
    <n v="0.01"/>
    <n v="0.06"/>
  </r>
  <r>
    <x v="8"/>
    <x v="10"/>
    <x v="40"/>
    <x v="1"/>
    <x v="2"/>
    <x v="1"/>
    <n v="8.3000000000000007"/>
    <n v="10.5"/>
    <n v="0.03"/>
    <n v="7.71"/>
  </r>
  <r>
    <x v="8"/>
    <x v="10"/>
    <x v="40"/>
    <x v="2"/>
    <x v="3"/>
    <x v="3"/>
    <n v="17.350000000000001"/>
    <n v="21.94"/>
    <n v="0.01"/>
    <n v="17.34"/>
  </r>
  <r>
    <x v="8"/>
    <x v="1"/>
    <x v="41"/>
    <x v="1"/>
    <x v="0"/>
    <x v="0"/>
    <n v="43.11"/>
    <n v="42.01"/>
    <n v="18.96"/>
    <n v="38.020000000000003"/>
  </r>
  <r>
    <x v="8"/>
    <x v="1"/>
    <x v="41"/>
    <x v="1"/>
    <x v="0"/>
    <x v="1"/>
    <n v="2.67"/>
    <n v="2.6"/>
    <n v="0.14000000000000001"/>
    <n v="2.33"/>
  </r>
  <r>
    <x v="8"/>
    <x v="1"/>
    <x v="41"/>
    <x v="1"/>
    <x v="4"/>
    <x v="1"/>
    <n v="3.01"/>
    <n v="2.93"/>
    <n v="0.1"/>
    <n v="2.6"/>
  </r>
  <r>
    <x v="8"/>
    <x v="1"/>
    <x v="41"/>
    <x v="1"/>
    <x v="1"/>
    <x v="1"/>
    <n v="17.3"/>
    <n v="16.850000000000001"/>
    <n v="0.31"/>
    <n v="14.68"/>
  </r>
  <r>
    <x v="8"/>
    <x v="1"/>
    <x v="41"/>
    <x v="1"/>
    <x v="2"/>
    <x v="1"/>
    <n v="35.01"/>
    <n v="34.11"/>
    <n v="0.22"/>
    <n v="29.66"/>
  </r>
  <r>
    <x v="8"/>
    <x v="1"/>
    <x v="41"/>
    <x v="2"/>
    <x v="3"/>
    <x v="1"/>
    <n v="2.39"/>
    <n v="2.33"/>
    <n v="0.01"/>
    <n v="2.1"/>
  </r>
  <r>
    <x v="8"/>
    <x v="1"/>
    <x v="41"/>
    <x v="3"/>
    <x v="4"/>
    <x v="0"/>
    <n v="58.35"/>
    <n v="56.86"/>
    <n v="8.1199999999999992"/>
    <n v="56.19"/>
  </r>
  <r>
    <x v="8"/>
    <x v="1"/>
    <x v="41"/>
    <x v="3"/>
    <x v="1"/>
    <x v="0"/>
    <n v="4.05"/>
    <n v="3.95"/>
    <n v="0.25"/>
    <n v="4.05"/>
  </r>
  <r>
    <x v="8"/>
    <x v="1"/>
    <x v="41"/>
    <x v="0"/>
    <x v="4"/>
    <x v="1"/>
    <n v="2.67"/>
    <n v="2.6"/>
    <n v="0.05"/>
    <n v="2.2599999999999998"/>
  </r>
  <r>
    <x v="8"/>
    <x v="1"/>
    <x v="41"/>
    <x v="0"/>
    <x v="4"/>
    <x v="0"/>
    <n v="41.26"/>
    <n v="40.200000000000003"/>
    <n v="8.41"/>
    <n v="36.659999999999997"/>
  </r>
  <r>
    <x v="8"/>
    <x v="1"/>
    <x v="41"/>
    <x v="4"/>
    <x v="4"/>
    <x v="0"/>
    <n v="137.16"/>
    <n v="133.63999999999999"/>
    <n v="13.66"/>
    <n v="124.58"/>
  </r>
  <r>
    <x v="8"/>
    <x v="1"/>
    <x v="41"/>
    <x v="1"/>
    <x v="4"/>
    <x v="0"/>
    <n v="356.23"/>
    <n v="347.1"/>
    <n v="74.040000000000006"/>
    <n v="325.23"/>
  </r>
  <r>
    <x v="8"/>
    <x v="1"/>
    <x v="41"/>
    <x v="1"/>
    <x v="1"/>
    <x v="0"/>
    <n v="82.05"/>
    <n v="79.95"/>
    <n v="3.25"/>
    <n v="73.45"/>
  </r>
  <r>
    <x v="8"/>
    <x v="1"/>
    <x v="41"/>
    <x v="1"/>
    <x v="2"/>
    <x v="0"/>
    <n v="31.87"/>
    <n v="31.06"/>
    <n v="0.17"/>
    <n v="27.8"/>
  </r>
  <r>
    <x v="8"/>
    <x v="1"/>
    <x v="41"/>
    <x v="2"/>
    <x v="0"/>
    <x v="0"/>
    <n v="7.9"/>
    <n v="7.7"/>
    <n v="4.1900000000000004"/>
    <n v="7.48"/>
  </r>
  <r>
    <x v="8"/>
    <x v="1"/>
    <x v="41"/>
    <x v="2"/>
    <x v="4"/>
    <x v="0"/>
    <n v="37.659999999999997"/>
    <n v="36.69"/>
    <n v="7.24"/>
    <n v="33.65"/>
  </r>
  <r>
    <x v="8"/>
    <x v="1"/>
    <x v="41"/>
    <x v="2"/>
    <x v="3"/>
    <x v="0"/>
    <n v="2.0099999999999998"/>
    <n v="1.96"/>
    <n v="0.01"/>
    <n v="2.0099999999999998"/>
  </r>
  <r>
    <x v="8"/>
    <x v="1"/>
    <x v="41"/>
    <x v="4"/>
    <x v="1"/>
    <x v="0"/>
    <n v="63.1"/>
    <n v="61.49"/>
    <n v="2.2400000000000002"/>
    <n v="61.95"/>
  </r>
  <r>
    <x v="8"/>
    <x v="1"/>
    <x v="41"/>
    <x v="4"/>
    <x v="1"/>
    <x v="2"/>
    <n v="5.36"/>
    <n v="5.23"/>
    <n v="0.31"/>
    <n v="4.62"/>
  </r>
  <r>
    <x v="8"/>
    <x v="1"/>
    <x v="41"/>
    <x v="0"/>
    <x v="0"/>
    <x v="1"/>
    <n v="3.34"/>
    <n v="3.26"/>
    <n v="0.18"/>
    <n v="2.83"/>
  </r>
  <r>
    <x v="8"/>
    <x v="1"/>
    <x v="41"/>
    <x v="0"/>
    <x v="0"/>
    <x v="0"/>
    <n v="0.4"/>
    <n v="0.39"/>
    <n v="0.21"/>
    <n v="0.38"/>
  </r>
  <r>
    <x v="8"/>
    <x v="1"/>
    <x v="41"/>
    <x v="4"/>
    <x v="4"/>
    <x v="2"/>
    <n v="0.5"/>
    <n v="0.49"/>
    <n v="0.09"/>
    <n v="0.43"/>
  </r>
  <r>
    <x v="8"/>
    <x v="1"/>
    <x v="41"/>
    <x v="1"/>
    <x v="1"/>
    <x v="2"/>
    <n v="1.1399999999999999"/>
    <n v="1.1100000000000001"/>
    <n v="0.03"/>
    <n v="0.98"/>
  </r>
  <r>
    <x v="8"/>
    <x v="1"/>
    <x v="41"/>
    <x v="2"/>
    <x v="3"/>
    <x v="2"/>
    <n v="38.700000000000003"/>
    <n v="37.71"/>
    <n v="0.09"/>
    <n v="38.31"/>
  </r>
  <r>
    <x v="8"/>
    <x v="1"/>
    <x v="41"/>
    <x v="2"/>
    <x v="3"/>
    <x v="3"/>
    <n v="17.510000000000002"/>
    <n v="17.059999999999999"/>
    <n v="0.02"/>
    <n v="17.510000000000002"/>
  </r>
  <r>
    <x v="8"/>
    <x v="1"/>
    <x v="41"/>
    <x v="4"/>
    <x v="0"/>
    <x v="1"/>
    <n v="0.66"/>
    <n v="0.65"/>
    <n v="0.1"/>
    <n v="0.56000000000000005"/>
  </r>
  <r>
    <x v="8"/>
    <x v="1"/>
    <x v="41"/>
    <x v="4"/>
    <x v="4"/>
    <x v="1"/>
    <n v="0.86"/>
    <n v="0.84"/>
    <n v="0.05"/>
    <n v="0.73"/>
  </r>
  <r>
    <x v="8"/>
    <x v="1"/>
    <x v="41"/>
    <x v="4"/>
    <x v="1"/>
    <x v="1"/>
    <n v="1.07"/>
    <n v="1.04"/>
    <n v="0.08"/>
    <n v="0.9"/>
  </r>
  <r>
    <x v="8"/>
    <x v="2"/>
    <x v="42"/>
    <x v="4"/>
    <x v="1"/>
    <x v="0"/>
    <n v="18.21"/>
    <n v="19.82"/>
    <n v="0.84"/>
    <n v="17.32"/>
  </r>
  <r>
    <x v="8"/>
    <x v="2"/>
    <x v="42"/>
    <x v="1"/>
    <x v="2"/>
    <x v="1"/>
    <n v="3.65"/>
    <n v="3.97"/>
    <n v="0.01"/>
    <n v="3.51"/>
  </r>
  <r>
    <x v="8"/>
    <x v="2"/>
    <x v="42"/>
    <x v="2"/>
    <x v="3"/>
    <x v="3"/>
    <n v="38.96"/>
    <n v="42.41"/>
    <n v="0.02"/>
    <n v="38.950000000000003"/>
  </r>
  <r>
    <x v="8"/>
    <x v="2"/>
    <x v="42"/>
    <x v="1"/>
    <x v="0"/>
    <x v="1"/>
    <n v="0.48"/>
    <n v="0.53"/>
    <n v="0.03"/>
    <n v="0.49"/>
  </r>
  <r>
    <x v="8"/>
    <x v="2"/>
    <x v="42"/>
    <x v="1"/>
    <x v="1"/>
    <x v="1"/>
    <n v="1.56"/>
    <n v="1.7"/>
    <n v="0.02"/>
    <n v="1.51"/>
  </r>
  <r>
    <x v="8"/>
    <x v="2"/>
    <x v="42"/>
    <x v="0"/>
    <x v="0"/>
    <x v="1"/>
    <n v="0.77"/>
    <n v="0.84"/>
    <n v="0.02"/>
    <n v="0.71"/>
  </r>
  <r>
    <x v="8"/>
    <x v="2"/>
    <x v="42"/>
    <x v="2"/>
    <x v="3"/>
    <x v="1"/>
    <n v="5.07"/>
    <n v="5.52"/>
    <n v="0"/>
    <n v="4.71"/>
  </r>
  <r>
    <x v="8"/>
    <x v="2"/>
    <x v="42"/>
    <x v="3"/>
    <x v="0"/>
    <x v="0"/>
    <n v="6.69"/>
    <n v="7.28"/>
    <n v="0.95"/>
    <n v="6.65"/>
  </r>
  <r>
    <x v="8"/>
    <x v="2"/>
    <x v="42"/>
    <x v="4"/>
    <x v="1"/>
    <x v="1"/>
    <n v="0.25"/>
    <n v="0.27"/>
    <n v="0"/>
    <n v="0.23"/>
  </r>
  <r>
    <x v="8"/>
    <x v="2"/>
    <x v="42"/>
    <x v="0"/>
    <x v="0"/>
    <x v="0"/>
    <n v="11.48"/>
    <n v="12.5"/>
    <n v="5.34"/>
    <n v="10.63"/>
  </r>
  <r>
    <x v="8"/>
    <x v="2"/>
    <x v="42"/>
    <x v="2"/>
    <x v="3"/>
    <x v="0"/>
    <n v="2.4500000000000002"/>
    <n v="2.67"/>
    <n v="0.02"/>
    <n v="2.4500000000000002"/>
  </r>
  <r>
    <x v="8"/>
    <x v="2"/>
    <x v="42"/>
    <x v="4"/>
    <x v="4"/>
    <x v="0"/>
    <n v="79.069999999999993"/>
    <n v="86.07"/>
    <n v="8.1"/>
    <n v="75.22"/>
  </r>
  <r>
    <x v="8"/>
    <x v="2"/>
    <x v="42"/>
    <x v="3"/>
    <x v="1"/>
    <x v="0"/>
    <n v="0.47"/>
    <n v="0.52"/>
    <n v="0.03"/>
    <n v="0.47"/>
  </r>
  <r>
    <x v="8"/>
    <x v="2"/>
    <x v="42"/>
    <x v="4"/>
    <x v="0"/>
    <x v="1"/>
    <n v="0.02"/>
    <n v="0.02"/>
    <n v="0"/>
    <n v="0.02"/>
  </r>
  <r>
    <x v="8"/>
    <x v="2"/>
    <x v="42"/>
    <x v="4"/>
    <x v="4"/>
    <x v="1"/>
    <n v="0.18"/>
    <n v="0.2"/>
    <n v="0"/>
    <n v="0.17"/>
  </r>
  <r>
    <x v="8"/>
    <x v="2"/>
    <x v="42"/>
    <x v="4"/>
    <x v="4"/>
    <x v="2"/>
    <n v="0.2"/>
    <n v="0.21"/>
    <n v="0"/>
    <n v="0.19"/>
  </r>
  <r>
    <x v="8"/>
    <x v="2"/>
    <x v="42"/>
    <x v="4"/>
    <x v="1"/>
    <x v="2"/>
    <n v="0.06"/>
    <n v="7.0000000000000007E-2"/>
    <n v="0"/>
    <n v="0.06"/>
  </r>
  <r>
    <x v="8"/>
    <x v="2"/>
    <x v="42"/>
    <x v="4"/>
    <x v="2"/>
    <x v="2"/>
    <n v="0.24"/>
    <n v="0.26"/>
    <n v="0"/>
    <n v="0.22"/>
  </r>
  <r>
    <x v="8"/>
    <x v="2"/>
    <x v="42"/>
    <x v="2"/>
    <x v="3"/>
    <x v="2"/>
    <n v="3.04"/>
    <n v="3.31"/>
    <n v="0.01"/>
    <n v="2.9"/>
  </r>
  <r>
    <x v="8"/>
    <x v="2"/>
    <x v="42"/>
    <x v="2"/>
    <x v="4"/>
    <x v="0"/>
    <n v="6.97"/>
    <n v="7.58"/>
    <n v="1.02"/>
    <n v="6.68"/>
  </r>
  <r>
    <x v="8"/>
    <x v="2"/>
    <x v="42"/>
    <x v="2"/>
    <x v="0"/>
    <x v="0"/>
    <n v="11.8"/>
    <n v="12.84"/>
    <n v="3.29"/>
    <n v="11.23"/>
  </r>
  <r>
    <x v="8"/>
    <x v="2"/>
    <x v="42"/>
    <x v="1"/>
    <x v="2"/>
    <x v="0"/>
    <n v="10.01"/>
    <n v="10.9"/>
    <n v="0.08"/>
    <n v="9.06"/>
  </r>
  <r>
    <x v="8"/>
    <x v="2"/>
    <x v="42"/>
    <x v="1"/>
    <x v="1"/>
    <x v="0"/>
    <n v="47.72"/>
    <n v="51.95"/>
    <n v="2.0299999999999998"/>
    <n v="44.74"/>
  </r>
  <r>
    <x v="8"/>
    <x v="2"/>
    <x v="42"/>
    <x v="1"/>
    <x v="4"/>
    <x v="0"/>
    <n v="297.02999999999997"/>
    <n v="323.33999999999997"/>
    <n v="40.590000000000003"/>
    <n v="277.92"/>
  </r>
  <r>
    <x v="8"/>
    <x v="2"/>
    <x v="42"/>
    <x v="1"/>
    <x v="0"/>
    <x v="0"/>
    <n v="19.690000000000001"/>
    <n v="21.43"/>
    <n v="8.24"/>
    <n v="18.7"/>
  </r>
  <r>
    <x v="8"/>
    <x v="2"/>
    <x v="42"/>
    <x v="3"/>
    <x v="4"/>
    <x v="0"/>
    <n v="32.53"/>
    <n v="35.409999999999997"/>
    <n v="5.48"/>
    <n v="31.11"/>
  </r>
  <r>
    <x v="8"/>
    <x v="2"/>
    <x v="42"/>
    <x v="0"/>
    <x v="4"/>
    <x v="0"/>
    <n v="40.82"/>
    <n v="44.43"/>
    <n v="8.74"/>
    <n v="38.14"/>
  </r>
  <r>
    <x v="8"/>
    <x v="2"/>
    <x v="42"/>
    <x v="1"/>
    <x v="4"/>
    <x v="1"/>
    <n v="0.66"/>
    <n v="0.72"/>
    <n v="0.02"/>
    <n v="0.66"/>
  </r>
  <r>
    <x v="8"/>
    <x v="2"/>
    <x v="42"/>
    <x v="1"/>
    <x v="4"/>
    <x v="2"/>
    <n v="0.01"/>
    <n v="0.02"/>
    <n v="0"/>
    <n v="0.01"/>
  </r>
  <r>
    <x v="8"/>
    <x v="2"/>
    <x v="42"/>
    <x v="0"/>
    <x v="4"/>
    <x v="1"/>
    <n v="0.56000000000000005"/>
    <n v="0.61"/>
    <n v="0.01"/>
    <n v="0.52"/>
  </r>
  <r>
    <x v="8"/>
    <x v="2"/>
    <x v="43"/>
    <x v="3"/>
    <x v="0"/>
    <x v="0"/>
    <n v="5.54"/>
    <n v="6.84"/>
    <n v="1.01"/>
    <n v="5.52"/>
  </r>
  <r>
    <x v="8"/>
    <x v="2"/>
    <x v="43"/>
    <x v="4"/>
    <x v="1"/>
    <x v="2"/>
    <n v="0.28999999999999998"/>
    <n v="0.36"/>
    <n v="0"/>
    <n v="0.28999999999999998"/>
  </r>
  <r>
    <x v="8"/>
    <x v="2"/>
    <x v="43"/>
    <x v="4"/>
    <x v="2"/>
    <x v="2"/>
    <n v="0.36"/>
    <n v="0.45"/>
    <n v="0"/>
    <n v="0.36"/>
  </r>
  <r>
    <x v="8"/>
    <x v="2"/>
    <x v="43"/>
    <x v="1"/>
    <x v="4"/>
    <x v="2"/>
    <n v="2.48"/>
    <n v="3.07"/>
    <n v="0"/>
    <n v="2.46"/>
  </r>
  <r>
    <x v="8"/>
    <x v="2"/>
    <x v="43"/>
    <x v="2"/>
    <x v="3"/>
    <x v="2"/>
    <n v="0.11"/>
    <n v="0.14000000000000001"/>
    <n v="0"/>
    <n v="0.12"/>
  </r>
  <r>
    <x v="8"/>
    <x v="2"/>
    <x v="43"/>
    <x v="2"/>
    <x v="3"/>
    <x v="3"/>
    <n v="18.149999999999999"/>
    <n v="22.42"/>
    <n v="0.01"/>
    <n v="18.149999999999999"/>
  </r>
  <r>
    <x v="8"/>
    <x v="2"/>
    <x v="43"/>
    <x v="4"/>
    <x v="0"/>
    <x v="1"/>
    <n v="0"/>
    <n v="0.01"/>
    <n v="0"/>
    <n v="0"/>
  </r>
  <r>
    <x v="8"/>
    <x v="2"/>
    <x v="43"/>
    <x v="4"/>
    <x v="4"/>
    <x v="1"/>
    <n v="0.18"/>
    <n v="0.23"/>
    <n v="0"/>
    <n v="0.17"/>
  </r>
  <r>
    <x v="8"/>
    <x v="2"/>
    <x v="43"/>
    <x v="4"/>
    <x v="1"/>
    <x v="1"/>
    <n v="0.15"/>
    <n v="0.19"/>
    <n v="0"/>
    <n v="0.14000000000000001"/>
  </r>
  <r>
    <x v="8"/>
    <x v="2"/>
    <x v="43"/>
    <x v="0"/>
    <x v="0"/>
    <x v="1"/>
    <n v="0.62"/>
    <n v="0.77"/>
    <n v="0.02"/>
    <n v="0.55000000000000004"/>
  </r>
  <r>
    <x v="8"/>
    <x v="2"/>
    <x v="43"/>
    <x v="1"/>
    <x v="0"/>
    <x v="1"/>
    <n v="0.62"/>
    <n v="0.77"/>
    <n v="0.04"/>
    <n v="0.59"/>
  </r>
  <r>
    <x v="8"/>
    <x v="2"/>
    <x v="43"/>
    <x v="1"/>
    <x v="1"/>
    <x v="1"/>
    <n v="1.38"/>
    <n v="1.71"/>
    <n v="0.02"/>
    <n v="1.3"/>
  </r>
  <r>
    <x v="8"/>
    <x v="2"/>
    <x v="43"/>
    <x v="4"/>
    <x v="4"/>
    <x v="2"/>
    <n v="0.77"/>
    <n v="0.95"/>
    <n v="0.01"/>
    <n v="0.77"/>
  </r>
  <r>
    <x v="8"/>
    <x v="2"/>
    <x v="43"/>
    <x v="2"/>
    <x v="3"/>
    <x v="1"/>
    <n v="0.44"/>
    <n v="0.54"/>
    <n v="0"/>
    <n v="0.39"/>
  </r>
  <r>
    <x v="8"/>
    <x v="2"/>
    <x v="43"/>
    <x v="0"/>
    <x v="4"/>
    <x v="1"/>
    <n v="0.45"/>
    <n v="0.56000000000000005"/>
    <n v="0.01"/>
    <n v="0.4"/>
  </r>
  <r>
    <x v="8"/>
    <x v="2"/>
    <x v="43"/>
    <x v="3"/>
    <x v="4"/>
    <x v="0"/>
    <n v="9.07"/>
    <n v="11.21"/>
    <n v="2.15"/>
    <n v="8.7799999999999994"/>
  </r>
  <r>
    <x v="8"/>
    <x v="2"/>
    <x v="43"/>
    <x v="3"/>
    <x v="1"/>
    <x v="0"/>
    <n v="0.67"/>
    <n v="0.83"/>
    <n v="0.05"/>
    <n v="0.67"/>
  </r>
  <r>
    <x v="8"/>
    <x v="2"/>
    <x v="43"/>
    <x v="4"/>
    <x v="4"/>
    <x v="0"/>
    <n v="72.17"/>
    <n v="89.18"/>
    <n v="7.02"/>
    <n v="67.89"/>
  </r>
  <r>
    <x v="8"/>
    <x v="2"/>
    <x v="43"/>
    <x v="4"/>
    <x v="1"/>
    <x v="0"/>
    <n v="7.74"/>
    <n v="9.56"/>
    <n v="0.34"/>
    <n v="7.29"/>
  </r>
  <r>
    <x v="8"/>
    <x v="2"/>
    <x v="43"/>
    <x v="0"/>
    <x v="0"/>
    <x v="0"/>
    <n v="3.67"/>
    <n v="4.53"/>
    <n v="1.75"/>
    <n v="3.4"/>
  </r>
  <r>
    <x v="8"/>
    <x v="2"/>
    <x v="43"/>
    <x v="0"/>
    <x v="4"/>
    <x v="0"/>
    <n v="22.48"/>
    <n v="27.78"/>
    <n v="4.6399999999999997"/>
    <n v="21.22"/>
  </r>
  <r>
    <x v="8"/>
    <x v="2"/>
    <x v="43"/>
    <x v="1"/>
    <x v="0"/>
    <x v="0"/>
    <n v="9.89"/>
    <n v="12.22"/>
    <n v="4.88"/>
    <n v="9.43"/>
  </r>
  <r>
    <x v="8"/>
    <x v="2"/>
    <x v="43"/>
    <x v="1"/>
    <x v="4"/>
    <x v="0"/>
    <n v="171.49"/>
    <n v="211.9"/>
    <n v="26.34"/>
    <n v="161.07"/>
  </r>
  <r>
    <x v="8"/>
    <x v="2"/>
    <x v="43"/>
    <x v="1"/>
    <x v="1"/>
    <x v="0"/>
    <n v="26.62"/>
    <n v="32.9"/>
    <n v="1.23"/>
    <n v="25.22"/>
  </r>
  <r>
    <x v="8"/>
    <x v="2"/>
    <x v="43"/>
    <x v="1"/>
    <x v="2"/>
    <x v="0"/>
    <n v="0.45"/>
    <n v="0.56000000000000005"/>
    <n v="0.01"/>
    <n v="0.41"/>
  </r>
  <r>
    <x v="8"/>
    <x v="2"/>
    <x v="43"/>
    <x v="2"/>
    <x v="0"/>
    <x v="0"/>
    <n v="7.31"/>
    <n v="9.0299999999999994"/>
    <n v="2.62"/>
    <n v="6.97"/>
  </r>
  <r>
    <x v="8"/>
    <x v="2"/>
    <x v="43"/>
    <x v="2"/>
    <x v="4"/>
    <x v="0"/>
    <n v="7.03"/>
    <n v="8.68"/>
    <n v="0.89"/>
    <n v="6.87"/>
  </r>
  <r>
    <x v="8"/>
    <x v="2"/>
    <x v="43"/>
    <x v="2"/>
    <x v="3"/>
    <x v="0"/>
    <n v="2.95"/>
    <n v="3.65"/>
    <n v="0.03"/>
    <n v="2.95"/>
  </r>
  <r>
    <x v="8"/>
    <x v="2"/>
    <x v="43"/>
    <x v="1"/>
    <x v="2"/>
    <x v="1"/>
    <n v="1.42"/>
    <n v="1.76"/>
    <n v="0.01"/>
    <n v="1.32"/>
  </r>
  <r>
    <x v="8"/>
    <x v="2"/>
    <x v="43"/>
    <x v="1"/>
    <x v="4"/>
    <x v="1"/>
    <n v="0.11"/>
    <n v="0.14000000000000001"/>
    <n v="0.01"/>
    <n v="0.11"/>
  </r>
  <r>
    <x v="8"/>
    <x v="2"/>
    <x v="44"/>
    <x v="1"/>
    <x v="0"/>
    <x v="1"/>
    <n v="0.74"/>
    <n v="0.76"/>
    <n v="0.05"/>
    <n v="0.65"/>
  </r>
  <r>
    <x v="8"/>
    <x v="2"/>
    <x v="44"/>
    <x v="4"/>
    <x v="4"/>
    <x v="2"/>
    <n v="0.53"/>
    <n v="0.55000000000000004"/>
    <n v="0.01"/>
    <n v="0.47"/>
  </r>
  <r>
    <x v="8"/>
    <x v="2"/>
    <x v="44"/>
    <x v="4"/>
    <x v="1"/>
    <x v="2"/>
    <n v="0.28999999999999998"/>
    <n v="0.3"/>
    <n v="0"/>
    <n v="0.26"/>
  </r>
  <r>
    <x v="8"/>
    <x v="2"/>
    <x v="44"/>
    <x v="4"/>
    <x v="2"/>
    <x v="2"/>
    <n v="0.15"/>
    <n v="0.15"/>
    <n v="0"/>
    <n v="0.13"/>
  </r>
  <r>
    <x v="8"/>
    <x v="2"/>
    <x v="44"/>
    <x v="1"/>
    <x v="4"/>
    <x v="2"/>
    <n v="18"/>
    <n v="18.66"/>
    <n v="0.17"/>
    <n v="15.85"/>
  </r>
  <r>
    <x v="8"/>
    <x v="2"/>
    <x v="44"/>
    <x v="2"/>
    <x v="3"/>
    <x v="2"/>
    <n v="0.65"/>
    <n v="0.67"/>
    <n v="0"/>
    <n v="0.56000000000000005"/>
  </r>
  <r>
    <x v="8"/>
    <x v="2"/>
    <x v="44"/>
    <x v="2"/>
    <x v="3"/>
    <x v="3"/>
    <n v="18.100000000000001"/>
    <n v="18.760000000000002"/>
    <n v="0.01"/>
    <n v="18.100000000000001"/>
  </r>
  <r>
    <x v="8"/>
    <x v="2"/>
    <x v="44"/>
    <x v="4"/>
    <x v="0"/>
    <x v="1"/>
    <n v="0.06"/>
    <n v="0.06"/>
    <n v="0"/>
    <n v="0.05"/>
  </r>
  <r>
    <x v="8"/>
    <x v="2"/>
    <x v="44"/>
    <x v="4"/>
    <x v="4"/>
    <x v="1"/>
    <n v="0.34"/>
    <n v="0.35"/>
    <n v="0.01"/>
    <n v="0.27"/>
  </r>
  <r>
    <x v="8"/>
    <x v="2"/>
    <x v="44"/>
    <x v="4"/>
    <x v="1"/>
    <x v="1"/>
    <n v="0.44"/>
    <n v="0.46"/>
    <n v="0"/>
    <n v="0.36"/>
  </r>
  <r>
    <x v="8"/>
    <x v="2"/>
    <x v="44"/>
    <x v="0"/>
    <x v="4"/>
    <x v="1"/>
    <n v="3.02"/>
    <n v="3.13"/>
    <n v="0.06"/>
    <n v="2.4300000000000002"/>
  </r>
  <r>
    <x v="8"/>
    <x v="2"/>
    <x v="44"/>
    <x v="1"/>
    <x v="4"/>
    <x v="1"/>
    <n v="0.2"/>
    <n v="0.21"/>
    <n v="0.01"/>
    <n v="0.18"/>
  </r>
  <r>
    <x v="8"/>
    <x v="2"/>
    <x v="44"/>
    <x v="1"/>
    <x v="1"/>
    <x v="1"/>
    <n v="2.95"/>
    <n v="3.05"/>
    <n v="0.02"/>
    <n v="2.46"/>
  </r>
  <r>
    <x v="8"/>
    <x v="2"/>
    <x v="44"/>
    <x v="1"/>
    <x v="2"/>
    <x v="1"/>
    <n v="8.59"/>
    <n v="8.91"/>
    <n v="0.05"/>
    <n v="7.26"/>
  </r>
  <r>
    <x v="8"/>
    <x v="2"/>
    <x v="44"/>
    <x v="1"/>
    <x v="1"/>
    <x v="0"/>
    <n v="29.08"/>
    <n v="30.14"/>
    <n v="1.37"/>
    <n v="27.63"/>
  </r>
  <r>
    <x v="8"/>
    <x v="2"/>
    <x v="44"/>
    <x v="2"/>
    <x v="3"/>
    <x v="0"/>
    <n v="3.29"/>
    <n v="3.41"/>
    <n v="0.03"/>
    <n v="3.29"/>
  </r>
  <r>
    <x v="8"/>
    <x v="2"/>
    <x v="44"/>
    <x v="2"/>
    <x v="4"/>
    <x v="0"/>
    <n v="3.29"/>
    <n v="3.41"/>
    <n v="0.49"/>
    <n v="3.21"/>
  </r>
  <r>
    <x v="8"/>
    <x v="2"/>
    <x v="44"/>
    <x v="0"/>
    <x v="0"/>
    <x v="1"/>
    <n v="1.47"/>
    <n v="1.52"/>
    <n v="7.0000000000000007E-2"/>
    <n v="1.19"/>
  </r>
  <r>
    <x v="8"/>
    <x v="2"/>
    <x v="44"/>
    <x v="1"/>
    <x v="2"/>
    <x v="0"/>
    <n v="1.73"/>
    <n v="1.79"/>
    <n v="0.03"/>
    <n v="1.57"/>
  </r>
  <r>
    <x v="8"/>
    <x v="2"/>
    <x v="44"/>
    <x v="2"/>
    <x v="3"/>
    <x v="1"/>
    <n v="5.01"/>
    <n v="5.19"/>
    <n v="0"/>
    <n v="4.07"/>
  </r>
  <r>
    <x v="8"/>
    <x v="2"/>
    <x v="44"/>
    <x v="1"/>
    <x v="4"/>
    <x v="0"/>
    <n v="147.16"/>
    <n v="152.52000000000001"/>
    <n v="23.71"/>
    <n v="138.78"/>
  </r>
  <r>
    <x v="8"/>
    <x v="2"/>
    <x v="44"/>
    <x v="1"/>
    <x v="0"/>
    <x v="0"/>
    <n v="10.11"/>
    <n v="10.48"/>
    <n v="4.37"/>
    <n v="9.64"/>
  </r>
  <r>
    <x v="8"/>
    <x v="2"/>
    <x v="44"/>
    <x v="0"/>
    <x v="4"/>
    <x v="0"/>
    <n v="22.2"/>
    <n v="23.01"/>
    <n v="5.12"/>
    <n v="20.97"/>
  </r>
  <r>
    <x v="8"/>
    <x v="2"/>
    <x v="44"/>
    <x v="3"/>
    <x v="0"/>
    <x v="0"/>
    <n v="3.89"/>
    <n v="4.03"/>
    <n v="0.74"/>
    <n v="3.89"/>
  </r>
  <r>
    <x v="8"/>
    <x v="2"/>
    <x v="44"/>
    <x v="4"/>
    <x v="1"/>
    <x v="0"/>
    <n v="8.66"/>
    <n v="8.98"/>
    <n v="0.45"/>
    <n v="8.33"/>
  </r>
  <r>
    <x v="8"/>
    <x v="2"/>
    <x v="44"/>
    <x v="4"/>
    <x v="4"/>
    <x v="0"/>
    <n v="65.5"/>
    <n v="67.89"/>
    <n v="6.25"/>
    <n v="62.51"/>
  </r>
  <r>
    <x v="8"/>
    <x v="2"/>
    <x v="44"/>
    <x v="3"/>
    <x v="1"/>
    <x v="0"/>
    <n v="0.56999999999999995"/>
    <n v="0.59"/>
    <n v="0.04"/>
    <n v="0.56000000000000005"/>
  </r>
  <r>
    <x v="8"/>
    <x v="2"/>
    <x v="44"/>
    <x v="3"/>
    <x v="4"/>
    <x v="0"/>
    <n v="5.78"/>
    <n v="5.99"/>
    <n v="1.23"/>
    <n v="5.62"/>
  </r>
  <r>
    <x v="8"/>
    <x v="2"/>
    <x v="44"/>
    <x v="0"/>
    <x v="0"/>
    <x v="0"/>
    <n v="5.57"/>
    <n v="5.77"/>
    <n v="2.58"/>
    <n v="5.19"/>
  </r>
  <r>
    <x v="8"/>
    <x v="2"/>
    <x v="44"/>
    <x v="2"/>
    <x v="0"/>
    <x v="0"/>
    <n v="3.27"/>
    <n v="3.39"/>
    <n v="1.63"/>
    <n v="3.15"/>
  </r>
  <r>
    <x v="8"/>
    <x v="4"/>
    <x v="45"/>
    <x v="2"/>
    <x v="4"/>
    <x v="0"/>
    <n v="22.14"/>
    <n v="21.94"/>
    <n v="5.71"/>
    <n v="20.149999999999999"/>
  </r>
  <r>
    <x v="8"/>
    <x v="4"/>
    <x v="45"/>
    <x v="1"/>
    <x v="4"/>
    <x v="2"/>
    <n v="0.02"/>
    <n v="0.02"/>
    <n v="0.01"/>
    <n v="0.01"/>
  </r>
  <r>
    <x v="8"/>
    <x v="4"/>
    <x v="45"/>
    <x v="1"/>
    <x v="1"/>
    <x v="2"/>
    <n v="0.2"/>
    <n v="0.2"/>
    <n v="0.03"/>
    <n v="0.2"/>
  </r>
  <r>
    <x v="8"/>
    <x v="4"/>
    <x v="45"/>
    <x v="1"/>
    <x v="2"/>
    <x v="2"/>
    <n v="0.08"/>
    <n v="0.08"/>
    <n v="0"/>
    <n v="7.0000000000000007E-2"/>
  </r>
  <r>
    <x v="8"/>
    <x v="4"/>
    <x v="45"/>
    <x v="1"/>
    <x v="3"/>
    <x v="2"/>
    <n v="5.82"/>
    <n v="5.77"/>
    <n v="0.01"/>
    <n v="5.0999999999999996"/>
  </r>
  <r>
    <x v="8"/>
    <x v="4"/>
    <x v="45"/>
    <x v="2"/>
    <x v="3"/>
    <x v="2"/>
    <n v="0"/>
    <n v="0"/>
    <n v="0"/>
    <n v="0"/>
  </r>
  <r>
    <x v="8"/>
    <x v="4"/>
    <x v="45"/>
    <x v="4"/>
    <x v="4"/>
    <x v="1"/>
    <n v="0.53"/>
    <n v="0.52"/>
    <n v="0.06"/>
    <n v="0.45"/>
  </r>
  <r>
    <x v="8"/>
    <x v="4"/>
    <x v="45"/>
    <x v="4"/>
    <x v="0"/>
    <x v="1"/>
    <n v="0.11"/>
    <n v="0.11"/>
    <n v="0.03"/>
    <n v="0.1"/>
  </r>
  <r>
    <x v="8"/>
    <x v="4"/>
    <x v="45"/>
    <x v="2"/>
    <x v="0"/>
    <x v="0"/>
    <n v="15.91"/>
    <n v="15.76"/>
    <n v="7.91"/>
    <n v="14.9"/>
  </r>
  <r>
    <x v="8"/>
    <x v="4"/>
    <x v="45"/>
    <x v="2"/>
    <x v="3"/>
    <x v="3"/>
    <n v="4.0999999999999996"/>
    <n v="4.0599999999999996"/>
    <n v="0.01"/>
    <n v="4.0999999999999996"/>
  </r>
  <r>
    <x v="8"/>
    <x v="4"/>
    <x v="45"/>
    <x v="4"/>
    <x v="1"/>
    <x v="1"/>
    <n v="0.28000000000000003"/>
    <n v="0.28000000000000003"/>
    <n v="0.03"/>
    <n v="0.24"/>
  </r>
  <r>
    <x v="8"/>
    <x v="4"/>
    <x v="45"/>
    <x v="0"/>
    <x v="0"/>
    <x v="0"/>
    <n v="0.98"/>
    <n v="0.97"/>
    <n v="0.52"/>
    <n v="0.85"/>
  </r>
  <r>
    <x v="8"/>
    <x v="4"/>
    <x v="45"/>
    <x v="4"/>
    <x v="1"/>
    <x v="0"/>
    <n v="5.8"/>
    <n v="5.75"/>
    <n v="0.36"/>
    <n v="5.0999999999999996"/>
  </r>
  <r>
    <x v="8"/>
    <x v="4"/>
    <x v="45"/>
    <x v="4"/>
    <x v="4"/>
    <x v="0"/>
    <n v="19.57"/>
    <n v="19.39"/>
    <n v="2.61"/>
    <n v="17"/>
  </r>
  <r>
    <x v="8"/>
    <x v="4"/>
    <x v="45"/>
    <x v="3"/>
    <x v="1"/>
    <x v="0"/>
    <n v="0.3"/>
    <n v="0.3"/>
    <n v="0.03"/>
    <n v="0.3"/>
  </r>
  <r>
    <x v="8"/>
    <x v="4"/>
    <x v="45"/>
    <x v="3"/>
    <x v="4"/>
    <x v="0"/>
    <n v="8.33"/>
    <n v="8.25"/>
    <n v="4.04"/>
    <n v="7.72"/>
  </r>
  <r>
    <x v="8"/>
    <x v="4"/>
    <x v="45"/>
    <x v="3"/>
    <x v="0"/>
    <x v="0"/>
    <n v="0.71"/>
    <n v="0.71"/>
    <n v="0.59"/>
    <n v="0.65"/>
  </r>
  <r>
    <x v="8"/>
    <x v="4"/>
    <x v="45"/>
    <x v="2"/>
    <x v="3"/>
    <x v="1"/>
    <n v="0"/>
    <n v="0"/>
    <n v="0.02"/>
    <n v="0"/>
  </r>
  <r>
    <x v="8"/>
    <x v="4"/>
    <x v="45"/>
    <x v="1"/>
    <x v="2"/>
    <x v="1"/>
    <n v="4.1399999999999997"/>
    <n v="4.1100000000000003"/>
    <n v="7.0000000000000007E-2"/>
    <n v="3.73"/>
  </r>
  <r>
    <x v="8"/>
    <x v="4"/>
    <x v="45"/>
    <x v="1"/>
    <x v="1"/>
    <x v="1"/>
    <n v="16.12"/>
    <n v="15.97"/>
    <n v="0.1"/>
    <n v="13.79"/>
  </r>
  <r>
    <x v="8"/>
    <x v="4"/>
    <x v="45"/>
    <x v="1"/>
    <x v="4"/>
    <x v="1"/>
    <n v="0.06"/>
    <n v="0.06"/>
    <n v="0.02"/>
    <n v="0.06"/>
  </r>
  <r>
    <x v="8"/>
    <x v="4"/>
    <x v="45"/>
    <x v="1"/>
    <x v="0"/>
    <x v="1"/>
    <n v="0.16"/>
    <n v="0.16"/>
    <n v="0.1"/>
    <n v="0.14000000000000001"/>
  </r>
  <r>
    <x v="8"/>
    <x v="4"/>
    <x v="45"/>
    <x v="1"/>
    <x v="2"/>
    <x v="0"/>
    <n v="14.91"/>
    <n v="14.77"/>
    <n v="0.1"/>
    <n v="12.71"/>
  </r>
  <r>
    <x v="8"/>
    <x v="4"/>
    <x v="45"/>
    <x v="1"/>
    <x v="1"/>
    <x v="0"/>
    <n v="37.76"/>
    <n v="37.42"/>
    <n v="2.33"/>
    <n v="32.92"/>
  </r>
  <r>
    <x v="8"/>
    <x v="4"/>
    <x v="45"/>
    <x v="1"/>
    <x v="0"/>
    <x v="0"/>
    <n v="14.15"/>
    <n v="14.02"/>
    <n v="8.3699999999999992"/>
    <n v="12.52"/>
  </r>
  <r>
    <x v="8"/>
    <x v="4"/>
    <x v="45"/>
    <x v="1"/>
    <x v="4"/>
    <x v="0"/>
    <n v="155.74"/>
    <n v="154.32"/>
    <n v="37.18"/>
    <n v="138.35"/>
  </r>
  <r>
    <x v="8"/>
    <x v="4"/>
    <x v="45"/>
    <x v="0"/>
    <x v="4"/>
    <x v="0"/>
    <n v="7.94"/>
    <n v="7.87"/>
    <n v="2.39"/>
    <n v="7.02"/>
  </r>
  <r>
    <x v="8"/>
    <x v="6"/>
    <x v="46"/>
    <x v="1"/>
    <x v="4"/>
    <x v="2"/>
    <n v="0.01"/>
    <n v="0.01"/>
    <n v="0"/>
    <n v="0.01"/>
  </r>
  <r>
    <x v="8"/>
    <x v="6"/>
    <x v="46"/>
    <x v="4"/>
    <x v="4"/>
    <x v="0"/>
    <n v="21.81"/>
    <n v="22.64"/>
    <n v="3.68"/>
    <n v="18.559999999999999"/>
  </r>
  <r>
    <x v="8"/>
    <x v="6"/>
    <x v="46"/>
    <x v="2"/>
    <x v="3"/>
    <x v="3"/>
    <n v="1.17"/>
    <n v="1.21"/>
    <n v="0"/>
    <n v="1.06"/>
  </r>
  <r>
    <x v="8"/>
    <x v="6"/>
    <x v="46"/>
    <x v="2"/>
    <x v="3"/>
    <x v="1"/>
    <n v="2.13"/>
    <n v="2.21"/>
    <n v="0"/>
    <n v="2.13"/>
  </r>
  <r>
    <x v="8"/>
    <x v="6"/>
    <x v="46"/>
    <x v="3"/>
    <x v="4"/>
    <x v="0"/>
    <n v="0.26"/>
    <n v="0.28000000000000003"/>
    <n v="7.0000000000000007E-2"/>
    <n v="0.26"/>
  </r>
  <r>
    <x v="8"/>
    <x v="6"/>
    <x v="46"/>
    <x v="2"/>
    <x v="4"/>
    <x v="0"/>
    <n v="7.59"/>
    <n v="7.88"/>
    <n v="1.52"/>
    <n v="6.78"/>
  </r>
  <r>
    <x v="8"/>
    <x v="6"/>
    <x v="46"/>
    <x v="4"/>
    <x v="1"/>
    <x v="0"/>
    <n v="0.84"/>
    <n v="0.87"/>
    <n v="7.0000000000000007E-2"/>
    <n v="0.7"/>
  </r>
  <r>
    <x v="8"/>
    <x v="6"/>
    <x v="46"/>
    <x v="2"/>
    <x v="0"/>
    <x v="0"/>
    <n v="2.44"/>
    <n v="2.5299999999999998"/>
    <n v="1.03"/>
    <n v="2.3199999999999998"/>
  </r>
  <r>
    <x v="8"/>
    <x v="6"/>
    <x v="46"/>
    <x v="1"/>
    <x v="2"/>
    <x v="0"/>
    <n v="5.88"/>
    <n v="6.11"/>
    <n v="0.04"/>
    <n v="4.8899999999999997"/>
  </r>
  <r>
    <x v="8"/>
    <x v="6"/>
    <x v="46"/>
    <x v="1"/>
    <x v="1"/>
    <x v="0"/>
    <n v="21.91"/>
    <n v="22.74"/>
    <n v="1.06"/>
    <n v="18.93"/>
  </r>
  <r>
    <x v="8"/>
    <x v="6"/>
    <x v="46"/>
    <x v="1"/>
    <x v="4"/>
    <x v="0"/>
    <n v="121.94"/>
    <n v="126.58"/>
    <n v="21.09"/>
    <n v="107.74"/>
  </r>
  <r>
    <x v="8"/>
    <x v="6"/>
    <x v="46"/>
    <x v="1"/>
    <x v="0"/>
    <x v="0"/>
    <n v="7.52"/>
    <n v="7.8"/>
    <n v="3.05"/>
    <n v="6.46"/>
  </r>
  <r>
    <x v="8"/>
    <x v="6"/>
    <x v="46"/>
    <x v="1"/>
    <x v="2"/>
    <x v="1"/>
    <n v="0.38"/>
    <n v="0.4"/>
    <n v="0.04"/>
    <n v="0.33"/>
  </r>
  <r>
    <x v="8"/>
    <x v="6"/>
    <x v="46"/>
    <x v="2"/>
    <x v="4"/>
    <x v="1"/>
    <n v="0.35"/>
    <n v="0.36"/>
    <n v="0"/>
    <n v="0.35"/>
  </r>
  <r>
    <x v="8"/>
    <x v="6"/>
    <x v="46"/>
    <x v="2"/>
    <x v="3"/>
    <x v="0"/>
    <n v="0.93"/>
    <n v="0.97"/>
    <n v="0.01"/>
    <n v="0.93"/>
  </r>
  <r>
    <x v="8"/>
    <x v="6"/>
    <x v="46"/>
    <x v="1"/>
    <x v="1"/>
    <x v="1"/>
    <n v="1.61"/>
    <n v="1.67"/>
    <n v="0.04"/>
    <n v="1.4"/>
  </r>
  <r>
    <x v="8"/>
    <x v="6"/>
    <x v="46"/>
    <x v="0"/>
    <x v="4"/>
    <x v="0"/>
    <n v="18.190000000000001"/>
    <n v="18.88"/>
    <n v="3.43"/>
    <n v="15.58"/>
  </r>
  <r>
    <x v="8"/>
    <x v="6"/>
    <x v="46"/>
    <x v="0"/>
    <x v="0"/>
    <x v="0"/>
    <n v="5.57"/>
    <n v="5.78"/>
    <n v="2.23"/>
    <n v="4.7300000000000004"/>
  </r>
  <r>
    <x v="8"/>
    <x v="6"/>
    <x v="46"/>
    <x v="2"/>
    <x v="3"/>
    <x v="2"/>
    <n v="5.68"/>
    <n v="5.9"/>
    <n v="0.02"/>
    <n v="4.55"/>
  </r>
  <r>
    <x v="8"/>
    <x v="6"/>
    <x v="46"/>
    <x v="1"/>
    <x v="4"/>
    <x v="1"/>
    <n v="0.55000000000000004"/>
    <n v="0.56999999999999995"/>
    <n v="0.01"/>
    <n v="0.47"/>
  </r>
  <r>
    <x v="8"/>
    <x v="6"/>
    <x v="46"/>
    <x v="1"/>
    <x v="0"/>
    <x v="1"/>
    <n v="0.57999999999999996"/>
    <n v="0.6"/>
    <n v="0.01"/>
    <n v="0.5"/>
  </r>
  <r>
    <x v="8"/>
    <x v="6"/>
    <x v="46"/>
    <x v="0"/>
    <x v="4"/>
    <x v="1"/>
    <n v="0.56999999999999995"/>
    <n v="0.59"/>
    <n v="0.06"/>
    <n v="0.49"/>
  </r>
  <r>
    <x v="8"/>
    <x v="6"/>
    <x v="46"/>
    <x v="0"/>
    <x v="0"/>
    <x v="1"/>
    <n v="2.73"/>
    <n v="2.83"/>
    <n v="0.05"/>
    <n v="2.38"/>
  </r>
  <r>
    <x v="8"/>
    <x v="6"/>
    <x v="46"/>
    <x v="4"/>
    <x v="4"/>
    <x v="2"/>
    <n v="0.03"/>
    <n v="0.04"/>
    <n v="0"/>
    <n v="0.03"/>
  </r>
  <r>
    <x v="8"/>
    <x v="6"/>
    <x v="46"/>
    <x v="4"/>
    <x v="4"/>
    <x v="1"/>
    <n v="0.21"/>
    <n v="0.22"/>
    <n v="0.02"/>
    <n v="0.18"/>
  </r>
  <r>
    <x v="8"/>
    <x v="6"/>
    <x v="46"/>
    <x v="4"/>
    <x v="0"/>
    <x v="1"/>
    <n v="0.25"/>
    <n v="0.26"/>
    <n v="0.02"/>
    <n v="0.22"/>
  </r>
  <r>
    <x v="8"/>
    <x v="6"/>
    <x v="46"/>
    <x v="4"/>
    <x v="1"/>
    <x v="2"/>
    <n v="0.08"/>
    <n v="0.08"/>
    <n v="0"/>
    <n v="0.06"/>
  </r>
  <r>
    <x v="8"/>
    <x v="6"/>
    <x v="46"/>
    <x v="4"/>
    <x v="1"/>
    <x v="1"/>
    <n v="0.15"/>
    <n v="0.16"/>
    <n v="0.01"/>
    <n v="0.13"/>
  </r>
  <r>
    <x v="8"/>
    <x v="6"/>
    <x v="46"/>
    <x v="1"/>
    <x v="1"/>
    <x v="2"/>
    <n v="1.1299999999999999"/>
    <n v="1.17"/>
    <n v="0.01"/>
    <n v="0.9"/>
  </r>
  <r>
    <x v="8"/>
    <x v="7"/>
    <x v="47"/>
    <x v="0"/>
    <x v="0"/>
    <x v="1"/>
    <n v="0.2"/>
    <n v="0.39"/>
    <n v="0.01"/>
    <n v="0.18"/>
  </r>
  <r>
    <x v="8"/>
    <x v="7"/>
    <x v="47"/>
    <x v="0"/>
    <x v="4"/>
    <x v="1"/>
    <n v="0.02"/>
    <n v="0.04"/>
    <n v="0"/>
    <n v="0.02"/>
  </r>
  <r>
    <x v="8"/>
    <x v="7"/>
    <x v="47"/>
    <x v="1"/>
    <x v="0"/>
    <x v="1"/>
    <n v="0.04"/>
    <n v="0.08"/>
    <n v="0"/>
    <n v="0.04"/>
  </r>
  <r>
    <x v="8"/>
    <x v="7"/>
    <x v="47"/>
    <x v="1"/>
    <x v="4"/>
    <x v="1"/>
    <n v="0.05"/>
    <n v="0.11"/>
    <n v="0"/>
    <n v="0.05"/>
  </r>
  <r>
    <x v="8"/>
    <x v="7"/>
    <x v="47"/>
    <x v="1"/>
    <x v="1"/>
    <x v="1"/>
    <n v="0.9"/>
    <n v="1.78"/>
    <n v="0.02"/>
    <n v="0.83"/>
  </r>
  <r>
    <x v="8"/>
    <x v="7"/>
    <x v="47"/>
    <x v="1"/>
    <x v="2"/>
    <x v="1"/>
    <n v="0.4"/>
    <n v="0.79"/>
    <n v="0"/>
    <n v="0.36"/>
  </r>
  <r>
    <x v="8"/>
    <x v="7"/>
    <x v="47"/>
    <x v="3"/>
    <x v="4"/>
    <x v="0"/>
    <n v="5.74"/>
    <n v="11.36"/>
    <n v="1.1399999999999999"/>
    <n v="5.27"/>
  </r>
  <r>
    <x v="8"/>
    <x v="7"/>
    <x v="47"/>
    <x v="2"/>
    <x v="3"/>
    <x v="1"/>
    <n v="0.12"/>
    <n v="0.24"/>
    <n v="0"/>
    <n v="0.11"/>
  </r>
  <r>
    <x v="8"/>
    <x v="7"/>
    <x v="47"/>
    <x v="4"/>
    <x v="1"/>
    <x v="0"/>
    <n v="3.27"/>
    <n v="6.47"/>
    <n v="0.24"/>
    <n v="2.99"/>
  </r>
  <r>
    <x v="8"/>
    <x v="7"/>
    <x v="47"/>
    <x v="3"/>
    <x v="1"/>
    <x v="0"/>
    <n v="0.01"/>
    <n v="0.03"/>
    <n v="0"/>
    <n v="0.01"/>
  </r>
  <r>
    <x v="8"/>
    <x v="7"/>
    <x v="47"/>
    <x v="4"/>
    <x v="1"/>
    <x v="1"/>
    <n v="0.14000000000000001"/>
    <n v="0.27"/>
    <n v="0"/>
    <n v="0.12"/>
  </r>
  <r>
    <x v="8"/>
    <x v="7"/>
    <x v="47"/>
    <x v="4"/>
    <x v="4"/>
    <x v="0"/>
    <n v="20.98"/>
    <n v="41.51"/>
    <n v="3.43"/>
    <n v="19.12"/>
  </r>
  <r>
    <x v="8"/>
    <x v="7"/>
    <x v="47"/>
    <x v="0"/>
    <x v="0"/>
    <x v="0"/>
    <n v="1.84"/>
    <n v="3.64"/>
    <n v="1.48"/>
    <n v="1.64"/>
  </r>
  <r>
    <x v="8"/>
    <x v="7"/>
    <x v="47"/>
    <x v="3"/>
    <x v="0"/>
    <x v="0"/>
    <n v="0.17"/>
    <n v="0.33"/>
    <n v="0.1"/>
    <n v="0.16"/>
  </r>
  <r>
    <x v="8"/>
    <x v="7"/>
    <x v="47"/>
    <x v="4"/>
    <x v="4"/>
    <x v="2"/>
    <n v="0.2"/>
    <n v="0.39"/>
    <n v="0"/>
    <n v="0.12"/>
  </r>
  <r>
    <x v="8"/>
    <x v="7"/>
    <x v="47"/>
    <x v="0"/>
    <x v="4"/>
    <x v="0"/>
    <n v="10.61"/>
    <n v="20.99"/>
    <n v="3.44"/>
    <n v="9.6300000000000008"/>
  </r>
  <r>
    <x v="8"/>
    <x v="7"/>
    <x v="47"/>
    <x v="1"/>
    <x v="0"/>
    <x v="0"/>
    <n v="7.65"/>
    <n v="15.14"/>
    <n v="3.8"/>
    <n v="7.06"/>
  </r>
  <r>
    <x v="8"/>
    <x v="7"/>
    <x v="47"/>
    <x v="1"/>
    <x v="4"/>
    <x v="0"/>
    <n v="60.97"/>
    <n v="120.65"/>
    <n v="12.83"/>
    <n v="55.36"/>
  </r>
  <r>
    <x v="8"/>
    <x v="7"/>
    <x v="47"/>
    <x v="1"/>
    <x v="1"/>
    <x v="0"/>
    <n v="8.89"/>
    <n v="17.600000000000001"/>
    <n v="0.6"/>
    <n v="8"/>
  </r>
  <r>
    <x v="8"/>
    <x v="7"/>
    <x v="47"/>
    <x v="1"/>
    <x v="2"/>
    <x v="0"/>
    <n v="2.87"/>
    <n v="5.68"/>
    <n v="0.04"/>
    <n v="2.64"/>
  </r>
  <r>
    <x v="8"/>
    <x v="7"/>
    <x v="47"/>
    <x v="2"/>
    <x v="3"/>
    <x v="0"/>
    <n v="0.05"/>
    <n v="0.09"/>
    <n v="0.02"/>
    <n v="0.05"/>
  </r>
  <r>
    <x v="8"/>
    <x v="7"/>
    <x v="47"/>
    <x v="2"/>
    <x v="4"/>
    <x v="0"/>
    <n v="3.65"/>
    <n v="7.21"/>
    <n v="1.21"/>
    <n v="3.39"/>
  </r>
  <r>
    <x v="8"/>
    <x v="7"/>
    <x v="47"/>
    <x v="4"/>
    <x v="4"/>
    <x v="1"/>
    <n v="0.08"/>
    <n v="0.15"/>
    <n v="0"/>
    <n v="7.0000000000000007E-2"/>
  </r>
  <r>
    <x v="8"/>
    <x v="7"/>
    <x v="47"/>
    <x v="4"/>
    <x v="1"/>
    <x v="2"/>
    <n v="0.01"/>
    <n v="0.01"/>
    <n v="0"/>
    <n v="0"/>
  </r>
  <r>
    <x v="8"/>
    <x v="7"/>
    <x v="47"/>
    <x v="1"/>
    <x v="4"/>
    <x v="2"/>
    <n v="0.32"/>
    <n v="0.63"/>
    <n v="0"/>
    <n v="0.19"/>
  </r>
  <r>
    <x v="8"/>
    <x v="7"/>
    <x v="47"/>
    <x v="1"/>
    <x v="1"/>
    <x v="2"/>
    <n v="0.01"/>
    <n v="0.02"/>
    <n v="0"/>
    <n v="0"/>
  </r>
  <r>
    <x v="8"/>
    <x v="7"/>
    <x v="47"/>
    <x v="2"/>
    <x v="3"/>
    <x v="2"/>
    <n v="0.11"/>
    <n v="0.22"/>
    <n v="0"/>
    <n v="7.0000000000000007E-2"/>
  </r>
  <r>
    <x v="8"/>
    <x v="7"/>
    <x v="47"/>
    <x v="2"/>
    <x v="3"/>
    <x v="3"/>
    <n v="8.64"/>
    <n v="17.11"/>
    <n v="0.01"/>
    <n v="8.64"/>
  </r>
  <r>
    <x v="8"/>
    <x v="7"/>
    <x v="47"/>
    <x v="4"/>
    <x v="0"/>
    <x v="1"/>
    <n v="0"/>
    <n v="0"/>
    <n v="0"/>
    <n v="0"/>
  </r>
  <r>
    <x v="8"/>
    <x v="7"/>
    <x v="47"/>
    <x v="2"/>
    <x v="0"/>
    <x v="0"/>
    <n v="2.2999999999999998"/>
    <n v="4.5599999999999996"/>
    <n v="2.36"/>
    <n v="2.15"/>
  </r>
  <r>
    <x v="8"/>
    <x v="2"/>
    <x v="48"/>
    <x v="4"/>
    <x v="4"/>
    <x v="1"/>
    <n v="4.09"/>
    <n v="4.63"/>
    <n v="0.17"/>
    <n v="3.73"/>
  </r>
  <r>
    <x v="8"/>
    <x v="2"/>
    <x v="48"/>
    <x v="4"/>
    <x v="4"/>
    <x v="2"/>
    <n v="0.37"/>
    <n v="0.42"/>
    <n v="0.05"/>
    <n v="0.3"/>
  </r>
  <r>
    <x v="8"/>
    <x v="2"/>
    <x v="48"/>
    <x v="4"/>
    <x v="1"/>
    <x v="2"/>
    <n v="0.17"/>
    <n v="0.2"/>
    <n v="0.01"/>
    <n v="0.14000000000000001"/>
  </r>
  <r>
    <x v="8"/>
    <x v="2"/>
    <x v="48"/>
    <x v="2"/>
    <x v="4"/>
    <x v="0"/>
    <n v="23.46"/>
    <n v="26.54"/>
    <n v="2.2999999999999998"/>
    <n v="22.09"/>
  </r>
  <r>
    <x v="8"/>
    <x v="2"/>
    <x v="48"/>
    <x v="1"/>
    <x v="4"/>
    <x v="2"/>
    <n v="1.02"/>
    <n v="1.1499999999999999"/>
    <n v="0.04"/>
    <n v="0.82"/>
  </r>
  <r>
    <x v="8"/>
    <x v="2"/>
    <x v="48"/>
    <x v="1"/>
    <x v="1"/>
    <x v="2"/>
    <n v="0"/>
    <n v="0"/>
    <n v="0"/>
    <n v="0"/>
  </r>
  <r>
    <x v="8"/>
    <x v="2"/>
    <x v="48"/>
    <x v="2"/>
    <x v="3"/>
    <x v="2"/>
    <n v="1.68"/>
    <n v="1.9"/>
    <n v="0"/>
    <n v="1.35"/>
  </r>
  <r>
    <x v="8"/>
    <x v="2"/>
    <x v="48"/>
    <x v="4"/>
    <x v="0"/>
    <x v="1"/>
    <n v="0.66"/>
    <n v="0.74"/>
    <n v="0.13"/>
    <n v="0.59"/>
  </r>
  <r>
    <x v="8"/>
    <x v="2"/>
    <x v="48"/>
    <x v="4"/>
    <x v="1"/>
    <x v="1"/>
    <n v="0.65"/>
    <n v="0.74"/>
    <n v="0.05"/>
    <n v="0.62"/>
  </r>
  <r>
    <x v="8"/>
    <x v="2"/>
    <x v="48"/>
    <x v="0"/>
    <x v="0"/>
    <x v="1"/>
    <n v="5.92"/>
    <n v="6.7"/>
    <n v="0.43"/>
    <n v="5.34"/>
  </r>
  <r>
    <x v="8"/>
    <x v="2"/>
    <x v="48"/>
    <x v="0"/>
    <x v="4"/>
    <x v="1"/>
    <n v="5.72"/>
    <n v="6.47"/>
    <n v="0.21"/>
    <n v="5.16"/>
  </r>
  <r>
    <x v="8"/>
    <x v="2"/>
    <x v="48"/>
    <x v="1"/>
    <x v="0"/>
    <x v="1"/>
    <n v="3.07"/>
    <n v="3.48"/>
    <n v="0.5"/>
    <n v="2.97"/>
  </r>
  <r>
    <x v="8"/>
    <x v="2"/>
    <x v="48"/>
    <x v="1"/>
    <x v="4"/>
    <x v="1"/>
    <n v="2.27"/>
    <n v="2.56"/>
    <n v="0.3"/>
    <n v="2.25"/>
  </r>
  <r>
    <x v="8"/>
    <x v="2"/>
    <x v="48"/>
    <x v="1"/>
    <x v="1"/>
    <x v="1"/>
    <n v="5.62"/>
    <n v="6.35"/>
    <n v="0.19"/>
    <n v="5.36"/>
  </r>
  <r>
    <x v="8"/>
    <x v="2"/>
    <x v="48"/>
    <x v="1"/>
    <x v="2"/>
    <x v="1"/>
    <n v="20.59"/>
    <n v="23.29"/>
    <n v="0.28000000000000003"/>
    <n v="19.34"/>
  </r>
  <r>
    <x v="8"/>
    <x v="2"/>
    <x v="48"/>
    <x v="4"/>
    <x v="2"/>
    <x v="2"/>
    <n v="0.15"/>
    <n v="0.17"/>
    <n v="0"/>
    <n v="0.12"/>
  </r>
  <r>
    <x v="8"/>
    <x v="2"/>
    <x v="48"/>
    <x v="2"/>
    <x v="3"/>
    <x v="3"/>
    <n v="86.87"/>
    <n v="98.26"/>
    <n v="0.06"/>
    <n v="86.86"/>
  </r>
  <r>
    <x v="8"/>
    <x v="2"/>
    <x v="48"/>
    <x v="2"/>
    <x v="0"/>
    <x v="0"/>
    <n v="18.309999999999999"/>
    <n v="20.71"/>
    <n v="7.99"/>
    <n v="17.510000000000002"/>
  </r>
  <r>
    <x v="8"/>
    <x v="2"/>
    <x v="48"/>
    <x v="2"/>
    <x v="3"/>
    <x v="1"/>
    <n v="13.35"/>
    <n v="15.1"/>
    <n v="0.05"/>
    <n v="12.15"/>
  </r>
  <r>
    <x v="8"/>
    <x v="2"/>
    <x v="48"/>
    <x v="1"/>
    <x v="2"/>
    <x v="0"/>
    <n v="49.51"/>
    <n v="56.01"/>
    <n v="0.43"/>
    <n v="45.02"/>
  </r>
  <r>
    <x v="8"/>
    <x v="2"/>
    <x v="48"/>
    <x v="1"/>
    <x v="1"/>
    <x v="0"/>
    <n v="141.05000000000001"/>
    <n v="159.56"/>
    <n v="8.23"/>
    <n v="132.22999999999999"/>
  </r>
  <r>
    <x v="8"/>
    <x v="2"/>
    <x v="48"/>
    <x v="1"/>
    <x v="4"/>
    <x v="0"/>
    <n v="786.13"/>
    <n v="889.27"/>
    <n v="111.54"/>
    <n v="735.88"/>
  </r>
  <r>
    <x v="8"/>
    <x v="2"/>
    <x v="48"/>
    <x v="1"/>
    <x v="0"/>
    <x v="0"/>
    <n v="47.03"/>
    <n v="53.2"/>
    <n v="23.23"/>
    <n v="44.28"/>
  </r>
  <r>
    <x v="8"/>
    <x v="2"/>
    <x v="48"/>
    <x v="0"/>
    <x v="4"/>
    <x v="0"/>
    <n v="47.97"/>
    <n v="54.27"/>
    <n v="11.87"/>
    <n v="44.91"/>
  </r>
  <r>
    <x v="8"/>
    <x v="2"/>
    <x v="48"/>
    <x v="0"/>
    <x v="0"/>
    <x v="0"/>
    <n v="9.68"/>
    <n v="10.95"/>
    <n v="4.92"/>
    <n v="8.9"/>
  </r>
  <r>
    <x v="8"/>
    <x v="2"/>
    <x v="48"/>
    <x v="4"/>
    <x v="1"/>
    <x v="0"/>
    <n v="72.900000000000006"/>
    <n v="82.47"/>
    <n v="3.13"/>
    <n v="69.040000000000006"/>
  </r>
  <r>
    <x v="8"/>
    <x v="2"/>
    <x v="48"/>
    <x v="2"/>
    <x v="3"/>
    <x v="0"/>
    <n v="1.53"/>
    <n v="1.73"/>
    <n v="0.01"/>
    <n v="1.53"/>
  </r>
  <r>
    <x v="8"/>
    <x v="2"/>
    <x v="48"/>
    <x v="4"/>
    <x v="4"/>
    <x v="0"/>
    <n v="366.84"/>
    <n v="414.97"/>
    <n v="34.47"/>
    <n v="346.19"/>
  </r>
  <r>
    <x v="8"/>
    <x v="2"/>
    <x v="48"/>
    <x v="3"/>
    <x v="1"/>
    <x v="0"/>
    <n v="9.8699999999999992"/>
    <n v="11.17"/>
    <n v="0.56999999999999995"/>
    <n v="9.6199999999999992"/>
  </r>
  <r>
    <x v="8"/>
    <x v="2"/>
    <x v="48"/>
    <x v="3"/>
    <x v="4"/>
    <x v="0"/>
    <n v="132.06"/>
    <n v="149.38999999999999"/>
    <n v="21.51"/>
    <n v="125.93"/>
  </r>
  <r>
    <x v="8"/>
    <x v="2"/>
    <x v="48"/>
    <x v="3"/>
    <x v="0"/>
    <x v="0"/>
    <n v="18.89"/>
    <n v="21.37"/>
    <n v="8.94"/>
    <n v="18.62"/>
  </r>
  <r>
    <x v="8"/>
    <x v="3"/>
    <x v="49"/>
    <x v="1"/>
    <x v="4"/>
    <x v="2"/>
    <n v="3.38"/>
    <n v="3.38"/>
    <n v="0.19"/>
    <n v="3.03"/>
  </r>
  <r>
    <x v="8"/>
    <x v="3"/>
    <x v="49"/>
    <x v="1"/>
    <x v="0"/>
    <x v="1"/>
    <n v="30.59"/>
    <n v="30.59"/>
    <n v="2.2200000000000002"/>
    <n v="27.25"/>
  </r>
  <r>
    <x v="8"/>
    <x v="3"/>
    <x v="49"/>
    <x v="0"/>
    <x v="4"/>
    <x v="1"/>
    <n v="5.82"/>
    <n v="5.82"/>
    <n v="0.27"/>
    <n v="5.33"/>
  </r>
  <r>
    <x v="8"/>
    <x v="3"/>
    <x v="49"/>
    <x v="0"/>
    <x v="0"/>
    <x v="1"/>
    <n v="25.73"/>
    <n v="25.73"/>
    <n v="1.28"/>
    <n v="23.56"/>
  </r>
  <r>
    <x v="8"/>
    <x v="3"/>
    <x v="49"/>
    <x v="4"/>
    <x v="1"/>
    <x v="1"/>
    <n v="6.04"/>
    <n v="6.04"/>
    <n v="0.55000000000000004"/>
    <n v="5.5"/>
  </r>
  <r>
    <x v="8"/>
    <x v="3"/>
    <x v="49"/>
    <x v="4"/>
    <x v="4"/>
    <x v="1"/>
    <n v="30.33"/>
    <n v="30.33"/>
    <n v="2.58"/>
    <n v="27.33"/>
  </r>
  <r>
    <x v="8"/>
    <x v="3"/>
    <x v="49"/>
    <x v="4"/>
    <x v="0"/>
    <x v="1"/>
    <n v="9.0299999999999994"/>
    <n v="9.0299999999999994"/>
    <n v="2.02"/>
    <n v="8.14"/>
  </r>
  <r>
    <x v="8"/>
    <x v="3"/>
    <x v="49"/>
    <x v="2"/>
    <x v="3"/>
    <x v="3"/>
    <n v="1491.44"/>
    <n v="1491.44"/>
    <n v="0.5"/>
    <n v="1475.17"/>
  </r>
  <r>
    <x v="8"/>
    <x v="3"/>
    <x v="49"/>
    <x v="2"/>
    <x v="3"/>
    <x v="2"/>
    <n v="100.17"/>
    <n v="100.17"/>
    <n v="0.14000000000000001"/>
    <n v="91.51"/>
  </r>
  <r>
    <x v="8"/>
    <x v="3"/>
    <x v="49"/>
    <x v="2"/>
    <x v="1"/>
    <x v="2"/>
    <n v="2.34"/>
    <n v="2.34"/>
    <n v="0.01"/>
    <n v="2.21"/>
  </r>
  <r>
    <x v="8"/>
    <x v="3"/>
    <x v="49"/>
    <x v="4"/>
    <x v="4"/>
    <x v="2"/>
    <n v="17.46"/>
    <n v="17.46"/>
    <n v="0.64"/>
    <n v="15.68"/>
  </r>
  <r>
    <x v="8"/>
    <x v="3"/>
    <x v="49"/>
    <x v="1"/>
    <x v="1"/>
    <x v="2"/>
    <n v="0.78"/>
    <n v="0.78"/>
    <n v="0.05"/>
    <n v="0.73"/>
  </r>
  <r>
    <x v="8"/>
    <x v="3"/>
    <x v="49"/>
    <x v="4"/>
    <x v="1"/>
    <x v="0"/>
    <n v="553.73"/>
    <n v="553.73"/>
    <n v="23.07"/>
    <n v="526.37"/>
  </r>
  <r>
    <x v="8"/>
    <x v="3"/>
    <x v="49"/>
    <x v="4"/>
    <x v="2"/>
    <x v="2"/>
    <n v="11.74"/>
    <n v="11.74"/>
    <n v="0.11"/>
    <n v="10.51"/>
  </r>
  <r>
    <x v="8"/>
    <x v="3"/>
    <x v="49"/>
    <x v="4"/>
    <x v="1"/>
    <x v="2"/>
    <n v="7.41"/>
    <n v="7.41"/>
    <n v="0.1"/>
    <n v="6.63"/>
  </r>
  <r>
    <x v="8"/>
    <x v="3"/>
    <x v="49"/>
    <x v="1"/>
    <x v="4"/>
    <x v="1"/>
    <n v="10.27"/>
    <n v="10.27"/>
    <n v="0.54"/>
    <n v="9.1199999999999992"/>
  </r>
  <r>
    <x v="8"/>
    <x v="3"/>
    <x v="49"/>
    <x v="1"/>
    <x v="2"/>
    <x v="2"/>
    <n v="0.12"/>
    <n v="0.12"/>
    <n v="0.01"/>
    <n v="0.11"/>
  </r>
  <r>
    <x v="8"/>
    <x v="3"/>
    <x v="49"/>
    <x v="1"/>
    <x v="1"/>
    <x v="0"/>
    <n v="1124.6099999999999"/>
    <n v="1124.6099999999999"/>
    <n v="82.05"/>
    <n v="1066.1199999999999"/>
  </r>
  <r>
    <x v="8"/>
    <x v="3"/>
    <x v="49"/>
    <x v="2"/>
    <x v="2"/>
    <x v="0"/>
    <n v="0.62"/>
    <n v="0.62"/>
    <n v="0.06"/>
    <n v="0.61"/>
  </r>
  <r>
    <x v="8"/>
    <x v="3"/>
    <x v="49"/>
    <x v="2"/>
    <x v="4"/>
    <x v="0"/>
    <n v="267.2"/>
    <n v="267.2"/>
    <n v="73.67"/>
    <n v="263.51"/>
  </r>
  <r>
    <x v="8"/>
    <x v="3"/>
    <x v="49"/>
    <x v="4"/>
    <x v="0"/>
    <x v="0"/>
    <n v="2.67"/>
    <n v="2.67"/>
    <n v="1.82"/>
    <n v="2.41"/>
  </r>
  <r>
    <x v="8"/>
    <x v="3"/>
    <x v="49"/>
    <x v="1"/>
    <x v="2"/>
    <x v="0"/>
    <n v="467.45"/>
    <n v="467.45"/>
    <n v="2.46"/>
    <n v="429.82"/>
  </r>
  <r>
    <x v="8"/>
    <x v="3"/>
    <x v="49"/>
    <x v="1"/>
    <x v="1"/>
    <x v="1"/>
    <n v="71.040000000000006"/>
    <n v="71.040000000000006"/>
    <n v="1.7"/>
    <n v="64.17"/>
  </r>
  <r>
    <x v="8"/>
    <x v="3"/>
    <x v="49"/>
    <x v="1"/>
    <x v="4"/>
    <x v="0"/>
    <n v="7421.28"/>
    <n v="7421.28"/>
    <n v="1437.71"/>
    <n v="7106.25"/>
  </r>
  <r>
    <x v="8"/>
    <x v="3"/>
    <x v="49"/>
    <x v="1"/>
    <x v="0"/>
    <x v="0"/>
    <n v="565.49"/>
    <n v="565.49"/>
    <n v="333.31"/>
    <n v="547.16"/>
  </r>
  <r>
    <x v="8"/>
    <x v="3"/>
    <x v="49"/>
    <x v="0"/>
    <x v="4"/>
    <x v="0"/>
    <n v="321.29000000000002"/>
    <n v="321.29000000000002"/>
    <n v="125.9"/>
    <n v="312.45999999999998"/>
  </r>
  <r>
    <x v="8"/>
    <x v="3"/>
    <x v="49"/>
    <x v="0"/>
    <x v="0"/>
    <x v="0"/>
    <n v="17.64"/>
    <n v="17.64"/>
    <n v="4.96"/>
    <n v="16.46"/>
  </r>
  <r>
    <x v="8"/>
    <x v="3"/>
    <x v="49"/>
    <x v="4"/>
    <x v="4"/>
    <x v="0"/>
    <n v="2085.7399999999998"/>
    <n v="2085.7399999999998"/>
    <n v="225.52"/>
    <n v="1971.55"/>
  </r>
  <r>
    <x v="8"/>
    <x v="3"/>
    <x v="49"/>
    <x v="1"/>
    <x v="2"/>
    <x v="1"/>
    <n v="198.81"/>
    <n v="198.81"/>
    <n v="1.32"/>
    <n v="180.03"/>
  </r>
  <r>
    <x v="8"/>
    <x v="3"/>
    <x v="49"/>
    <x v="3"/>
    <x v="1"/>
    <x v="0"/>
    <n v="294.55"/>
    <n v="294.55"/>
    <n v="25.74"/>
    <n v="294.55"/>
  </r>
  <r>
    <x v="8"/>
    <x v="3"/>
    <x v="49"/>
    <x v="3"/>
    <x v="4"/>
    <x v="0"/>
    <n v="7388.69"/>
    <n v="7388.69"/>
    <n v="2233.35"/>
    <n v="7268.1"/>
  </r>
  <r>
    <x v="8"/>
    <x v="3"/>
    <x v="49"/>
    <x v="3"/>
    <x v="0"/>
    <x v="0"/>
    <n v="499.22"/>
    <n v="499.22"/>
    <n v="361.26"/>
    <n v="490.29"/>
  </r>
  <r>
    <x v="8"/>
    <x v="3"/>
    <x v="49"/>
    <x v="2"/>
    <x v="3"/>
    <x v="1"/>
    <n v="36.28"/>
    <n v="36.28"/>
    <n v="0.08"/>
    <n v="33.49"/>
  </r>
  <r>
    <x v="8"/>
    <x v="3"/>
    <x v="49"/>
    <x v="2"/>
    <x v="4"/>
    <x v="1"/>
    <n v="0.57999999999999996"/>
    <n v="0.57999999999999996"/>
    <n v="0.01"/>
    <n v="0.55000000000000004"/>
  </r>
  <r>
    <x v="8"/>
    <x v="3"/>
    <x v="49"/>
    <x v="4"/>
    <x v="3"/>
    <x v="0"/>
    <n v="44.67"/>
    <n v="44.67"/>
    <n v="0.84"/>
    <n v="44.67"/>
  </r>
  <r>
    <x v="8"/>
    <x v="3"/>
    <x v="49"/>
    <x v="2"/>
    <x v="0"/>
    <x v="0"/>
    <n v="237.57"/>
    <n v="237.57"/>
    <n v="122.31"/>
    <n v="229.71"/>
  </r>
  <r>
    <x v="9"/>
    <x v="0"/>
    <x v="0"/>
    <x v="4"/>
    <x v="4"/>
    <x v="1"/>
    <n v="0.12"/>
    <n v="0.41"/>
    <n v="0.01"/>
    <n v="0.11"/>
  </r>
  <r>
    <x v="9"/>
    <x v="0"/>
    <x v="0"/>
    <x v="4"/>
    <x v="4"/>
    <x v="2"/>
    <n v="0.01"/>
    <n v="0.04"/>
    <n v="0"/>
    <n v="0.01"/>
  </r>
  <r>
    <x v="9"/>
    <x v="0"/>
    <x v="0"/>
    <x v="4"/>
    <x v="1"/>
    <x v="2"/>
    <n v="0.01"/>
    <n v="0.02"/>
    <n v="0"/>
    <n v="0.01"/>
  </r>
  <r>
    <x v="9"/>
    <x v="0"/>
    <x v="0"/>
    <x v="4"/>
    <x v="2"/>
    <x v="2"/>
    <n v="0"/>
    <n v="0.02"/>
    <n v="0"/>
    <n v="0"/>
  </r>
  <r>
    <x v="9"/>
    <x v="0"/>
    <x v="0"/>
    <x v="1"/>
    <x v="4"/>
    <x v="2"/>
    <n v="0.14000000000000001"/>
    <n v="0.49"/>
    <n v="0.01"/>
    <n v="0.13"/>
  </r>
  <r>
    <x v="9"/>
    <x v="0"/>
    <x v="0"/>
    <x v="1"/>
    <x v="1"/>
    <x v="2"/>
    <n v="0"/>
    <n v="0"/>
    <n v="0"/>
    <n v="0"/>
  </r>
  <r>
    <x v="9"/>
    <x v="0"/>
    <x v="0"/>
    <x v="2"/>
    <x v="3"/>
    <x v="2"/>
    <n v="0"/>
    <n v="0.01"/>
    <n v="0"/>
    <n v="0"/>
  </r>
  <r>
    <x v="9"/>
    <x v="0"/>
    <x v="0"/>
    <x v="4"/>
    <x v="0"/>
    <x v="1"/>
    <n v="0.46"/>
    <n v="1.59"/>
    <n v="0.04"/>
    <n v="0.44"/>
  </r>
  <r>
    <x v="9"/>
    <x v="0"/>
    <x v="0"/>
    <x v="4"/>
    <x v="1"/>
    <x v="1"/>
    <n v="0.02"/>
    <n v="0.08"/>
    <n v="0"/>
    <n v="0.02"/>
  </r>
  <r>
    <x v="9"/>
    <x v="0"/>
    <x v="0"/>
    <x v="0"/>
    <x v="0"/>
    <x v="1"/>
    <n v="0.71"/>
    <n v="2.4700000000000002"/>
    <n v="0.02"/>
    <n v="0.68"/>
  </r>
  <r>
    <x v="9"/>
    <x v="0"/>
    <x v="0"/>
    <x v="0"/>
    <x v="4"/>
    <x v="1"/>
    <n v="0.04"/>
    <n v="0.13"/>
    <n v="0.01"/>
    <n v="0.04"/>
  </r>
  <r>
    <x v="9"/>
    <x v="0"/>
    <x v="0"/>
    <x v="1"/>
    <x v="0"/>
    <x v="1"/>
    <n v="0.04"/>
    <n v="0.13"/>
    <n v="0"/>
    <n v="0.04"/>
  </r>
  <r>
    <x v="9"/>
    <x v="0"/>
    <x v="0"/>
    <x v="1"/>
    <x v="4"/>
    <x v="1"/>
    <n v="0.15"/>
    <n v="0.52"/>
    <n v="0.01"/>
    <n v="0.14000000000000001"/>
  </r>
  <r>
    <x v="9"/>
    <x v="0"/>
    <x v="0"/>
    <x v="1"/>
    <x v="1"/>
    <x v="1"/>
    <n v="2.46"/>
    <n v="8.5500000000000007"/>
    <n v="0.08"/>
    <n v="2.35"/>
  </r>
  <r>
    <x v="9"/>
    <x v="0"/>
    <x v="0"/>
    <x v="1"/>
    <x v="2"/>
    <x v="1"/>
    <n v="2.66"/>
    <n v="9.25"/>
    <n v="0.02"/>
    <n v="2.54"/>
  </r>
  <r>
    <x v="9"/>
    <x v="0"/>
    <x v="0"/>
    <x v="1"/>
    <x v="0"/>
    <x v="0"/>
    <n v="1.37"/>
    <n v="4.76"/>
    <n v="0.78"/>
    <n v="1.31"/>
  </r>
  <r>
    <x v="9"/>
    <x v="0"/>
    <x v="0"/>
    <x v="2"/>
    <x v="3"/>
    <x v="3"/>
    <n v="4.74"/>
    <n v="16.48"/>
    <n v="0"/>
    <n v="4.45"/>
  </r>
  <r>
    <x v="9"/>
    <x v="0"/>
    <x v="0"/>
    <x v="3"/>
    <x v="4"/>
    <x v="0"/>
    <n v="3"/>
    <n v="10.44"/>
    <n v="1.1100000000000001"/>
    <n v="2.84"/>
  </r>
  <r>
    <x v="9"/>
    <x v="0"/>
    <x v="0"/>
    <x v="2"/>
    <x v="0"/>
    <x v="0"/>
    <n v="1.01"/>
    <n v="3.52"/>
    <n v="1.37"/>
    <n v="0.95"/>
  </r>
  <r>
    <x v="9"/>
    <x v="0"/>
    <x v="0"/>
    <x v="1"/>
    <x v="2"/>
    <x v="0"/>
    <n v="3.21"/>
    <n v="11.15"/>
    <n v="7.0000000000000007E-2"/>
    <n v="3.03"/>
  </r>
  <r>
    <x v="9"/>
    <x v="0"/>
    <x v="0"/>
    <x v="1"/>
    <x v="4"/>
    <x v="0"/>
    <n v="26.18"/>
    <n v="91.04"/>
    <n v="6.57"/>
    <n v="24.85"/>
  </r>
  <r>
    <x v="9"/>
    <x v="0"/>
    <x v="0"/>
    <x v="2"/>
    <x v="4"/>
    <x v="0"/>
    <n v="0.76"/>
    <n v="2.65"/>
    <n v="0.36"/>
    <n v="0.72"/>
  </r>
  <r>
    <x v="9"/>
    <x v="0"/>
    <x v="0"/>
    <x v="0"/>
    <x v="4"/>
    <x v="0"/>
    <n v="2.48"/>
    <n v="8.6300000000000008"/>
    <n v="1.1000000000000001"/>
    <n v="2.39"/>
  </r>
  <r>
    <x v="9"/>
    <x v="0"/>
    <x v="0"/>
    <x v="0"/>
    <x v="0"/>
    <x v="0"/>
    <n v="0.43"/>
    <n v="1.49"/>
    <n v="1.02"/>
    <n v="0.41"/>
  </r>
  <r>
    <x v="9"/>
    <x v="0"/>
    <x v="0"/>
    <x v="4"/>
    <x v="3"/>
    <x v="0"/>
    <n v="2.76"/>
    <n v="9.59"/>
    <n v="0.05"/>
    <n v="2.76"/>
  </r>
  <r>
    <x v="9"/>
    <x v="0"/>
    <x v="0"/>
    <x v="4"/>
    <x v="1"/>
    <x v="0"/>
    <n v="2.23"/>
    <n v="7.74"/>
    <n v="0.51"/>
    <n v="2.09"/>
  </r>
  <r>
    <x v="9"/>
    <x v="0"/>
    <x v="0"/>
    <x v="4"/>
    <x v="4"/>
    <x v="0"/>
    <n v="5.92"/>
    <n v="20.59"/>
    <n v="2.59"/>
    <n v="5.58"/>
  </r>
  <r>
    <x v="9"/>
    <x v="0"/>
    <x v="0"/>
    <x v="4"/>
    <x v="0"/>
    <x v="0"/>
    <n v="0.12"/>
    <n v="0.43"/>
    <n v="0.05"/>
    <n v="0.11"/>
  </r>
  <r>
    <x v="9"/>
    <x v="0"/>
    <x v="0"/>
    <x v="3"/>
    <x v="1"/>
    <x v="0"/>
    <n v="0.01"/>
    <n v="0.02"/>
    <n v="0"/>
    <n v="0.01"/>
  </r>
  <r>
    <x v="9"/>
    <x v="0"/>
    <x v="0"/>
    <x v="1"/>
    <x v="1"/>
    <x v="0"/>
    <n v="6.25"/>
    <n v="21.75"/>
    <n v="0.48"/>
    <n v="5.92"/>
  </r>
  <r>
    <x v="9"/>
    <x v="1"/>
    <x v="1"/>
    <x v="1"/>
    <x v="2"/>
    <x v="1"/>
    <n v="39.74"/>
    <n v="48.22"/>
    <n v="0.26"/>
    <n v="33.979999999999997"/>
  </r>
  <r>
    <x v="9"/>
    <x v="1"/>
    <x v="1"/>
    <x v="1"/>
    <x v="1"/>
    <x v="1"/>
    <n v="0.84"/>
    <n v="1.02"/>
    <n v="0.01"/>
    <n v="0.71"/>
  </r>
  <r>
    <x v="9"/>
    <x v="1"/>
    <x v="1"/>
    <x v="4"/>
    <x v="4"/>
    <x v="1"/>
    <n v="2.5"/>
    <n v="3.04"/>
    <n v="0.16"/>
    <n v="2.1"/>
  </r>
  <r>
    <x v="9"/>
    <x v="1"/>
    <x v="1"/>
    <x v="1"/>
    <x v="4"/>
    <x v="1"/>
    <n v="0.68"/>
    <n v="0.83"/>
    <n v="0.03"/>
    <n v="0.57999999999999996"/>
  </r>
  <r>
    <x v="9"/>
    <x v="1"/>
    <x v="1"/>
    <x v="1"/>
    <x v="0"/>
    <x v="1"/>
    <n v="4.08"/>
    <n v="4.95"/>
    <n v="0.23"/>
    <n v="3.47"/>
  </r>
  <r>
    <x v="9"/>
    <x v="1"/>
    <x v="1"/>
    <x v="0"/>
    <x v="4"/>
    <x v="1"/>
    <n v="2.78"/>
    <n v="3.37"/>
    <n v="0.05"/>
    <n v="2.33"/>
  </r>
  <r>
    <x v="9"/>
    <x v="1"/>
    <x v="1"/>
    <x v="0"/>
    <x v="0"/>
    <x v="1"/>
    <n v="1.22"/>
    <n v="1.48"/>
    <n v="0.05"/>
    <n v="1.08"/>
  </r>
  <r>
    <x v="9"/>
    <x v="1"/>
    <x v="1"/>
    <x v="4"/>
    <x v="1"/>
    <x v="1"/>
    <n v="1.69"/>
    <n v="2.0499999999999998"/>
    <n v="0.13"/>
    <n v="1.44"/>
  </r>
  <r>
    <x v="9"/>
    <x v="1"/>
    <x v="1"/>
    <x v="4"/>
    <x v="0"/>
    <x v="1"/>
    <n v="0.69"/>
    <n v="0.83"/>
    <n v="0.12"/>
    <n v="0.57999999999999996"/>
  </r>
  <r>
    <x v="9"/>
    <x v="1"/>
    <x v="1"/>
    <x v="2"/>
    <x v="3"/>
    <x v="3"/>
    <n v="28.26"/>
    <n v="34.29"/>
    <n v="0.02"/>
    <n v="24.4"/>
  </r>
  <r>
    <x v="9"/>
    <x v="1"/>
    <x v="1"/>
    <x v="2"/>
    <x v="3"/>
    <x v="2"/>
    <n v="0.06"/>
    <n v="0.08"/>
    <n v="0.01"/>
    <n v="0.06"/>
  </r>
  <r>
    <x v="9"/>
    <x v="1"/>
    <x v="1"/>
    <x v="1"/>
    <x v="1"/>
    <x v="2"/>
    <n v="0.5"/>
    <n v="0.61"/>
    <n v="0.01"/>
    <n v="0.4"/>
  </r>
  <r>
    <x v="9"/>
    <x v="1"/>
    <x v="1"/>
    <x v="1"/>
    <x v="4"/>
    <x v="2"/>
    <n v="0.14000000000000001"/>
    <n v="0.17"/>
    <n v="0.01"/>
    <n v="0.11"/>
  </r>
  <r>
    <x v="9"/>
    <x v="1"/>
    <x v="1"/>
    <x v="4"/>
    <x v="4"/>
    <x v="2"/>
    <n v="7.0000000000000007E-2"/>
    <n v="0.09"/>
    <n v="0.01"/>
    <n v="7.0000000000000007E-2"/>
  </r>
  <r>
    <x v="9"/>
    <x v="1"/>
    <x v="1"/>
    <x v="2"/>
    <x v="4"/>
    <x v="1"/>
    <n v="1.72"/>
    <n v="2.09"/>
    <n v="0.01"/>
    <n v="1.72"/>
  </r>
  <r>
    <x v="9"/>
    <x v="1"/>
    <x v="1"/>
    <x v="2"/>
    <x v="3"/>
    <x v="0"/>
    <n v="6.9"/>
    <n v="8.3699999999999992"/>
    <n v="0.05"/>
    <n v="6.9"/>
  </r>
  <r>
    <x v="9"/>
    <x v="1"/>
    <x v="1"/>
    <x v="4"/>
    <x v="1"/>
    <x v="2"/>
    <n v="0.26"/>
    <n v="0.32"/>
    <n v="0.01"/>
    <n v="0.21"/>
  </r>
  <r>
    <x v="9"/>
    <x v="1"/>
    <x v="1"/>
    <x v="1"/>
    <x v="4"/>
    <x v="0"/>
    <n v="266.70999999999998"/>
    <n v="323.63"/>
    <n v="40.28"/>
    <n v="241.45"/>
  </r>
  <r>
    <x v="9"/>
    <x v="1"/>
    <x v="1"/>
    <x v="2"/>
    <x v="4"/>
    <x v="0"/>
    <n v="30.95"/>
    <n v="37.56"/>
    <n v="8.15"/>
    <n v="30.33"/>
  </r>
  <r>
    <x v="9"/>
    <x v="1"/>
    <x v="1"/>
    <x v="2"/>
    <x v="0"/>
    <x v="0"/>
    <n v="7.58"/>
    <n v="9.1999999999999993"/>
    <n v="4.71"/>
    <n v="7.5"/>
  </r>
  <r>
    <x v="9"/>
    <x v="1"/>
    <x v="1"/>
    <x v="1"/>
    <x v="1"/>
    <x v="0"/>
    <n v="46.22"/>
    <n v="56.09"/>
    <n v="2.75"/>
    <n v="41.05"/>
  </r>
  <r>
    <x v="9"/>
    <x v="1"/>
    <x v="1"/>
    <x v="2"/>
    <x v="3"/>
    <x v="1"/>
    <n v="3.96"/>
    <n v="4.8099999999999996"/>
    <n v="0.02"/>
    <n v="3.41"/>
  </r>
  <r>
    <x v="9"/>
    <x v="1"/>
    <x v="1"/>
    <x v="1"/>
    <x v="0"/>
    <x v="0"/>
    <n v="5.89"/>
    <n v="7.14"/>
    <n v="3.96"/>
    <n v="5.52"/>
  </r>
  <r>
    <x v="9"/>
    <x v="1"/>
    <x v="1"/>
    <x v="0"/>
    <x v="4"/>
    <x v="0"/>
    <n v="12.53"/>
    <n v="15.2"/>
    <n v="2.91"/>
    <n v="10.91"/>
  </r>
  <r>
    <x v="9"/>
    <x v="1"/>
    <x v="1"/>
    <x v="0"/>
    <x v="0"/>
    <x v="0"/>
    <n v="10.17"/>
    <n v="12.34"/>
    <n v="5.34"/>
    <n v="8.7100000000000009"/>
  </r>
  <r>
    <x v="9"/>
    <x v="1"/>
    <x v="1"/>
    <x v="4"/>
    <x v="1"/>
    <x v="0"/>
    <n v="62.5"/>
    <n v="75.83"/>
    <n v="2.44"/>
    <n v="56.69"/>
  </r>
  <r>
    <x v="9"/>
    <x v="1"/>
    <x v="1"/>
    <x v="4"/>
    <x v="4"/>
    <x v="0"/>
    <n v="117.01"/>
    <n v="141.97999999999999"/>
    <n v="14.1"/>
    <n v="104.9"/>
  </r>
  <r>
    <x v="9"/>
    <x v="1"/>
    <x v="1"/>
    <x v="3"/>
    <x v="4"/>
    <x v="0"/>
    <n v="72.31"/>
    <n v="87.73"/>
    <n v="12.04"/>
    <n v="71.19"/>
  </r>
  <r>
    <x v="9"/>
    <x v="1"/>
    <x v="1"/>
    <x v="3"/>
    <x v="0"/>
    <x v="0"/>
    <n v="3.79"/>
    <n v="4.5999999999999996"/>
    <n v="1.2"/>
    <n v="3.79"/>
  </r>
  <r>
    <x v="9"/>
    <x v="1"/>
    <x v="1"/>
    <x v="1"/>
    <x v="2"/>
    <x v="0"/>
    <n v="43.33"/>
    <n v="52.58"/>
    <n v="0.24"/>
    <n v="36.92"/>
  </r>
  <r>
    <x v="9"/>
    <x v="2"/>
    <x v="2"/>
    <x v="4"/>
    <x v="1"/>
    <x v="2"/>
    <n v="0.15"/>
    <n v="0.16"/>
    <n v="0"/>
    <n v="0.12"/>
  </r>
  <r>
    <x v="9"/>
    <x v="2"/>
    <x v="2"/>
    <x v="4"/>
    <x v="4"/>
    <x v="1"/>
    <n v="0.05"/>
    <n v="0.05"/>
    <n v="0"/>
    <n v="0.04"/>
  </r>
  <r>
    <x v="9"/>
    <x v="2"/>
    <x v="2"/>
    <x v="4"/>
    <x v="0"/>
    <x v="1"/>
    <n v="0.01"/>
    <n v="0.01"/>
    <n v="0"/>
    <n v="0.01"/>
  </r>
  <r>
    <x v="9"/>
    <x v="2"/>
    <x v="2"/>
    <x v="4"/>
    <x v="4"/>
    <x v="2"/>
    <n v="0.27"/>
    <n v="0.3"/>
    <n v="0.01"/>
    <n v="0.23"/>
  </r>
  <r>
    <x v="9"/>
    <x v="2"/>
    <x v="2"/>
    <x v="4"/>
    <x v="2"/>
    <x v="2"/>
    <n v="0.03"/>
    <n v="0.03"/>
    <n v="0"/>
    <n v="0.02"/>
  </r>
  <r>
    <x v="9"/>
    <x v="2"/>
    <x v="2"/>
    <x v="2"/>
    <x v="3"/>
    <x v="3"/>
    <n v="5.45"/>
    <n v="5.94"/>
    <n v="0"/>
    <n v="5.45"/>
  </r>
  <r>
    <x v="9"/>
    <x v="2"/>
    <x v="2"/>
    <x v="1"/>
    <x v="0"/>
    <x v="0"/>
    <n v="5.03"/>
    <n v="5.48"/>
    <n v="2.0099999999999998"/>
    <n v="4.87"/>
  </r>
  <r>
    <x v="9"/>
    <x v="2"/>
    <x v="2"/>
    <x v="2"/>
    <x v="3"/>
    <x v="1"/>
    <n v="0"/>
    <n v="0"/>
    <n v="0"/>
    <n v="0"/>
  </r>
  <r>
    <x v="9"/>
    <x v="2"/>
    <x v="2"/>
    <x v="3"/>
    <x v="0"/>
    <x v="0"/>
    <n v="2.17"/>
    <n v="2.36"/>
    <n v="0.35"/>
    <n v="2.2000000000000002"/>
  </r>
  <r>
    <x v="9"/>
    <x v="2"/>
    <x v="2"/>
    <x v="0"/>
    <x v="0"/>
    <x v="1"/>
    <n v="0.2"/>
    <n v="0.22"/>
    <n v="0.01"/>
    <n v="0.18"/>
  </r>
  <r>
    <x v="9"/>
    <x v="2"/>
    <x v="2"/>
    <x v="4"/>
    <x v="4"/>
    <x v="0"/>
    <n v="44.8"/>
    <n v="48.77"/>
    <n v="4.24"/>
    <n v="42.95"/>
  </r>
  <r>
    <x v="9"/>
    <x v="2"/>
    <x v="2"/>
    <x v="1"/>
    <x v="4"/>
    <x v="2"/>
    <n v="0.32"/>
    <n v="0.35"/>
    <n v="0"/>
    <n v="0.27"/>
  </r>
  <r>
    <x v="9"/>
    <x v="2"/>
    <x v="2"/>
    <x v="1"/>
    <x v="2"/>
    <x v="1"/>
    <n v="2.84"/>
    <n v="3.09"/>
    <n v="0"/>
    <n v="2.61"/>
  </r>
  <r>
    <x v="9"/>
    <x v="2"/>
    <x v="2"/>
    <x v="0"/>
    <x v="4"/>
    <x v="0"/>
    <n v="27.97"/>
    <n v="30.45"/>
    <n v="5.48"/>
    <n v="26.3"/>
  </r>
  <r>
    <x v="9"/>
    <x v="2"/>
    <x v="2"/>
    <x v="3"/>
    <x v="4"/>
    <x v="0"/>
    <n v="7.11"/>
    <n v="7.74"/>
    <n v="1.26"/>
    <n v="6.92"/>
  </r>
  <r>
    <x v="9"/>
    <x v="2"/>
    <x v="2"/>
    <x v="1"/>
    <x v="4"/>
    <x v="0"/>
    <n v="141.15"/>
    <n v="153.65"/>
    <n v="18.28"/>
    <n v="133.22"/>
  </r>
  <r>
    <x v="9"/>
    <x v="2"/>
    <x v="2"/>
    <x v="1"/>
    <x v="1"/>
    <x v="0"/>
    <n v="12.56"/>
    <n v="13.67"/>
    <n v="0.63"/>
    <n v="11.98"/>
  </r>
  <r>
    <x v="9"/>
    <x v="2"/>
    <x v="2"/>
    <x v="1"/>
    <x v="2"/>
    <x v="0"/>
    <n v="2.95"/>
    <n v="3.22"/>
    <n v="0.06"/>
    <n v="2.73"/>
  </r>
  <r>
    <x v="9"/>
    <x v="2"/>
    <x v="2"/>
    <x v="2"/>
    <x v="0"/>
    <x v="0"/>
    <n v="3.15"/>
    <n v="3.43"/>
    <n v="1.03"/>
    <n v="3.03"/>
  </r>
  <r>
    <x v="9"/>
    <x v="2"/>
    <x v="2"/>
    <x v="2"/>
    <x v="4"/>
    <x v="0"/>
    <n v="4.2699999999999996"/>
    <n v="4.6500000000000004"/>
    <n v="0.42"/>
    <n v="4.17"/>
  </r>
  <r>
    <x v="9"/>
    <x v="2"/>
    <x v="2"/>
    <x v="2"/>
    <x v="3"/>
    <x v="0"/>
    <n v="4.5"/>
    <n v="4.8899999999999997"/>
    <n v="0.04"/>
    <n v="4.5"/>
  </r>
  <r>
    <x v="9"/>
    <x v="2"/>
    <x v="2"/>
    <x v="0"/>
    <x v="0"/>
    <x v="0"/>
    <n v="1.67"/>
    <n v="1.81"/>
    <n v="0.64"/>
    <n v="1.58"/>
  </r>
  <r>
    <x v="9"/>
    <x v="2"/>
    <x v="2"/>
    <x v="1"/>
    <x v="0"/>
    <x v="1"/>
    <n v="0.51"/>
    <n v="0.55000000000000004"/>
    <n v="0.03"/>
    <n v="0.5"/>
  </r>
  <r>
    <x v="9"/>
    <x v="2"/>
    <x v="2"/>
    <x v="4"/>
    <x v="1"/>
    <x v="0"/>
    <n v="6.16"/>
    <n v="6.71"/>
    <n v="0.28999999999999998"/>
    <n v="6.03"/>
  </r>
  <r>
    <x v="9"/>
    <x v="2"/>
    <x v="2"/>
    <x v="0"/>
    <x v="4"/>
    <x v="1"/>
    <n v="0.08"/>
    <n v="0.09"/>
    <n v="0"/>
    <n v="7.0000000000000007E-2"/>
  </r>
  <r>
    <x v="9"/>
    <x v="2"/>
    <x v="2"/>
    <x v="1"/>
    <x v="4"/>
    <x v="1"/>
    <n v="0.08"/>
    <n v="0.09"/>
    <n v="0"/>
    <n v="0.08"/>
  </r>
  <r>
    <x v="9"/>
    <x v="2"/>
    <x v="2"/>
    <x v="1"/>
    <x v="1"/>
    <x v="1"/>
    <n v="1.44"/>
    <n v="1.57"/>
    <n v="0"/>
    <n v="1.31"/>
  </r>
  <r>
    <x v="9"/>
    <x v="2"/>
    <x v="3"/>
    <x v="2"/>
    <x v="2"/>
    <x v="3"/>
    <n v="0.43"/>
    <n v="0.47"/>
    <n v="0"/>
    <n v="0.43"/>
  </r>
  <r>
    <x v="9"/>
    <x v="2"/>
    <x v="3"/>
    <x v="1"/>
    <x v="1"/>
    <x v="0"/>
    <n v="15.16"/>
    <n v="16.510000000000002"/>
    <n v="0.63"/>
    <n v="14.28"/>
  </r>
  <r>
    <x v="9"/>
    <x v="2"/>
    <x v="3"/>
    <x v="2"/>
    <x v="0"/>
    <x v="0"/>
    <n v="5.44"/>
    <n v="5.92"/>
    <n v="1.99"/>
    <n v="5.14"/>
  </r>
  <r>
    <x v="9"/>
    <x v="2"/>
    <x v="3"/>
    <x v="1"/>
    <x v="2"/>
    <x v="0"/>
    <n v="7.52"/>
    <n v="8.19"/>
    <n v="0.02"/>
    <n v="6.97"/>
  </r>
  <r>
    <x v="9"/>
    <x v="2"/>
    <x v="3"/>
    <x v="1"/>
    <x v="2"/>
    <x v="1"/>
    <n v="0.88"/>
    <n v="0.96"/>
    <n v="0.01"/>
    <n v="0.84"/>
  </r>
  <r>
    <x v="9"/>
    <x v="2"/>
    <x v="3"/>
    <x v="4"/>
    <x v="1"/>
    <x v="2"/>
    <n v="0.81"/>
    <n v="0.88"/>
    <n v="0"/>
    <n v="0.69"/>
  </r>
  <r>
    <x v="9"/>
    <x v="2"/>
    <x v="3"/>
    <x v="4"/>
    <x v="2"/>
    <x v="2"/>
    <n v="0.63"/>
    <n v="0.68"/>
    <n v="0"/>
    <n v="0.52"/>
  </r>
  <r>
    <x v="9"/>
    <x v="2"/>
    <x v="3"/>
    <x v="1"/>
    <x v="4"/>
    <x v="2"/>
    <n v="0.39"/>
    <n v="0.43"/>
    <n v="0.02"/>
    <n v="0.33"/>
  </r>
  <r>
    <x v="9"/>
    <x v="2"/>
    <x v="3"/>
    <x v="2"/>
    <x v="4"/>
    <x v="0"/>
    <n v="4.07"/>
    <n v="4.43"/>
    <n v="0.37"/>
    <n v="3.82"/>
  </r>
  <r>
    <x v="9"/>
    <x v="2"/>
    <x v="3"/>
    <x v="2"/>
    <x v="3"/>
    <x v="2"/>
    <n v="1.29"/>
    <n v="1.41"/>
    <n v="0"/>
    <n v="1.19"/>
  </r>
  <r>
    <x v="9"/>
    <x v="2"/>
    <x v="3"/>
    <x v="4"/>
    <x v="4"/>
    <x v="2"/>
    <n v="1.99"/>
    <n v="2.16"/>
    <n v="0.01"/>
    <n v="1.68"/>
  </r>
  <r>
    <x v="9"/>
    <x v="2"/>
    <x v="3"/>
    <x v="2"/>
    <x v="3"/>
    <x v="3"/>
    <n v="21.38"/>
    <n v="23.28"/>
    <n v="0.01"/>
    <n v="21.38"/>
  </r>
  <r>
    <x v="9"/>
    <x v="2"/>
    <x v="3"/>
    <x v="4"/>
    <x v="0"/>
    <x v="1"/>
    <n v="0.02"/>
    <n v="0.02"/>
    <n v="0"/>
    <n v="0.02"/>
  </r>
  <r>
    <x v="9"/>
    <x v="2"/>
    <x v="3"/>
    <x v="4"/>
    <x v="4"/>
    <x v="1"/>
    <n v="0.08"/>
    <n v="0.08"/>
    <n v="0"/>
    <n v="7.0000000000000007E-2"/>
  </r>
  <r>
    <x v="9"/>
    <x v="2"/>
    <x v="3"/>
    <x v="0"/>
    <x v="0"/>
    <x v="1"/>
    <n v="0.31"/>
    <n v="0.34"/>
    <n v="0.02"/>
    <n v="0.28000000000000003"/>
  </r>
  <r>
    <x v="9"/>
    <x v="2"/>
    <x v="3"/>
    <x v="0"/>
    <x v="4"/>
    <x v="1"/>
    <n v="0.34"/>
    <n v="0.37"/>
    <n v="0.01"/>
    <n v="0.3"/>
  </r>
  <r>
    <x v="9"/>
    <x v="2"/>
    <x v="3"/>
    <x v="1"/>
    <x v="0"/>
    <x v="1"/>
    <n v="0.32"/>
    <n v="0.35"/>
    <n v="0.03"/>
    <n v="0.32"/>
  </r>
  <r>
    <x v="9"/>
    <x v="2"/>
    <x v="3"/>
    <x v="1"/>
    <x v="4"/>
    <x v="1"/>
    <n v="7.0000000000000007E-2"/>
    <n v="0.08"/>
    <n v="0"/>
    <n v="7.0000000000000007E-2"/>
  </r>
  <r>
    <x v="9"/>
    <x v="2"/>
    <x v="3"/>
    <x v="1"/>
    <x v="1"/>
    <x v="1"/>
    <n v="4.12"/>
    <n v="4.49"/>
    <n v="0.01"/>
    <n v="3.88"/>
  </r>
  <r>
    <x v="9"/>
    <x v="2"/>
    <x v="3"/>
    <x v="1"/>
    <x v="1"/>
    <x v="2"/>
    <n v="0.04"/>
    <n v="0.05"/>
    <n v="0"/>
    <n v="0.04"/>
  </r>
  <r>
    <x v="9"/>
    <x v="2"/>
    <x v="3"/>
    <x v="1"/>
    <x v="0"/>
    <x v="0"/>
    <n v="8.42"/>
    <n v="9.17"/>
    <n v="2.99"/>
    <n v="7.97"/>
  </r>
  <r>
    <x v="9"/>
    <x v="2"/>
    <x v="3"/>
    <x v="2"/>
    <x v="3"/>
    <x v="0"/>
    <n v="2.8"/>
    <n v="3.05"/>
    <n v="0.02"/>
    <n v="2.8"/>
  </r>
  <r>
    <x v="9"/>
    <x v="2"/>
    <x v="3"/>
    <x v="1"/>
    <x v="4"/>
    <x v="0"/>
    <n v="107.72"/>
    <n v="117.26"/>
    <n v="13.97"/>
    <n v="100.51"/>
  </r>
  <r>
    <x v="9"/>
    <x v="2"/>
    <x v="3"/>
    <x v="0"/>
    <x v="4"/>
    <x v="0"/>
    <n v="10.66"/>
    <n v="11.61"/>
    <n v="2.0299999999999998"/>
    <n v="9.92"/>
  </r>
  <r>
    <x v="9"/>
    <x v="2"/>
    <x v="3"/>
    <x v="0"/>
    <x v="0"/>
    <x v="0"/>
    <n v="3.49"/>
    <n v="3.8"/>
    <n v="1.36"/>
    <n v="3.21"/>
  </r>
  <r>
    <x v="9"/>
    <x v="2"/>
    <x v="3"/>
    <x v="4"/>
    <x v="1"/>
    <x v="0"/>
    <n v="4.4000000000000004"/>
    <n v="4.79"/>
    <n v="0.23"/>
    <n v="4.1100000000000003"/>
  </r>
  <r>
    <x v="9"/>
    <x v="2"/>
    <x v="3"/>
    <x v="4"/>
    <x v="4"/>
    <x v="0"/>
    <n v="43.5"/>
    <n v="47.35"/>
    <n v="4"/>
    <n v="40.82"/>
  </r>
  <r>
    <x v="9"/>
    <x v="2"/>
    <x v="3"/>
    <x v="3"/>
    <x v="4"/>
    <x v="0"/>
    <n v="5.98"/>
    <n v="6.51"/>
    <n v="1.1299999999999999"/>
    <n v="5.72"/>
  </r>
  <r>
    <x v="9"/>
    <x v="2"/>
    <x v="3"/>
    <x v="3"/>
    <x v="0"/>
    <x v="0"/>
    <n v="2.7"/>
    <n v="2.94"/>
    <n v="0.44"/>
    <n v="2.68"/>
  </r>
  <r>
    <x v="9"/>
    <x v="2"/>
    <x v="3"/>
    <x v="2"/>
    <x v="3"/>
    <x v="1"/>
    <n v="0.4"/>
    <n v="0.44"/>
    <n v="0"/>
    <n v="0.36"/>
  </r>
  <r>
    <x v="9"/>
    <x v="0"/>
    <x v="4"/>
    <x v="1"/>
    <x v="0"/>
    <x v="1"/>
    <n v="1.37"/>
    <n v="2.04"/>
    <n v="0.06"/>
    <n v="1.3"/>
  </r>
  <r>
    <x v="9"/>
    <x v="0"/>
    <x v="4"/>
    <x v="0"/>
    <x v="4"/>
    <x v="0"/>
    <n v="32.43"/>
    <n v="48.27"/>
    <n v="6.12"/>
    <n v="31.9"/>
  </r>
  <r>
    <x v="9"/>
    <x v="0"/>
    <x v="4"/>
    <x v="4"/>
    <x v="0"/>
    <x v="0"/>
    <n v="0.33"/>
    <n v="0.49"/>
    <n v="0.06"/>
    <n v="0.31"/>
  </r>
  <r>
    <x v="9"/>
    <x v="0"/>
    <x v="4"/>
    <x v="1"/>
    <x v="1"/>
    <x v="1"/>
    <n v="2.58"/>
    <n v="3.84"/>
    <n v="7.0000000000000007E-2"/>
    <n v="2.46"/>
  </r>
  <r>
    <x v="9"/>
    <x v="0"/>
    <x v="4"/>
    <x v="1"/>
    <x v="2"/>
    <x v="1"/>
    <n v="26.96"/>
    <n v="40.130000000000003"/>
    <n v="0.1"/>
    <n v="25.71"/>
  </r>
  <r>
    <x v="9"/>
    <x v="0"/>
    <x v="4"/>
    <x v="2"/>
    <x v="3"/>
    <x v="1"/>
    <n v="7.29"/>
    <n v="10.85"/>
    <n v="0.01"/>
    <n v="6.95"/>
  </r>
  <r>
    <x v="9"/>
    <x v="0"/>
    <x v="4"/>
    <x v="3"/>
    <x v="0"/>
    <x v="0"/>
    <n v="2.4900000000000002"/>
    <n v="3.71"/>
    <n v="1.68"/>
    <n v="2.4900000000000002"/>
  </r>
  <r>
    <x v="9"/>
    <x v="0"/>
    <x v="4"/>
    <x v="3"/>
    <x v="4"/>
    <x v="0"/>
    <n v="5.52"/>
    <n v="8.2200000000000006"/>
    <n v="1.48"/>
    <n v="5.45"/>
  </r>
  <r>
    <x v="9"/>
    <x v="0"/>
    <x v="4"/>
    <x v="3"/>
    <x v="1"/>
    <x v="0"/>
    <n v="0.1"/>
    <n v="0.15"/>
    <n v="0.01"/>
    <n v="0.1"/>
  </r>
  <r>
    <x v="9"/>
    <x v="0"/>
    <x v="4"/>
    <x v="1"/>
    <x v="4"/>
    <x v="1"/>
    <n v="0.46"/>
    <n v="0.68"/>
    <n v="0.02"/>
    <n v="0.43"/>
  </r>
  <r>
    <x v="9"/>
    <x v="0"/>
    <x v="4"/>
    <x v="2"/>
    <x v="4"/>
    <x v="0"/>
    <n v="27.93"/>
    <n v="41.57"/>
    <n v="10.54"/>
    <n v="27.6"/>
  </r>
  <r>
    <x v="9"/>
    <x v="0"/>
    <x v="4"/>
    <x v="1"/>
    <x v="2"/>
    <x v="0"/>
    <n v="24.65"/>
    <n v="36.69"/>
    <n v="0.42"/>
    <n v="23.54"/>
  </r>
  <r>
    <x v="9"/>
    <x v="0"/>
    <x v="4"/>
    <x v="1"/>
    <x v="1"/>
    <x v="0"/>
    <n v="56.09"/>
    <n v="83.49"/>
    <n v="4.2300000000000004"/>
    <n v="54.38"/>
  </r>
  <r>
    <x v="9"/>
    <x v="0"/>
    <x v="4"/>
    <x v="2"/>
    <x v="0"/>
    <x v="0"/>
    <n v="13.28"/>
    <n v="19.760000000000002"/>
    <n v="15.87"/>
    <n v="12.92"/>
  </r>
  <r>
    <x v="9"/>
    <x v="0"/>
    <x v="4"/>
    <x v="1"/>
    <x v="0"/>
    <x v="0"/>
    <n v="13.9"/>
    <n v="20.7"/>
    <n v="12.07"/>
    <n v="13.69"/>
  </r>
  <r>
    <x v="9"/>
    <x v="0"/>
    <x v="4"/>
    <x v="0"/>
    <x v="0"/>
    <x v="0"/>
    <n v="4.55"/>
    <n v="6.77"/>
    <n v="3.29"/>
    <n v="4.42"/>
  </r>
  <r>
    <x v="9"/>
    <x v="0"/>
    <x v="4"/>
    <x v="4"/>
    <x v="1"/>
    <x v="0"/>
    <n v="12.67"/>
    <n v="18.86"/>
    <n v="0.88"/>
    <n v="12.26"/>
  </r>
  <r>
    <x v="9"/>
    <x v="0"/>
    <x v="4"/>
    <x v="4"/>
    <x v="4"/>
    <x v="0"/>
    <n v="60.23"/>
    <n v="89.65"/>
    <n v="9.09"/>
    <n v="58.17"/>
  </r>
  <r>
    <x v="9"/>
    <x v="0"/>
    <x v="4"/>
    <x v="0"/>
    <x v="4"/>
    <x v="1"/>
    <n v="0.01"/>
    <n v="0.02"/>
    <n v="0"/>
    <n v="0.01"/>
  </r>
  <r>
    <x v="9"/>
    <x v="0"/>
    <x v="4"/>
    <x v="1"/>
    <x v="4"/>
    <x v="0"/>
    <n v="173.54"/>
    <n v="258.31"/>
    <n v="52.97"/>
    <n v="169.52"/>
  </r>
  <r>
    <x v="9"/>
    <x v="0"/>
    <x v="4"/>
    <x v="4"/>
    <x v="2"/>
    <x v="2"/>
    <n v="0.03"/>
    <n v="0.05"/>
    <n v="0"/>
    <n v="0.03"/>
  </r>
  <r>
    <x v="9"/>
    <x v="0"/>
    <x v="4"/>
    <x v="2"/>
    <x v="3"/>
    <x v="0"/>
    <n v="0.02"/>
    <n v="0.02"/>
    <n v="0"/>
    <n v="0.02"/>
  </r>
  <r>
    <x v="9"/>
    <x v="0"/>
    <x v="4"/>
    <x v="4"/>
    <x v="1"/>
    <x v="2"/>
    <n v="0.04"/>
    <n v="0.06"/>
    <n v="0"/>
    <n v="0.04"/>
  </r>
  <r>
    <x v="9"/>
    <x v="0"/>
    <x v="4"/>
    <x v="0"/>
    <x v="0"/>
    <x v="1"/>
    <n v="7.71"/>
    <n v="11.47"/>
    <n v="0.17"/>
    <n v="7.35"/>
  </r>
  <r>
    <x v="9"/>
    <x v="0"/>
    <x v="4"/>
    <x v="1"/>
    <x v="4"/>
    <x v="2"/>
    <n v="0.06"/>
    <n v="0.09"/>
    <n v="0"/>
    <n v="0.06"/>
  </r>
  <r>
    <x v="9"/>
    <x v="0"/>
    <x v="4"/>
    <x v="2"/>
    <x v="3"/>
    <x v="2"/>
    <n v="0.87"/>
    <n v="1.29"/>
    <n v="0"/>
    <n v="0.83"/>
  </r>
  <r>
    <x v="9"/>
    <x v="0"/>
    <x v="4"/>
    <x v="2"/>
    <x v="3"/>
    <x v="3"/>
    <n v="155.74"/>
    <n v="231.81"/>
    <n v="7.0000000000000007E-2"/>
    <n v="151.4"/>
  </r>
  <r>
    <x v="9"/>
    <x v="0"/>
    <x v="4"/>
    <x v="4"/>
    <x v="0"/>
    <x v="1"/>
    <n v="2.2999999999999998"/>
    <n v="3.42"/>
    <n v="0.13"/>
    <n v="2.19"/>
  </r>
  <r>
    <x v="9"/>
    <x v="0"/>
    <x v="4"/>
    <x v="4"/>
    <x v="4"/>
    <x v="1"/>
    <n v="0.32"/>
    <n v="0.47"/>
    <n v="0.02"/>
    <n v="0.3"/>
  </r>
  <r>
    <x v="9"/>
    <x v="0"/>
    <x v="4"/>
    <x v="4"/>
    <x v="1"/>
    <x v="1"/>
    <n v="0.15"/>
    <n v="0.22"/>
    <n v="0.01"/>
    <n v="0.14000000000000001"/>
  </r>
  <r>
    <x v="9"/>
    <x v="0"/>
    <x v="4"/>
    <x v="4"/>
    <x v="4"/>
    <x v="2"/>
    <n v="0.05"/>
    <n v="0.08"/>
    <n v="0"/>
    <n v="0.05"/>
  </r>
  <r>
    <x v="9"/>
    <x v="3"/>
    <x v="5"/>
    <x v="1"/>
    <x v="2"/>
    <x v="1"/>
    <n v="6.03"/>
    <n v="7.28"/>
    <n v="0.06"/>
    <n v="4.8499999999999996"/>
  </r>
  <r>
    <x v="9"/>
    <x v="3"/>
    <x v="5"/>
    <x v="0"/>
    <x v="0"/>
    <x v="1"/>
    <n v="4.49"/>
    <n v="5.42"/>
    <n v="0.34"/>
    <n v="3.61"/>
  </r>
  <r>
    <x v="9"/>
    <x v="3"/>
    <x v="5"/>
    <x v="0"/>
    <x v="4"/>
    <x v="1"/>
    <n v="7.03"/>
    <n v="8.48"/>
    <n v="0.3"/>
    <n v="5.65"/>
  </r>
  <r>
    <x v="9"/>
    <x v="3"/>
    <x v="5"/>
    <x v="1"/>
    <x v="0"/>
    <x v="1"/>
    <n v="1.05"/>
    <n v="1.26"/>
    <n v="0.12"/>
    <n v="0.85"/>
  </r>
  <r>
    <x v="9"/>
    <x v="3"/>
    <x v="5"/>
    <x v="1"/>
    <x v="4"/>
    <x v="1"/>
    <n v="0.98"/>
    <n v="1.18"/>
    <n v="0.09"/>
    <n v="0.79"/>
  </r>
  <r>
    <x v="9"/>
    <x v="3"/>
    <x v="5"/>
    <x v="1"/>
    <x v="1"/>
    <x v="1"/>
    <n v="1.8"/>
    <n v="2.17"/>
    <n v="0.05"/>
    <n v="1.45"/>
  </r>
  <r>
    <x v="9"/>
    <x v="3"/>
    <x v="5"/>
    <x v="2"/>
    <x v="4"/>
    <x v="1"/>
    <n v="0.12"/>
    <n v="0.15"/>
    <n v="0"/>
    <n v="0.1"/>
  </r>
  <r>
    <x v="9"/>
    <x v="3"/>
    <x v="5"/>
    <x v="2"/>
    <x v="3"/>
    <x v="1"/>
    <n v="1.17"/>
    <n v="1.42"/>
    <n v="0.01"/>
    <n v="0.95"/>
  </r>
  <r>
    <x v="9"/>
    <x v="3"/>
    <x v="5"/>
    <x v="3"/>
    <x v="0"/>
    <x v="0"/>
    <n v="59.64"/>
    <n v="71.959999999999994"/>
    <n v="53.8"/>
    <n v="58.12"/>
  </r>
  <r>
    <x v="9"/>
    <x v="3"/>
    <x v="5"/>
    <x v="4"/>
    <x v="1"/>
    <x v="1"/>
    <n v="0.2"/>
    <n v="0.24"/>
    <n v="0.04"/>
    <n v="0.16"/>
  </r>
  <r>
    <x v="9"/>
    <x v="3"/>
    <x v="5"/>
    <x v="2"/>
    <x v="4"/>
    <x v="0"/>
    <n v="48.13"/>
    <n v="58.08"/>
    <n v="14.08"/>
    <n v="47.39"/>
  </r>
  <r>
    <x v="9"/>
    <x v="3"/>
    <x v="5"/>
    <x v="4"/>
    <x v="1"/>
    <x v="2"/>
    <n v="0.32"/>
    <n v="0.39"/>
    <n v="0.01"/>
    <n v="0.28999999999999998"/>
  </r>
  <r>
    <x v="9"/>
    <x v="3"/>
    <x v="5"/>
    <x v="3"/>
    <x v="4"/>
    <x v="0"/>
    <n v="138.83000000000001"/>
    <n v="167.51"/>
    <n v="39.56"/>
    <n v="128.94999999999999"/>
  </r>
  <r>
    <x v="9"/>
    <x v="3"/>
    <x v="5"/>
    <x v="4"/>
    <x v="4"/>
    <x v="1"/>
    <n v="0.18"/>
    <n v="0.22"/>
    <n v="0.03"/>
    <n v="0.14000000000000001"/>
  </r>
  <r>
    <x v="9"/>
    <x v="3"/>
    <x v="5"/>
    <x v="4"/>
    <x v="1"/>
    <x v="0"/>
    <n v="17.010000000000002"/>
    <n v="20.53"/>
    <n v="0.28000000000000003"/>
    <n v="16.09"/>
  </r>
  <r>
    <x v="9"/>
    <x v="3"/>
    <x v="5"/>
    <x v="4"/>
    <x v="0"/>
    <x v="1"/>
    <n v="1.1000000000000001"/>
    <n v="1.33"/>
    <n v="0.08"/>
    <n v="0.89"/>
  </r>
  <r>
    <x v="9"/>
    <x v="3"/>
    <x v="5"/>
    <x v="2"/>
    <x v="3"/>
    <x v="3"/>
    <n v="56.61"/>
    <n v="68.3"/>
    <n v="0.03"/>
    <n v="55.77"/>
  </r>
  <r>
    <x v="9"/>
    <x v="3"/>
    <x v="5"/>
    <x v="4"/>
    <x v="0"/>
    <x v="0"/>
    <n v="0.83"/>
    <n v="1"/>
    <n v="0.66"/>
    <n v="0.77"/>
  </r>
  <r>
    <x v="9"/>
    <x v="3"/>
    <x v="5"/>
    <x v="4"/>
    <x v="2"/>
    <x v="2"/>
    <n v="0.25"/>
    <n v="0.3"/>
    <n v="0"/>
    <n v="0.23"/>
  </r>
  <r>
    <x v="9"/>
    <x v="3"/>
    <x v="5"/>
    <x v="4"/>
    <x v="4"/>
    <x v="0"/>
    <n v="219.24"/>
    <n v="264.52999999999997"/>
    <n v="26.33"/>
    <n v="207.03"/>
  </r>
  <r>
    <x v="9"/>
    <x v="3"/>
    <x v="5"/>
    <x v="4"/>
    <x v="4"/>
    <x v="2"/>
    <n v="0.5"/>
    <n v="0.6"/>
    <n v="0.03"/>
    <n v="0.45"/>
  </r>
  <r>
    <x v="9"/>
    <x v="3"/>
    <x v="5"/>
    <x v="0"/>
    <x v="0"/>
    <x v="0"/>
    <n v="3.79"/>
    <n v="4.57"/>
    <n v="0.55000000000000004"/>
    <n v="3.54"/>
  </r>
  <r>
    <x v="9"/>
    <x v="3"/>
    <x v="5"/>
    <x v="0"/>
    <x v="4"/>
    <x v="0"/>
    <n v="43.44"/>
    <n v="52.41"/>
    <n v="21.17"/>
    <n v="42"/>
  </r>
  <r>
    <x v="9"/>
    <x v="3"/>
    <x v="5"/>
    <x v="1"/>
    <x v="0"/>
    <x v="0"/>
    <n v="47.83"/>
    <n v="57.72"/>
    <n v="31.98"/>
    <n v="46.46"/>
  </r>
  <r>
    <x v="9"/>
    <x v="3"/>
    <x v="5"/>
    <x v="1"/>
    <x v="4"/>
    <x v="0"/>
    <n v="572.71"/>
    <n v="691.02"/>
    <n v="138.80000000000001"/>
    <n v="548.19000000000005"/>
  </r>
  <r>
    <x v="9"/>
    <x v="3"/>
    <x v="5"/>
    <x v="2"/>
    <x v="0"/>
    <x v="0"/>
    <n v="37.39"/>
    <n v="45.12"/>
    <n v="17.55"/>
    <n v="35.81"/>
  </r>
  <r>
    <x v="9"/>
    <x v="3"/>
    <x v="5"/>
    <x v="2"/>
    <x v="3"/>
    <x v="2"/>
    <n v="4.47"/>
    <n v="5.39"/>
    <n v="0.01"/>
    <n v="4.07"/>
  </r>
  <r>
    <x v="9"/>
    <x v="0"/>
    <x v="6"/>
    <x v="4"/>
    <x v="1"/>
    <x v="1"/>
    <n v="0.04"/>
    <n v="0.05"/>
    <n v="0"/>
    <n v="0.04"/>
  </r>
  <r>
    <x v="9"/>
    <x v="0"/>
    <x v="6"/>
    <x v="2"/>
    <x v="4"/>
    <x v="0"/>
    <n v="2.81"/>
    <n v="3.43"/>
    <n v="0.43"/>
    <n v="2.74"/>
  </r>
  <r>
    <x v="9"/>
    <x v="0"/>
    <x v="6"/>
    <x v="4"/>
    <x v="0"/>
    <x v="0"/>
    <n v="0.13"/>
    <n v="0.15"/>
    <n v="0.02"/>
    <n v="0.12"/>
  </r>
  <r>
    <x v="9"/>
    <x v="0"/>
    <x v="6"/>
    <x v="4"/>
    <x v="4"/>
    <x v="2"/>
    <n v="0.17"/>
    <n v="0.2"/>
    <n v="0.01"/>
    <n v="0.16"/>
  </r>
  <r>
    <x v="9"/>
    <x v="0"/>
    <x v="6"/>
    <x v="4"/>
    <x v="1"/>
    <x v="2"/>
    <n v="0.44"/>
    <n v="0.54"/>
    <n v="0.01"/>
    <n v="0.41"/>
  </r>
  <r>
    <x v="9"/>
    <x v="0"/>
    <x v="6"/>
    <x v="4"/>
    <x v="2"/>
    <x v="2"/>
    <n v="0.56999999999999995"/>
    <n v="0.7"/>
    <n v="0.01"/>
    <n v="0.54"/>
  </r>
  <r>
    <x v="9"/>
    <x v="0"/>
    <x v="6"/>
    <x v="1"/>
    <x v="4"/>
    <x v="2"/>
    <n v="0.14000000000000001"/>
    <n v="0.17"/>
    <n v="0.01"/>
    <n v="0.13"/>
  </r>
  <r>
    <x v="9"/>
    <x v="0"/>
    <x v="6"/>
    <x v="2"/>
    <x v="3"/>
    <x v="3"/>
    <n v="3.17"/>
    <n v="3.87"/>
    <n v="0"/>
    <n v="2.88"/>
  </r>
  <r>
    <x v="9"/>
    <x v="0"/>
    <x v="6"/>
    <x v="4"/>
    <x v="4"/>
    <x v="1"/>
    <n v="0.19"/>
    <n v="0.23"/>
    <n v="0.01"/>
    <n v="0.18"/>
  </r>
  <r>
    <x v="9"/>
    <x v="0"/>
    <x v="6"/>
    <x v="0"/>
    <x v="0"/>
    <x v="1"/>
    <n v="2.21"/>
    <n v="2.71"/>
    <n v="0.05"/>
    <n v="2.11"/>
  </r>
  <r>
    <x v="9"/>
    <x v="0"/>
    <x v="6"/>
    <x v="0"/>
    <x v="4"/>
    <x v="1"/>
    <n v="0.24"/>
    <n v="0.28999999999999998"/>
    <n v="0.03"/>
    <n v="0.23"/>
  </r>
  <r>
    <x v="9"/>
    <x v="0"/>
    <x v="6"/>
    <x v="1"/>
    <x v="0"/>
    <x v="1"/>
    <n v="0.23"/>
    <n v="0.28999999999999998"/>
    <n v="0.01"/>
    <n v="0.22"/>
  </r>
  <r>
    <x v="9"/>
    <x v="0"/>
    <x v="6"/>
    <x v="1"/>
    <x v="4"/>
    <x v="1"/>
    <n v="0.71"/>
    <n v="0.87"/>
    <n v="0.02"/>
    <n v="0.67"/>
  </r>
  <r>
    <x v="9"/>
    <x v="0"/>
    <x v="6"/>
    <x v="1"/>
    <x v="1"/>
    <x v="1"/>
    <n v="7.1"/>
    <n v="8.67"/>
    <n v="0.23"/>
    <n v="6.77"/>
  </r>
  <r>
    <x v="9"/>
    <x v="0"/>
    <x v="6"/>
    <x v="1"/>
    <x v="2"/>
    <x v="1"/>
    <n v="15.64"/>
    <n v="19.100000000000001"/>
    <n v="0.06"/>
    <n v="14.89"/>
  </r>
  <r>
    <x v="9"/>
    <x v="0"/>
    <x v="6"/>
    <x v="1"/>
    <x v="4"/>
    <x v="0"/>
    <n v="42.87"/>
    <n v="52.37"/>
    <n v="9.61"/>
    <n v="40.340000000000003"/>
  </r>
  <r>
    <x v="9"/>
    <x v="0"/>
    <x v="6"/>
    <x v="4"/>
    <x v="4"/>
    <x v="0"/>
    <n v="9.9600000000000009"/>
    <n v="12.17"/>
    <n v="1.8"/>
    <n v="9.3000000000000007"/>
  </r>
  <r>
    <x v="9"/>
    <x v="0"/>
    <x v="6"/>
    <x v="4"/>
    <x v="0"/>
    <x v="1"/>
    <n v="1"/>
    <n v="1.22"/>
    <n v="0.05"/>
    <n v="0.95"/>
  </r>
  <r>
    <x v="9"/>
    <x v="0"/>
    <x v="6"/>
    <x v="3"/>
    <x v="0"/>
    <x v="0"/>
    <n v="1.66"/>
    <n v="2.0299999999999998"/>
    <n v="0.98"/>
    <n v="1.65"/>
  </r>
  <r>
    <x v="9"/>
    <x v="0"/>
    <x v="6"/>
    <x v="4"/>
    <x v="3"/>
    <x v="0"/>
    <n v="8.17"/>
    <n v="9.98"/>
    <n v="0.02"/>
    <n v="8.17"/>
  </r>
  <r>
    <x v="9"/>
    <x v="0"/>
    <x v="6"/>
    <x v="0"/>
    <x v="0"/>
    <x v="0"/>
    <n v="1.22"/>
    <n v="1.49"/>
    <n v="1.08"/>
    <n v="1.1399999999999999"/>
  </r>
  <r>
    <x v="9"/>
    <x v="0"/>
    <x v="6"/>
    <x v="1"/>
    <x v="0"/>
    <x v="0"/>
    <n v="1.76"/>
    <n v="2.15"/>
    <n v="1.02"/>
    <n v="1.67"/>
  </r>
  <r>
    <x v="9"/>
    <x v="0"/>
    <x v="6"/>
    <x v="4"/>
    <x v="1"/>
    <x v="0"/>
    <n v="4.38"/>
    <n v="5.35"/>
    <n v="0.23"/>
    <n v="4.08"/>
  </r>
  <r>
    <x v="9"/>
    <x v="0"/>
    <x v="6"/>
    <x v="1"/>
    <x v="1"/>
    <x v="0"/>
    <n v="6.9"/>
    <n v="8.43"/>
    <n v="0.7"/>
    <n v="6.52"/>
  </r>
  <r>
    <x v="9"/>
    <x v="0"/>
    <x v="6"/>
    <x v="1"/>
    <x v="2"/>
    <x v="0"/>
    <n v="9.81"/>
    <n v="11.98"/>
    <n v="0.11"/>
    <n v="9.2100000000000009"/>
  </r>
  <r>
    <x v="9"/>
    <x v="0"/>
    <x v="6"/>
    <x v="2"/>
    <x v="0"/>
    <x v="0"/>
    <n v="2.91"/>
    <n v="3.55"/>
    <n v="2.0099999999999998"/>
    <n v="2.73"/>
  </r>
  <r>
    <x v="9"/>
    <x v="0"/>
    <x v="6"/>
    <x v="3"/>
    <x v="1"/>
    <x v="0"/>
    <n v="0.04"/>
    <n v="0.05"/>
    <n v="0"/>
    <n v="0.04"/>
  </r>
  <r>
    <x v="9"/>
    <x v="0"/>
    <x v="6"/>
    <x v="3"/>
    <x v="4"/>
    <x v="0"/>
    <n v="3.36"/>
    <n v="4.0999999999999996"/>
    <n v="0.91"/>
    <n v="3.2"/>
  </r>
  <r>
    <x v="9"/>
    <x v="0"/>
    <x v="6"/>
    <x v="0"/>
    <x v="4"/>
    <x v="0"/>
    <n v="3.44"/>
    <n v="4.2"/>
    <n v="0.75"/>
    <n v="3.26"/>
  </r>
  <r>
    <x v="9"/>
    <x v="4"/>
    <x v="7"/>
    <x v="4"/>
    <x v="1"/>
    <x v="0"/>
    <n v="120.9"/>
    <n v="126.34"/>
    <n v="11.9"/>
    <n v="109.09"/>
  </r>
  <r>
    <x v="9"/>
    <x v="4"/>
    <x v="7"/>
    <x v="4"/>
    <x v="1"/>
    <x v="2"/>
    <n v="38.72"/>
    <n v="40.46"/>
    <n v="0.94"/>
    <n v="31.9"/>
  </r>
  <r>
    <x v="9"/>
    <x v="4"/>
    <x v="7"/>
    <x v="0"/>
    <x v="4"/>
    <x v="0"/>
    <n v="416.32"/>
    <n v="435.07"/>
    <n v="122.99"/>
    <n v="371.2"/>
  </r>
  <r>
    <x v="9"/>
    <x v="4"/>
    <x v="7"/>
    <x v="4"/>
    <x v="4"/>
    <x v="0"/>
    <n v="733.29"/>
    <n v="766.31"/>
    <n v="189.5"/>
    <n v="675.04"/>
  </r>
  <r>
    <x v="9"/>
    <x v="4"/>
    <x v="7"/>
    <x v="4"/>
    <x v="4"/>
    <x v="2"/>
    <n v="0.69"/>
    <n v="0.72"/>
    <n v="0.21"/>
    <n v="0.56999999999999995"/>
  </r>
  <r>
    <x v="9"/>
    <x v="4"/>
    <x v="7"/>
    <x v="4"/>
    <x v="3"/>
    <x v="0"/>
    <n v="147.51"/>
    <n v="154.15"/>
    <n v="1.88"/>
    <n v="147.51"/>
  </r>
  <r>
    <x v="9"/>
    <x v="4"/>
    <x v="7"/>
    <x v="0"/>
    <x v="0"/>
    <x v="0"/>
    <n v="85.9"/>
    <n v="89.76"/>
    <n v="50.99"/>
    <n v="75.62"/>
  </r>
  <r>
    <x v="9"/>
    <x v="4"/>
    <x v="7"/>
    <x v="0"/>
    <x v="2"/>
    <x v="0"/>
    <n v="11.31"/>
    <n v="11.82"/>
    <n v="0.15"/>
    <n v="9.15"/>
  </r>
  <r>
    <x v="9"/>
    <x v="4"/>
    <x v="7"/>
    <x v="1"/>
    <x v="0"/>
    <x v="0"/>
    <n v="97.95"/>
    <n v="102.36"/>
    <n v="77.88"/>
    <n v="91.41"/>
  </r>
  <r>
    <x v="9"/>
    <x v="4"/>
    <x v="7"/>
    <x v="1"/>
    <x v="4"/>
    <x v="0"/>
    <n v="6908.51"/>
    <n v="7219.66"/>
    <n v="1806.23"/>
    <n v="6319.8"/>
  </r>
  <r>
    <x v="9"/>
    <x v="4"/>
    <x v="7"/>
    <x v="1"/>
    <x v="1"/>
    <x v="0"/>
    <n v="2925.63"/>
    <n v="3057.4"/>
    <n v="275.39"/>
    <n v="2598.5500000000002"/>
  </r>
  <r>
    <x v="9"/>
    <x v="4"/>
    <x v="7"/>
    <x v="2"/>
    <x v="0"/>
    <x v="0"/>
    <n v="206.01"/>
    <n v="215.29"/>
    <n v="231.02"/>
    <n v="189.9"/>
  </r>
  <r>
    <x v="9"/>
    <x v="4"/>
    <x v="7"/>
    <x v="3"/>
    <x v="1"/>
    <x v="0"/>
    <n v="33.869999999999997"/>
    <n v="35.39"/>
    <n v="3.59"/>
    <n v="34.24"/>
  </r>
  <r>
    <x v="9"/>
    <x v="4"/>
    <x v="7"/>
    <x v="4"/>
    <x v="1"/>
    <x v="1"/>
    <n v="5.37"/>
    <n v="5.61"/>
    <n v="0.14000000000000001"/>
    <n v="4.45"/>
  </r>
  <r>
    <x v="9"/>
    <x v="4"/>
    <x v="7"/>
    <x v="2"/>
    <x v="4"/>
    <x v="0"/>
    <n v="266.64"/>
    <n v="278.64999999999998"/>
    <n v="75.91"/>
    <n v="246.15"/>
  </r>
  <r>
    <x v="9"/>
    <x v="4"/>
    <x v="7"/>
    <x v="1"/>
    <x v="2"/>
    <x v="0"/>
    <n v="368.18"/>
    <n v="384.76"/>
    <n v="8.74"/>
    <n v="319.16000000000003"/>
  </r>
  <r>
    <x v="9"/>
    <x v="4"/>
    <x v="7"/>
    <x v="0"/>
    <x v="4"/>
    <x v="1"/>
    <n v="160.83000000000001"/>
    <n v="168.08"/>
    <n v="1.72"/>
    <n v="132.9"/>
  </r>
  <r>
    <x v="9"/>
    <x v="4"/>
    <x v="7"/>
    <x v="0"/>
    <x v="0"/>
    <x v="1"/>
    <n v="34.81"/>
    <n v="36.380000000000003"/>
    <n v="2.4700000000000002"/>
    <n v="28.76"/>
  </r>
  <r>
    <x v="9"/>
    <x v="4"/>
    <x v="7"/>
    <x v="4"/>
    <x v="4"/>
    <x v="1"/>
    <n v="15.2"/>
    <n v="15.88"/>
    <n v="1.7"/>
    <n v="12.56"/>
  </r>
  <r>
    <x v="9"/>
    <x v="4"/>
    <x v="7"/>
    <x v="2"/>
    <x v="3"/>
    <x v="3"/>
    <n v="136.77000000000001"/>
    <n v="142.93"/>
    <n v="0.11"/>
    <n v="136.57"/>
  </r>
  <r>
    <x v="9"/>
    <x v="4"/>
    <x v="7"/>
    <x v="2"/>
    <x v="3"/>
    <x v="2"/>
    <n v="102.22"/>
    <n v="106.83"/>
    <n v="0.15"/>
    <n v="101.05"/>
  </r>
  <r>
    <x v="9"/>
    <x v="4"/>
    <x v="7"/>
    <x v="1"/>
    <x v="1"/>
    <x v="2"/>
    <n v="2.67"/>
    <n v="2.79"/>
    <n v="0.02"/>
    <n v="2.2000000000000002"/>
  </r>
  <r>
    <x v="9"/>
    <x v="4"/>
    <x v="7"/>
    <x v="4"/>
    <x v="0"/>
    <x v="1"/>
    <n v="0.3"/>
    <n v="0.32"/>
    <n v="0.08"/>
    <n v="0.25"/>
  </r>
  <r>
    <x v="9"/>
    <x v="4"/>
    <x v="7"/>
    <x v="4"/>
    <x v="2"/>
    <x v="2"/>
    <n v="18.940000000000001"/>
    <n v="19.79"/>
    <n v="0.28999999999999998"/>
    <n v="15.6"/>
  </r>
  <r>
    <x v="9"/>
    <x v="4"/>
    <x v="7"/>
    <x v="3"/>
    <x v="4"/>
    <x v="0"/>
    <n v="1758.63"/>
    <n v="1837.83"/>
    <n v="451.75"/>
    <n v="1662.22"/>
  </r>
  <r>
    <x v="9"/>
    <x v="4"/>
    <x v="7"/>
    <x v="1"/>
    <x v="0"/>
    <x v="1"/>
    <n v="20.149999999999999"/>
    <n v="21.06"/>
    <n v="1.99"/>
    <n v="16.739999999999998"/>
  </r>
  <r>
    <x v="9"/>
    <x v="4"/>
    <x v="7"/>
    <x v="1"/>
    <x v="4"/>
    <x v="1"/>
    <n v="18.03"/>
    <n v="18.850000000000001"/>
    <n v="1.37"/>
    <n v="15.01"/>
  </r>
  <r>
    <x v="9"/>
    <x v="4"/>
    <x v="7"/>
    <x v="1"/>
    <x v="1"/>
    <x v="1"/>
    <n v="192.35"/>
    <n v="201.02"/>
    <n v="1.24"/>
    <n v="158.97999999999999"/>
  </r>
  <r>
    <x v="9"/>
    <x v="4"/>
    <x v="7"/>
    <x v="1"/>
    <x v="2"/>
    <x v="1"/>
    <n v="370.75"/>
    <n v="387.45"/>
    <n v="0.84"/>
    <n v="306.43"/>
  </r>
  <r>
    <x v="9"/>
    <x v="4"/>
    <x v="7"/>
    <x v="2"/>
    <x v="3"/>
    <x v="1"/>
    <n v="45.45"/>
    <n v="47.5"/>
    <n v="7.0000000000000007E-2"/>
    <n v="37.869999999999997"/>
  </r>
  <r>
    <x v="9"/>
    <x v="4"/>
    <x v="7"/>
    <x v="3"/>
    <x v="0"/>
    <x v="0"/>
    <n v="114.35"/>
    <n v="119.5"/>
    <n v="65.83"/>
    <n v="115.63"/>
  </r>
  <r>
    <x v="9"/>
    <x v="4"/>
    <x v="7"/>
    <x v="1"/>
    <x v="4"/>
    <x v="2"/>
    <n v="3.49"/>
    <n v="3.65"/>
    <n v="0.24"/>
    <n v="2.87"/>
  </r>
  <r>
    <x v="9"/>
    <x v="0"/>
    <x v="8"/>
    <x v="2"/>
    <x v="3"/>
    <x v="1"/>
    <n v="0"/>
    <n v="0.01"/>
    <n v="0"/>
    <n v="0"/>
  </r>
  <r>
    <x v="9"/>
    <x v="0"/>
    <x v="8"/>
    <x v="1"/>
    <x v="2"/>
    <x v="1"/>
    <n v="6"/>
    <n v="9.18"/>
    <n v="0.02"/>
    <n v="5.72"/>
  </r>
  <r>
    <x v="9"/>
    <x v="0"/>
    <x v="8"/>
    <x v="4"/>
    <x v="4"/>
    <x v="2"/>
    <n v="0.12"/>
    <n v="0.19"/>
    <n v="0"/>
    <n v="0.11"/>
  </r>
  <r>
    <x v="9"/>
    <x v="0"/>
    <x v="8"/>
    <x v="4"/>
    <x v="1"/>
    <x v="2"/>
    <n v="0.74"/>
    <n v="1.1299999999999999"/>
    <n v="0.02"/>
    <n v="0.68"/>
  </r>
  <r>
    <x v="9"/>
    <x v="0"/>
    <x v="8"/>
    <x v="2"/>
    <x v="3"/>
    <x v="3"/>
    <n v="1.7"/>
    <n v="2.6"/>
    <n v="0"/>
    <n v="1.55"/>
  </r>
  <r>
    <x v="9"/>
    <x v="0"/>
    <x v="8"/>
    <x v="4"/>
    <x v="0"/>
    <x v="1"/>
    <n v="0.38"/>
    <n v="0.56999999999999995"/>
    <n v="0.02"/>
    <n v="0.36"/>
  </r>
  <r>
    <x v="9"/>
    <x v="0"/>
    <x v="8"/>
    <x v="4"/>
    <x v="4"/>
    <x v="1"/>
    <n v="0.16"/>
    <n v="0.25"/>
    <n v="0.01"/>
    <n v="0.15"/>
  </r>
  <r>
    <x v="9"/>
    <x v="0"/>
    <x v="8"/>
    <x v="4"/>
    <x v="1"/>
    <x v="1"/>
    <n v="0.02"/>
    <n v="0.03"/>
    <n v="0"/>
    <n v="0.02"/>
  </r>
  <r>
    <x v="9"/>
    <x v="0"/>
    <x v="8"/>
    <x v="0"/>
    <x v="0"/>
    <x v="1"/>
    <n v="0.65"/>
    <n v="0.99"/>
    <n v="0.02"/>
    <n v="0.62"/>
  </r>
  <r>
    <x v="9"/>
    <x v="0"/>
    <x v="8"/>
    <x v="0"/>
    <x v="4"/>
    <x v="1"/>
    <n v="0.09"/>
    <n v="0.13"/>
    <n v="0.01"/>
    <n v="0.08"/>
  </r>
  <r>
    <x v="9"/>
    <x v="0"/>
    <x v="8"/>
    <x v="1"/>
    <x v="0"/>
    <x v="1"/>
    <n v="0.08"/>
    <n v="0.12"/>
    <n v="0"/>
    <n v="7.0000000000000007E-2"/>
  </r>
  <r>
    <x v="9"/>
    <x v="0"/>
    <x v="8"/>
    <x v="1"/>
    <x v="4"/>
    <x v="1"/>
    <n v="0.12"/>
    <n v="0.18"/>
    <n v="0"/>
    <n v="0.11"/>
  </r>
  <r>
    <x v="9"/>
    <x v="0"/>
    <x v="8"/>
    <x v="3"/>
    <x v="1"/>
    <x v="0"/>
    <n v="0.02"/>
    <n v="0.03"/>
    <n v="0"/>
    <n v="0.02"/>
  </r>
  <r>
    <x v="9"/>
    <x v="0"/>
    <x v="8"/>
    <x v="1"/>
    <x v="1"/>
    <x v="1"/>
    <n v="1.27"/>
    <n v="1.94"/>
    <n v="0.04"/>
    <n v="1.22"/>
  </r>
  <r>
    <x v="9"/>
    <x v="0"/>
    <x v="8"/>
    <x v="2"/>
    <x v="4"/>
    <x v="0"/>
    <n v="0.84"/>
    <n v="1.28"/>
    <n v="0.25"/>
    <n v="0.83"/>
  </r>
  <r>
    <x v="9"/>
    <x v="0"/>
    <x v="8"/>
    <x v="3"/>
    <x v="4"/>
    <x v="0"/>
    <n v="5.42"/>
    <n v="8.2799999999999994"/>
    <n v="1.92"/>
    <n v="5.22"/>
  </r>
  <r>
    <x v="9"/>
    <x v="0"/>
    <x v="8"/>
    <x v="4"/>
    <x v="0"/>
    <x v="0"/>
    <n v="0.18"/>
    <n v="0.27"/>
    <n v="0.03"/>
    <n v="0.17"/>
  </r>
  <r>
    <x v="9"/>
    <x v="0"/>
    <x v="8"/>
    <x v="4"/>
    <x v="4"/>
    <x v="0"/>
    <n v="8.19"/>
    <n v="12.52"/>
    <n v="2.4700000000000002"/>
    <n v="7.84"/>
  </r>
  <r>
    <x v="9"/>
    <x v="0"/>
    <x v="8"/>
    <x v="4"/>
    <x v="1"/>
    <x v="0"/>
    <n v="5.91"/>
    <n v="9.0399999999999991"/>
    <n v="0.44"/>
    <n v="5.7"/>
  </r>
  <r>
    <x v="9"/>
    <x v="0"/>
    <x v="8"/>
    <x v="0"/>
    <x v="0"/>
    <x v="0"/>
    <n v="2.33"/>
    <n v="3.56"/>
    <n v="2.29"/>
    <n v="2.19"/>
  </r>
  <r>
    <x v="9"/>
    <x v="0"/>
    <x v="8"/>
    <x v="0"/>
    <x v="4"/>
    <x v="0"/>
    <n v="4.1399999999999997"/>
    <n v="6.33"/>
    <n v="1.29"/>
    <n v="3.97"/>
  </r>
  <r>
    <x v="9"/>
    <x v="0"/>
    <x v="8"/>
    <x v="1"/>
    <x v="0"/>
    <x v="0"/>
    <n v="2.74"/>
    <n v="4.1900000000000004"/>
    <n v="1.48"/>
    <n v="2.69"/>
  </r>
  <r>
    <x v="9"/>
    <x v="0"/>
    <x v="8"/>
    <x v="1"/>
    <x v="4"/>
    <x v="0"/>
    <n v="30.04"/>
    <n v="45.92"/>
    <n v="9.4499999999999993"/>
    <n v="29.18"/>
  </r>
  <r>
    <x v="9"/>
    <x v="0"/>
    <x v="8"/>
    <x v="1"/>
    <x v="1"/>
    <x v="0"/>
    <n v="10.35"/>
    <n v="15.83"/>
    <n v="0.66"/>
    <n v="10.11"/>
  </r>
  <r>
    <x v="9"/>
    <x v="0"/>
    <x v="8"/>
    <x v="1"/>
    <x v="2"/>
    <x v="0"/>
    <n v="7.27"/>
    <n v="11.11"/>
    <n v="0.11"/>
    <n v="7.1"/>
  </r>
  <r>
    <x v="9"/>
    <x v="0"/>
    <x v="8"/>
    <x v="2"/>
    <x v="0"/>
    <x v="0"/>
    <n v="2.21"/>
    <n v="3.38"/>
    <n v="1.81"/>
    <n v="2.1800000000000002"/>
  </r>
  <r>
    <x v="9"/>
    <x v="5"/>
    <x v="9"/>
    <x v="2"/>
    <x v="4"/>
    <x v="0"/>
    <n v="2.83"/>
    <n v="3.01"/>
    <n v="0.59"/>
    <n v="2.64"/>
  </r>
  <r>
    <x v="9"/>
    <x v="5"/>
    <x v="9"/>
    <x v="3"/>
    <x v="4"/>
    <x v="0"/>
    <n v="2.46"/>
    <n v="2.62"/>
    <n v="0.85"/>
    <n v="2.2799999999999998"/>
  </r>
  <r>
    <x v="9"/>
    <x v="5"/>
    <x v="9"/>
    <x v="4"/>
    <x v="4"/>
    <x v="0"/>
    <n v="22.84"/>
    <n v="24.31"/>
    <n v="2.83"/>
    <n v="21.09"/>
  </r>
  <r>
    <x v="9"/>
    <x v="5"/>
    <x v="9"/>
    <x v="4"/>
    <x v="1"/>
    <x v="0"/>
    <n v="2.94"/>
    <n v="3.13"/>
    <n v="0.14000000000000001"/>
    <n v="2.73"/>
  </r>
  <r>
    <x v="9"/>
    <x v="5"/>
    <x v="9"/>
    <x v="0"/>
    <x v="0"/>
    <x v="0"/>
    <n v="1.5"/>
    <n v="1.59"/>
    <n v="0.93"/>
    <n v="1.35"/>
  </r>
  <r>
    <x v="9"/>
    <x v="5"/>
    <x v="9"/>
    <x v="0"/>
    <x v="4"/>
    <x v="0"/>
    <n v="5.29"/>
    <n v="5.63"/>
    <n v="1.47"/>
    <n v="4.88"/>
  </r>
  <r>
    <x v="9"/>
    <x v="5"/>
    <x v="9"/>
    <x v="1"/>
    <x v="0"/>
    <x v="0"/>
    <n v="5.41"/>
    <n v="5.76"/>
    <n v="2.89"/>
    <n v="5.04"/>
  </r>
  <r>
    <x v="9"/>
    <x v="5"/>
    <x v="9"/>
    <x v="1"/>
    <x v="4"/>
    <x v="0"/>
    <n v="80.709999999999994"/>
    <n v="85.89"/>
    <n v="17.21"/>
    <n v="73.760000000000005"/>
  </r>
  <r>
    <x v="9"/>
    <x v="5"/>
    <x v="9"/>
    <x v="2"/>
    <x v="0"/>
    <x v="0"/>
    <n v="2.13"/>
    <n v="2.27"/>
    <n v="1.82"/>
    <n v="1.99"/>
  </r>
  <r>
    <x v="9"/>
    <x v="5"/>
    <x v="9"/>
    <x v="2"/>
    <x v="3"/>
    <x v="0"/>
    <n v="2.66"/>
    <n v="2.83"/>
    <n v="0.03"/>
    <n v="2.66"/>
  </r>
  <r>
    <x v="9"/>
    <x v="5"/>
    <x v="9"/>
    <x v="2"/>
    <x v="3"/>
    <x v="1"/>
    <n v="0.41"/>
    <n v="0.44"/>
    <n v="0"/>
    <n v="0.37"/>
  </r>
  <r>
    <x v="9"/>
    <x v="5"/>
    <x v="9"/>
    <x v="3"/>
    <x v="0"/>
    <x v="0"/>
    <n v="0.92"/>
    <n v="0.98"/>
    <n v="0.21"/>
    <n v="0.89"/>
  </r>
  <r>
    <x v="9"/>
    <x v="5"/>
    <x v="9"/>
    <x v="1"/>
    <x v="1"/>
    <x v="0"/>
    <n v="15.28"/>
    <n v="16.27"/>
    <n v="0.75"/>
    <n v="13.89"/>
  </r>
  <r>
    <x v="9"/>
    <x v="5"/>
    <x v="9"/>
    <x v="4"/>
    <x v="1"/>
    <x v="2"/>
    <n v="0.43"/>
    <n v="0.46"/>
    <n v="0.01"/>
    <n v="0.38"/>
  </r>
  <r>
    <x v="9"/>
    <x v="5"/>
    <x v="9"/>
    <x v="4"/>
    <x v="4"/>
    <x v="2"/>
    <n v="0.35"/>
    <n v="0.37"/>
    <n v="0.01"/>
    <n v="0.31"/>
  </r>
  <r>
    <x v="9"/>
    <x v="5"/>
    <x v="9"/>
    <x v="4"/>
    <x v="2"/>
    <x v="2"/>
    <n v="0.36"/>
    <n v="0.38"/>
    <n v="0"/>
    <n v="0.31"/>
  </r>
  <r>
    <x v="9"/>
    <x v="5"/>
    <x v="9"/>
    <x v="1"/>
    <x v="4"/>
    <x v="2"/>
    <n v="0"/>
    <n v="0"/>
    <n v="0"/>
    <n v="0"/>
  </r>
  <r>
    <x v="9"/>
    <x v="5"/>
    <x v="9"/>
    <x v="2"/>
    <x v="3"/>
    <x v="2"/>
    <n v="0.08"/>
    <n v="0.09"/>
    <n v="0"/>
    <n v="7.0000000000000007E-2"/>
  </r>
  <r>
    <x v="9"/>
    <x v="5"/>
    <x v="9"/>
    <x v="4"/>
    <x v="0"/>
    <x v="1"/>
    <n v="0.03"/>
    <n v="0.03"/>
    <n v="0"/>
    <n v="0.02"/>
  </r>
  <r>
    <x v="9"/>
    <x v="5"/>
    <x v="9"/>
    <x v="4"/>
    <x v="4"/>
    <x v="1"/>
    <n v="2.17"/>
    <n v="2.31"/>
    <n v="0.03"/>
    <n v="1.98"/>
  </r>
  <r>
    <x v="9"/>
    <x v="5"/>
    <x v="9"/>
    <x v="0"/>
    <x v="0"/>
    <x v="1"/>
    <n v="1.08"/>
    <n v="1.1399999999999999"/>
    <n v="0.02"/>
    <n v="0.98"/>
  </r>
  <r>
    <x v="9"/>
    <x v="5"/>
    <x v="9"/>
    <x v="0"/>
    <x v="4"/>
    <x v="1"/>
    <n v="0.1"/>
    <n v="0.11"/>
    <n v="0.01"/>
    <n v="0.09"/>
  </r>
  <r>
    <x v="9"/>
    <x v="5"/>
    <x v="9"/>
    <x v="1"/>
    <x v="0"/>
    <x v="1"/>
    <n v="1.27"/>
    <n v="1.35"/>
    <n v="0.04"/>
    <n v="1.24"/>
  </r>
  <r>
    <x v="9"/>
    <x v="5"/>
    <x v="9"/>
    <x v="1"/>
    <x v="4"/>
    <x v="1"/>
    <n v="0.24"/>
    <n v="0.26"/>
    <n v="0.01"/>
    <n v="0.24"/>
  </r>
  <r>
    <x v="9"/>
    <x v="5"/>
    <x v="9"/>
    <x v="3"/>
    <x v="1"/>
    <x v="0"/>
    <n v="0"/>
    <n v="0"/>
    <n v="0"/>
    <n v="0"/>
  </r>
  <r>
    <x v="9"/>
    <x v="5"/>
    <x v="9"/>
    <x v="1"/>
    <x v="1"/>
    <x v="1"/>
    <n v="4.95"/>
    <n v="5.27"/>
    <n v="0.04"/>
    <n v="4.6100000000000003"/>
  </r>
  <r>
    <x v="9"/>
    <x v="5"/>
    <x v="9"/>
    <x v="4"/>
    <x v="1"/>
    <x v="1"/>
    <n v="0.96"/>
    <n v="1.02"/>
    <n v="0"/>
    <n v="0.87"/>
  </r>
  <r>
    <x v="9"/>
    <x v="5"/>
    <x v="9"/>
    <x v="1"/>
    <x v="2"/>
    <x v="1"/>
    <n v="2.88"/>
    <n v="3.06"/>
    <n v="0.01"/>
    <n v="2.69"/>
  </r>
  <r>
    <x v="9"/>
    <x v="2"/>
    <x v="10"/>
    <x v="4"/>
    <x v="4"/>
    <x v="1"/>
    <n v="0.05"/>
    <n v="0.05"/>
    <n v="0"/>
    <n v="0.04"/>
  </r>
  <r>
    <x v="9"/>
    <x v="2"/>
    <x v="10"/>
    <x v="3"/>
    <x v="4"/>
    <x v="0"/>
    <n v="8.35"/>
    <n v="9.07"/>
    <n v="1.62"/>
    <n v="7.97"/>
  </r>
  <r>
    <x v="9"/>
    <x v="2"/>
    <x v="10"/>
    <x v="2"/>
    <x v="3"/>
    <x v="3"/>
    <n v="23.88"/>
    <n v="25.93"/>
    <n v="0.01"/>
    <n v="23.87"/>
  </r>
  <r>
    <x v="9"/>
    <x v="2"/>
    <x v="10"/>
    <x v="4"/>
    <x v="0"/>
    <x v="1"/>
    <n v="0"/>
    <n v="0"/>
    <n v="0"/>
    <n v="0"/>
  </r>
  <r>
    <x v="9"/>
    <x v="2"/>
    <x v="10"/>
    <x v="4"/>
    <x v="1"/>
    <x v="1"/>
    <n v="0.27"/>
    <n v="0.28999999999999998"/>
    <n v="0"/>
    <n v="0.24"/>
  </r>
  <r>
    <x v="9"/>
    <x v="2"/>
    <x v="10"/>
    <x v="0"/>
    <x v="0"/>
    <x v="1"/>
    <n v="0.17"/>
    <n v="0.18"/>
    <n v="0.01"/>
    <n v="0.15"/>
  </r>
  <r>
    <x v="9"/>
    <x v="2"/>
    <x v="10"/>
    <x v="0"/>
    <x v="4"/>
    <x v="1"/>
    <n v="0.22"/>
    <n v="0.23"/>
    <n v="0.01"/>
    <n v="0.19"/>
  </r>
  <r>
    <x v="9"/>
    <x v="2"/>
    <x v="10"/>
    <x v="1"/>
    <x v="0"/>
    <x v="1"/>
    <n v="0.2"/>
    <n v="0.21"/>
    <n v="0.02"/>
    <n v="0.19"/>
  </r>
  <r>
    <x v="9"/>
    <x v="2"/>
    <x v="10"/>
    <x v="1"/>
    <x v="4"/>
    <x v="1"/>
    <n v="0"/>
    <n v="0"/>
    <n v="0"/>
    <n v="0"/>
  </r>
  <r>
    <x v="9"/>
    <x v="2"/>
    <x v="10"/>
    <x v="1"/>
    <x v="1"/>
    <x v="1"/>
    <n v="0.4"/>
    <n v="0.44"/>
    <n v="0"/>
    <n v="0.37"/>
  </r>
  <r>
    <x v="9"/>
    <x v="2"/>
    <x v="10"/>
    <x v="1"/>
    <x v="2"/>
    <x v="1"/>
    <n v="0.41"/>
    <n v="0.44"/>
    <n v="0"/>
    <n v="0.36"/>
  </r>
  <r>
    <x v="9"/>
    <x v="2"/>
    <x v="10"/>
    <x v="2"/>
    <x v="3"/>
    <x v="2"/>
    <n v="1.34"/>
    <n v="1.46"/>
    <n v="0"/>
    <n v="1.25"/>
  </r>
  <r>
    <x v="9"/>
    <x v="2"/>
    <x v="10"/>
    <x v="3"/>
    <x v="0"/>
    <x v="0"/>
    <n v="2.33"/>
    <n v="2.5299999999999998"/>
    <n v="0.37"/>
    <n v="2.3199999999999998"/>
  </r>
  <r>
    <x v="9"/>
    <x v="2"/>
    <x v="10"/>
    <x v="1"/>
    <x v="4"/>
    <x v="2"/>
    <n v="0.27"/>
    <n v="0.28999999999999998"/>
    <n v="0"/>
    <n v="0.22"/>
  </r>
  <r>
    <x v="9"/>
    <x v="2"/>
    <x v="10"/>
    <x v="2"/>
    <x v="3"/>
    <x v="0"/>
    <n v="2.66"/>
    <n v="2.89"/>
    <n v="0.02"/>
    <n v="2.66"/>
  </r>
  <r>
    <x v="9"/>
    <x v="2"/>
    <x v="10"/>
    <x v="2"/>
    <x v="4"/>
    <x v="0"/>
    <n v="2.58"/>
    <n v="2.8"/>
    <n v="0.42"/>
    <n v="2.46"/>
  </r>
  <r>
    <x v="9"/>
    <x v="2"/>
    <x v="10"/>
    <x v="2"/>
    <x v="0"/>
    <x v="0"/>
    <n v="5.34"/>
    <n v="5.8"/>
    <n v="1.46"/>
    <n v="5.05"/>
  </r>
  <r>
    <x v="9"/>
    <x v="2"/>
    <x v="10"/>
    <x v="1"/>
    <x v="1"/>
    <x v="0"/>
    <n v="14.58"/>
    <n v="15.83"/>
    <n v="0.67"/>
    <n v="13.67"/>
  </r>
  <r>
    <x v="9"/>
    <x v="2"/>
    <x v="10"/>
    <x v="1"/>
    <x v="4"/>
    <x v="0"/>
    <n v="79.239999999999995"/>
    <n v="86.07"/>
    <n v="11.28"/>
    <n v="74.540000000000006"/>
  </r>
  <r>
    <x v="9"/>
    <x v="2"/>
    <x v="10"/>
    <x v="1"/>
    <x v="0"/>
    <x v="0"/>
    <n v="4.9800000000000004"/>
    <n v="5.41"/>
    <n v="2.31"/>
    <n v="4.74"/>
  </r>
  <r>
    <x v="9"/>
    <x v="2"/>
    <x v="10"/>
    <x v="0"/>
    <x v="4"/>
    <x v="0"/>
    <n v="10.31"/>
    <n v="11.2"/>
    <n v="2.12"/>
    <n v="9.6999999999999993"/>
  </r>
  <r>
    <x v="9"/>
    <x v="2"/>
    <x v="10"/>
    <x v="0"/>
    <x v="0"/>
    <x v="0"/>
    <n v="3.58"/>
    <n v="3.89"/>
    <n v="1.28"/>
    <n v="3.34"/>
  </r>
  <r>
    <x v="9"/>
    <x v="2"/>
    <x v="10"/>
    <x v="4"/>
    <x v="1"/>
    <x v="0"/>
    <n v="5.19"/>
    <n v="5.64"/>
    <n v="0.24"/>
    <n v="4.93"/>
  </r>
  <r>
    <x v="9"/>
    <x v="2"/>
    <x v="10"/>
    <x v="4"/>
    <x v="4"/>
    <x v="0"/>
    <n v="51.94"/>
    <n v="56.41"/>
    <n v="4.5"/>
    <n v="49.12"/>
  </r>
  <r>
    <x v="9"/>
    <x v="2"/>
    <x v="10"/>
    <x v="2"/>
    <x v="3"/>
    <x v="1"/>
    <n v="0.14000000000000001"/>
    <n v="0.16"/>
    <n v="0"/>
    <n v="0.13"/>
  </r>
  <r>
    <x v="9"/>
    <x v="2"/>
    <x v="11"/>
    <x v="1"/>
    <x v="1"/>
    <x v="0"/>
    <n v="18.36"/>
    <n v="19.989999999999998"/>
    <n v="0.83"/>
    <n v="17.32"/>
  </r>
  <r>
    <x v="9"/>
    <x v="2"/>
    <x v="11"/>
    <x v="3"/>
    <x v="0"/>
    <x v="0"/>
    <n v="2.27"/>
    <n v="2.48"/>
    <n v="0.38"/>
    <n v="2.29"/>
  </r>
  <r>
    <x v="9"/>
    <x v="2"/>
    <x v="11"/>
    <x v="2"/>
    <x v="3"/>
    <x v="1"/>
    <n v="0.25"/>
    <n v="0.27"/>
    <n v="0"/>
    <n v="0.25"/>
  </r>
  <r>
    <x v="9"/>
    <x v="2"/>
    <x v="11"/>
    <x v="1"/>
    <x v="2"/>
    <x v="1"/>
    <n v="7.0000000000000007E-2"/>
    <n v="0.08"/>
    <n v="0"/>
    <n v="7.0000000000000007E-2"/>
  </r>
  <r>
    <x v="9"/>
    <x v="2"/>
    <x v="11"/>
    <x v="1"/>
    <x v="1"/>
    <x v="1"/>
    <n v="0.92"/>
    <n v="1"/>
    <n v="0"/>
    <n v="0.94"/>
  </r>
  <r>
    <x v="9"/>
    <x v="2"/>
    <x v="11"/>
    <x v="1"/>
    <x v="4"/>
    <x v="1"/>
    <n v="0.04"/>
    <n v="0.05"/>
    <n v="0"/>
    <n v="0.05"/>
  </r>
  <r>
    <x v="9"/>
    <x v="2"/>
    <x v="11"/>
    <x v="4"/>
    <x v="4"/>
    <x v="0"/>
    <n v="69.03"/>
    <n v="75.14"/>
    <n v="6.54"/>
    <n v="65.39"/>
  </r>
  <r>
    <x v="9"/>
    <x v="2"/>
    <x v="11"/>
    <x v="4"/>
    <x v="1"/>
    <x v="0"/>
    <n v="7.6"/>
    <n v="8.27"/>
    <n v="0.31"/>
    <n v="7.17"/>
  </r>
  <r>
    <x v="9"/>
    <x v="2"/>
    <x v="11"/>
    <x v="0"/>
    <x v="0"/>
    <x v="0"/>
    <n v="3.97"/>
    <n v="4.32"/>
    <n v="1.68"/>
    <n v="3.71"/>
  </r>
  <r>
    <x v="9"/>
    <x v="2"/>
    <x v="11"/>
    <x v="4"/>
    <x v="0"/>
    <x v="1"/>
    <n v="0.01"/>
    <n v="0.01"/>
    <n v="0"/>
    <n v="0.01"/>
  </r>
  <r>
    <x v="9"/>
    <x v="2"/>
    <x v="11"/>
    <x v="0"/>
    <x v="4"/>
    <x v="0"/>
    <n v="14.09"/>
    <n v="15.34"/>
    <n v="3.02"/>
    <n v="13.22"/>
  </r>
  <r>
    <x v="9"/>
    <x v="2"/>
    <x v="11"/>
    <x v="4"/>
    <x v="4"/>
    <x v="2"/>
    <n v="1.19"/>
    <n v="1.29"/>
    <n v="0.02"/>
    <n v="1.1599999999999999"/>
  </r>
  <r>
    <x v="9"/>
    <x v="2"/>
    <x v="11"/>
    <x v="1"/>
    <x v="4"/>
    <x v="0"/>
    <n v="116.45"/>
    <n v="126.77"/>
    <n v="17.510000000000002"/>
    <n v="109.86"/>
  </r>
  <r>
    <x v="9"/>
    <x v="2"/>
    <x v="11"/>
    <x v="3"/>
    <x v="4"/>
    <x v="0"/>
    <n v="8.49"/>
    <n v="9.24"/>
    <n v="1.77"/>
    <n v="8.2100000000000009"/>
  </r>
  <r>
    <x v="9"/>
    <x v="2"/>
    <x v="11"/>
    <x v="2"/>
    <x v="0"/>
    <x v="0"/>
    <n v="7.92"/>
    <n v="8.6199999999999992"/>
    <n v="1.63"/>
    <n v="7.56"/>
  </r>
  <r>
    <x v="9"/>
    <x v="2"/>
    <x v="11"/>
    <x v="2"/>
    <x v="4"/>
    <x v="0"/>
    <n v="3.8"/>
    <n v="4.1399999999999997"/>
    <n v="0.45"/>
    <n v="3.64"/>
  </r>
  <r>
    <x v="9"/>
    <x v="2"/>
    <x v="11"/>
    <x v="2"/>
    <x v="3"/>
    <x v="0"/>
    <n v="5.67"/>
    <n v="6.17"/>
    <n v="0.05"/>
    <n v="5.67"/>
  </r>
  <r>
    <x v="9"/>
    <x v="2"/>
    <x v="11"/>
    <x v="1"/>
    <x v="0"/>
    <x v="1"/>
    <n v="0.44"/>
    <n v="0.48"/>
    <n v="0.01"/>
    <n v="0.47"/>
  </r>
  <r>
    <x v="9"/>
    <x v="2"/>
    <x v="11"/>
    <x v="0"/>
    <x v="4"/>
    <x v="1"/>
    <n v="0.13"/>
    <n v="0.14000000000000001"/>
    <n v="0"/>
    <n v="0.13"/>
  </r>
  <r>
    <x v="9"/>
    <x v="2"/>
    <x v="11"/>
    <x v="0"/>
    <x v="0"/>
    <x v="1"/>
    <n v="0.14000000000000001"/>
    <n v="0.15"/>
    <n v="0.01"/>
    <n v="0.14000000000000001"/>
  </r>
  <r>
    <x v="9"/>
    <x v="2"/>
    <x v="11"/>
    <x v="4"/>
    <x v="4"/>
    <x v="1"/>
    <n v="0.05"/>
    <n v="0.05"/>
    <n v="0"/>
    <n v="0.05"/>
  </r>
  <r>
    <x v="9"/>
    <x v="2"/>
    <x v="11"/>
    <x v="2"/>
    <x v="3"/>
    <x v="3"/>
    <n v="2.8"/>
    <n v="3.05"/>
    <n v="0"/>
    <n v="2.8"/>
  </r>
  <r>
    <x v="9"/>
    <x v="2"/>
    <x v="11"/>
    <x v="1"/>
    <x v="4"/>
    <x v="2"/>
    <n v="1.79"/>
    <n v="1.95"/>
    <n v="0.01"/>
    <n v="1.75"/>
  </r>
  <r>
    <x v="9"/>
    <x v="2"/>
    <x v="11"/>
    <x v="4"/>
    <x v="2"/>
    <x v="2"/>
    <n v="0.34"/>
    <n v="0.37"/>
    <n v="0"/>
    <n v="0.33"/>
  </r>
  <r>
    <x v="9"/>
    <x v="2"/>
    <x v="11"/>
    <x v="1"/>
    <x v="0"/>
    <x v="0"/>
    <n v="6.05"/>
    <n v="6.59"/>
    <n v="2.64"/>
    <n v="5.82"/>
  </r>
  <r>
    <x v="9"/>
    <x v="2"/>
    <x v="11"/>
    <x v="4"/>
    <x v="1"/>
    <x v="1"/>
    <n v="0.15"/>
    <n v="0.17"/>
    <n v="0"/>
    <n v="0.15"/>
  </r>
  <r>
    <x v="9"/>
    <x v="2"/>
    <x v="12"/>
    <x v="1"/>
    <x v="4"/>
    <x v="0"/>
    <n v="693.66"/>
    <n v="755.11"/>
    <n v="80.78"/>
    <n v="642.42999999999995"/>
  </r>
  <r>
    <x v="9"/>
    <x v="2"/>
    <x v="12"/>
    <x v="3"/>
    <x v="4"/>
    <x v="0"/>
    <n v="133.41"/>
    <n v="145.22999999999999"/>
    <n v="34.08"/>
    <n v="128.18"/>
  </r>
  <r>
    <x v="9"/>
    <x v="2"/>
    <x v="12"/>
    <x v="3"/>
    <x v="1"/>
    <x v="0"/>
    <n v="2.82"/>
    <n v="3.07"/>
    <n v="0.21"/>
    <n v="2.73"/>
  </r>
  <r>
    <x v="9"/>
    <x v="2"/>
    <x v="12"/>
    <x v="4"/>
    <x v="4"/>
    <x v="0"/>
    <n v="235.92"/>
    <n v="256.82"/>
    <n v="20.309999999999999"/>
    <n v="225.45"/>
  </r>
  <r>
    <x v="9"/>
    <x v="2"/>
    <x v="12"/>
    <x v="4"/>
    <x v="1"/>
    <x v="0"/>
    <n v="27.07"/>
    <n v="29.47"/>
    <n v="1.32"/>
    <n v="25.19"/>
  </r>
  <r>
    <x v="9"/>
    <x v="2"/>
    <x v="12"/>
    <x v="0"/>
    <x v="0"/>
    <x v="0"/>
    <n v="16.850000000000001"/>
    <n v="18.34"/>
    <n v="6.74"/>
    <n v="15.35"/>
  </r>
  <r>
    <x v="9"/>
    <x v="2"/>
    <x v="12"/>
    <x v="4"/>
    <x v="4"/>
    <x v="2"/>
    <n v="2.16"/>
    <n v="2.36"/>
    <n v="0.04"/>
    <n v="2.29"/>
  </r>
  <r>
    <x v="9"/>
    <x v="2"/>
    <x v="12"/>
    <x v="1"/>
    <x v="0"/>
    <x v="0"/>
    <n v="44.18"/>
    <n v="48.09"/>
    <n v="21.31"/>
    <n v="41.9"/>
  </r>
  <r>
    <x v="9"/>
    <x v="2"/>
    <x v="12"/>
    <x v="1"/>
    <x v="2"/>
    <x v="1"/>
    <n v="19.010000000000002"/>
    <n v="20.69"/>
    <n v="0.1"/>
    <n v="18.47"/>
  </r>
  <r>
    <x v="9"/>
    <x v="2"/>
    <x v="12"/>
    <x v="1"/>
    <x v="1"/>
    <x v="0"/>
    <n v="81.849999999999994"/>
    <n v="89.1"/>
    <n v="3.56"/>
    <n v="75.92"/>
  </r>
  <r>
    <x v="9"/>
    <x v="2"/>
    <x v="12"/>
    <x v="1"/>
    <x v="2"/>
    <x v="0"/>
    <n v="10.07"/>
    <n v="10.97"/>
    <n v="0.18"/>
    <n v="9.0399999999999991"/>
  </r>
  <r>
    <x v="9"/>
    <x v="2"/>
    <x v="12"/>
    <x v="2"/>
    <x v="0"/>
    <x v="0"/>
    <n v="29"/>
    <n v="31.57"/>
    <n v="14.09"/>
    <n v="27.53"/>
  </r>
  <r>
    <x v="9"/>
    <x v="2"/>
    <x v="12"/>
    <x v="2"/>
    <x v="4"/>
    <x v="0"/>
    <n v="35.630000000000003"/>
    <n v="38.78"/>
    <n v="3.63"/>
    <n v="33.520000000000003"/>
  </r>
  <r>
    <x v="9"/>
    <x v="2"/>
    <x v="12"/>
    <x v="2"/>
    <x v="3"/>
    <x v="0"/>
    <n v="1.47"/>
    <n v="1.6"/>
    <n v="0.01"/>
    <n v="1.47"/>
  </r>
  <r>
    <x v="9"/>
    <x v="2"/>
    <x v="12"/>
    <x v="0"/>
    <x v="4"/>
    <x v="0"/>
    <n v="83.19"/>
    <n v="90.56"/>
    <n v="15.31"/>
    <n v="77.55"/>
  </r>
  <r>
    <x v="9"/>
    <x v="2"/>
    <x v="12"/>
    <x v="4"/>
    <x v="1"/>
    <x v="1"/>
    <n v="0.87"/>
    <n v="0.95"/>
    <n v="0.01"/>
    <n v="0.83"/>
  </r>
  <r>
    <x v="9"/>
    <x v="2"/>
    <x v="12"/>
    <x v="4"/>
    <x v="1"/>
    <x v="2"/>
    <n v="0.85"/>
    <n v="0.93"/>
    <n v="0"/>
    <n v="0.9"/>
  </r>
  <r>
    <x v="9"/>
    <x v="2"/>
    <x v="12"/>
    <x v="4"/>
    <x v="2"/>
    <x v="2"/>
    <n v="1.34"/>
    <n v="1.46"/>
    <n v="0"/>
    <n v="1.41"/>
  </r>
  <r>
    <x v="9"/>
    <x v="2"/>
    <x v="12"/>
    <x v="1"/>
    <x v="4"/>
    <x v="2"/>
    <n v="0.52"/>
    <n v="0.56999999999999995"/>
    <n v="0.02"/>
    <n v="0.54"/>
  </r>
  <r>
    <x v="9"/>
    <x v="2"/>
    <x v="12"/>
    <x v="2"/>
    <x v="3"/>
    <x v="2"/>
    <n v="0.94"/>
    <n v="1.02"/>
    <n v="0"/>
    <n v="1.01"/>
  </r>
  <r>
    <x v="9"/>
    <x v="2"/>
    <x v="12"/>
    <x v="2"/>
    <x v="3"/>
    <x v="3"/>
    <n v="79.13"/>
    <n v="86.14"/>
    <n v="0.05"/>
    <n v="79.13"/>
  </r>
  <r>
    <x v="9"/>
    <x v="2"/>
    <x v="12"/>
    <x v="3"/>
    <x v="0"/>
    <x v="0"/>
    <n v="32.03"/>
    <n v="34.869999999999997"/>
    <n v="10.29"/>
    <n v="31.33"/>
  </r>
  <r>
    <x v="9"/>
    <x v="2"/>
    <x v="12"/>
    <x v="4"/>
    <x v="4"/>
    <x v="1"/>
    <n v="0.93"/>
    <n v="1.02"/>
    <n v="0.03"/>
    <n v="0.9"/>
  </r>
  <r>
    <x v="9"/>
    <x v="2"/>
    <x v="12"/>
    <x v="2"/>
    <x v="3"/>
    <x v="1"/>
    <n v="3.59"/>
    <n v="3.9"/>
    <n v="0"/>
    <n v="3.42"/>
  </r>
  <r>
    <x v="9"/>
    <x v="2"/>
    <x v="12"/>
    <x v="0"/>
    <x v="0"/>
    <x v="1"/>
    <n v="5.09"/>
    <n v="5.55"/>
    <n v="0.24"/>
    <n v="4.83"/>
  </r>
  <r>
    <x v="9"/>
    <x v="2"/>
    <x v="12"/>
    <x v="0"/>
    <x v="4"/>
    <x v="1"/>
    <n v="5.51"/>
    <n v="6"/>
    <n v="0.12"/>
    <n v="5.23"/>
  </r>
  <r>
    <x v="9"/>
    <x v="2"/>
    <x v="12"/>
    <x v="1"/>
    <x v="0"/>
    <x v="1"/>
    <n v="3.98"/>
    <n v="4.33"/>
    <n v="0.33"/>
    <n v="4.13"/>
  </r>
  <r>
    <x v="9"/>
    <x v="2"/>
    <x v="12"/>
    <x v="1"/>
    <x v="4"/>
    <x v="1"/>
    <n v="7.3"/>
    <n v="7.95"/>
    <n v="0.12"/>
    <n v="7.51"/>
  </r>
  <r>
    <x v="9"/>
    <x v="2"/>
    <x v="12"/>
    <x v="1"/>
    <x v="1"/>
    <x v="1"/>
    <n v="5.15"/>
    <n v="5.61"/>
    <n v="0.08"/>
    <n v="5.23"/>
  </r>
  <r>
    <x v="9"/>
    <x v="2"/>
    <x v="12"/>
    <x v="4"/>
    <x v="0"/>
    <x v="1"/>
    <n v="0.09"/>
    <n v="0.1"/>
    <n v="0.02"/>
    <n v="0.09"/>
  </r>
  <r>
    <x v="9"/>
    <x v="2"/>
    <x v="13"/>
    <x v="1"/>
    <x v="4"/>
    <x v="2"/>
    <n v="2.83"/>
    <n v="3.08"/>
    <n v="0.12"/>
    <n v="2.21"/>
  </r>
  <r>
    <x v="9"/>
    <x v="2"/>
    <x v="13"/>
    <x v="4"/>
    <x v="4"/>
    <x v="2"/>
    <n v="5.82"/>
    <n v="6.33"/>
    <n v="7.0000000000000007E-2"/>
    <n v="4.5599999999999996"/>
  </r>
  <r>
    <x v="9"/>
    <x v="2"/>
    <x v="13"/>
    <x v="1"/>
    <x v="4"/>
    <x v="0"/>
    <n v="1084.6500000000001"/>
    <n v="1180.73"/>
    <n v="154.69999999999999"/>
    <n v="993.02"/>
  </r>
  <r>
    <x v="9"/>
    <x v="2"/>
    <x v="13"/>
    <x v="4"/>
    <x v="1"/>
    <x v="2"/>
    <n v="6.82"/>
    <n v="7.43"/>
    <n v="0.02"/>
    <n v="5.34"/>
  </r>
  <r>
    <x v="9"/>
    <x v="2"/>
    <x v="13"/>
    <x v="4"/>
    <x v="4"/>
    <x v="0"/>
    <n v="404.85"/>
    <n v="440.71"/>
    <n v="36.119999999999997"/>
    <n v="376.28"/>
  </r>
  <r>
    <x v="9"/>
    <x v="2"/>
    <x v="13"/>
    <x v="4"/>
    <x v="1"/>
    <x v="0"/>
    <n v="53.49"/>
    <n v="58.23"/>
    <n v="2.2400000000000002"/>
    <n v="49.55"/>
  </r>
  <r>
    <x v="9"/>
    <x v="2"/>
    <x v="13"/>
    <x v="0"/>
    <x v="0"/>
    <x v="0"/>
    <n v="47.92"/>
    <n v="52.17"/>
    <n v="15.55"/>
    <n v="43.6"/>
  </r>
  <r>
    <x v="9"/>
    <x v="2"/>
    <x v="13"/>
    <x v="0"/>
    <x v="4"/>
    <x v="0"/>
    <n v="164.43"/>
    <n v="178.99"/>
    <n v="34.67"/>
    <n v="151.24"/>
  </r>
  <r>
    <x v="9"/>
    <x v="2"/>
    <x v="13"/>
    <x v="2"/>
    <x v="3"/>
    <x v="1"/>
    <n v="6.13"/>
    <n v="6.67"/>
    <n v="0.02"/>
    <n v="5.59"/>
  </r>
  <r>
    <x v="9"/>
    <x v="2"/>
    <x v="13"/>
    <x v="1"/>
    <x v="0"/>
    <x v="0"/>
    <n v="85.54"/>
    <n v="93.12"/>
    <n v="33.97"/>
    <n v="78.92"/>
  </r>
  <r>
    <x v="9"/>
    <x v="2"/>
    <x v="13"/>
    <x v="1"/>
    <x v="2"/>
    <x v="1"/>
    <n v="13.97"/>
    <n v="15.21"/>
    <n v="0.11"/>
    <n v="12.99"/>
  </r>
  <r>
    <x v="9"/>
    <x v="2"/>
    <x v="13"/>
    <x v="1"/>
    <x v="1"/>
    <x v="0"/>
    <n v="117.29"/>
    <n v="127.68"/>
    <n v="4.58"/>
    <n v="107.78"/>
  </r>
  <r>
    <x v="9"/>
    <x v="2"/>
    <x v="13"/>
    <x v="1"/>
    <x v="2"/>
    <x v="0"/>
    <n v="43.84"/>
    <n v="47.73"/>
    <n v="0.53"/>
    <n v="39.1"/>
  </r>
  <r>
    <x v="9"/>
    <x v="2"/>
    <x v="13"/>
    <x v="2"/>
    <x v="0"/>
    <x v="0"/>
    <n v="51.17"/>
    <n v="55.7"/>
    <n v="20.64"/>
    <n v="47.54"/>
  </r>
  <r>
    <x v="9"/>
    <x v="2"/>
    <x v="13"/>
    <x v="2"/>
    <x v="4"/>
    <x v="0"/>
    <n v="75.09"/>
    <n v="81.739999999999995"/>
    <n v="7.15"/>
    <n v="69.540000000000006"/>
  </r>
  <r>
    <x v="9"/>
    <x v="2"/>
    <x v="13"/>
    <x v="2"/>
    <x v="2"/>
    <x v="0"/>
    <n v="7.0000000000000007E-2"/>
    <n v="7.0000000000000007E-2"/>
    <n v="0.01"/>
    <n v="0.06"/>
  </r>
  <r>
    <x v="9"/>
    <x v="2"/>
    <x v="13"/>
    <x v="2"/>
    <x v="3"/>
    <x v="0"/>
    <n v="2.25"/>
    <n v="2.4500000000000002"/>
    <n v="0.02"/>
    <n v="2.25"/>
  </r>
  <r>
    <x v="9"/>
    <x v="2"/>
    <x v="13"/>
    <x v="0"/>
    <x v="2"/>
    <x v="0"/>
    <n v="0.35"/>
    <n v="0.38"/>
    <n v="0"/>
    <n v="0.34"/>
  </r>
  <r>
    <x v="9"/>
    <x v="2"/>
    <x v="13"/>
    <x v="4"/>
    <x v="4"/>
    <x v="1"/>
    <n v="2.9"/>
    <n v="3.16"/>
    <n v="0.06"/>
    <n v="2.65"/>
  </r>
  <r>
    <x v="9"/>
    <x v="2"/>
    <x v="13"/>
    <x v="3"/>
    <x v="0"/>
    <x v="0"/>
    <n v="9.57"/>
    <n v="10.42"/>
    <n v="1.73"/>
    <n v="9.2899999999999991"/>
  </r>
  <r>
    <x v="9"/>
    <x v="2"/>
    <x v="13"/>
    <x v="2"/>
    <x v="3"/>
    <x v="2"/>
    <n v="1.37"/>
    <n v="1.49"/>
    <n v="0"/>
    <n v="1.0900000000000001"/>
  </r>
  <r>
    <x v="9"/>
    <x v="2"/>
    <x v="13"/>
    <x v="2"/>
    <x v="4"/>
    <x v="3"/>
    <n v="0.28999999999999998"/>
    <n v="0.31"/>
    <n v="0"/>
    <n v="0.28999999999999998"/>
  </r>
  <r>
    <x v="9"/>
    <x v="2"/>
    <x v="13"/>
    <x v="2"/>
    <x v="1"/>
    <x v="3"/>
    <n v="20.5"/>
    <n v="22.31"/>
    <n v="0.02"/>
    <n v="20.079999999999998"/>
  </r>
  <r>
    <x v="9"/>
    <x v="2"/>
    <x v="13"/>
    <x v="2"/>
    <x v="2"/>
    <x v="3"/>
    <n v="2.68"/>
    <n v="2.91"/>
    <n v="0"/>
    <n v="2.67"/>
  </r>
  <r>
    <x v="9"/>
    <x v="2"/>
    <x v="13"/>
    <x v="3"/>
    <x v="4"/>
    <x v="0"/>
    <n v="217.01"/>
    <n v="236.24"/>
    <n v="54.59"/>
    <n v="207.57"/>
  </r>
  <r>
    <x v="9"/>
    <x v="2"/>
    <x v="13"/>
    <x v="4"/>
    <x v="0"/>
    <x v="1"/>
    <n v="0.63"/>
    <n v="0.69"/>
    <n v="0.04"/>
    <n v="0.57999999999999996"/>
  </r>
  <r>
    <x v="9"/>
    <x v="2"/>
    <x v="13"/>
    <x v="4"/>
    <x v="2"/>
    <x v="2"/>
    <n v="7.0000000000000007E-2"/>
    <n v="0.08"/>
    <n v="0"/>
    <n v="0.05"/>
  </r>
  <r>
    <x v="9"/>
    <x v="2"/>
    <x v="13"/>
    <x v="4"/>
    <x v="1"/>
    <x v="1"/>
    <n v="2.39"/>
    <n v="2.6"/>
    <n v="0.02"/>
    <n v="2.1800000000000002"/>
  </r>
  <r>
    <x v="9"/>
    <x v="2"/>
    <x v="13"/>
    <x v="0"/>
    <x v="0"/>
    <x v="1"/>
    <n v="6.96"/>
    <n v="7.58"/>
    <n v="0.27"/>
    <n v="6.31"/>
  </r>
  <r>
    <x v="9"/>
    <x v="2"/>
    <x v="13"/>
    <x v="0"/>
    <x v="4"/>
    <x v="1"/>
    <n v="7.44"/>
    <n v="8.1"/>
    <n v="0.15"/>
    <n v="6.75"/>
  </r>
  <r>
    <x v="9"/>
    <x v="2"/>
    <x v="13"/>
    <x v="1"/>
    <x v="0"/>
    <x v="1"/>
    <n v="10.96"/>
    <n v="11.93"/>
    <n v="0.37"/>
    <n v="10.6"/>
  </r>
  <r>
    <x v="9"/>
    <x v="2"/>
    <x v="13"/>
    <x v="1"/>
    <x v="4"/>
    <x v="1"/>
    <n v="0.83"/>
    <n v="0.91"/>
    <n v="7.0000000000000007E-2"/>
    <n v="0.83"/>
  </r>
  <r>
    <x v="9"/>
    <x v="2"/>
    <x v="13"/>
    <x v="1"/>
    <x v="1"/>
    <x v="1"/>
    <n v="7.71"/>
    <n v="8.39"/>
    <n v="0.15"/>
    <n v="7.29"/>
  </r>
  <r>
    <x v="9"/>
    <x v="2"/>
    <x v="13"/>
    <x v="2"/>
    <x v="3"/>
    <x v="3"/>
    <n v="278.05"/>
    <n v="302.68"/>
    <n v="0.15"/>
    <n v="276.14999999999998"/>
  </r>
  <r>
    <x v="9"/>
    <x v="2"/>
    <x v="13"/>
    <x v="3"/>
    <x v="1"/>
    <x v="0"/>
    <n v="5.99"/>
    <n v="6.53"/>
    <n v="1.29"/>
    <n v="5.93"/>
  </r>
  <r>
    <x v="9"/>
    <x v="2"/>
    <x v="14"/>
    <x v="3"/>
    <x v="4"/>
    <x v="0"/>
    <n v="1.85"/>
    <n v="2.0099999999999998"/>
    <n v="0.49"/>
    <n v="1.77"/>
  </r>
  <r>
    <x v="9"/>
    <x v="2"/>
    <x v="14"/>
    <x v="1"/>
    <x v="4"/>
    <x v="2"/>
    <n v="1.46"/>
    <n v="1.58"/>
    <n v="0.02"/>
    <n v="1.34"/>
  </r>
  <r>
    <x v="9"/>
    <x v="2"/>
    <x v="14"/>
    <x v="2"/>
    <x v="3"/>
    <x v="2"/>
    <n v="0.7"/>
    <n v="0.76"/>
    <n v="0"/>
    <n v="0.65"/>
  </r>
  <r>
    <x v="9"/>
    <x v="2"/>
    <x v="14"/>
    <x v="2"/>
    <x v="3"/>
    <x v="3"/>
    <n v="0.43"/>
    <n v="0.47"/>
    <n v="0"/>
    <n v="0.43"/>
  </r>
  <r>
    <x v="9"/>
    <x v="2"/>
    <x v="14"/>
    <x v="0"/>
    <x v="0"/>
    <x v="1"/>
    <n v="0.11"/>
    <n v="0.12"/>
    <n v="0"/>
    <n v="0.1"/>
  </r>
  <r>
    <x v="9"/>
    <x v="2"/>
    <x v="14"/>
    <x v="0"/>
    <x v="4"/>
    <x v="1"/>
    <n v="0.16"/>
    <n v="0.18"/>
    <n v="0"/>
    <n v="0.14000000000000001"/>
  </r>
  <r>
    <x v="9"/>
    <x v="2"/>
    <x v="14"/>
    <x v="1"/>
    <x v="0"/>
    <x v="1"/>
    <n v="0.03"/>
    <n v="0.04"/>
    <n v="0"/>
    <n v="0.03"/>
  </r>
  <r>
    <x v="9"/>
    <x v="2"/>
    <x v="14"/>
    <x v="1"/>
    <x v="4"/>
    <x v="1"/>
    <n v="0.08"/>
    <n v="0.09"/>
    <n v="0.01"/>
    <n v="0.08"/>
  </r>
  <r>
    <x v="9"/>
    <x v="2"/>
    <x v="14"/>
    <x v="1"/>
    <x v="1"/>
    <x v="1"/>
    <n v="0.72"/>
    <n v="0.78"/>
    <n v="0.01"/>
    <n v="0.68"/>
  </r>
  <r>
    <x v="9"/>
    <x v="2"/>
    <x v="14"/>
    <x v="1"/>
    <x v="2"/>
    <x v="1"/>
    <n v="0.23"/>
    <n v="0.26"/>
    <n v="0"/>
    <n v="0.21"/>
  </r>
  <r>
    <x v="9"/>
    <x v="2"/>
    <x v="14"/>
    <x v="4"/>
    <x v="4"/>
    <x v="2"/>
    <n v="0.05"/>
    <n v="0.05"/>
    <n v="0"/>
    <n v="0.04"/>
  </r>
  <r>
    <x v="9"/>
    <x v="2"/>
    <x v="14"/>
    <x v="3"/>
    <x v="0"/>
    <x v="0"/>
    <n v="1.6"/>
    <n v="1.74"/>
    <n v="0.26"/>
    <n v="1.58"/>
  </r>
  <r>
    <x v="9"/>
    <x v="2"/>
    <x v="14"/>
    <x v="0"/>
    <x v="4"/>
    <x v="0"/>
    <n v="6.65"/>
    <n v="7.24"/>
    <n v="1.32"/>
    <n v="6.31"/>
  </r>
  <r>
    <x v="9"/>
    <x v="2"/>
    <x v="14"/>
    <x v="4"/>
    <x v="4"/>
    <x v="0"/>
    <n v="4.99"/>
    <n v="5.43"/>
    <n v="0.54"/>
    <n v="4.68"/>
  </r>
  <r>
    <x v="9"/>
    <x v="2"/>
    <x v="14"/>
    <x v="4"/>
    <x v="1"/>
    <x v="0"/>
    <n v="1.51"/>
    <n v="1.64"/>
    <n v="0.08"/>
    <n v="1.41"/>
  </r>
  <r>
    <x v="9"/>
    <x v="2"/>
    <x v="14"/>
    <x v="0"/>
    <x v="0"/>
    <x v="0"/>
    <n v="1"/>
    <n v="1.0900000000000001"/>
    <n v="0.41"/>
    <n v="0.92"/>
  </r>
  <r>
    <x v="9"/>
    <x v="2"/>
    <x v="14"/>
    <x v="1"/>
    <x v="0"/>
    <x v="0"/>
    <n v="3.12"/>
    <n v="3.39"/>
    <n v="1.54"/>
    <n v="3"/>
  </r>
  <r>
    <x v="9"/>
    <x v="2"/>
    <x v="14"/>
    <x v="1"/>
    <x v="1"/>
    <x v="0"/>
    <n v="4.21"/>
    <n v="4.58"/>
    <n v="0.31"/>
    <n v="3.95"/>
  </r>
  <r>
    <x v="9"/>
    <x v="2"/>
    <x v="14"/>
    <x v="2"/>
    <x v="0"/>
    <x v="0"/>
    <n v="2.27"/>
    <n v="2.48"/>
    <n v="0.98"/>
    <n v="2.19"/>
  </r>
  <r>
    <x v="9"/>
    <x v="2"/>
    <x v="14"/>
    <x v="2"/>
    <x v="4"/>
    <x v="0"/>
    <n v="2.82"/>
    <n v="3.07"/>
    <n v="0.35"/>
    <n v="2.72"/>
  </r>
  <r>
    <x v="9"/>
    <x v="2"/>
    <x v="14"/>
    <x v="2"/>
    <x v="3"/>
    <x v="0"/>
    <n v="16.98"/>
    <n v="18.48"/>
    <n v="0.14000000000000001"/>
    <n v="16.98"/>
  </r>
  <r>
    <x v="9"/>
    <x v="2"/>
    <x v="14"/>
    <x v="2"/>
    <x v="3"/>
    <x v="1"/>
    <n v="0.18"/>
    <n v="0.2"/>
    <n v="0"/>
    <n v="0.16"/>
  </r>
  <r>
    <x v="9"/>
    <x v="2"/>
    <x v="14"/>
    <x v="1"/>
    <x v="4"/>
    <x v="0"/>
    <n v="35.26"/>
    <n v="38.380000000000003"/>
    <n v="5.77"/>
    <n v="33.03"/>
  </r>
  <r>
    <x v="9"/>
    <x v="4"/>
    <x v="15"/>
    <x v="4"/>
    <x v="4"/>
    <x v="0"/>
    <n v="24.18"/>
    <n v="24.38"/>
    <n v="3.8"/>
    <n v="22.34"/>
  </r>
  <r>
    <x v="9"/>
    <x v="4"/>
    <x v="15"/>
    <x v="3"/>
    <x v="0"/>
    <x v="0"/>
    <n v="0.26"/>
    <n v="0.26"/>
    <n v="0.09"/>
    <n v="0.27"/>
  </r>
  <r>
    <x v="9"/>
    <x v="4"/>
    <x v="15"/>
    <x v="2"/>
    <x v="4"/>
    <x v="0"/>
    <n v="5.87"/>
    <n v="5.92"/>
    <n v="1.83"/>
    <n v="5.6"/>
  </r>
  <r>
    <x v="9"/>
    <x v="4"/>
    <x v="15"/>
    <x v="2"/>
    <x v="0"/>
    <x v="0"/>
    <n v="4.79"/>
    <n v="4.83"/>
    <n v="3.28"/>
    <n v="4.6900000000000004"/>
  </r>
  <r>
    <x v="9"/>
    <x v="4"/>
    <x v="15"/>
    <x v="1"/>
    <x v="2"/>
    <x v="0"/>
    <n v="6.04"/>
    <n v="6.09"/>
    <n v="0.06"/>
    <n v="5.4"/>
  </r>
  <r>
    <x v="9"/>
    <x v="4"/>
    <x v="15"/>
    <x v="1"/>
    <x v="1"/>
    <x v="0"/>
    <n v="28.04"/>
    <n v="28.26"/>
    <n v="2.02"/>
    <n v="26.8"/>
  </r>
  <r>
    <x v="9"/>
    <x v="4"/>
    <x v="15"/>
    <x v="1"/>
    <x v="4"/>
    <x v="0"/>
    <n v="157.15"/>
    <n v="158.43"/>
    <n v="34.06"/>
    <n v="148.37"/>
  </r>
  <r>
    <x v="9"/>
    <x v="4"/>
    <x v="15"/>
    <x v="1"/>
    <x v="0"/>
    <x v="0"/>
    <n v="11.48"/>
    <n v="11.58"/>
    <n v="7.47"/>
    <n v="11.04"/>
  </r>
  <r>
    <x v="9"/>
    <x v="4"/>
    <x v="15"/>
    <x v="0"/>
    <x v="4"/>
    <x v="0"/>
    <n v="3.75"/>
    <n v="3.78"/>
    <n v="0.68"/>
    <n v="3.81"/>
  </r>
  <r>
    <x v="9"/>
    <x v="4"/>
    <x v="15"/>
    <x v="0"/>
    <x v="0"/>
    <x v="0"/>
    <n v="2.39"/>
    <n v="2.41"/>
    <n v="0.91"/>
    <n v="2.34"/>
  </r>
  <r>
    <x v="9"/>
    <x v="4"/>
    <x v="15"/>
    <x v="4"/>
    <x v="1"/>
    <x v="0"/>
    <n v="13.75"/>
    <n v="13.86"/>
    <n v="0.79"/>
    <n v="12.5"/>
  </r>
  <r>
    <x v="9"/>
    <x v="4"/>
    <x v="15"/>
    <x v="3"/>
    <x v="1"/>
    <x v="0"/>
    <n v="0.34"/>
    <n v="0.34"/>
    <n v="0.03"/>
    <n v="0.35"/>
  </r>
  <r>
    <x v="9"/>
    <x v="4"/>
    <x v="15"/>
    <x v="3"/>
    <x v="4"/>
    <x v="0"/>
    <n v="11.18"/>
    <n v="11.27"/>
    <n v="1.8"/>
    <n v="10.66"/>
  </r>
  <r>
    <x v="9"/>
    <x v="4"/>
    <x v="15"/>
    <x v="4"/>
    <x v="4"/>
    <x v="2"/>
    <n v="0.05"/>
    <n v="0.05"/>
    <n v="0.03"/>
    <n v="0.05"/>
  </r>
  <r>
    <x v="9"/>
    <x v="4"/>
    <x v="15"/>
    <x v="1"/>
    <x v="0"/>
    <x v="1"/>
    <n v="0.17"/>
    <n v="0.17"/>
    <n v="0.13"/>
    <n v="0.15"/>
  </r>
  <r>
    <x v="9"/>
    <x v="4"/>
    <x v="15"/>
    <x v="2"/>
    <x v="3"/>
    <x v="1"/>
    <n v="0"/>
    <n v="0"/>
    <n v="0"/>
    <n v="0"/>
  </r>
  <r>
    <x v="9"/>
    <x v="4"/>
    <x v="15"/>
    <x v="1"/>
    <x v="2"/>
    <x v="1"/>
    <n v="7.71"/>
    <n v="7.78"/>
    <n v="0.14000000000000001"/>
    <n v="6.48"/>
  </r>
  <r>
    <x v="9"/>
    <x v="4"/>
    <x v="15"/>
    <x v="1"/>
    <x v="4"/>
    <x v="1"/>
    <n v="0.16"/>
    <n v="0.17"/>
    <n v="0.08"/>
    <n v="0.14000000000000001"/>
  </r>
  <r>
    <x v="9"/>
    <x v="4"/>
    <x v="15"/>
    <x v="4"/>
    <x v="1"/>
    <x v="2"/>
    <n v="0.13"/>
    <n v="0.14000000000000001"/>
    <n v="0.02"/>
    <n v="0.15"/>
  </r>
  <r>
    <x v="9"/>
    <x v="4"/>
    <x v="15"/>
    <x v="0"/>
    <x v="4"/>
    <x v="1"/>
    <n v="0.36"/>
    <n v="0.37"/>
    <n v="0.17"/>
    <n v="0.3"/>
  </r>
  <r>
    <x v="9"/>
    <x v="4"/>
    <x v="15"/>
    <x v="4"/>
    <x v="1"/>
    <x v="1"/>
    <n v="0.08"/>
    <n v="0.08"/>
    <n v="0.01"/>
    <n v="0.06"/>
  </r>
  <r>
    <x v="9"/>
    <x v="4"/>
    <x v="15"/>
    <x v="4"/>
    <x v="4"/>
    <x v="1"/>
    <n v="0.04"/>
    <n v="0.04"/>
    <n v="0.04"/>
    <n v="0.03"/>
  </r>
  <r>
    <x v="9"/>
    <x v="4"/>
    <x v="15"/>
    <x v="4"/>
    <x v="0"/>
    <x v="1"/>
    <n v="0.04"/>
    <n v="0.04"/>
    <n v="0.06"/>
    <n v="0.03"/>
  </r>
  <r>
    <x v="9"/>
    <x v="4"/>
    <x v="15"/>
    <x v="2"/>
    <x v="3"/>
    <x v="3"/>
    <n v="10.85"/>
    <n v="10.94"/>
    <n v="0.01"/>
    <n v="9.1199999999999992"/>
  </r>
  <r>
    <x v="9"/>
    <x v="4"/>
    <x v="15"/>
    <x v="1"/>
    <x v="1"/>
    <x v="2"/>
    <n v="0.52"/>
    <n v="0.53"/>
    <n v="0.05"/>
    <n v="0.49"/>
  </r>
  <r>
    <x v="9"/>
    <x v="4"/>
    <x v="15"/>
    <x v="1"/>
    <x v="4"/>
    <x v="2"/>
    <n v="0.05"/>
    <n v="0.05"/>
    <n v="0.03"/>
    <n v="0.04"/>
  </r>
  <r>
    <x v="9"/>
    <x v="4"/>
    <x v="15"/>
    <x v="4"/>
    <x v="2"/>
    <x v="2"/>
    <n v="0.02"/>
    <n v="0.02"/>
    <n v="0"/>
    <n v="0.02"/>
  </r>
  <r>
    <x v="9"/>
    <x v="4"/>
    <x v="15"/>
    <x v="1"/>
    <x v="1"/>
    <x v="1"/>
    <n v="1.99"/>
    <n v="2"/>
    <n v="0.09"/>
    <n v="1.69"/>
  </r>
  <r>
    <x v="9"/>
    <x v="5"/>
    <x v="16"/>
    <x v="2"/>
    <x v="4"/>
    <x v="0"/>
    <n v="2.64"/>
    <n v="2.99"/>
    <n v="0.45"/>
    <n v="2.4700000000000002"/>
  </r>
  <r>
    <x v="9"/>
    <x v="5"/>
    <x v="16"/>
    <x v="3"/>
    <x v="1"/>
    <x v="0"/>
    <n v="0"/>
    <n v="0"/>
    <n v="0"/>
    <n v="0"/>
  </r>
  <r>
    <x v="9"/>
    <x v="5"/>
    <x v="16"/>
    <x v="4"/>
    <x v="4"/>
    <x v="0"/>
    <n v="12.14"/>
    <n v="13.74"/>
    <n v="1.67"/>
    <n v="11.31"/>
  </r>
  <r>
    <x v="9"/>
    <x v="5"/>
    <x v="16"/>
    <x v="4"/>
    <x v="1"/>
    <x v="0"/>
    <n v="1.6"/>
    <n v="1.81"/>
    <n v="0.08"/>
    <n v="1.5"/>
  </r>
  <r>
    <x v="9"/>
    <x v="5"/>
    <x v="16"/>
    <x v="0"/>
    <x v="0"/>
    <x v="0"/>
    <n v="1.06"/>
    <n v="1.2"/>
    <n v="0.59"/>
    <n v="0.95"/>
  </r>
  <r>
    <x v="9"/>
    <x v="5"/>
    <x v="16"/>
    <x v="0"/>
    <x v="4"/>
    <x v="0"/>
    <n v="3.94"/>
    <n v="4.46"/>
    <n v="1.03"/>
    <n v="3.63"/>
  </r>
  <r>
    <x v="9"/>
    <x v="5"/>
    <x v="16"/>
    <x v="1"/>
    <x v="0"/>
    <x v="0"/>
    <n v="2.76"/>
    <n v="3.12"/>
    <n v="1.73"/>
    <n v="2.54"/>
  </r>
  <r>
    <x v="9"/>
    <x v="5"/>
    <x v="16"/>
    <x v="1"/>
    <x v="4"/>
    <x v="0"/>
    <n v="53.65"/>
    <n v="60.72"/>
    <n v="12.11"/>
    <n v="48.61"/>
  </r>
  <r>
    <x v="9"/>
    <x v="5"/>
    <x v="16"/>
    <x v="1"/>
    <x v="1"/>
    <x v="0"/>
    <n v="9.34"/>
    <n v="10.58"/>
    <n v="0.57999999999999996"/>
    <n v="8.4499999999999993"/>
  </r>
  <r>
    <x v="9"/>
    <x v="5"/>
    <x v="16"/>
    <x v="2"/>
    <x v="0"/>
    <x v="0"/>
    <n v="1.74"/>
    <n v="1.97"/>
    <n v="1.26"/>
    <n v="1.63"/>
  </r>
  <r>
    <x v="9"/>
    <x v="5"/>
    <x v="16"/>
    <x v="3"/>
    <x v="0"/>
    <x v="0"/>
    <n v="0.82"/>
    <n v="0.93"/>
    <n v="0.19"/>
    <n v="0.79"/>
  </r>
  <r>
    <x v="9"/>
    <x v="5"/>
    <x v="16"/>
    <x v="2"/>
    <x v="3"/>
    <x v="1"/>
    <n v="0.06"/>
    <n v="7.0000000000000007E-2"/>
    <n v="0"/>
    <n v="0.06"/>
  </r>
  <r>
    <x v="9"/>
    <x v="5"/>
    <x v="16"/>
    <x v="1"/>
    <x v="2"/>
    <x v="0"/>
    <n v="0.26"/>
    <n v="0.3"/>
    <n v="0.01"/>
    <n v="0.23"/>
  </r>
  <r>
    <x v="9"/>
    <x v="5"/>
    <x v="16"/>
    <x v="4"/>
    <x v="0"/>
    <x v="1"/>
    <n v="0"/>
    <n v="0"/>
    <n v="0"/>
    <n v="0"/>
  </r>
  <r>
    <x v="9"/>
    <x v="5"/>
    <x v="16"/>
    <x v="3"/>
    <x v="4"/>
    <x v="0"/>
    <n v="1.58"/>
    <n v="1.79"/>
    <n v="0.52"/>
    <n v="1.49"/>
  </r>
  <r>
    <x v="9"/>
    <x v="5"/>
    <x v="16"/>
    <x v="2"/>
    <x v="3"/>
    <x v="0"/>
    <n v="7.0000000000000007E-2"/>
    <n v="0.08"/>
    <n v="0.03"/>
    <n v="7.0000000000000007E-2"/>
  </r>
  <r>
    <x v="9"/>
    <x v="5"/>
    <x v="16"/>
    <x v="4"/>
    <x v="1"/>
    <x v="2"/>
    <n v="0.53"/>
    <n v="0.6"/>
    <n v="0.01"/>
    <n v="0.44"/>
  </r>
  <r>
    <x v="9"/>
    <x v="5"/>
    <x v="16"/>
    <x v="2"/>
    <x v="3"/>
    <x v="3"/>
    <n v="0.06"/>
    <n v="7.0000000000000007E-2"/>
    <n v="0"/>
    <n v="0.06"/>
  </r>
  <r>
    <x v="9"/>
    <x v="5"/>
    <x v="16"/>
    <x v="4"/>
    <x v="4"/>
    <x v="2"/>
    <n v="0.05"/>
    <n v="0.06"/>
    <n v="0"/>
    <n v="0.04"/>
  </r>
  <r>
    <x v="9"/>
    <x v="5"/>
    <x v="16"/>
    <x v="4"/>
    <x v="4"/>
    <x v="1"/>
    <n v="0.35"/>
    <n v="0.4"/>
    <n v="0"/>
    <n v="0.31"/>
  </r>
  <r>
    <x v="9"/>
    <x v="5"/>
    <x v="16"/>
    <x v="4"/>
    <x v="1"/>
    <x v="1"/>
    <n v="0.17"/>
    <n v="0.19"/>
    <n v="0"/>
    <n v="0.15"/>
  </r>
  <r>
    <x v="9"/>
    <x v="5"/>
    <x v="16"/>
    <x v="0"/>
    <x v="0"/>
    <x v="1"/>
    <n v="0.17"/>
    <n v="0.2"/>
    <n v="0"/>
    <n v="0.15"/>
  </r>
  <r>
    <x v="9"/>
    <x v="5"/>
    <x v="16"/>
    <x v="0"/>
    <x v="4"/>
    <x v="1"/>
    <n v="0.01"/>
    <n v="0.02"/>
    <n v="0"/>
    <n v="0.01"/>
  </r>
  <r>
    <x v="9"/>
    <x v="5"/>
    <x v="16"/>
    <x v="1"/>
    <x v="0"/>
    <x v="1"/>
    <n v="0.23"/>
    <n v="0.26"/>
    <n v="0.01"/>
    <n v="0.22"/>
  </r>
  <r>
    <x v="9"/>
    <x v="5"/>
    <x v="16"/>
    <x v="1"/>
    <x v="4"/>
    <x v="1"/>
    <n v="0.09"/>
    <n v="0.11"/>
    <n v="0"/>
    <n v="0.09"/>
  </r>
  <r>
    <x v="9"/>
    <x v="5"/>
    <x v="16"/>
    <x v="1"/>
    <x v="1"/>
    <x v="1"/>
    <n v="0.56000000000000005"/>
    <n v="0.63"/>
    <n v="0"/>
    <n v="0.53"/>
  </r>
  <r>
    <x v="9"/>
    <x v="5"/>
    <x v="16"/>
    <x v="1"/>
    <x v="2"/>
    <x v="1"/>
    <n v="0.28000000000000003"/>
    <n v="0.32"/>
    <n v="0"/>
    <n v="0.26"/>
  </r>
  <r>
    <x v="9"/>
    <x v="5"/>
    <x v="16"/>
    <x v="2"/>
    <x v="3"/>
    <x v="2"/>
    <n v="0.01"/>
    <n v="0.01"/>
    <n v="0"/>
    <n v="0.01"/>
  </r>
  <r>
    <x v="9"/>
    <x v="6"/>
    <x v="17"/>
    <x v="4"/>
    <x v="1"/>
    <x v="1"/>
    <n v="0.47"/>
    <n v="0.52"/>
    <n v="0.02"/>
    <n v="0.41"/>
  </r>
  <r>
    <x v="9"/>
    <x v="6"/>
    <x v="17"/>
    <x v="4"/>
    <x v="4"/>
    <x v="1"/>
    <n v="3.33"/>
    <n v="3.62"/>
    <n v="0.09"/>
    <n v="2.85"/>
  </r>
  <r>
    <x v="9"/>
    <x v="6"/>
    <x v="17"/>
    <x v="4"/>
    <x v="0"/>
    <x v="1"/>
    <n v="1.9"/>
    <n v="2.06"/>
    <n v="0.14000000000000001"/>
    <n v="1.63"/>
  </r>
  <r>
    <x v="9"/>
    <x v="6"/>
    <x v="17"/>
    <x v="2"/>
    <x v="3"/>
    <x v="2"/>
    <n v="4.53"/>
    <n v="4.93"/>
    <n v="0.01"/>
    <n v="4.3899999999999997"/>
  </r>
  <r>
    <x v="9"/>
    <x v="6"/>
    <x v="17"/>
    <x v="1"/>
    <x v="2"/>
    <x v="2"/>
    <n v="0.03"/>
    <n v="0.03"/>
    <n v="0"/>
    <n v="0.03"/>
  </r>
  <r>
    <x v="9"/>
    <x v="6"/>
    <x v="17"/>
    <x v="1"/>
    <x v="0"/>
    <x v="0"/>
    <n v="22.01"/>
    <n v="23.93"/>
    <n v="11.32"/>
    <n v="20.28"/>
  </r>
  <r>
    <x v="9"/>
    <x v="6"/>
    <x v="17"/>
    <x v="0"/>
    <x v="0"/>
    <x v="1"/>
    <n v="3.1"/>
    <n v="3.37"/>
    <n v="0.06"/>
    <n v="2.65"/>
  </r>
  <r>
    <x v="9"/>
    <x v="6"/>
    <x v="17"/>
    <x v="1"/>
    <x v="4"/>
    <x v="0"/>
    <n v="399.01"/>
    <n v="433.87"/>
    <n v="66.14"/>
    <n v="369.89"/>
  </r>
  <r>
    <x v="9"/>
    <x v="6"/>
    <x v="17"/>
    <x v="1"/>
    <x v="3"/>
    <x v="2"/>
    <n v="0.53"/>
    <n v="0.57999999999999996"/>
    <n v="0.03"/>
    <n v="0.51"/>
  </r>
  <r>
    <x v="9"/>
    <x v="6"/>
    <x v="17"/>
    <x v="1"/>
    <x v="1"/>
    <x v="0"/>
    <n v="38.43"/>
    <n v="41.79"/>
    <n v="2.31"/>
    <n v="34.69"/>
  </r>
  <r>
    <x v="9"/>
    <x v="6"/>
    <x v="17"/>
    <x v="1"/>
    <x v="2"/>
    <x v="0"/>
    <n v="15.37"/>
    <n v="16.72"/>
    <n v="0.19"/>
    <n v="13.4"/>
  </r>
  <r>
    <x v="9"/>
    <x v="6"/>
    <x v="17"/>
    <x v="2"/>
    <x v="0"/>
    <x v="0"/>
    <n v="20.61"/>
    <n v="22.42"/>
    <n v="12.22"/>
    <n v="20.41"/>
  </r>
  <r>
    <x v="9"/>
    <x v="6"/>
    <x v="17"/>
    <x v="2"/>
    <x v="4"/>
    <x v="0"/>
    <n v="12.65"/>
    <n v="13.75"/>
    <n v="4.24"/>
    <n v="12.32"/>
  </r>
  <r>
    <x v="9"/>
    <x v="6"/>
    <x v="17"/>
    <x v="1"/>
    <x v="4"/>
    <x v="2"/>
    <n v="0.53"/>
    <n v="0.57999999999999996"/>
    <n v="0.01"/>
    <n v="0.45"/>
  </r>
  <r>
    <x v="9"/>
    <x v="6"/>
    <x v="17"/>
    <x v="4"/>
    <x v="1"/>
    <x v="2"/>
    <n v="0.57999999999999996"/>
    <n v="0.63"/>
    <n v="0.02"/>
    <n v="0.49"/>
  </r>
  <r>
    <x v="9"/>
    <x v="6"/>
    <x v="17"/>
    <x v="4"/>
    <x v="4"/>
    <x v="2"/>
    <n v="0.99"/>
    <n v="1.07"/>
    <n v="0.08"/>
    <n v="0.83"/>
  </r>
  <r>
    <x v="9"/>
    <x v="6"/>
    <x v="17"/>
    <x v="1"/>
    <x v="4"/>
    <x v="1"/>
    <n v="1.98"/>
    <n v="2.15"/>
    <n v="0.04"/>
    <n v="1.73"/>
  </r>
  <r>
    <x v="9"/>
    <x v="6"/>
    <x v="17"/>
    <x v="3"/>
    <x v="0"/>
    <x v="0"/>
    <n v="4.96"/>
    <n v="5.4"/>
    <n v="2.02"/>
    <n v="4.96"/>
  </r>
  <r>
    <x v="9"/>
    <x v="6"/>
    <x v="17"/>
    <x v="1"/>
    <x v="1"/>
    <x v="2"/>
    <n v="4.1900000000000004"/>
    <n v="4.55"/>
    <n v="0.06"/>
    <n v="4.05"/>
  </r>
  <r>
    <x v="9"/>
    <x v="6"/>
    <x v="17"/>
    <x v="2"/>
    <x v="3"/>
    <x v="1"/>
    <n v="2.48"/>
    <n v="2.69"/>
    <n v="0.01"/>
    <n v="2.2999999999999998"/>
  </r>
  <r>
    <x v="9"/>
    <x v="6"/>
    <x v="17"/>
    <x v="2"/>
    <x v="4"/>
    <x v="1"/>
    <n v="0.2"/>
    <n v="0.22"/>
    <n v="0"/>
    <n v="0.2"/>
  </r>
  <r>
    <x v="9"/>
    <x v="6"/>
    <x v="17"/>
    <x v="4"/>
    <x v="0"/>
    <x v="0"/>
    <n v="0.36"/>
    <n v="0.39"/>
    <n v="0.42"/>
    <n v="0.36"/>
  </r>
  <r>
    <x v="9"/>
    <x v="6"/>
    <x v="17"/>
    <x v="1"/>
    <x v="2"/>
    <x v="1"/>
    <n v="18.57"/>
    <n v="20.190000000000001"/>
    <n v="0.06"/>
    <n v="15.95"/>
  </r>
  <r>
    <x v="9"/>
    <x v="6"/>
    <x v="17"/>
    <x v="1"/>
    <x v="1"/>
    <x v="1"/>
    <n v="11"/>
    <n v="11.96"/>
    <n v="0.11"/>
    <n v="9.44"/>
  </r>
  <r>
    <x v="9"/>
    <x v="6"/>
    <x v="17"/>
    <x v="3"/>
    <x v="4"/>
    <x v="0"/>
    <n v="52.67"/>
    <n v="57.27"/>
    <n v="8.14"/>
    <n v="48.45"/>
  </r>
  <r>
    <x v="9"/>
    <x v="6"/>
    <x v="17"/>
    <x v="4"/>
    <x v="4"/>
    <x v="0"/>
    <n v="174.31"/>
    <n v="189.54"/>
    <n v="26.35"/>
    <n v="158.69"/>
  </r>
  <r>
    <x v="9"/>
    <x v="6"/>
    <x v="17"/>
    <x v="3"/>
    <x v="1"/>
    <x v="0"/>
    <n v="0.12"/>
    <n v="0.13"/>
    <n v="0.01"/>
    <n v="0.12"/>
  </r>
  <r>
    <x v="9"/>
    <x v="6"/>
    <x v="17"/>
    <x v="4"/>
    <x v="1"/>
    <x v="0"/>
    <n v="16.37"/>
    <n v="17.8"/>
    <n v="1.05"/>
    <n v="14.95"/>
  </r>
  <r>
    <x v="9"/>
    <x v="6"/>
    <x v="17"/>
    <x v="0"/>
    <x v="0"/>
    <x v="0"/>
    <n v="23.86"/>
    <n v="25.94"/>
    <n v="12.54"/>
    <n v="21.29"/>
  </r>
  <r>
    <x v="9"/>
    <x v="6"/>
    <x v="17"/>
    <x v="0"/>
    <x v="4"/>
    <x v="0"/>
    <n v="45.59"/>
    <n v="49.57"/>
    <n v="20.72"/>
    <n v="45.31"/>
  </r>
  <r>
    <x v="9"/>
    <x v="6"/>
    <x v="17"/>
    <x v="1"/>
    <x v="0"/>
    <x v="1"/>
    <n v="2.93"/>
    <n v="3.19"/>
    <n v="0.08"/>
    <n v="2.5499999999999998"/>
  </r>
  <r>
    <x v="9"/>
    <x v="6"/>
    <x v="17"/>
    <x v="0"/>
    <x v="4"/>
    <x v="1"/>
    <n v="0.73"/>
    <n v="0.8"/>
    <n v="7.0000000000000007E-2"/>
    <n v="0.63"/>
  </r>
  <r>
    <x v="9"/>
    <x v="6"/>
    <x v="18"/>
    <x v="4"/>
    <x v="4"/>
    <x v="1"/>
    <n v="0.06"/>
    <n v="0.08"/>
    <n v="0.01"/>
    <n v="0.05"/>
  </r>
  <r>
    <x v="9"/>
    <x v="6"/>
    <x v="18"/>
    <x v="4"/>
    <x v="0"/>
    <x v="1"/>
    <n v="0.27"/>
    <n v="0.35"/>
    <n v="0.02"/>
    <n v="0.22"/>
  </r>
  <r>
    <x v="9"/>
    <x v="6"/>
    <x v="18"/>
    <x v="4"/>
    <x v="1"/>
    <x v="1"/>
    <n v="0.05"/>
    <n v="0.06"/>
    <n v="0"/>
    <n v="0.04"/>
  </r>
  <r>
    <x v="9"/>
    <x v="6"/>
    <x v="18"/>
    <x v="0"/>
    <x v="0"/>
    <x v="1"/>
    <n v="2.27"/>
    <n v="2.91"/>
    <n v="0.04"/>
    <n v="1.85"/>
  </r>
  <r>
    <x v="9"/>
    <x v="6"/>
    <x v="18"/>
    <x v="0"/>
    <x v="4"/>
    <x v="1"/>
    <n v="0.26"/>
    <n v="0.33"/>
    <n v="0.03"/>
    <n v="0.21"/>
  </r>
  <r>
    <x v="9"/>
    <x v="6"/>
    <x v="18"/>
    <x v="1"/>
    <x v="0"/>
    <x v="1"/>
    <n v="0.45"/>
    <n v="0.56999999999999995"/>
    <n v="0.01"/>
    <n v="0.35"/>
  </r>
  <r>
    <x v="9"/>
    <x v="6"/>
    <x v="18"/>
    <x v="1"/>
    <x v="1"/>
    <x v="1"/>
    <n v="1.84"/>
    <n v="2.36"/>
    <n v="0.01"/>
    <n v="1.49"/>
  </r>
  <r>
    <x v="9"/>
    <x v="6"/>
    <x v="18"/>
    <x v="3"/>
    <x v="4"/>
    <x v="0"/>
    <n v="4.2"/>
    <n v="5.38"/>
    <n v="0.82"/>
    <n v="3.75"/>
  </r>
  <r>
    <x v="9"/>
    <x v="6"/>
    <x v="18"/>
    <x v="1"/>
    <x v="2"/>
    <x v="1"/>
    <n v="8.76"/>
    <n v="11.21"/>
    <n v="0.03"/>
    <n v="6.99"/>
  </r>
  <r>
    <x v="9"/>
    <x v="6"/>
    <x v="18"/>
    <x v="2"/>
    <x v="4"/>
    <x v="1"/>
    <n v="0.03"/>
    <n v="0.04"/>
    <n v="0"/>
    <n v="0.03"/>
  </r>
  <r>
    <x v="9"/>
    <x v="6"/>
    <x v="18"/>
    <x v="2"/>
    <x v="3"/>
    <x v="1"/>
    <n v="0.25"/>
    <n v="0.32"/>
    <n v="0"/>
    <n v="0.23"/>
  </r>
  <r>
    <x v="9"/>
    <x v="6"/>
    <x v="18"/>
    <x v="2"/>
    <x v="3"/>
    <x v="3"/>
    <n v="1.03"/>
    <n v="1.32"/>
    <n v="0"/>
    <n v="0.82"/>
  </r>
  <r>
    <x v="9"/>
    <x v="6"/>
    <x v="18"/>
    <x v="4"/>
    <x v="4"/>
    <x v="0"/>
    <n v="24.57"/>
    <n v="31.45"/>
    <n v="5.4"/>
    <n v="21.06"/>
  </r>
  <r>
    <x v="9"/>
    <x v="6"/>
    <x v="18"/>
    <x v="3"/>
    <x v="0"/>
    <x v="0"/>
    <n v="3.62"/>
    <n v="4.63"/>
    <n v="1.46"/>
    <n v="3.43"/>
  </r>
  <r>
    <x v="9"/>
    <x v="6"/>
    <x v="18"/>
    <x v="1"/>
    <x v="4"/>
    <x v="1"/>
    <n v="0.5"/>
    <n v="0.64"/>
    <n v="0.01"/>
    <n v="0.38"/>
  </r>
  <r>
    <x v="9"/>
    <x v="6"/>
    <x v="18"/>
    <x v="2"/>
    <x v="3"/>
    <x v="2"/>
    <n v="0.16"/>
    <n v="0.21"/>
    <n v="0.03"/>
    <n v="0.09"/>
  </r>
  <r>
    <x v="9"/>
    <x v="6"/>
    <x v="18"/>
    <x v="1"/>
    <x v="1"/>
    <x v="2"/>
    <n v="0.96"/>
    <n v="1.23"/>
    <n v="0.01"/>
    <n v="0.54"/>
  </r>
  <r>
    <x v="9"/>
    <x v="6"/>
    <x v="18"/>
    <x v="4"/>
    <x v="1"/>
    <x v="2"/>
    <n v="0.02"/>
    <n v="0.02"/>
    <n v="0"/>
    <n v="0.01"/>
  </r>
  <r>
    <x v="9"/>
    <x v="6"/>
    <x v="18"/>
    <x v="4"/>
    <x v="4"/>
    <x v="2"/>
    <n v="0.03"/>
    <n v="0.03"/>
    <n v="0"/>
    <n v="0.02"/>
  </r>
  <r>
    <x v="9"/>
    <x v="6"/>
    <x v="18"/>
    <x v="4"/>
    <x v="1"/>
    <x v="0"/>
    <n v="4.0599999999999996"/>
    <n v="5.19"/>
    <n v="0.21"/>
    <n v="3.51"/>
  </r>
  <r>
    <x v="9"/>
    <x v="6"/>
    <x v="18"/>
    <x v="0"/>
    <x v="0"/>
    <x v="0"/>
    <n v="8.81"/>
    <n v="11.28"/>
    <n v="4.72"/>
    <n v="7.49"/>
  </r>
  <r>
    <x v="9"/>
    <x v="6"/>
    <x v="18"/>
    <x v="0"/>
    <x v="4"/>
    <x v="0"/>
    <n v="16.91"/>
    <n v="21.65"/>
    <n v="3.86"/>
    <n v="14.5"/>
  </r>
  <r>
    <x v="9"/>
    <x v="6"/>
    <x v="18"/>
    <x v="1"/>
    <x v="0"/>
    <x v="0"/>
    <n v="11.37"/>
    <n v="14.56"/>
    <n v="5.25"/>
    <n v="9.7200000000000006"/>
  </r>
  <r>
    <x v="9"/>
    <x v="6"/>
    <x v="18"/>
    <x v="1"/>
    <x v="1"/>
    <x v="0"/>
    <n v="21.5"/>
    <n v="27.52"/>
    <n v="1.33"/>
    <n v="18.32"/>
  </r>
  <r>
    <x v="9"/>
    <x v="6"/>
    <x v="18"/>
    <x v="1"/>
    <x v="2"/>
    <x v="0"/>
    <n v="4.8600000000000003"/>
    <n v="6.22"/>
    <n v="0.04"/>
    <n v="4.04"/>
  </r>
  <r>
    <x v="9"/>
    <x v="6"/>
    <x v="18"/>
    <x v="2"/>
    <x v="0"/>
    <x v="0"/>
    <n v="7.28"/>
    <n v="9.32"/>
    <n v="3.56"/>
    <n v="6.71"/>
  </r>
  <r>
    <x v="9"/>
    <x v="6"/>
    <x v="18"/>
    <x v="2"/>
    <x v="4"/>
    <x v="0"/>
    <n v="13.38"/>
    <n v="17.13"/>
    <n v="3.23"/>
    <n v="12.05"/>
  </r>
  <r>
    <x v="9"/>
    <x v="6"/>
    <x v="18"/>
    <x v="3"/>
    <x v="1"/>
    <x v="0"/>
    <n v="7.0000000000000007E-2"/>
    <n v="0.09"/>
    <n v="0.01"/>
    <n v="0.05"/>
  </r>
  <r>
    <x v="9"/>
    <x v="6"/>
    <x v="18"/>
    <x v="1"/>
    <x v="4"/>
    <x v="0"/>
    <n v="70.86"/>
    <n v="90.7"/>
    <n v="15.65"/>
    <n v="60.86"/>
  </r>
  <r>
    <x v="9"/>
    <x v="2"/>
    <x v="19"/>
    <x v="0"/>
    <x v="4"/>
    <x v="1"/>
    <n v="0.02"/>
    <n v="0.02"/>
    <n v="0"/>
    <n v="0.02"/>
  </r>
  <r>
    <x v="9"/>
    <x v="2"/>
    <x v="19"/>
    <x v="1"/>
    <x v="0"/>
    <x v="1"/>
    <n v="0.01"/>
    <n v="0.01"/>
    <n v="0"/>
    <n v="0.01"/>
  </r>
  <r>
    <x v="9"/>
    <x v="2"/>
    <x v="19"/>
    <x v="1"/>
    <x v="4"/>
    <x v="1"/>
    <n v="0.02"/>
    <n v="0.02"/>
    <n v="0"/>
    <n v="0.02"/>
  </r>
  <r>
    <x v="9"/>
    <x v="2"/>
    <x v="19"/>
    <x v="2"/>
    <x v="3"/>
    <x v="0"/>
    <n v="2.17"/>
    <n v="2.36"/>
    <n v="0.02"/>
    <n v="2.17"/>
  </r>
  <r>
    <x v="9"/>
    <x v="2"/>
    <x v="19"/>
    <x v="4"/>
    <x v="4"/>
    <x v="2"/>
    <n v="6.48"/>
    <n v="7.05"/>
    <n v="0.01"/>
    <n v="7.3"/>
  </r>
  <r>
    <x v="9"/>
    <x v="2"/>
    <x v="19"/>
    <x v="4"/>
    <x v="1"/>
    <x v="2"/>
    <n v="0.03"/>
    <n v="0.03"/>
    <n v="0"/>
    <n v="0.03"/>
  </r>
  <r>
    <x v="9"/>
    <x v="2"/>
    <x v="19"/>
    <x v="4"/>
    <x v="2"/>
    <x v="2"/>
    <n v="0.01"/>
    <n v="0.01"/>
    <n v="0"/>
    <n v="0.01"/>
  </r>
  <r>
    <x v="9"/>
    <x v="2"/>
    <x v="19"/>
    <x v="0"/>
    <x v="0"/>
    <x v="1"/>
    <n v="0.02"/>
    <n v="0.02"/>
    <n v="0"/>
    <n v="0.02"/>
  </r>
  <r>
    <x v="9"/>
    <x v="2"/>
    <x v="19"/>
    <x v="1"/>
    <x v="1"/>
    <x v="1"/>
    <n v="0.11"/>
    <n v="0.12"/>
    <n v="0"/>
    <n v="0.1"/>
  </r>
  <r>
    <x v="9"/>
    <x v="2"/>
    <x v="19"/>
    <x v="1"/>
    <x v="2"/>
    <x v="1"/>
    <n v="0.1"/>
    <n v="0.11"/>
    <n v="0"/>
    <n v="0.09"/>
  </r>
  <r>
    <x v="9"/>
    <x v="2"/>
    <x v="19"/>
    <x v="2"/>
    <x v="3"/>
    <x v="1"/>
    <n v="7.0000000000000007E-2"/>
    <n v="0.08"/>
    <n v="0"/>
    <n v="0.06"/>
  </r>
  <r>
    <x v="9"/>
    <x v="2"/>
    <x v="19"/>
    <x v="3"/>
    <x v="0"/>
    <x v="0"/>
    <n v="23.17"/>
    <n v="25.23"/>
    <n v="4.4800000000000004"/>
    <n v="22.09"/>
  </r>
  <r>
    <x v="9"/>
    <x v="2"/>
    <x v="19"/>
    <x v="3"/>
    <x v="4"/>
    <x v="0"/>
    <n v="27.88"/>
    <n v="30.35"/>
    <n v="7.15"/>
    <n v="26.51"/>
  </r>
  <r>
    <x v="9"/>
    <x v="2"/>
    <x v="19"/>
    <x v="1"/>
    <x v="2"/>
    <x v="0"/>
    <n v="0.74"/>
    <n v="0.81"/>
    <n v="0.01"/>
    <n v="0.63"/>
  </r>
  <r>
    <x v="9"/>
    <x v="2"/>
    <x v="19"/>
    <x v="2"/>
    <x v="4"/>
    <x v="0"/>
    <n v="12.79"/>
    <n v="13.92"/>
    <n v="2.09"/>
    <n v="12.17"/>
  </r>
  <r>
    <x v="9"/>
    <x v="2"/>
    <x v="19"/>
    <x v="4"/>
    <x v="0"/>
    <x v="1"/>
    <n v="0"/>
    <n v="0"/>
    <n v="0"/>
    <n v="0"/>
  </r>
  <r>
    <x v="9"/>
    <x v="2"/>
    <x v="19"/>
    <x v="2"/>
    <x v="0"/>
    <x v="0"/>
    <n v="6.75"/>
    <n v="7.35"/>
    <n v="3.35"/>
    <n v="6.4"/>
  </r>
  <r>
    <x v="9"/>
    <x v="2"/>
    <x v="19"/>
    <x v="3"/>
    <x v="1"/>
    <x v="0"/>
    <n v="4.59"/>
    <n v="5"/>
    <n v="0.35"/>
    <n v="4.37"/>
  </r>
  <r>
    <x v="9"/>
    <x v="2"/>
    <x v="19"/>
    <x v="1"/>
    <x v="1"/>
    <x v="0"/>
    <n v="32.29"/>
    <n v="35.15"/>
    <n v="1.08"/>
    <n v="30.01"/>
  </r>
  <r>
    <x v="9"/>
    <x v="2"/>
    <x v="19"/>
    <x v="1"/>
    <x v="4"/>
    <x v="0"/>
    <n v="196.85"/>
    <n v="214.29"/>
    <n v="25.44"/>
    <n v="182.99"/>
  </r>
  <r>
    <x v="9"/>
    <x v="2"/>
    <x v="19"/>
    <x v="1"/>
    <x v="0"/>
    <x v="0"/>
    <n v="15.65"/>
    <n v="17.04"/>
    <n v="7.18"/>
    <n v="14.72"/>
  </r>
  <r>
    <x v="9"/>
    <x v="2"/>
    <x v="19"/>
    <x v="0"/>
    <x v="4"/>
    <x v="0"/>
    <n v="41.79"/>
    <n v="45.5"/>
    <n v="7.43"/>
    <n v="38.89"/>
  </r>
  <r>
    <x v="9"/>
    <x v="2"/>
    <x v="19"/>
    <x v="0"/>
    <x v="0"/>
    <x v="0"/>
    <n v="3.36"/>
    <n v="3.66"/>
    <n v="1.75"/>
    <n v="2.97"/>
  </r>
  <r>
    <x v="9"/>
    <x v="2"/>
    <x v="19"/>
    <x v="4"/>
    <x v="1"/>
    <x v="0"/>
    <n v="7.89"/>
    <n v="8.59"/>
    <n v="0.36"/>
    <n v="7.16"/>
  </r>
  <r>
    <x v="9"/>
    <x v="2"/>
    <x v="19"/>
    <x v="4"/>
    <x v="4"/>
    <x v="0"/>
    <n v="29.09"/>
    <n v="31.67"/>
    <n v="2.82"/>
    <n v="26.51"/>
  </r>
  <r>
    <x v="9"/>
    <x v="7"/>
    <x v="20"/>
    <x v="2"/>
    <x v="3"/>
    <x v="2"/>
    <n v="0.01"/>
    <n v="0.01"/>
    <n v="0"/>
    <n v="0.01"/>
  </r>
  <r>
    <x v="9"/>
    <x v="7"/>
    <x v="20"/>
    <x v="1"/>
    <x v="1"/>
    <x v="1"/>
    <n v="0.17"/>
    <n v="0.16"/>
    <n v="0"/>
    <n v="0.15"/>
  </r>
  <r>
    <x v="9"/>
    <x v="7"/>
    <x v="20"/>
    <x v="1"/>
    <x v="4"/>
    <x v="1"/>
    <n v="0.04"/>
    <n v="0.03"/>
    <n v="0"/>
    <n v="0.03"/>
  </r>
  <r>
    <x v="9"/>
    <x v="7"/>
    <x v="20"/>
    <x v="1"/>
    <x v="0"/>
    <x v="1"/>
    <n v="0.18"/>
    <n v="0.17"/>
    <n v="0.01"/>
    <n v="0.16"/>
  </r>
  <r>
    <x v="9"/>
    <x v="7"/>
    <x v="20"/>
    <x v="0"/>
    <x v="4"/>
    <x v="1"/>
    <n v="0.01"/>
    <n v="0.01"/>
    <n v="0"/>
    <n v="0.01"/>
  </r>
  <r>
    <x v="9"/>
    <x v="7"/>
    <x v="20"/>
    <x v="0"/>
    <x v="0"/>
    <x v="1"/>
    <n v="0.12"/>
    <n v="0.12"/>
    <n v="0"/>
    <n v="0.11"/>
  </r>
  <r>
    <x v="9"/>
    <x v="7"/>
    <x v="20"/>
    <x v="4"/>
    <x v="4"/>
    <x v="1"/>
    <n v="0.03"/>
    <n v="0.03"/>
    <n v="0"/>
    <n v="0.03"/>
  </r>
  <r>
    <x v="9"/>
    <x v="7"/>
    <x v="20"/>
    <x v="4"/>
    <x v="1"/>
    <x v="2"/>
    <n v="0"/>
    <n v="0"/>
    <n v="0"/>
    <n v="0"/>
  </r>
  <r>
    <x v="9"/>
    <x v="7"/>
    <x v="20"/>
    <x v="2"/>
    <x v="3"/>
    <x v="3"/>
    <n v="6.72"/>
    <n v="6.37"/>
    <n v="0"/>
    <n v="6.72"/>
  </r>
  <r>
    <x v="9"/>
    <x v="7"/>
    <x v="20"/>
    <x v="1"/>
    <x v="2"/>
    <x v="1"/>
    <n v="0.14000000000000001"/>
    <n v="0.13"/>
    <n v="0"/>
    <n v="0.12"/>
  </r>
  <r>
    <x v="9"/>
    <x v="7"/>
    <x v="20"/>
    <x v="4"/>
    <x v="4"/>
    <x v="2"/>
    <n v="0.01"/>
    <n v="0.01"/>
    <n v="0"/>
    <n v="0.01"/>
  </r>
  <r>
    <x v="9"/>
    <x v="7"/>
    <x v="20"/>
    <x v="2"/>
    <x v="3"/>
    <x v="0"/>
    <n v="0.17"/>
    <n v="0.17"/>
    <n v="0.03"/>
    <n v="0.17"/>
  </r>
  <r>
    <x v="9"/>
    <x v="7"/>
    <x v="20"/>
    <x v="4"/>
    <x v="0"/>
    <x v="1"/>
    <n v="0"/>
    <n v="0"/>
    <n v="0"/>
    <n v="0"/>
  </r>
  <r>
    <x v="9"/>
    <x v="7"/>
    <x v="20"/>
    <x v="2"/>
    <x v="3"/>
    <x v="1"/>
    <n v="0.17"/>
    <n v="0.17"/>
    <n v="0"/>
    <n v="0.15"/>
  </r>
  <r>
    <x v="9"/>
    <x v="7"/>
    <x v="20"/>
    <x v="3"/>
    <x v="0"/>
    <x v="0"/>
    <n v="4.92"/>
    <n v="4.66"/>
    <n v="0.84"/>
    <n v="4.82"/>
  </r>
  <r>
    <x v="9"/>
    <x v="7"/>
    <x v="20"/>
    <x v="3"/>
    <x v="4"/>
    <x v="0"/>
    <n v="9.65"/>
    <n v="9.14"/>
    <n v="3.12"/>
    <n v="9.11"/>
  </r>
  <r>
    <x v="9"/>
    <x v="7"/>
    <x v="20"/>
    <x v="3"/>
    <x v="1"/>
    <x v="0"/>
    <n v="0.36"/>
    <n v="0.34"/>
    <n v="0.02"/>
    <n v="0.35"/>
  </r>
  <r>
    <x v="9"/>
    <x v="7"/>
    <x v="20"/>
    <x v="4"/>
    <x v="4"/>
    <x v="0"/>
    <n v="97.15"/>
    <n v="92.06"/>
    <n v="10.83"/>
    <n v="89.74"/>
  </r>
  <r>
    <x v="9"/>
    <x v="7"/>
    <x v="20"/>
    <x v="4"/>
    <x v="1"/>
    <x v="0"/>
    <n v="14.68"/>
    <n v="13.91"/>
    <n v="0.79"/>
    <n v="13.62"/>
  </r>
  <r>
    <x v="9"/>
    <x v="7"/>
    <x v="20"/>
    <x v="0"/>
    <x v="0"/>
    <x v="0"/>
    <n v="1.61"/>
    <n v="1.52"/>
    <n v="0.99"/>
    <n v="1.45"/>
  </r>
  <r>
    <x v="9"/>
    <x v="7"/>
    <x v="20"/>
    <x v="0"/>
    <x v="4"/>
    <x v="0"/>
    <n v="6.53"/>
    <n v="6.19"/>
    <n v="2.21"/>
    <n v="6.09"/>
  </r>
  <r>
    <x v="9"/>
    <x v="7"/>
    <x v="20"/>
    <x v="1"/>
    <x v="0"/>
    <x v="0"/>
    <n v="6.96"/>
    <n v="6.59"/>
    <n v="5.15"/>
    <n v="6.52"/>
  </r>
  <r>
    <x v="9"/>
    <x v="7"/>
    <x v="20"/>
    <x v="1"/>
    <x v="4"/>
    <x v="0"/>
    <n v="118.54"/>
    <n v="112.32"/>
    <n v="23.39"/>
    <n v="109.8"/>
  </r>
  <r>
    <x v="9"/>
    <x v="7"/>
    <x v="20"/>
    <x v="2"/>
    <x v="0"/>
    <x v="0"/>
    <n v="1.9"/>
    <n v="1.8"/>
    <n v="2.11"/>
    <n v="1.8"/>
  </r>
  <r>
    <x v="9"/>
    <x v="7"/>
    <x v="20"/>
    <x v="2"/>
    <x v="4"/>
    <x v="0"/>
    <n v="4.09"/>
    <n v="3.88"/>
    <n v="1.29"/>
    <n v="3.86"/>
  </r>
  <r>
    <x v="9"/>
    <x v="7"/>
    <x v="20"/>
    <x v="1"/>
    <x v="1"/>
    <x v="0"/>
    <n v="32.29"/>
    <n v="30.6"/>
    <n v="1.52"/>
    <n v="29.91"/>
  </r>
  <r>
    <x v="9"/>
    <x v="2"/>
    <x v="21"/>
    <x v="0"/>
    <x v="0"/>
    <x v="0"/>
    <n v="11.99"/>
    <n v="13.06"/>
    <n v="4.88"/>
    <n v="10.9"/>
  </r>
  <r>
    <x v="9"/>
    <x v="2"/>
    <x v="21"/>
    <x v="1"/>
    <x v="0"/>
    <x v="1"/>
    <n v="0.48"/>
    <n v="0.53"/>
    <n v="0.03"/>
    <n v="0.42"/>
  </r>
  <r>
    <x v="9"/>
    <x v="2"/>
    <x v="21"/>
    <x v="2"/>
    <x v="4"/>
    <x v="0"/>
    <n v="23.2"/>
    <n v="25.26"/>
    <n v="3.23"/>
    <n v="21.98"/>
  </r>
  <r>
    <x v="9"/>
    <x v="2"/>
    <x v="21"/>
    <x v="2"/>
    <x v="0"/>
    <x v="0"/>
    <n v="24.26"/>
    <n v="26.41"/>
    <n v="10.23"/>
    <n v="22.63"/>
  </r>
  <r>
    <x v="9"/>
    <x v="2"/>
    <x v="21"/>
    <x v="1"/>
    <x v="2"/>
    <x v="0"/>
    <n v="2.29"/>
    <n v="2.4900000000000002"/>
    <n v="0.03"/>
    <n v="2.08"/>
  </r>
  <r>
    <x v="9"/>
    <x v="2"/>
    <x v="21"/>
    <x v="1"/>
    <x v="1"/>
    <x v="0"/>
    <n v="54.89"/>
    <n v="59.75"/>
    <n v="2.35"/>
    <n v="50.52"/>
  </r>
  <r>
    <x v="9"/>
    <x v="2"/>
    <x v="21"/>
    <x v="1"/>
    <x v="4"/>
    <x v="0"/>
    <n v="336.36"/>
    <n v="366.15"/>
    <n v="49.39"/>
    <n v="308.75"/>
  </r>
  <r>
    <x v="9"/>
    <x v="2"/>
    <x v="21"/>
    <x v="0"/>
    <x v="4"/>
    <x v="0"/>
    <n v="38.659999999999997"/>
    <n v="42.08"/>
    <n v="8.5500000000000007"/>
    <n v="35.69"/>
  </r>
  <r>
    <x v="9"/>
    <x v="2"/>
    <x v="21"/>
    <x v="4"/>
    <x v="1"/>
    <x v="0"/>
    <n v="12.89"/>
    <n v="14.03"/>
    <n v="0.67"/>
    <n v="12.17"/>
  </r>
  <r>
    <x v="9"/>
    <x v="2"/>
    <x v="21"/>
    <x v="3"/>
    <x v="1"/>
    <x v="0"/>
    <n v="1.57"/>
    <n v="1.71"/>
    <n v="0.12"/>
    <n v="1.53"/>
  </r>
  <r>
    <x v="9"/>
    <x v="2"/>
    <x v="21"/>
    <x v="3"/>
    <x v="0"/>
    <x v="0"/>
    <n v="9.35"/>
    <n v="10.18"/>
    <n v="1.52"/>
    <n v="9.1"/>
  </r>
  <r>
    <x v="9"/>
    <x v="2"/>
    <x v="21"/>
    <x v="2"/>
    <x v="3"/>
    <x v="1"/>
    <n v="4.04"/>
    <n v="4.3899999999999997"/>
    <n v="0"/>
    <n v="3.35"/>
  </r>
  <r>
    <x v="9"/>
    <x v="2"/>
    <x v="21"/>
    <x v="1"/>
    <x v="2"/>
    <x v="1"/>
    <n v="4.7300000000000004"/>
    <n v="5.14"/>
    <n v="0.02"/>
    <n v="3.92"/>
  </r>
  <r>
    <x v="9"/>
    <x v="2"/>
    <x v="21"/>
    <x v="2"/>
    <x v="3"/>
    <x v="0"/>
    <n v="2.87"/>
    <n v="3.12"/>
    <n v="0.02"/>
    <n v="2.87"/>
  </r>
  <r>
    <x v="9"/>
    <x v="2"/>
    <x v="21"/>
    <x v="1"/>
    <x v="4"/>
    <x v="1"/>
    <n v="0.14000000000000001"/>
    <n v="0.15"/>
    <n v="0.01"/>
    <n v="0.13"/>
  </r>
  <r>
    <x v="9"/>
    <x v="2"/>
    <x v="21"/>
    <x v="4"/>
    <x v="4"/>
    <x v="0"/>
    <n v="85.65"/>
    <n v="93.23"/>
    <n v="8.42"/>
    <n v="80.19"/>
  </r>
  <r>
    <x v="9"/>
    <x v="2"/>
    <x v="21"/>
    <x v="0"/>
    <x v="4"/>
    <x v="1"/>
    <n v="6.53"/>
    <n v="7.1"/>
    <n v="0.12"/>
    <n v="5.38"/>
  </r>
  <r>
    <x v="9"/>
    <x v="2"/>
    <x v="21"/>
    <x v="0"/>
    <x v="0"/>
    <x v="1"/>
    <n v="4.0599999999999996"/>
    <n v="4.42"/>
    <n v="0.15"/>
    <n v="3.34"/>
  </r>
  <r>
    <x v="9"/>
    <x v="2"/>
    <x v="21"/>
    <x v="4"/>
    <x v="1"/>
    <x v="1"/>
    <n v="0.73"/>
    <n v="0.8"/>
    <n v="0"/>
    <n v="0.61"/>
  </r>
  <r>
    <x v="9"/>
    <x v="2"/>
    <x v="21"/>
    <x v="4"/>
    <x v="4"/>
    <x v="1"/>
    <n v="0.63"/>
    <n v="0.69"/>
    <n v="0.02"/>
    <n v="0.53"/>
  </r>
  <r>
    <x v="9"/>
    <x v="2"/>
    <x v="21"/>
    <x v="4"/>
    <x v="0"/>
    <x v="1"/>
    <n v="0.02"/>
    <n v="0.02"/>
    <n v="0.01"/>
    <n v="0.01"/>
  </r>
  <r>
    <x v="9"/>
    <x v="2"/>
    <x v="21"/>
    <x v="2"/>
    <x v="3"/>
    <x v="3"/>
    <n v="62.57"/>
    <n v="68.12"/>
    <n v="0.04"/>
    <n v="62.57"/>
  </r>
  <r>
    <x v="9"/>
    <x v="2"/>
    <x v="21"/>
    <x v="2"/>
    <x v="3"/>
    <x v="2"/>
    <n v="6.69"/>
    <n v="7.28"/>
    <n v="0.01"/>
    <n v="6.32"/>
  </r>
  <r>
    <x v="9"/>
    <x v="2"/>
    <x v="21"/>
    <x v="1"/>
    <x v="4"/>
    <x v="2"/>
    <n v="0.48"/>
    <n v="0.52"/>
    <n v="0.02"/>
    <n v="0.46"/>
  </r>
  <r>
    <x v="9"/>
    <x v="2"/>
    <x v="21"/>
    <x v="4"/>
    <x v="2"/>
    <x v="2"/>
    <n v="0.3"/>
    <n v="0.32"/>
    <n v="0"/>
    <n v="0.28999999999999998"/>
  </r>
  <r>
    <x v="9"/>
    <x v="2"/>
    <x v="21"/>
    <x v="4"/>
    <x v="1"/>
    <x v="2"/>
    <n v="0.22"/>
    <n v="0.24"/>
    <n v="0"/>
    <n v="0.21"/>
  </r>
  <r>
    <x v="9"/>
    <x v="2"/>
    <x v="21"/>
    <x v="4"/>
    <x v="4"/>
    <x v="2"/>
    <n v="0.57999999999999996"/>
    <n v="0.63"/>
    <n v="0"/>
    <n v="0.56999999999999995"/>
  </r>
  <r>
    <x v="9"/>
    <x v="2"/>
    <x v="21"/>
    <x v="1"/>
    <x v="0"/>
    <x v="0"/>
    <n v="24.02"/>
    <n v="26.14"/>
    <n v="10.78"/>
    <n v="22.14"/>
  </r>
  <r>
    <x v="9"/>
    <x v="2"/>
    <x v="21"/>
    <x v="1"/>
    <x v="1"/>
    <x v="1"/>
    <n v="3.33"/>
    <n v="3.62"/>
    <n v="0.03"/>
    <n v="2.78"/>
  </r>
  <r>
    <x v="9"/>
    <x v="2"/>
    <x v="21"/>
    <x v="3"/>
    <x v="4"/>
    <x v="0"/>
    <n v="47.47"/>
    <n v="51.68"/>
    <n v="8.6"/>
    <n v="44.34"/>
  </r>
  <r>
    <x v="9"/>
    <x v="8"/>
    <x v="22"/>
    <x v="1"/>
    <x v="2"/>
    <x v="2"/>
    <n v="0.37"/>
    <n v="0.43"/>
    <n v="0.01"/>
    <n v="0.36"/>
  </r>
  <r>
    <x v="9"/>
    <x v="8"/>
    <x v="22"/>
    <x v="0"/>
    <x v="1"/>
    <x v="0"/>
    <n v="24.77"/>
    <n v="28.15"/>
    <n v="1.05"/>
    <n v="24.84"/>
  </r>
  <r>
    <x v="9"/>
    <x v="8"/>
    <x v="22"/>
    <x v="0"/>
    <x v="2"/>
    <x v="0"/>
    <n v="10.57"/>
    <n v="12.01"/>
    <n v="0.16"/>
    <n v="10.6"/>
  </r>
  <r>
    <x v="9"/>
    <x v="8"/>
    <x v="22"/>
    <x v="1"/>
    <x v="0"/>
    <x v="0"/>
    <n v="247.49"/>
    <n v="281.23"/>
    <n v="71.760000000000005"/>
    <n v="222.7"/>
  </r>
  <r>
    <x v="9"/>
    <x v="8"/>
    <x v="22"/>
    <x v="1"/>
    <x v="1"/>
    <x v="0"/>
    <n v="15.56"/>
    <n v="17.68"/>
    <n v="4.22"/>
    <n v="14.53"/>
  </r>
  <r>
    <x v="9"/>
    <x v="8"/>
    <x v="22"/>
    <x v="1"/>
    <x v="2"/>
    <x v="0"/>
    <n v="64.59"/>
    <n v="73.39"/>
    <n v="0.85"/>
    <n v="53.05"/>
  </r>
  <r>
    <x v="9"/>
    <x v="8"/>
    <x v="22"/>
    <x v="2"/>
    <x v="0"/>
    <x v="0"/>
    <n v="531.78"/>
    <n v="604.26"/>
    <n v="108.16"/>
    <n v="485.91"/>
  </r>
  <r>
    <x v="9"/>
    <x v="8"/>
    <x v="22"/>
    <x v="0"/>
    <x v="4"/>
    <x v="0"/>
    <n v="125.55"/>
    <n v="142.66"/>
    <n v="13.14"/>
    <n v="114.43"/>
  </r>
  <r>
    <x v="9"/>
    <x v="8"/>
    <x v="22"/>
    <x v="1"/>
    <x v="1"/>
    <x v="2"/>
    <n v="0.82"/>
    <n v="0.93"/>
    <n v="0.02"/>
    <n v="0.8"/>
  </r>
  <r>
    <x v="9"/>
    <x v="8"/>
    <x v="22"/>
    <x v="0"/>
    <x v="3"/>
    <x v="0"/>
    <n v="19.97"/>
    <n v="22.7"/>
    <n v="0.14000000000000001"/>
    <n v="19.97"/>
  </r>
  <r>
    <x v="9"/>
    <x v="8"/>
    <x v="22"/>
    <x v="2"/>
    <x v="3"/>
    <x v="2"/>
    <n v="33.659999999999997"/>
    <n v="38.25"/>
    <n v="0.02"/>
    <n v="33.71"/>
  </r>
  <r>
    <x v="9"/>
    <x v="8"/>
    <x v="22"/>
    <x v="2"/>
    <x v="0"/>
    <x v="3"/>
    <n v="0.03"/>
    <n v="0.04"/>
    <n v="0"/>
    <n v="0.03"/>
  </r>
  <r>
    <x v="9"/>
    <x v="8"/>
    <x v="22"/>
    <x v="2"/>
    <x v="4"/>
    <x v="3"/>
    <n v="0.19"/>
    <n v="0.22"/>
    <n v="0.02"/>
    <n v="0.16"/>
  </r>
  <r>
    <x v="9"/>
    <x v="8"/>
    <x v="22"/>
    <x v="2"/>
    <x v="1"/>
    <x v="3"/>
    <n v="106.26"/>
    <n v="120.74"/>
    <n v="0.08"/>
    <n v="87.66"/>
  </r>
  <r>
    <x v="9"/>
    <x v="8"/>
    <x v="22"/>
    <x v="2"/>
    <x v="2"/>
    <x v="3"/>
    <n v="281.45"/>
    <n v="319.82"/>
    <n v="0.06"/>
    <n v="232.2"/>
  </r>
  <r>
    <x v="9"/>
    <x v="8"/>
    <x v="22"/>
    <x v="2"/>
    <x v="3"/>
    <x v="3"/>
    <n v="2.91"/>
    <n v="3.31"/>
    <n v="0"/>
    <n v="2.76"/>
  </r>
  <r>
    <x v="9"/>
    <x v="8"/>
    <x v="22"/>
    <x v="4"/>
    <x v="0"/>
    <x v="1"/>
    <n v="8.2100000000000009"/>
    <n v="9.33"/>
    <n v="0.45"/>
    <n v="6.7"/>
  </r>
  <r>
    <x v="9"/>
    <x v="8"/>
    <x v="22"/>
    <x v="2"/>
    <x v="4"/>
    <x v="0"/>
    <n v="117.41"/>
    <n v="133.41"/>
    <n v="17.170000000000002"/>
    <n v="109.06"/>
  </r>
  <r>
    <x v="9"/>
    <x v="8"/>
    <x v="22"/>
    <x v="1"/>
    <x v="4"/>
    <x v="2"/>
    <n v="11.1"/>
    <n v="12.62"/>
    <n v="0.32"/>
    <n v="9.6"/>
  </r>
  <r>
    <x v="9"/>
    <x v="8"/>
    <x v="22"/>
    <x v="1"/>
    <x v="4"/>
    <x v="1"/>
    <n v="1.4"/>
    <n v="1.59"/>
    <n v="0.04"/>
    <n v="1.19"/>
  </r>
  <r>
    <x v="9"/>
    <x v="8"/>
    <x v="22"/>
    <x v="4"/>
    <x v="1"/>
    <x v="2"/>
    <n v="1.39"/>
    <n v="1.58"/>
    <n v="7.0000000000000007E-2"/>
    <n v="1.26"/>
  </r>
  <r>
    <x v="9"/>
    <x v="8"/>
    <x v="22"/>
    <x v="4"/>
    <x v="4"/>
    <x v="2"/>
    <n v="0.28999999999999998"/>
    <n v="0.33"/>
    <n v="0.03"/>
    <n v="0.26"/>
  </r>
  <r>
    <x v="9"/>
    <x v="8"/>
    <x v="22"/>
    <x v="0"/>
    <x v="0"/>
    <x v="1"/>
    <n v="68.12"/>
    <n v="77.400000000000006"/>
    <n v="1.31"/>
    <n v="61.29"/>
  </r>
  <r>
    <x v="9"/>
    <x v="8"/>
    <x v="22"/>
    <x v="1"/>
    <x v="4"/>
    <x v="0"/>
    <n v="1212.3699999999999"/>
    <n v="1377.63"/>
    <n v="164.94"/>
    <n v="1077.8800000000001"/>
  </r>
  <r>
    <x v="9"/>
    <x v="8"/>
    <x v="22"/>
    <x v="1"/>
    <x v="0"/>
    <x v="1"/>
    <n v="6.82"/>
    <n v="7.75"/>
    <n v="0.48"/>
    <n v="6.11"/>
  </r>
  <r>
    <x v="9"/>
    <x v="8"/>
    <x v="22"/>
    <x v="0"/>
    <x v="0"/>
    <x v="0"/>
    <n v="102.2"/>
    <n v="116.13"/>
    <n v="24.66"/>
    <n v="90.64"/>
  </r>
  <r>
    <x v="9"/>
    <x v="8"/>
    <x v="22"/>
    <x v="1"/>
    <x v="1"/>
    <x v="1"/>
    <n v="26.72"/>
    <n v="30.36"/>
    <n v="0.33"/>
    <n v="23.76"/>
  </r>
  <r>
    <x v="9"/>
    <x v="8"/>
    <x v="22"/>
    <x v="1"/>
    <x v="2"/>
    <x v="1"/>
    <n v="30.76"/>
    <n v="34.96"/>
    <n v="0.11"/>
    <n v="27.68"/>
  </r>
  <r>
    <x v="9"/>
    <x v="8"/>
    <x v="22"/>
    <x v="4"/>
    <x v="1"/>
    <x v="0"/>
    <n v="8.57"/>
    <n v="9.73"/>
    <n v="1.31"/>
    <n v="8.4700000000000006"/>
  </r>
  <r>
    <x v="9"/>
    <x v="8"/>
    <x v="22"/>
    <x v="2"/>
    <x v="3"/>
    <x v="1"/>
    <n v="11.6"/>
    <n v="13.18"/>
    <n v="0.01"/>
    <n v="10.78"/>
  </r>
  <r>
    <x v="9"/>
    <x v="8"/>
    <x v="22"/>
    <x v="3"/>
    <x v="0"/>
    <x v="0"/>
    <n v="74.88"/>
    <n v="85.09"/>
    <n v="20.86"/>
    <n v="69.290000000000006"/>
  </r>
  <r>
    <x v="9"/>
    <x v="8"/>
    <x v="22"/>
    <x v="3"/>
    <x v="4"/>
    <x v="0"/>
    <n v="308.70999999999998"/>
    <n v="350.79"/>
    <n v="47.31"/>
    <n v="287.19"/>
  </r>
  <r>
    <x v="9"/>
    <x v="8"/>
    <x v="22"/>
    <x v="3"/>
    <x v="1"/>
    <x v="0"/>
    <n v="0.59"/>
    <n v="0.67"/>
    <n v="0.19"/>
    <n v="0.56000000000000005"/>
  </r>
  <r>
    <x v="9"/>
    <x v="8"/>
    <x v="22"/>
    <x v="4"/>
    <x v="0"/>
    <x v="0"/>
    <n v="1.48"/>
    <n v="1.68"/>
    <n v="0.39"/>
    <n v="1.32"/>
  </r>
  <r>
    <x v="9"/>
    <x v="8"/>
    <x v="22"/>
    <x v="4"/>
    <x v="4"/>
    <x v="0"/>
    <n v="269.79000000000002"/>
    <n v="306.56"/>
    <n v="24.26"/>
    <n v="247.3"/>
  </r>
  <r>
    <x v="9"/>
    <x v="8"/>
    <x v="22"/>
    <x v="0"/>
    <x v="4"/>
    <x v="1"/>
    <n v="3.52"/>
    <n v="4"/>
    <n v="0.33"/>
    <n v="3.15"/>
  </r>
  <r>
    <x v="9"/>
    <x v="6"/>
    <x v="23"/>
    <x v="1"/>
    <x v="2"/>
    <x v="1"/>
    <n v="5.89"/>
    <n v="7.4"/>
    <n v="0.02"/>
    <n v="4.6399999999999997"/>
  </r>
  <r>
    <x v="9"/>
    <x v="6"/>
    <x v="23"/>
    <x v="2"/>
    <x v="3"/>
    <x v="1"/>
    <n v="0"/>
    <n v="0"/>
    <n v="0"/>
    <n v="0"/>
  </r>
  <r>
    <x v="9"/>
    <x v="6"/>
    <x v="23"/>
    <x v="3"/>
    <x v="4"/>
    <x v="0"/>
    <n v="14.65"/>
    <n v="18.38"/>
    <n v="2.3199999999999998"/>
    <n v="12.55"/>
  </r>
  <r>
    <x v="9"/>
    <x v="6"/>
    <x v="23"/>
    <x v="4"/>
    <x v="1"/>
    <x v="0"/>
    <n v="3.87"/>
    <n v="4.8600000000000003"/>
    <n v="0.19"/>
    <n v="3.42"/>
  </r>
  <r>
    <x v="9"/>
    <x v="6"/>
    <x v="23"/>
    <x v="2"/>
    <x v="3"/>
    <x v="0"/>
    <n v="2.78"/>
    <n v="3.49"/>
    <n v="0.03"/>
    <n v="2.78"/>
  </r>
  <r>
    <x v="9"/>
    <x v="6"/>
    <x v="23"/>
    <x v="0"/>
    <x v="4"/>
    <x v="0"/>
    <n v="6.74"/>
    <n v="8.4600000000000009"/>
    <n v="1.4"/>
    <n v="6.02"/>
  </r>
  <r>
    <x v="9"/>
    <x v="6"/>
    <x v="23"/>
    <x v="1"/>
    <x v="0"/>
    <x v="0"/>
    <n v="5.8"/>
    <n v="7.28"/>
    <n v="2.75"/>
    <n v="5.18"/>
  </r>
  <r>
    <x v="9"/>
    <x v="6"/>
    <x v="23"/>
    <x v="1"/>
    <x v="4"/>
    <x v="0"/>
    <n v="96.27"/>
    <n v="120.83"/>
    <n v="18.79"/>
    <n v="86.9"/>
  </r>
  <r>
    <x v="9"/>
    <x v="6"/>
    <x v="23"/>
    <x v="1"/>
    <x v="2"/>
    <x v="0"/>
    <n v="3.88"/>
    <n v="4.88"/>
    <n v="0.03"/>
    <n v="3.27"/>
  </r>
  <r>
    <x v="9"/>
    <x v="6"/>
    <x v="23"/>
    <x v="1"/>
    <x v="1"/>
    <x v="1"/>
    <n v="4.3"/>
    <n v="5.4"/>
    <n v="0.03"/>
    <n v="3.36"/>
  </r>
  <r>
    <x v="9"/>
    <x v="6"/>
    <x v="23"/>
    <x v="2"/>
    <x v="4"/>
    <x v="0"/>
    <n v="9.16"/>
    <n v="11.49"/>
    <n v="1.97"/>
    <n v="8.41"/>
  </r>
  <r>
    <x v="9"/>
    <x v="6"/>
    <x v="23"/>
    <x v="2"/>
    <x v="0"/>
    <x v="0"/>
    <n v="2.78"/>
    <n v="3.48"/>
    <n v="1.22"/>
    <n v="2.71"/>
  </r>
  <r>
    <x v="9"/>
    <x v="6"/>
    <x v="23"/>
    <x v="4"/>
    <x v="4"/>
    <x v="0"/>
    <n v="10.96"/>
    <n v="13.76"/>
    <n v="2.1"/>
    <n v="9.52"/>
  </r>
  <r>
    <x v="9"/>
    <x v="6"/>
    <x v="23"/>
    <x v="1"/>
    <x v="1"/>
    <x v="0"/>
    <n v="16.53"/>
    <n v="20.74"/>
    <n v="0.89"/>
    <n v="14.41"/>
  </r>
  <r>
    <x v="9"/>
    <x v="6"/>
    <x v="23"/>
    <x v="4"/>
    <x v="4"/>
    <x v="2"/>
    <n v="0.01"/>
    <n v="0.01"/>
    <n v="0"/>
    <n v="0"/>
  </r>
  <r>
    <x v="9"/>
    <x v="6"/>
    <x v="23"/>
    <x v="0"/>
    <x v="0"/>
    <x v="0"/>
    <n v="4.2"/>
    <n v="5.27"/>
    <n v="2.09"/>
    <n v="3.6"/>
  </r>
  <r>
    <x v="9"/>
    <x v="6"/>
    <x v="23"/>
    <x v="1"/>
    <x v="4"/>
    <x v="1"/>
    <n v="0.31"/>
    <n v="0.38"/>
    <n v="0.01"/>
    <n v="0.25"/>
  </r>
  <r>
    <x v="9"/>
    <x v="6"/>
    <x v="23"/>
    <x v="4"/>
    <x v="1"/>
    <x v="2"/>
    <n v="0.08"/>
    <n v="0.1"/>
    <n v="0"/>
    <n v="0.05"/>
  </r>
  <r>
    <x v="9"/>
    <x v="6"/>
    <x v="23"/>
    <x v="4"/>
    <x v="2"/>
    <x v="2"/>
    <n v="0.03"/>
    <n v="0.04"/>
    <n v="0"/>
    <n v="0.02"/>
  </r>
  <r>
    <x v="9"/>
    <x v="6"/>
    <x v="23"/>
    <x v="1"/>
    <x v="2"/>
    <x v="2"/>
    <n v="0.01"/>
    <n v="0.01"/>
    <n v="0"/>
    <n v="0.01"/>
  </r>
  <r>
    <x v="9"/>
    <x v="6"/>
    <x v="23"/>
    <x v="2"/>
    <x v="3"/>
    <x v="3"/>
    <n v="3.31"/>
    <n v="4.1500000000000004"/>
    <n v="0"/>
    <n v="3.31"/>
  </r>
  <r>
    <x v="9"/>
    <x v="6"/>
    <x v="23"/>
    <x v="4"/>
    <x v="4"/>
    <x v="1"/>
    <n v="0.18"/>
    <n v="0.23"/>
    <n v="0.01"/>
    <n v="0.14000000000000001"/>
  </r>
  <r>
    <x v="9"/>
    <x v="6"/>
    <x v="23"/>
    <x v="4"/>
    <x v="1"/>
    <x v="1"/>
    <n v="0.19"/>
    <n v="0.24"/>
    <n v="0.01"/>
    <n v="0.18"/>
  </r>
  <r>
    <x v="9"/>
    <x v="6"/>
    <x v="23"/>
    <x v="0"/>
    <x v="0"/>
    <x v="1"/>
    <n v="1.65"/>
    <n v="2.0699999999999998"/>
    <n v="0.03"/>
    <n v="1.28"/>
  </r>
  <r>
    <x v="9"/>
    <x v="6"/>
    <x v="23"/>
    <x v="0"/>
    <x v="4"/>
    <x v="1"/>
    <n v="0.35"/>
    <n v="0.44"/>
    <n v="0.04"/>
    <n v="0.27"/>
  </r>
  <r>
    <x v="9"/>
    <x v="6"/>
    <x v="23"/>
    <x v="1"/>
    <x v="0"/>
    <x v="1"/>
    <n v="0.37"/>
    <n v="0.47"/>
    <n v="0.01"/>
    <n v="0.31"/>
  </r>
  <r>
    <x v="9"/>
    <x v="6"/>
    <x v="23"/>
    <x v="4"/>
    <x v="0"/>
    <x v="1"/>
    <n v="0.38"/>
    <n v="0.48"/>
    <n v="0.02"/>
    <n v="0.31"/>
  </r>
  <r>
    <x v="9"/>
    <x v="0"/>
    <x v="24"/>
    <x v="1"/>
    <x v="1"/>
    <x v="0"/>
    <n v="11.26"/>
    <n v="16.68"/>
    <n v="0.79"/>
    <n v="10.56"/>
  </r>
  <r>
    <x v="9"/>
    <x v="0"/>
    <x v="24"/>
    <x v="2"/>
    <x v="0"/>
    <x v="0"/>
    <n v="11.02"/>
    <n v="16.32"/>
    <n v="7.81"/>
    <n v="10.36"/>
  </r>
  <r>
    <x v="9"/>
    <x v="0"/>
    <x v="24"/>
    <x v="4"/>
    <x v="4"/>
    <x v="0"/>
    <n v="24.74"/>
    <n v="36.65"/>
    <n v="5.97"/>
    <n v="23.28"/>
  </r>
  <r>
    <x v="9"/>
    <x v="0"/>
    <x v="24"/>
    <x v="4"/>
    <x v="1"/>
    <x v="0"/>
    <n v="11.09"/>
    <n v="16.43"/>
    <n v="1.07"/>
    <n v="10.54"/>
  </r>
  <r>
    <x v="9"/>
    <x v="0"/>
    <x v="24"/>
    <x v="0"/>
    <x v="0"/>
    <x v="0"/>
    <n v="3.52"/>
    <n v="5.21"/>
    <n v="5.39"/>
    <n v="3.33"/>
  </r>
  <r>
    <x v="9"/>
    <x v="0"/>
    <x v="24"/>
    <x v="0"/>
    <x v="4"/>
    <x v="0"/>
    <n v="11.18"/>
    <n v="16.559999999999999"/>
    <n v="3.42"/>
    <n v="10.66"/>
  </r>
  <r>
    <x v="9"/>
    <x v="0"/>
    <x v="24"/>
    <x v="1"/>
    <x v="0"/>
    <x v="0"/>
    <n v="7.62"/>
    <n v="11.3"/>
    <n v="5.0199999999999996"/>
    <n v="7.27"/>
  </r>
  <r>
    <x v="9"/>
    <x v="0"/>
    <x v="24"/>
    <x v="4"/>
    <x v="2"/>
    <x v="2"/>
    <n v="0.18"/>
    <n v="0.26"/>
    <n v="0"/>
    <n v="0.17"/>
  </r>
  <r>
    <x v="9"/>
    <x v="0"/>
    <x v="24"/>
    <x v="1"/>
    <x v="2"/>
    <x v="0"/>
    <n v="16.760000000000002"/>
    <n v="24.82"/>
    <n v="0.19"/>
    <n v="15.54"/>
  </r>
  <r>
    <x v="9"/>
    <x v="0"/>
    <x v="24"/>
    <x v="4"/>
    <x v="4"/>
    <x v="1"/>
    <n v="0.38"/>
    <n v="0.56000000000000005"/>
    <n v="0.03"/>
    <n v="0.36"/>
  </r>
  <r>
    <x v="9"/>
    <x v="0"/>
    <x v="24"/>
    <x v="4"/>
    <x v="0"/>
    <x v="0"/>
    <n v="0.42"/>
    <n v="0.62"/>
    <n v="0.09"/>
    <n v="0.38"/>
  </r>
  <r>
    <x v="9"/>
    <x v="0"/>
    <x v="24"/>
    <x v="1"/>
    <x v="0"/>
    <x v="1"/>
    <n v="0.14000000000000001"/>
    <n v="0.21"/>
    <n v="0.01"/>
    <n v="0.14000000000000001"/>
  </r>
  <r>
    <x v="9"/>
    <x v="0"/>
    <x v="24"/>
    <x v="4"/>
    <x v="1"/>
    <x v="2"/>
    <n v="0.13"/>
    <n v="0.19"/>
    <n v="0.01"/>
    <n v="0.12"/>
  </r>
  <r>
    <x v="9"/>
    <x v="0"/>
    <x v="24"/>
    <x v="1"/>
    <x v="4"/>
    <x v="0"/>
    <n v="111.17"/>
    <n v="164.71"/>
    <n v="22.79"/>
    <n v="105.07"/>
  </r>
  <r>
    <x v="9"/>
    <x v="0"/>
    <x v="24"/>
    <x v="0"/>
    <x v="4"/>
    <x v="1"/>
    <n v="0.24"/>
    <n v="0.36"/>
    <n v="0.04"/>
    <n v="0.23"/>
  </r>
  <r>
    <x v="9"/>
    <x v="0"/>
    <x v="24"/>
    <x v="4"/>
    <x v="0"/>
    <x v="1"/>
    <n v="1.1100000000000001"/>
    <n v="1.65"/>
    <n v="0.08"/>
    <n v="1.06"/>
  </r>
  <r>
    <x v="9"/>
    <x v="0"/>
    <x v="24"/>
    <x v="2"/>
    <x v="4"/>
    <x v="0"/>
    <n v="5.88"/>
    <n v="8.7100000000000009"/>
    <n v="1.8"/>
    <n v="5.69"/>
  </r>
  <r>
    <x v="9"/>
    <x v="0"/>
    <x v="24"/>
    <x v="2"/>
    <x v="3"/>
    <x v="3"/>
    <n v="17.59"/>
    <n v="26.06"/>
    <n v="0.01"/>
    <n v="17.170000000000002"/>
  </r>
  <r>
    <x v="9"/>
    <x v="0"/>
    <x v="24"/>
    <x v="2"/>
    <x v="3"/>
    <x v="2"/>
    <n v="1.1200000000000001"/>
    <n v="1.66"/>
    <n v="0.01"/>
    <n v="1.0900000000000001"/>
  </r>
  <r>
    <x v="9"/>
    <x v="0"/>
    <x v="24"/>
    <x v="1"/>
    <x v="4"/>
    <x v="2"/>
    <n v="0.36"/>
    <n v="0.53"/>
    <n v="0.04"/>
    <n v="0.35"/>
  </r>
  <r>
    <x v="9"/>
    <x v="0"/>
    <x v="24"/>
    <x v="1"/>
    <x v="1"/>
    <x v="1"/>
    <n v="4.5999999999999996"/>
    <n v="6.81"/>
    <n v="0.22"/>
    <n v="4.38"/>
  </r>
  <r>
    <x v="9"/>
    <x v="0"/>
    <x v="24"/>
    <x v="0"/>
    <x v="0"/>
    <x v="1"/>
    <n v="2.4"/>
    <n v="3.55"/>
    <n v="0.08"/>
    <n v="2.29"/>
  </r>
  <r>
    <x v="9"/>
    <x v="0"/>
    <x v="24"/>
    <x v="3"/>
    <x v="1"/>
    <x v="0"/>
    <n v="0.01"/>
    <n v="0.01"/>
    <n v="0"/>
    <n v="0.01"/>
  </r>
  <r>
    <x v="9"/>
    <x v="0"/>
    <x v="24"/>
    <x v="1"/>
    <x v="4"/>
    <x v="1"/>
    <n v="0.47"/>
    <n v="0.69"/>
    <n v="0.02"/>
    <n v="0.44"/>
  </r>
  <r>
    <x v="9"/>
    <x v="0"/>
    <x v="24"/>
    <x v="4"/>
    <x v="4"/>
    <x v="2"/>
    <n v="0.21"/>
    <n v="0.31"/>
    <n v="0.01"/>
    <n v="0.2"/>
  </r>
  <r>
    <x v="9"/>
    <x v="0"/>
    <x v="24"/>
    <x v="1"/>
    <x v="2"/>
    <x v="1"/>
    <n v="13.75"/>
    <n v="20.37"/>
    <n v="7.0000000000000007E-2"/>
    <n v="13.13"/>
  </r>
  <r>
    <x v="9"/>
    <x v="0"/>
    <x v="24"/>
    <x v="3"/>
    <x v="0"/>
    <x v="0"/>
    <n v="1.81"/>
    <n v="2.68"/>
    <n v="2"/>
    <n v="1.77"/>
  </r>
  <r>
    <x v="9"/>
    <x v="0"/>
    <x v="24"/>
    <x v="3"/>
    <x v="4"/>
    <x v="0"/>
    <n v="10.35"/>
    <n v="15.34"/>
    <n v="2.44"/>
    <n v="9.85"/>
  </r>
  <r>
    <x v="9"/>
    <x v="0"/>
    <x v="24"/>
    <x v="4"/>
    <x v="1"/>
    <x v="1"/>
    <n v="0.06"/>
    <n v="0.09"/>
    <n v="0.01"/>
    <n v="0.06"/>
  </r>
  <r>
    <x v="9"/>
    <x v="2"/>
    <x v="25"/>
    <x v="4"/>
    <x v="1"/>
    <x v="0"/>
    <n v="22.47"/>
    <n v="24.46"/>
    <n v="1.01"/>
    <n v="21.35"/>
  </r>
  <r>
    <x v="9"/>
    <x v="2"/>
    <x v="25"/>
    <x v="1"/>
    <x v="1"/>
    <x v="1"/>
    <n v="0.4"/>
    <n v="0.43"/>
    <n v="0"/>
    <n v="0.37"/>
  </r>
  <r>
    <x v="9"/>
    <x v="2"/>
    <x v="25"/>
    <x v="1"/>
    <x v="0"/>
    <x v="0"/>
    <n v="31.23"/>
    <n v="34"/>
    <n v="14.17"/>
    <n v="29.96"/>
  </r>
  <r>
    <x v="9"/>
    <x v="2"/>
    <x v="25"/>
    <x v="4"/>
    <x v="4"/>
    <x v="2"/>
    <n v="0.17"/>
    <n v="0.19"/>
    <n v="0"/>
    <n v="0.16"/>
  </r>
  <r>
    <x v="9"/>
    <x v="2"/>
    <x v="25"/>
    <x v="1"/>
    <x v="4"/>
    <x v="2"/>
    <n v="0.43"/>
    <n v="0.47"/>
    <n v="0"/>
    <n v="0.4"/>
  </r>
  <r>
    <x v="9"/>
    <x v="2"/>
    <x v="25"/>
    <x v="1"/>
    <x v="1"/>
    <x v="2"/>
    <n v="0.04"/>
    <n v="0.05"/>
    <n v="0"/>
    <n v="0.04"/>
  </r>
  <r>
    <x v="9"/>
    <x v="2"/>
    <x v="25"/>
    <x v="2"/>
    <x v="3"/>
    <x v="2"/>
    <n v="4.33"/>
    <n v="4.72"/>
    <n v="0"/>
    <n v="3.96"/>
  </r>
  <r>
    <x v="9"/>
    <x v="2"/>
    <x v="25"/>
    <x v="2"/>
    <x v="3"/>
    <x v="3"/>
    <n v="24.11"/>
    <n v="26.25"/>
    <n v="0.01"/>
    <n v="24.11"/>
  </r>
  <r>
    <x v="9"/>
    <x v="2"/>
    <x v="25"/>
    <x v="4"/>
    <x v="0"/>
    <x v="1"/>
    <n v="0.02"/>
    <n v="0.02"/>
    <n v="0"/>
    <n v="0.02"/>
  </r>
  <r>
    <x v="9"/>
    <x v="2"/>
    <x v="25"/>
    <x v="4"/>
    <x v="4"/>
    <x v="1"/>
    <n v="0.16"/>
    <n v="0.18"/>
    <n v="0"/>
    <n v="0.15"/>
  </r>
  <r>
    <x v="9"/>
    <x v="2"/>
    <x v="25"/>
    <x v="4"/>
    <x v="1"/>
    <x v="1"/>
    <n v="0.11"/>
    <n v="0.12"/>
    <n v="0"/>
    <n v="0.1"/>
  </r>
  <r>
    <x v="9"/>
    <x v="2"/>
    <x v="25"/>
    <x v="0"/>
    <x v="0"/>
    <x v="1"/>
    <n v="0.7"/>
    <n v="0.77"/>
    <n v="0.03"/>
    <n v="0.65"/>
  </r>
  <r>
    <x v="9"/>
    <x v="2"/>
    <x v="25"/>
    <x v="0"/>
    <x v="4"/>
    <x v="1"/>
    <n v="1.1599999999999999"/>
    <n v="1.26"/>
    <n v="0.02"/>
    <n v="1.07"/>
  </r>
  <r>
    <x v="9"/>
    <x v="2"/>
    <x v="25"/>
    <x v="0"/>
    <x v="4"/>
    <x v="0"/>
    <n v="65.55"/>
    <n v="71.349999999999994"/>
    <n v="12.71"/>
    <n v="62.05"/>
  </r>
  <r>
    <x v="9"/>
    <x v="2"/>
    <x v="25"/>
    <x v="1"/>
    <x v="4"/>
    <x v="1"/>
    <n v="0.02"/>
    <n v="0.02"/>
    <n v="0"/>
    <n v="0.02"/>
  </r>
  <r>
    <x v="9"/>
    <x v="2"/>
    <x v="25"/>
    <x v="1"/>
    <x v="4"/>
    <x v="0"/>
    <n v="399.23"/>
    <n v="434.6"/>
    <n v="56.29"/>
    <n v="376.73"/>
  </r>
  <r>
    <x v="9"/>
    <x v="2"/>
    <x v="25"/>
    <x v="1"/>
    <x v="2"/>
    <x v="1"/>
    <n v="1.06"/>
    <n v="1.1499999999999999"/>
    <n v="0"/>
    <n v="0.99"/>
  </r>
  <r>
    <x v="9"/>
    <x v="2"/>
    <x v="25"/>
    <x v="2"/>
    <x v="3"/>
    <x v="1"/>
    <n v="3.05"/>
    <n v="3.32"/>
    <n v="0"/>
    <n v="2.81"/>
  </r>
  <r>
    <x v="9"/>
    <x v="2"/>
    <x v="25"/>
    <x v="3"/>
    <x v="0"/>
    <x v="0"/>
    <n v="11.67"/>
    <n v="12.7"/>
    <n v="5.6"/>
    <n v="11.67"/>
  </r>
  <r>
    <x v="9"/>
    <x v="2"/>
    <x v="25"/>
    <x v="3"/>
    <x v="4"/>
    <x v="0"/>
    <n v="72.62"/>
    <n v="79.05"/>
    <n v="12.68"/>
    <n v="70.87"/>
  </r>
  <r>
    <x v="9"/>
    <x v="2"/>
    <x v="25"/>
    <x v="3"/>
    <x v="1"/>
    <x v="0"/>
    <n v="1.97"/>
    <n v="2.14"/>
    <n v="0.15"/>
    <n v="1.94"/>
  </r>
  <r>
    <x v="9"/>
    <x v="2"/>
    <x v="25"/>
    <x v="4"/>
    <x v="4"/>
    <x v="0"/>
    <n v="125.84"/>
    <n v="136.99"/>
    <n v="12.16"/>
    <n v="118.79"/>
  </r>
  <r>
    <x v="9"/>
    <x v="2"/>
    <x v="25"/>
    <x v="0"/>
    <x v="0"/>
    <x v="0"/>
    <n v="10.130000000000001"/>
    <n v="11.03"/>
    <n v="4.43"/>
    <n v="9.3000000000000007"/>
  </r>
  <r>
    <x v="9"/>
    <x v="2"/>
    <x v="25"/>
    <x v="2"/>
    <x v="3"/>
    <x v="0"/>
    <n v="3"/>
    <n v="3.27"/>
    <n v="0.02"/>
    <n v="3"/>
  </r>
  <r>
    <x v="9"/>
    <x v="2"/>
    <x v="25"/>
    <x v="2"/>
    <x v="4"/>
    <x v="0"/>
    <n v="16.68"/>
    <n v="18.16"/>
    <n v="2.5"/>
    <n v="16.28"/>
  </r>
  <r>
    <x v="9"/>
    <x v="2"/>
    <x v="25"/>
    <x v="2"/>
    <x v="0"/>
    <x v="0"/>
    <n v="15.29"/>
    <n v="16.64"/>
    <n v="4.95"/>
    <n v="14.84"/>
  </r>
  <r>
    <x v="9"/>
    <x v="2"/>
    <x v="25"/>
    <x v="1"/>
    <x v="2"/>
    <x v="0"/>
    <n v="3.26"/>
    <n v="3.55"/>
    <n v="7.0000000000000007E-2"/>
    <n v="2.97"/>
  </r>
  <r>
    <x v="9"/>
    <x v="2"/>
    <x v="25"/>
    <x v="1"/>
    <x v="1"/>
    <x v="0"/>
    <n v="58.85"/>
    <n v="64.06"/>
    <n v="2.2200000000000002"/>
    <n v="55.62"/>
  </r>
  <r>
    <x v="9"/>
    <x v="2"/>
    <x v="25"/>
    <x v="1"/>
    <x v="0"/>
    <x v="1"/>
    <n v="0.49"/>
    <n v="0.54"/>
    <n v="0.03"/>
    <n v="0.49"/>
  </r>
  <r>
    <x v="9"/>
    <x v="1"/>
    <x v="26"/>
    <x v="4"/>
    <x v="4"/>
    <x v="0"/>
    <n v="10.67"/>
    <n v="12.04"/>
    <n v="1.48"/>
    <n v="9.1199999999999992"/>
  </r>
  <r>
    <x v="9"/>
    <x v="1"/>
    <x v="26"/>
    <x v="3"/>
    <x v="1"/>
    <x v="0"/>
    <n v="0.02"/>
    <n v="0.02"/>
    <n v="0"/>
    <n v="0.02"/>
  </r>
  <r>
    <x v="9"/>
    <x v="1"/>
    <x v="26"/>
    <x v="4"/>
    <x v="1"/>
    <x v="2"/>
    <n v="0.01"/>
    <n v="0.02"/>
    <n v="0"/>
    <n v="0.01"/>
  </r>
  <r>
    <x v="9"/>
    <x v="1"/>
    <x v="26"/>
    <x v="2"/>
    <x v="3"/>
    <x v="3"/>
    <n v="0.01"/>
    <n v="0.01"/>
    <n v="0"/>
    <n v="0.01"/>
  </r>
  <r>
    <x v="9"/>
    <x v="1"/>
    <x v="26"/>
    <x v="4"/>
    <x v="0"/>
    <x v="1"/>
    <n v="0.01"/>
    <n v="0.02"/>
    <n v="0"/>
    <n v="0.01"/>
  </r>
  <r>
    <x v="9"/>
    <x v="1"/>
    <x v="26"/>
    <x v="4"/>
    <x v="1"/>
    <x v="1"/>
    <n v="0.02"/>
    <n v="0.02"/>
    <n v="0"/>
    <n v="0.02"/>
  </r>
  <r>
    <x v="9"/>
    <x v="1"/>
    <x v="26"/>
    <x v="0"/>
    <x v="4"/>
    <x v="1"/>
    <n v="0.01"/>
    <n v="0.01"/>
    <n v="0"/>
    <n v="0.01"/>
  </r>
  <r>
    <x v="9"/>
    <x v="1"/>
    <x v="26"/>
    <x v="1"/>
    <x v="4"/>
    <x v="1"/>
    <n v="0.23"/>
    <n v="0.26"/>
    <n v="0.01"/>
    <n v="0.21"/>
  </r>
  <r>
    <x v="9"/>
    <x v="1"/>
    <x v="26"/>
    <x v="1"/>
    <x v="1"/>
    <x v="1"/>
    <n v="0.2"/>
    <n v="0.23"/>
    <n v="0.01"/>
    <n v="0.18"/>
  </r>
  <r>
    <x v="9"/>
    <x v="1"/>
    <x v="26"/>
    <x v="1"/>
    <x v="1"/>
    <x v="2"/>
    <n v="0.02"/>
    <n v="0.02"/>
    <n v="0"/>
    <n v="0.01"/>
  </r>
  <r>
    <x v="9"/>
    <x v="1"/>
    <x v="26"/>
    <x v="3"/>
    <x v="4"/>
    <x v="0"/>
    <n v="1.61"/>
    <n v="1.82"/>
    <n v="0.48"/>
    <n v="1.35"/>
  </r>
  <r>
    <x v="9"/>
    <x v="1"/>
    <x v="26"/>
    <x v="2"/>
    <x v="4"/>
    <x v="0"/>
    <n v="4.3099999999999996"/>
    <n v="4.8600000000000003"/>
    <n v="0.92"/>
    <n v="3.79"/>
  </r>
  <r>
    <x v="9"/>
    <x v="1"/>
    <x v="26"/>
    <x v="4"/>
    <x v="1"/>
    <x v="0"/>
    <n v="1.27"/>
    <n v="1.43"/>
    <n v="0.06"/>
    <n v="1.25"/>
  </r>
  <r>
    <x v="9"/>
    <x v="1"/>
    <x v="26"/>
    <x v="0"/>
    <x v="0"/>
    <x v="0"/>
    <n v="0.19"/>
    <n v="0.22"/>
    <n v="0.06"/>
    <n v="0.17"/>
  </r>
  <r>
    <x v="9"/>
    <x v="1"/>
    <x v="26"/>
    <x v="0"/>
    <x v="4"/>
    <x v="0"/>
    <n v="8.15"/>
    <n v="9.1999999999999993"/>
    <n v="2.13"/>
    <n v="6.89"/>
  </r>
  <r>
    <x v="9"/>
    <x v="1"/>
    <x v="26"/>
    <x v="1"/>
    <x v="0"/>
    <x v="0"/>
    <n v="2.75"/>
    <n v="3.1"/>
    <n v="1.24"/>
    <n v="2.34"/>
  </r>
  <r>
    <x v="9"/>
    <x v="1"/>
    <x v="26"/>
    <x v="1"/>
    <x v="4"/>
    <x v="0"/>
    <n v="23.5"/>
    <n v="26.53"/>
    <n v="3.29"/>
    <n v="20.73"/>
  </r>
  <r>
    <x v="9"/>
    <x v="1"/>
    <x v="26"/>
    <x v="1"/>
    <x v="1"/>
    <x v="0"/>
    <n v="3.38"/>
    <n v="3.81"/>
    <n v="0.14000000000000001"/>
    <n v="2.86"/>
  </r>
  <r>
    <x v="9"/>
    <x v="1"/>
    <x v="26"/>
    <x v="1"/>
    <x v="2"/>
    <x v="0"/>
    <n v="0.11"/>
    <n v="0.12"/>
    <n v="0"/>
    <n v="0.09"/>
  </r>
  <r>
    <x v="9"/>
    <x v="1"/>
    <x v="26"/>
    <x v="2"/>
    <x v="0"/>
    <x v="0"/>
    <n v="0.82"/>
    <n v="0.92"/>
    <n v="0.41"/>
    <n v="0.76"/>
  </r>
  <r>
    <x v="9"/>
    <x v="1"/>
    <x v="26"/>
    <x v="1"/>
    <x v="2"/>
    <x v="1"/>
    <n v="0.1"/>
    <n v="0.12"/>
    <n v="0.02"/>
    <n v="0.09"/>
  </r>
  <r>
    <x v="9"/>
    <x v="1"/>
    <x v="26"/>
    <x v="2"/>
    <x v="3"/>
    <x v="1"/>
    <n v="0"/>
    <n v="0"/>
    <n v="0"/>
    <n v="0"/>
  </r>
  <r>
    <x v="9"/>
    <x v="2"/>
    <x v="27"/>
    <x v="2"/>
    <x v="4"/>
    <x v="0"/>
    <n v="2.64"/>
    <n v="3.55"/>
    <n v="0.3"/>
    <n v="2.58"/>
  </r>
  <r>
    <x v="9"/>
    <x v="2"/>
    <x v="27"/>
    <x v="2"/>
    <x v="3"/>
    <x v="0"/>
    <n v="2"/>
    <n v="2.7"/>
    <n v="0.02"/>
    <n v="2"/>
  </r>
  <r>
    <x v="9"/>
    <x v="2"/>
    <x v="27"/>
    <x v="2"/>
    <x v="0"/>
    <x v="0"/>
    <n v="2.4"/>
    <n v="3.23"/>
    <n v="0.84"/>
    <n v="2.3199999999999998"/>
  </r>
  <r>
    <x v="9"/>
    <x v="2"/>
    <x v="27"/>
    <x v="1"/>
    <x v="1"/>
    <x v="0"/>
    <n v="7.2"/>
    <n v="9.69"/>
    <n v="0.38"/>
    <n v="6.83"/>
  </r>
  <r>
    <x v="9"/>
    <x v="2"/>
    <x v="27"/>
    <x v="1"/>
    <x v="4"/>
    <x v="0"/>
    <n v="62.7"/>
    <n v="84.33"/>
    <n v="10.43"/>
    <n v="59.54"/>
  </r>
  <r>
    <x v="9"/>
    <x v="2"/>
    <x v="27"/>
    <x v="1"/>
    <x v="0"/>
    <x v="0"/>
    <n v="3.75"/>
    <n v="5.04"/>
    <n v="1.95"/>
    <n v="3.62"/>
  </r>
  <r>
    <x v="9"/>
    <x v="2"/>
    <x v="27"/>
    <x v="0"/>
    <x v="4"/>
    <x v="0"/>
    <n v="8.1300000000000008"/>
    <n v="10.94"/>
    <n v="1.62"/>
    <n v="7.73"/>
  </r>
  <r>
    <x v="9"/>
    <x v="2"/>
    <x v="27"/>
    <x v="0"/>
    <x v="0"/>
    <x v="0"/>
    <n v="1.5"/>
    <n v="2.0099999999999998"/>
    <n v="0.62"/>
    <n v="1.39"/>
  </r>
  <r>
    <x v="9"/>
    <x v="2"/>
    <x v="27"/>
    <x v="4"/>
    <x v="1"/>
    <x v="0"/>
    <n v="3.76"/>
    <n v="5.0599999999999996"/>
    <n v="0.17"/>
    <n v="3.56"/>
  </r>
  <r>
    <x v="9"/>
    <x v="2"/>
    <x v="27"/>
    <x v="4"/>
    <x v="4"/>
    <x v="0"/>
    <n v="25.55"/>
    <n v="34.36"/>
    <n v="2.41"/>
    <n v="24.08"/>
  </r>
  <r>
    <x v="9"/>
    <x v="2"/>
    <x v="27"/>
    <x v="3"/>
    <x v="1"/>
    <x v="0"/>
    <n v="0.2"/>
    <n v="0.28000000000000003"/>
    <n v="0.02"/>
    <n v="0.2"/>
  </r>
  <r>
    <x v="9"/>
    <x v="2"/>
    <x v="27"/>
    <x v="3"/>
    <x v="4"/>
    <x v="0"/>
    <n v="4.6900000000000004"/>
    <n v="6.3"/>
    <n v="1.39"/>
    <n v="4.57"/>
  </r>
  <r>
    <x v="9"/>
    <x v="2"/>
    <x v="27"/>
    <x v="3"/>
    <x v="0"/>
    <x v="0"/>
    <n v="3.3"/>
    <n v="4.4400000000000004"/>
    <n v="0.55000000000000004"/>
    <n v="3.31"/>
  </r>
  <r>
    <x v="9"/>
    <x v="2"/>
    <x v="27"/>
    <x v="4"/>
    <x v="0"/>
    <x v="1"/>
    <n v="0.01"/>
    <n v="0.01"/>
    <n v="0"/>
    <n v="0.01"/>
  </r>
  <r>
    <x v="9"/>
    <x v="2"/>
    <x v="27"/>
    <x v="4"/>
    <x v="4"/>
    <x v="2"/>
    <n v="0.45"/>
    <n v="0.6"/>
    <n v="0.01"/>
    <n v="0.39"/>
  </r>
  <r>
    <x v="9"/>
    <x v="2"/>
    <x v="27"/>
    <x v="2"/>
    <x v="3"/>
    <x v="1"/>
    <n v="1.45"/>
    <n v="1.95"/>
    <n v="0"/>
    <n v="1.44"/>
  </r>
  <r>
    <x v="9"/>
    <x v="2"/>
    <x v="27"/>
    <x v="2"/>
    <x v="3"/>
    <x v="3"/>
    <n v="2.79"/>
    <n v="3.75"/>
    <n v="0"/>
    <n v="2.79"/>
  </r>
  <r>
    <x v="9"/>
    <x v="2"/>
    <x v="27"/>
    <x v="4"/>
    <x v="1"/>
    <x v="2"/>
    <n v="7.0000000000000007E-2"/>
    <n v="0.1"/>
    <n v="0"/>
    <n v="7.0000000000000007E-2"/>
  </r>
  <r>
    <x v="9"/>
    <x v="2"/>
    <x v="27"/>
    <x v="4"/>
    <x v="4"/>
    <x v="1"/>
    <n v="0.05"/>
    <n v="7.0000000000000007E-2"/>
    <n v="0"/>
    <n v="0.05"/>
  </r>
  <r>
    <x v="9"/>
    <x v="2"/>
    <x v="27"/>
    <x v="4"/>
    <x v="1"/>
    <x v="1"/>
    <n v="0.04"/>
    <n v="0.06"/>
    <n v="0"/>
    <n v="0.04"/>
  </r>
  <r>
    <x v="9"/>
    <x v="2"/>
    <x v="27"/>
    <x v="0"/>
    <x v="0"/>
    <x v="1"/>
    <n v="0.19"/>
    <n v="0.26"/>
    <n v="0.01"/>
    <n v="0.19"/>
  </r>
  <r>
    <x v="9"/>
    <x v="2"/>
    <x v="27"/>
    <x v="0"/>
    <x v="4"/>
    <x v="1"/>
    <n v="0.2"/>
    <n v="0.27"/>
    <n v="0"/>
    <n v="0.2"/>
  </r>
  <r>
    <x v="9"/>
    <x v="2"/>
    <x v="27"/>
    <x v="1"/>
    <x v="0"/>
    <x v="1"/>
    <n v="0.09"/>
    <n v="0.12"/>
    <n v="0"/>
    <n v="0.1"/>
  </r>
  <r>
    <x v="9"/>
    <x v="2"/>
    <x v="27"/>
    <x v="1"/>
    <x v="4"/>
    <x v="1"/>
    <n v="7.0000000000000007E-2"/>
    <n v="0.09"/>
    <n v="0"/>
    <n v="0.08"/>
  </r>
  <r>
    <x v="9"/>
    <x v="2"/>
    <x v="27"/>
    <x v="1"/>
    <x v="1"/>
    <x v="1"/>
    <n v="0.11"/>
    <n v="0.15"/>
    <n v="0"/>
    <n v="0.12"/>
  </r>
  <r>
    <x v="9"/>
    <x v="2"/>
    <x v="27"/>
    <x v="1"/>
    <x v="2"/>
    <x v="1"/>
    <n v="0.05"/>
    <n v="7.0000000000000007E-2"/>
    <n v="0"/>
    <n v="0.05"/>
  </r>
  <r>
    <x v="9"/>
    <x v="2"/>
    <x v="27"/>
    <x v="1"/>
    <x v="4"/>
    <x v="2"/>
    <n v="4.55"/>
    <n v="6.13"/>
    <n v="0.05"/>
    <n v="4.03"/>
  </r>
  <r>
    <x v="9"/>
    <x v="5"/>
    <x v="28"/>
    <x v="0"/>
    <x v="4"/>
    <x v="0"/>
    <n v="12.26"/>
    <n v="13.21"/>
    <n v="3.02"/>
    <n v="11.33"/>
  </r>
  <r>
    <x v="9"/>
    <x v="5"/>
    <x v="28"/>
    <x v="3"/>
    <x v="0"/>
    <x v="0"/>
    <n v="2.33"/>
    <n v="2.5099999999999998"/>
    <n v="0.52"/>
    <n v="2.25"/>
  </r>
  <r>
    <x v="9"/>
    <x v="5"/>
    <x v="28"/>
    <x v="3"/>
    <x v="4"/>
    <x v="0"/>
    <n v="6.55"/>
    <n v="7.06"/>
    <n v="1.85"/>
    <n v="6.08"/>
  </r>
  <r>
    <x v="9"/>
    <x v="5"/>
    <x v="28"/>
    <x v="3"/>
    <x v="1"/>
    <x v="0"/>
    <n v="0.01"/>
    <n v="0.01"/>
    <n v="0"/>
    <n v="0.01"/>
  </r>
  <r>
    <x v="9"/>
    <x v="5"/>
    <x v="28"/>
    <x v="4"/>
    <x v="4"/>
    <x v="0"/>
    <n v="42.75"/>
    <n v="46.06"/>
    <n v="4.9000000000000004"/>
    <n v="39.39"/>
  </r>
  <r>
    <x v="9"/>
    <x v="5"/>
    <x v="28"/>
    <x v="4"/>
    <x v="1"/>
    <x v="0"/>
    <n v="4.4800000000000004"/>
    <n v="4.83"/>
    <n v="0.22"/>
    <n v="4.12"/>
  </r>
  <r>
    <x v="9"/>
    <x v="5"/>
    <x v="28"/>
    <x v="0"/>
    <x v="0"/>
    <x v="0"/>
    <n v="3.85"/>
    <n v="4.1500000000000004"/>
    <n v="1.86"/>
    <n v="3.49"/>
  </r>
  <r>
    <x v="9"/>
    <x v="5"/>
    <x v="28"/>
    <x v="1"/>
    <x v="0"/>
    <x v="0"/>
    <n v="11.39"/>
    <n v="12.28"/>
    <n v="6.31"/>
    <n v="10.62"/>
  </r>
  <r>
    <x v="9"/>
    <x v="5"/>
    <x v="28"/>
    <x v="1"/>
    <x v="4"/>
    <x v="0"/>
    <n v="134.81"/>
    <n v="145.27000000000001"/>
    <n v="30.39"/>
    <n v="123.89"/>
  </r>
  <r>
    <x v="9"/>
    <x v="5"/>
    <x v="28"/>
    <x v="1"/>
    <x v="1"/>
    <x v="0"/>
    <n v="25.66"/>
    <n v="27.65"/>
    <n v="1.46"/>
    <n v="23.46"/>
  </r>
  <r>
    <x v="9"/>
    <x v="5"/>
    <x v="28"/>
    <x v="1"/>
    <x v="2"/>
    <x v="0"/>
    <n v="0.68"/>
    <n v="0.73"/>
    <n v="0.02"/>
    <n v="0.6"/>
  </r>
  <r>
    <x v="9"/>
    <x v="5"/>
    <x v="28"/>
    <x v="2"/>
    <x v="0"/>
    <x v="0"/>
    <n v="6.51"/>
    <n v="7.01"/>
    <n v="3.51"/>
    <n v="6.08"/>
  </r>
  <r>
    <x v="9"/>
    <x v="5"/>
    <x v="28"/>
    <x v="2"/>
    <x v="4"/>
    <x v="0"/>
    <n v="6.32"/>
    <n v="6.81"/>
    <n v="1.0900000000000001"/>
    <n v="5.93"/>
  </r>
  <r>
    <x v="9"/>
    <x v="5"/>
    <x v="28"/>
    <x v="2"/>
    <x v="3"/>
    <x v="1"/>
    <n v="0.3"/>
    <n v="0.33"/>
    <n v="0"/>
    <n v="0.28000000000000003"/>
  </r>
  <r>
    <x v="9"/>
    <x v="5"/>
    <x v="28"/>
    <x v="2"/>
    <x v="3"/>
    <x v="0"/>
    <n v="3.04"/>
    <n v="3.27"/>
    <n v="0.03"/>
    <n v="3.04"/>
  </r>
  <r>
    <x v="9"/>
    <x v="5"/>
    <x v="28"/>
    <x v="2"/>
    <x v="3"/>
    <x v="3"/>
    <n v="5.0999999999999996"/>
    <n v="5.49"/>
    <n v="0"/>
    <n v="5.0999999999999996"/>
  </r>
  <r>
    <x v="9"/>
    <x v="5"/>
    <x v="28"/>
    <x v="4"/>
    <x v="1"/>
    <x v="2"/>
    <n v="0.51"/>
    <n v="0.55000000000000004"/>
    <n v="0"/>
    <n v="0.37"/>
  </r>
  <r>
    <x v="9"/>
    <x v="5"/>
    <x v="28"/>
    <x v="1"/>
    <x v="2"/>
    <x v="1"/>
    <n v="1.7"/>
    <n v="1.83"/>
    <n v="0.01"/>
    <n v="1.56"/>
  </r>
  <r>
    <x v="9"/>
    <x v="5"/>
    <x v="28"/>
    <x v="4"/>
    <x v="2"/>
    <x v="2"/>
    <n v="0.01"/>
    <n v="0.02"/>
    <n v="0"/>
    <n v="0.01"/>
  </r>
  <r>
    <x v="9"/>
    <x v="5"/>
    <x v="28"/>
    <x v="2"/>
    <x v="3"/>
    <x v="2"/>
    <n v="6.9"/>
    <n v="7.43"/>
    <n v="0"/>
    <n v="5.34"/>
  </r>
  <r>
    <x v="9"/>
    <x v="5"/>
    <x v="28"/>
    <x v="4"/>
    <x v="4"/>
    <x v="2"/>
    <n v="0.47"/>
    <n v="0.5"/>
    <n v="0.01"/>
    <n v="0.34"/>
  </r>
  <r>
    <x v="9"/>
    <x v="5"/>
    <x v="28"/>
    <x v="4"/>
    <x v="0"/>
    <x v="1"/>
    <n v="0.02"/>
    <n v="0.03"/>
    <n v="0"/>
    <n v="0.02"/>
  </r>
  <r>
    <x v="9"/>
    <x v="5"/>
    <x v="28"/>
    <x v="4"/>
    <x v="4"/>
    <x v="1"/>
    <n v="1.65"/>
    <n v="1.77"/>
    <n v="0.02"/>
    <n v="1.51"/>
  </r>
  <r>
    <x v="9"/>
    <x v="5"/>
    <x v="28"/>
    <x v="4"/>
    <x v="1"/>
    <x v="1"/>
    <n v="1.1100000000000001"/>
    <n v="1.2"/>
    <n v="0.01"/>
    <n v="1.02"/>
  </r>
  <r>
    <x v="9"/>
    <x v="5"/>
    <x v="28"/>
    <x v="0"/>
    <x v="0"/>
    <x v="1"/>
    <n v="0.96"/>
    <n v="1.03"/>
    <n v="0.02"/>
    <n v="0.88"/>
  </r>
  <r>
    <x v="9"/>
    <x v="5"/>
    <x v="28"/>
    <x v="0"/>
    <x v="4"/>
    <x v="1"/>
    <n v="0.12"/>
    <n v="0.13"/>
    <n v="0.01"/>
    <n v="0.11"/>
  </r>
  <r>
    <x v="9"/>
    <x v="5"/>
    <x v="28"/>
    <x v="1"/>
    <x v="0"/>
    <x v="1"/>
    <n v="0.78"/>
    <n v="0.84"/>
    <n v="0.02"/>
    <n v="0.76"/>
  </r>
  <r>
    <x v="9"/>
    <x v="5"/>
    <x v="28"/>
    <x v="1"/>
    <x v="4"/>
    <x v="1"/>
    <n v="0.03"/>
    <n v="0.03"/>
    <n v="0"/>
    <n v="0.03"/>
  </r>
  <r>
    <x v="9"/>
    <x v="5"/>
    <x v="28"/>
    <x v="1"/>
    <x v="1"/>
    <x v="1"/>
    <n v="0.6"/>
    <n v="0.64"/>
    <n v="0"/>
    <n v="0.56000000000000005"/>
  </r>
  <r>
    <x v="9"/>
    <x v="5"/>
    <x v="28"/>
    <x v="1"/>
    <x v="4"/>
    <x v="2"/>
    <n v="0.01"/>
    <n v="0.01"/>
    <n v="0"/>
    <n v="0.01"/>
  </r>
  <r>
    <x v="9"/>
    <x v="2"/>
    <x v="29"/>
    <x v="3"/>
    <x v="4"/>
    <x v="0"/>
    <n v="1.05"/>
    <n v="1.1399999999999999"/>
    <n v="0.3"/>
    <n v="1.02"/>
  </r>
  <r>
    <x v="9"/>
    <x v="2"/>
    <x v="29"/>
    <x v="4"/>
    <x v="4"/>
    <x v="0"/>
    <n v="9.43"/>
    <n v="10.27"/>
    <n v="0.99"/>
    <n v="9.09"/>
  </r>
  <r>
    <x v="9"/>
    <x v="2"/>
    <x v="29"/>
    <x v="4"/>
    <x v="1"/>
    <x v="0"/>
    <n v="0.14000000000000001"/>
    <n v="0.15"/>
    <n v="0.01"/>
    <n v="0.14000000000000001"/>
  </r>
  <r>
    <x v="9"/>
    <x v="2"/>
    <x v="29"/>
    <x v="0"/>
    <x v="0"/>
    <x v="0"/>
    <n v="1.93"/>
    <n v="2.1"/>
    <n v="0.86"/>
    <n v="1.79"/>
  </r>
  <r>
    <x v="9"/>
    <x v="2"/>
    <x v="29"/>
    <x v="0"/>
    <x v="4"/>
    <x v="0"/>
    <n v="5.78"/>
    <n v="6.29"/>
    <n v="1.2"/>
    <n v="5.49"/>
  </r>
  <r>
    <x v="9"/>
    <x v="2"/>
    <x v="29"/>
    <x v="1"/>
    <x v="0"/>
    <x v="0"/>
    <n v="3.66"/>
    <n v="3.98"/>
    <n v="1.56"/>
    <n v="3.46"/>
  </r>
  <r>
    <x v="9"/>
    <x v="2"/>
    <x v="29"/>
    <x v="1"/>
    <x v="4"/>
    <x v="0"/>
    <n v="38.020000000000003"/>
    <n v="41.39"/>
    <n v="6.59"/>
    <n v="35.78"/>
  </r>
  <r>
    <x v="9"/>
    <x v="2"/>
    <x v="29"/>
    <x v="1"/>
    <x v="1"/>
    <x v="0"/>
    <n v="2.52"/>
    <n v="2.74"/>
    <n v="0.21"/>
    <n v="2.4500000000000002"/>
  </r>
  <r>
    <x v="9"/>
    <x v="2"/>
    <x v="29"/>
    <x v="1"/>
    <x v="2"/>
    <x v="0"/>
    <n v="0.15"/>
    <n v="0.17"/>
    <n v="0"/>
    <n v="0.14000000000000001"/>
  </r>
  <r>
    <x v="9"/>
    <x v="2"/>
    <x v="29"/>
    <x v="3"/>
    <x v="0"/>
    <x v="0"/>
    <n v="0.9"/>
    <n v="0.98"/>
    <n v="0.14000000000000001"/>
    <n v="0.9"/>
  </r>
  <r>
    <x v="9"/>
    <x v="2"/>
    <x v="29"/>
    <x v="2"/>
    <x v="4"/>
    <x v="0"/>
    <n v="1.81"/>
    <n v="1.97"/>
    <n v="0.21"/>
    <n v="1.78"/>
  </r>
  <r>
    <x v="9"/>
    <x v="2"/>
    <x v="29"/>
    <x v="4"/>
    <x v="0"/>
    <x v="1"/>
    <n v="0.01"/>
    <n v="0.01"/>
    <n v="0"/>
    <n v="0.01"/>
  </r>
  <r>
    <x v="9"/>
    <x v="2"/>
    <x v="29"/>
    <x v="2"/>
    <x v="0"/>
    <x v="0"/>
    <n v="2.96"/>
    <n v="3.22"/>
    <n v="1.39"/>
    <n v="2.85"/>
  </r>
  <r>
    <x v="9"/>
    <x v="2"/>
    <x v="29"/>
    <x v="2"/>
    <x v="3"/>
    <x v="1"/>
    <n v="7.0000000000000007E-2"/>
    <n v="0.08"/>
    <n v="0"/>
    <n v="7.0000000000000007E-2"/>
  </r>
  <r>
    <x v="9"/>
    <x v="2"/>
    <x v="29"/>
    <x v="1"/>
    <x v="2"/>
    <x v="1"/>
    <n v="0.21"/>
    <n v="0.23"/>
    <n v="0"/>
    <n v="0.21"/>
  </r>
  <r>
    <x v="9"/>
    <x v="2"/>
    <x v="29"/>
    <x v="1"/>
    <x v="1"/>
    <x v="1"/>
    <n v="0.28000000000000003"/>
    <n v="0.3"/>
    <n v="0"/>
    <n v="0.27"/>
  </r>
  <r>
    <x v="9"/>
    <x v="2"/>
    <x v="29"/>
    <x v="1"/>
    <x v="4"/>
    <x v="1"/>
    <n v="0.03"/>
    <n v="0.03"/>
    <n v="0"/>
    <n v="0.03"/>
  </r>
  <r>
    <x v="9"/>
    <x v="2"/>
    <x v="29"/>
    <x v="1"/>
    <x v="0"/>
    <x v="1"/>
    <n v="0.1"/>
    <n v="0.11"/>
    <n v="0"/>
    <n v="0.1"/>
  </r>
  <r>
    <x v="9"/>
    <x v="2"/>
    <x v="29"/>
    <x v="4"/>
    <x v="4"/>
    <x v="2"/>
    <n v="0.04"/>
    <n v="0.04"/>
    <n v="0.01"/>
    <n v="0.04"/>
  </r>
  <r>
    <x v="9"/>
    <x v="2"/>
    <x v="29"/>
    <x v="0"/>
    <x v="0"/>
    <x v="1"/>
    <n v="0.12"/>
    <n v="0.14000000000000001"/>
    <n v="0"/>
    <n v="0.12"/>
  </r>
  <r>
    <x v="9"/>
    <x v="2"/>
    <x v="29"/>
    <x v="1"/>
    <x v="4"/>
    <x v="2"/>
    <n v="0.25"/>
    <n v="0.27"/>
    <n v="0"/>
    <n v="0.24"/>
  </r>
  <r>
    <x v="9"/>
    <x v="2"/>
    <x v="29"/>
    <x v="4"/>
    <x v="2"/>
    <x v="2"/>
    <n v="0"/>
    <n v="0"/>
    <n v="0"/>
    <n v="0"/>
  </r>
  <r>
    <x v="9"/>
    <x v="2"/>
    <x v="29"/>
    <x v="4"/>
    <x v="1"/>
    <x v="2"/>
    <n v="0"/>
    <n v="0"/>
    <n v="0"/>
    <n v="0"/>
  </r>
  <r>
    <x v="9"/>
    <x v="2"/>
    <x v="29"/>
    <x v="2"/>
    <x v="3"/>
    <x v="0"/>
    <n v="8.85"/>
    <n v="9.6300000000000008"/>
    <n v="7.0000000000000007E-2"/>
    <n v="8.85"/>
  </r>
  <r>
    <x v="9"/>
    <x v="2"/>
    <x v="29"/>
    <x v="4"/>
    <x v="4"/>
    <x v="1"/>
    <n v="0.02"/>
    <n v="0.02"/>
    <n v="0"/>
    <n v="0.02"/>
  </r>
  <r>
    <x v="9"/>
    <x v="2"/>
    <x v="29"/>
    <x v="0"/>
    <x v="4"/>
    <x v="1"/>
    <n v="0.13"/>
    <n v="0.15"/>
    <n v="0"/>
    <n v="0.13"/>
  </r>
  <r>
    <x v="9"/>
    <x v="2"/>
    <x v="29"/>
    <x v="2"/>
    <x v="3"/>
    <x v="2"/>
    <n v="0.02"/>
    <n v="0.02"/>
    <n v="0"/>
    <n v="0.02"/>
  </r>
  <r>
    <x v="9"/>
    <x v="5"/>
    <x v="30"/>
    <x v="2"/>
    <x v="3"/>
    <x v="0"/>
    <n v="0.05"/>
    <n v="0.06"/>
    <n v="0.02"/>
    <n v="0.05"/>
  </r>
  <r>
    <x v="9"/>
    <x v="5"/>
    <x v="30"/>
    <x v="1"/>
    <x v="1"/>
    <x v="1"/>
    <n v="0.53"/>
    <n v="0.57999999999999996"/>
    <n v="0.01"/>
    <n v="0.49"/>
  </r>
  <r>
    <x v="9"/>
    <x v="5"/>
    <x v="30"/>
    <x v="2"/>
    <x v="4"/>
    <x v="0"/>
    <n v="9.91"/>
    <n v="10.79"/>
    <n v="1.66"/>
    <n v="9.24"/>
  </r>
  <r>
    <x v="9"/>
    <x v="5"/>
    <x v="30"/>
    <x v="2"/>
    <x v="0"/>
    <x v="0"/>
    <n v="6.07"/>
    <n v="6.61"/>
    <n v="4.0999999999999996"/>
    <n v="5.68"/>
  </r>
  <r>
    <x v="9"/>
    <x v="5"/>
    <x v="30"/>
    <x v="1"/>
    <x v="1"/>
    <x v="0"/>
    <n v="50.13"/>
    <n v="54.57"/>
    <n v="3.86"/>
    <n v="45.73"/>
  </r>
  <r>
    <x v="9"/>
    <x v="5"/>
    <x v="30"/>
    <x v="1"/>
    <x v="4"/>
    <x v="0"/>
    <n v="326.95999999999998"/>
    <n v="355.92"/>
    <n v="81.99"/>
    <n v="298.16000000000003"/>
  </r>
  <r>
    <x v="9"/>
    <x v="5"/>
    <x v="30"/>
    <x v="1"/>
    <x v="0"/>
    <x v="0"/>
    <n v="18.75"/>
    <n v="20.41"/>
    <n v="12.22"/>
    <n v="17.32"/>
  </r>
  <r>
    <x v="9"/>
    <x v="5"/>
    <x v="30"/>
    <x v="0"/>
    <x v="4"/>
    <x v="0"/>
    <n v="20.04"/>
    <n v="21.81"/>
    <n v="5.99"/>
    <n v="18.350000000000001"/>
  </r>
  <r>
    <x v="9"/>
    <x v="5"/>
    <x v="30"/>
    <x v="2"/>
    <x v="3"/>
    <x v="1"/>
    <n v="0.28999999999999998"/>
    <n v="0.31"/>
    <n v="0"/>
    <n v="0.26"/>
  </r>
  <r>
    <x v="9"/>
    <x v="5"/>
    <x v="30"/>
    <x v="4"/>
    <x v="1"/>
    <x v="0"/>
    <n v="9.67"/>
    <n v="10.52"/>
    <n v="0.47"/>
    <n v="8.92"/>
  </r>
  <r>
    <x v="9"/>
    <x v="5"/>
    <x v="30"/>
    <x v="4"/>
    <x v="4"/>
    <x v="0"/>
    <n v="77.540000000000006"/>
    <n v="84.41"/>
    <n v="9.91"/>
    <n v="71.12"/>
  </r>
  <r>
    <x v="9"/>
    <x v="5"/>
    <x v="30"/>
    <x v="3"/>
    <x v="1"/>
    <x v="0"/>
    <n v="0.02"/>
    <n v="0.02"/>
    <n v="0"/>
    <n v="0.02"/>
  </r>
  <r>
    <x v="9"/>
    <x v="5"/>
    <x v="30"/>
    <x v="3"/>
    <x v="4"/>
    <x v="0"/>
    <n v="12.86"/>
    <n v="14"/>
    <n v="2.62"/>
    <n v="11.91"/>
  </r>
  <r>
    <x v="9"/>
    <x v="5"/>
    <x v="30"/>
    <x v="3"/>
    <x v="0"/>
    <x v="0"/>
    <n v="1.68"/>
    <n v="1.83"/>
    <n v="0.41"/>
    <n v="1.63"/>
  </r>
  <r>
    <x v="9"/>
    <x v="5"/>
    <x v="30"/>
    <x v="1"/>
    <x v="2"/>
    <x v="1"/>
    <n v="1.88"/>
    <n v="2.04"/>
    <n v="0.01"/>
    <n v="1.73"/>
  </r>
  <r>
    <x v="9"/>
    <x v="5"/>
    <x v="30"/>
    <x v="0"/>
    <x v="0"/>
    <x v="0"/>
    <n v="6.25"/>
    <n v="6.8"/>
    <n v="3.57"/>
    <n v="5.68"/>
  </r>
  <r>
    <x v="9"/>
    <x v="5"/>
    <x v="30"/>
    <x v="4"/>
    <x v="0"/>
    <x v="1"/>
    <n v="0.03"/>
    <n v="0.03"/>
    <n v="0"/>
    <n v="0.02"/>
  </r>
  <r>
    <x v="9"/>
    <x v="5"/>
    <x v="30"/>
    <x v="1"/>
    <x v="0"/>
    <x v="1"/>
    <n v="0.72"/>
    <n v="0.78"/>
    <n v="0.02"/>
    <n v="0.7"/>
  </r>
  <r>
    <x v="9"/>
    <x v="5"/>
    <x v="30"/>
    <x v="0"/>
    <x v="4"/>
    <x v="1"/>
    <n v="0.1"/>
    <n v="0.11"/>
    <n v="0.01"/>
    <n v="0.09"/>
  </r>
  <r>
    <x v="9"/>
    <x v="5"/>
    <x v="30"/>
    <x v="0"/>
    <x v="0"/>
    <x v="1"/>
    <n v="1.3"/>
    <n v="1.42"/>
    <n v="0.02"/>
    <n v="1.19"/>
  </r>
  <r>
    <x v="9"/>
    <x v="5"/>
    <x v="30"/>
    <x v="4"/>
    <x v="1"/>
    <x v="1"/>
    <n v="1.1599999999999999"/>
    <n v="1.26"/>
    <n v="0.01"/>
    <n v="1.06"/>
  </r>
  <r>
    <x v="9"/>
    <x v="5"/>
    <x v="30"/>
    <x v="4"/>
    <x v="4"/>
    <x v="1"/>
    <n v="1.48"/>
    <n v="1.61"/>
    <n v="0.02"/>
    <n v="1.35"/>
  </r>
  <r>
    <x v="9"/>
    <x v="5"/>
    <x v="30"/>
    <x v="2"/>
    <x v="3"/>
    <x v="3"/>
    <n v="2.68"/>
    <n v="2.91"/>
    <n v="0"/>
    <n v="2.68"/>
  </r>
  <r>
    <x v="9"/>
    <x v="5"/>
    <x v="30"/>
    <x v="2"/>
    <x v="3"/>
    <x v="2"/>
    <n v="0.17"/>
    <n v="0.19"/>
    <n v="0"/>
    <n v="0.21"/>
  </r>
  <r>
    <x v="9"/>
    <x v="5"/>
    <x v="30"/>
    <x v="1"/>
    <x v="4"/>
    <x v="2"/>
    <n v="0.01"/>
    <n v="0.01"/>
    <n v="0"/>
    <n v="0.01"/>
  </r>
  <r>
    <x v="9"/>
    <x v="5"/>
    <x v="30"/>
    <x v="4"/>
    <x v="2"/>
    <x v="2"/>
    <n v="0.39"/>
    <n v="0.42"/>
    <n v="0.01"/>
    <n v="0.45"/>
  </r>
  <r>
    <x v="9"/>
    <x v="5"/>
    <x v="30"/>
    <x v="4"/>
    <x v="1"/>
    <x v="2"/>
    <n v="0.48"/>
    <n v="0.53"/>
    <n v="0.03"/>
    <n v="0.56000000000000005"/>
  </r>
  <r>
    <x v="9"/>
    <x v="5"/>
    <x v="30"/>
    <x v="1"/>
    <x v="4"/>
    <x v="1"/>
    <n v="0.28999999999999998"/>
    <n v="0.32"/>
    <n v="0.01"/>
    <n v="0.28999999999999998"/>
  </r>
  <r>
    <x v="9"/>
    <x v="5"/>
    <x v="30"/>
    <x v="4"/>
    <x v="4"/>
    <x v="2"/>
    <n v="0.49"/>
    <n v="0.53"/>
    <n v="0.04"/>
    <n v="0.56000000000000005"/>
  </r>
  <r>
    <x v="9"/>
    <x v="6"/>
    <x v="31"/>
    <x v="4"/>
    <x v="1"/>
    <x v="0"/>
    <n v="4.03"/>
    <n v="4.03"/>
    <n v="0.43"/>
    <n v="3.44"/>
  </r>
  <r>
    <x v="9"/>
    <x v="6"/>
    <x v="31"/>
    <x v="4"/>
    <x v="4"/>
    <x v="0"/>
    <n v="38.950000000000003"/>
    <n v="38.950000000000003"/>
    <n v="10.06"/>
    <n v="34.409999999999997"/>
  </r>
  <r>
    <x v="9"/>
    <x v="6"/>
    <x v="31"/>
    <x v="3"/>
    <x v="4"/>
    <x v="0"/>
    <n v="6.96"/>
    <n v="6.96"/>
    <n v="1.85"/>
    <n v="6.34"/>
  </r>
  <r>
    <x v="9"/>
    <x v="6"/>
    <x v="31"/>
    <x v="0"/>
    <x v="0"/>
    <x v="0"/>
    <n v="1.82"/>
    <n v="1.82"/>
    <n v="0.95"/>
    <n v="1.61"/>
  </r>
  <r>
    <x v="9"/>
    <x v="6"/>
    <x v="31"/>
    <x v="2"/>
    <x v="3"/>
    <x v="0"/>
    <n v="3.01"/>
    <n v="3.01"/>
    <n v="0.03"/>
    <n v="3.01"/>
  </r>
  <r>
    <x v="9"/>
    <x v="6"/>
    <x v="31"/>
    <x v="1"/>
    <x v="2"/>
    <x v="0"/>
    <n v="1.8"/>
    <n v="1.8"/>
    <n v="0.02"/>
    <n v="1.52"/>
  </r>
  <r>
    <x v="9"/>
    <x v="6"/>
    <x v="31"/>
    <x v="1"/>
    <x v="0"/>
    <x v="1"/>
    <n v="0.52"/>
    <n v="0.52"/>
    <n v="0.01"/>
    <n v="0.45"/>
  </r>
  <r>
    <x v="9"/>
    <x v="6"/>
    <x v="31"/>
    <x v="1"/>
    <x v="1"/>
    <x v="1"/>
    <n v="6.72"/>
    <n v="6.72"/>
    <n v="0.04"/>
    <n v="5.77"/>
  </r>
  <r>
    <x v="9"/>
    <x v="6"/>
    <x v="31"/>
    <x v="0"/>
    <x v="4"/>
    <x v="0"/>
    <n v="23.96"/>
    <n v="23.96"/>
    <n v="4.82"/>
    <n v="21.58"/>
  </r>
  <r>
    <x v="9"/>
    <x v="6"/>
    <x v="31"/>
    <x v="1"/>
    <x v="0"/>
    <x v="0"/>
    <n v="11.89"/>
    <n v="11.89"/>
    <n v="6.07"/>
    <n v="10.54"/>
  </r>
  <r>
    <x v="9"/>
    <x v="6"/>
    <x v="31"/>
    <x v="1"/>
    <x v="1"/>
    <x v="0"/>
    <n v="24.99"/>
    <n v="24.99"/>
    <n v="1.6"/>
    <n v="21.83"/>
  </r>
  <r>
    <x v="9"/>
    <x v="6"/>
    <x v="31"/>
    <x v="2"/>
    <x v="0"/>
    <x v="0"/>
    <n v="6.19"/>
    <n v="6.19"/>
    <n v="3.42"/>
    <n v="5.89"/>
  </r>
  <r>
    <x v="9"/>
    <x v="6"/>
    <x v="31"/>
    <x v="2"/>
    <x v="4"/>
    <x v="0"/>
    <n v="21.99"/>
    <n v="21.99"/>
    <n v="5.09"/>
    <n v="20.09"/>
  </r>
  <r>
    <x v="9"/>
    <x v="6"/>
    <x v="31"/>
    <x v="0"/>
    <x v="4"/>
    <x v="1"/>
    <n v="0.28999999999999998"/>
    <n v="0.28999999999999998"/>
    <n v="0.03"/>
    <n v="0.24"/>
  </r>
  <r>
    <x v="9"/>
    <x v="6"/>
    <x v="31"/>
    <x v="1"/>
    <x v="4"/>
    <x v="1"/>
    <n v="0.82"/>
    <n v="0.82"/>
    <n v="0.02"/>
    <n v="0.72"/>
  </r>
  <r>
    <x v="9"/>
    <x v="6"/>
    <x v="31"/>
    <x v="1"/>
    <x v="4"/>
    <x v="0"/>
    <n v="193.36"/>
    <n v="193.36"/>
    <n v="44.45"/>
    <n v="176.76"/>
  </r>
  <r>
    <x v="9"/>
    <x v="6"/>
    <x v="31"/>
    <x v="4"/>
    <x v="2"/>
    <x v="2"/>
    <n v="0.1"/>
    <n v="0.1"/>
    <n v="0"/>
    <n v="0.08"/>
  </r>
  <r>
    <x v="9"/>
    <x v="6"/>
    <x v="31"/>
    <x v="0"/>
    <x v="0"/>
    <x v="1"/>
    <n v="1.87"/>
    <n v="1.87"/>
    <n v="0.04"/>
    <n v="1.49"/>
  </r>
  <r>
    <x v="9"/>
    <x v="6"/>
    <x v="31"/>
    <x v="1"/>
    <x v="2"/>
    <x v="1"/>
    <n v="16.11"/>
    <n v="16.11"/>
    <n v="0.05"/>
    <n v="13.9"/>
  </r>
  <r>
    <x v="9"/>
    <x v="6"/>
    <x v="31"/>
    <x v="4"/>
    <x v="1"/>
    <x v="2"/>
    <n v="0.48"/>
    <n v="0.48"/>
    <n v="0.05"/>
    <n v="0.39"/>
  </r>
  <r>
    <x v="9"/>
    <x v="6"/>
    <x v="31"/>
    <x v="1"/>
    <x v="1"/>
    <x v="2"/>
    <n v="0.54"/>
    <n v="0.54"/>
    <n v="0.01"/>
    <n v="0.46"/>
  </r>
  <r>
    <x v="9"/>
    <x v="6"/>
    <x v="31"/>
    <x v="2"/>
    <x v="3"/>
    <x v="2"/>
    <n v="0.35"/>
    <n v="0.35"/>
    <n v="0"/>
    <n v="0.34"/>
  </r>
  <r>
    <x v="9"/>
    <x v="6"/>
    <x v="31"/>
    <x v="2"/>
    <x v="3"/>
    <x v="3"/>
    <n v="11.58"/>
    <n v="11.58"/>
    <n v="0.01"/>
    <n v="9.59"/>
  </r>
  <r>
    <x v="9"/>
    <x v="6"/>
    <x v="31"/>
    <x v="4"/>
    <x v="0"/>
    <x v="1"/>
    <n v="0.17"/>
    <n v="0.17"/>
    <n v="0.01"/>
    <n v="0.16"/>
  </r>
  <r>
    <x v="9"/>
    <x v="6"/>
    <x v="31"/>
    <x v="4"/>
    <x v="1"/>
    <x v="1"/>
    <n v="7.0000000000000007E-2"/>
    <n v="7.0000000000000007E-2"/>
    <n v="0"/>
    <n v="7.0000000000000007E-2"/>
  </r>
  <r>
    <x v="9"/>
    <x v="6"/>
    <x v="31"/>
    <x v="4"/>
    <x v="4"/>
    <x v="2"/>
    <n v="0.28999999999999998"/>
    <n v="0.28999999999999998"/>
    <n v="0.02"/>
    <n v="0.23"/>
  </r>
  <r>
    <x v="9"/>
    <x v="9"/>
    <x v="32"/>
    <x v="1"/>
    <x v="4"/>
    <x v="2"/>
    <n v="0"/>
    <n v="0"/>
    <n v="0"/>
    <n v="0"/>
  </r>
  <r>
    <x v="9"/>
    <x v="9"/>
    <x v="32"/>
    <x v="1"/>
    <x v="4"/>
    <x v="1"/>
    <n v="0.05"/>
    <n v="0.1"/>
    <n v="0"/>
    <n v="0.05"/>
  </r>
  <r>
    <x v="9"/>
    <x v="9"/>
    <x v="32"/>
    <x v="4"/>
    <x v="4"/>
    <x v="1"/>
    <n v="0.27"/>
    <n v="0.47"/>
    <n v="0"/>
    <n v="0.24"/>
  </r>
  <r>
    <x v="9"/>
    <x v="9"/>
    <x v="32"/>
    <x v="2"/>
    <x v="3"/>
    <x v="2"/>
    <n v="0.03"/>
    <n v="0.06"/>
    <n v="0"/>
    <n v="0.04"/>
  </r>
  <r>
    <x v="9"/>
    <x v="9"/>
    <x v="32"/>
    <x v="2"/>
    <x v="3"/>
    <x v="3"/>
    <n v="1.23"/>
    <n v="2.19"/>
    <n v="0"/>
    <n v="1.23"/>
  </r>
  <r>
    <x v="9"/>
    <x v="9"/>
    <x v="32"/>
    <x v="4"/>
    <x v="0"/>
    <x v="1"/>
    <n v="0"/>
    <n v="0"/>
    <n v="0"/>
    <n v="0"/>
  </r>
  <r>
    <x v="9"/>
    <x v="9"/>
    <x v="32"/>
    <x v="4"/>
    <x v="1"/>
    <x v="1"/>
    <n v="0.23"/>
    <n v="0.41"/>
    <n v="0"/>
    <n v="0.21"/>
  </r>
  <r>
    <x v="9"/>
    <x v="9"/>
    <x v="32"/>
    <x v="0"/>
    <x v="0"/>
    <x v="1"/>
    <n v="0.23"/>
    <n v="0.42"/>
    <n v="0"/>
    <n v="0.21"/>
  </r>
  <r>
    <x v="9"/>
    <x v="9"/>
    <x v="32"/>
    <x v="4"/>
    <x v="2"/>
    <x v="2"/>
    <n v="0.1"/>
    <n v="0.18"/>
    <n v="0"/>
    <n v="0.12"/>
  </r>
  <r>
    <x v="9"/>
    <x v="9"/>
    <x v="32"/>
    <x v="1"/>
    <x v="0"/>
    <x v="1"/>
    <n v="0.13"/>
    <n v="0.23"/>
    <n v="0"/>
    <n v="0.13"/>
  </r>
  <r>
    <x v="9"/>
    <x v="9"/>
    <x v="32"/>
    <x v="2"/>
    <x v="4"/>
    <x v="0"/>
    <n v="1.56"/>
    <n v="2.77"/>
    <n v="0.24"/>
    <n v="1.45"/>
  </r>
  <r>
    <x v="9"/>
    <x v="9"/>
    <x v="32"/>
    <x v="1"/>
    <x v="1"/>
    <x v="1"/>
    <n v="0.1"/>
    <n v="0.17"/>
    <n v="0"/>
    <n v="0.09"/>
  </r>
  <r>
    <x v="9"/>
    <x v="9"/>
    <x v="32"/>
    <x v="1"/>
    <x v="2"/>
    <x v="1"/>
    <n v="0.36"/>
    <n v="0.64"/>
    <n v="0"/>
    <n v="0.33"/>
  </r>
  <r>
    <x v="9"/>
    <x v="9"/>
    <x v="32"/>
    <x v="0"/>
    <x v="4"/>
    <x v="1"/>
    <n v="0.01"/>
    <n v="0.02"/>
    <n v="0"/>
    <n v="0.01"/>
  </r>
  <r>
    <x v="9"/>
    <x v="9"/>
    <x v="32"/>
    <x v="4"/>
    <x v="1"/>
    <x v="2"/>
    <n v="0.12"/>
    <n v="0.22"/>
    <n v="0.01"/>
    <n v="0.14000000000000001"/>
  </r>
  <r>
    <x v="9"/>
    <x v="9"/>
    <x v="32"/>
    <x v="4"/>
    <x v="4"/>
    <x v="2"/>
    <n v="0.12"/>
    <n v="0.21"/>
    <n v="0.01"/>
    <n v="0.14000000000000001"/>
  </r>
  <r>
    <x v="9"/>
    <x v="9"/>
    <x v="32"/>
    <x v="2"/>
    <x v="3"/>
    <x v="0"/>
    <n v="7.0000000000000007E-2"/>
    <n v="0.12"/>
    <n v="0.05"/>
    <n v="7.0000000000000007E-2"/>
  </r>
  <r>
    <x v="9"/>
    <x v="9"/>
    <x v="32"/>
    <x v="3"/>
    <x v="0"/>
    <x v="0"/>
    <n v="0.65"/>
    <n v="1.1499999999999999"/>
    <n v="0.15"/>
    <n v="0.63"/>
  </r>
  <r>
    <x v="9"/>
    <x v="9"/>
    <x v="32"/>
    <x v="3"/>
    <x v="1"/>
    <x v="0"/>
    <n v="0"/>
    <n v="0.01"/>
    <n v="0"/>
    <n v="0"/>
  </r>
  <r>
    <x v="9"/>
    <x v="9"/>
    <x v="32"/>
    <x v="4"/>
    <x v="4"/>
    <x v="0"/>
    <n v="20.39"/>
    <n v="36.25"/>
    <n v="2.35"/>
    <n v="18.71"/>
  </r>
  <r>
    <x v="9"/>
    <x v="9"/>
    <x v="32"/>
    <x v="4"/>
    <x v="1"/>
    <x v="0"/>
    <n v="2.36"/>
    <n v="4.1900000000000004"/>
    <n v="0.11"/>
    <n v="2.1800000000000002"/>
  </r>
  <r>
    <x v="9"/>
    <x v="9"/>
    <x v="32"/>
    <x v="2"/>
    <x v="0"/>
    <x v="0"/>
    <n v="0.63"/>
    <n v="1.1200000000000001"/>
    <n v="0.4"/>
    <n v="0.59"/>
  </r>
  <r>
    <x v="9"/>
    <x v="9"/>
    <x v="32"/>
    <x v="1"/>
    <x v="1"/>
    <x v="0"/>
    <n v="12.97"/>
    <n v="23.06"/>
    <n v="0.93"/>
    <n v="11.84"/>
  </r>
  <r>
    <x v="9"/>
    <x v="9"/>
    <x v="32"/>
    <x v="1"/>
    <x v="4"/>
    <x v="0"/>
    <n v="86.91"/>
    <n v="154.47999999999999"/>
    <n v="21.05"/>
    <n v="79.260000000000005"/>
  </r>
  <r>
    <x v="9"/>
    <x v="9"/>
    <x v="32"/>
    <x v="1"/>
    <x v="0"/>
    <x v="0"/>
    <n v="4.9800000000000004"/>
    <n v="8.86"/>
    <n v="3.04"/>
    <n v="4.5999999999999996"/>
  </r>
  <r>
    <x v="9"/>
    <x v="9"/>
    <x v="32"/>
    <x v="0"/>
    <x v="4"/>
    <x v="0"/>
    <n v="5.66"/>
    <n v="10.06"/>
    <n v="1.59"/>
    <n v="5.19"/>
  </r>
  <r>
    <x v="9"/>
    <x v="9"/>
    <x v="32"/>
    <x v="0"/>
    <x v="0"/>
    <x v="0"/>
    <n v="1.08"/>
    <n v="1.92"/>
    <n v="0.57999999999999996"/>
    <n v="0.98"/>
  </r>
  <r>
    <x v="9"/>
    <x v="9"/>
    <x v="32"/>
    <x v="2"/>
    <x v="3"/>
    <x v="1"/>
    <n v="0.03"/>
    <n v="0.05"/>
    <n v="0"/>
    <n v="0.03"/>
  </r>
  <r>
    <x v="9"/>
    <x v="9"/>
    <x v="32"/>
    <x v="3"/>
    <x v="4"/>
    <x v="0"/>
    <n v="5.0599999999999996"/>
    <n v="9"/>
    <n v="1.1399999999999999"/>
    <n v="4.6900000000000004"/>
  </r>
  <r>
    <x v="9"/>
    <x v="0"/>
    <x v="33"/>
    <x v="3"/>
    <x v="0"/>
    <x v="0"/>
    <n v="0.27"/>
    <n v="0.27"/>
    <n v="0.23"/>
    <n v="0.27"/>
  </r>
  <r>
    <x v="9"/>
    <x v="0"/>
    <x v="33"/>
    <x v="2"/>
    <x v="4"/>
    <x v="0"/>
    <n v="7.52"/>
    <n v="7.52"/>
    <n v="2.06"/>
    <n v="7.26"/>
  </r>
  <r>
    <x v="9"/>
    <x v="0"/>
    <x v="33"/>
    <x v="2"/>
    <x v="0"/>
    <x v="0"/>
    <n v="8.6199999999999992"/>
    <n v="8.6199999999999992"/>
    <n v="5.79"/>
    <n v="8.2200000000000006"/>
  </r>
  <r>
    <x v="9"/>
    <x v="0"/>
    <x v="33"/>
    <x v="1"/>
    <x v="2"/>
    <x v="0"/>
    <n v="2.04"/>
    <n v="2.04"/>
    <n v="0.03"/>
    <n v="1.97"/>
  </r>
  <r>
    <x v="9"/>
    <x v="0"/>
    <x v="33"/>
    <x v="1"/>
    <x v="1"/>
    <x v="0"/>
    <n v="14.19"/>
    <n v="14.19"/>
    <n v="1.43"/>
    <n v="13.53"/>
  </r>
  <r>
    <x v="9"/>
    <x v="0"/>
    <x v="33"/>
    <x v="1"/>
    <x v="4"/>
    <x v="0"/>
    <n v="112.65"/>
    <n v="112.65"/>
    <n v="34.369999999999997"/>
    <n v="107.73"/>
  </r>
  <r>
    <x v="9"/>
    <x v="0"/>
    <x v="33"/>
    <x v="1"/>
    <x v="0"/>
    <x v="0"/>
    <n v="4.71"/>
    <n v="4.71"/>
    <n v="2.88"/>
    <n v="4.5"/>
  </r>
  <r>
    <x v="9"/>
    <x v="0"/>
    <x v="33"/>
    <x v="0"/>
    <x v="4"/>
    <x v="0"/>
    <n v="12.24"/>
    <n v="12.24"/>
    <n v="2.65"/>
    <n v="11.73"/>
  </r>
  <r>
    <x v="9"/>
    <x v="0"/>
    <x v="33"/>
    <x v="0"/>
    <x v="0"/>
    <x v="0"/>
    <n v="3.13"/>
    <n v="3.13"/>
    <n v="2.54"/>
    <n v="2.93"/>
  </r>
  <r>
    <x v="9"/>
    <x v="0"/>
    <x v="33"/>
    <x v="4"/>
    <x v="1"/>
    <x v="0"/>
    <n v="19.149999999999999"/>
    <n v="19.149999999999999"/>
    <n v="1.88"/>
    <n v="18.09"/>
  </r>
  <r>
    <x v="9"/>
    <x v="0"/>
    <x v="33"/>
    <x v="4"/>
    <x v="4"/>
    <x v="0"/>
    <n v="28.59"/>
    <n v="28.59"/>
    <n v="6.86"/>
    <n v="27.05"/>
  </r>
  <r>
    <x v="9"/>
    <x v="0"/>
    <x v="33"/>
    <x v="4"/>
    <x v="0"/>
    <x v="0"/>
    <n v="0.8"/>
    <n v="0.8"/>
    <n v="0.1"/>
    <n v="0.76"/>
  </r>
  <r>
    <x v="9"/>
    <x v="0"/>
    <x v="33"/>
    <x v="1"/>
    <x v="4"/>
    <x v="2"/>
    <n v="0.08"/>
    <n v="0.08"/>
    <n v="0"/>
    <n v="0.08"/>
  </r>
  <r>
    <x v="9"/>
    <x v="0"/>
    <x v="33"/>
    <x v="3"/>
    <x v="4"/>
    <x v="0"/>
    <n v="0.95"/>
    <n v="0.95"/>
    <n v="0.4"/>
    <n v="0.93"/>
  </r>
  <r>
    <x v="9"/>
    <x v="0"/>
    <x v="33"/>
    <x v="4"/>
    <x v="4"/>
    <x v="2"/>
    <n v="0.1"/>
    <n v="0.1"/>
    <n v="0"/>
    <n v="0.1"/>
  </r>
  <r>
    <x v="9"/>
    <x v="0"/>
    <x v="33"/>
    <x v="2"/>
    <x v="3"/>
    <x v="1"/>
    <n v="0.02"/>
    <n v="0.02"/>
    <n v="0"/>
    <n v="0.02"/>
  </r>
  <r>
    <x v="9"/>
    <x v="0"/>
    <x v="33"/>
    <x v="1"/>
    <x v="2"/>
    <x v="1"/>
    <n v="2.5099999999999998"/>
    <n v="2.5099999999999998"/>
    <n v="0.01"/>
    <n v="2.4"/>
  </r>
  <r>
    <x v="9"/>
    <x v="0"/>
    <x v="33"/>
    <x v="1"/>
    <x v="1"/>
    <x v="1"/>
    <n v="0.98"/>
    <n v="0.98"/>
    <n v="0.03"/>
    <n v="0.95"/>
  </r>
  <r>
    <x v="9"/>
    <x v="0"/>
    <x v="33"/>
    <x v="1"/>
    <x v="4"/>
    <x v="1"/>
    <n v="0.04"/>
    <n v="0.04"/>
    <n v="0"/>
    <n v="0.03"/>
  </r>
  <r>
    <x v="9"/>
    <x v="0"/>
    <x v="33"/>
    <x v="1"/>
    <x v="0"/>
    <x v="1"/>
    <n v="0.05"/>
    <n v="0.05"/>
    <n v="0"/>
    <n v="0.04"/>
  </r>
  <r>
    <x v="9"/>
    <x v="0"/>
    <x v="33"/>
    <x v="0"/>
    <x v="0"/>
    <x v="1"/>
    <n v="0.93"/>
    <n v="0.93"/>
    <n v="0.02"/>
    <n v="0.89"/>
  </r>
  <r>
    <x v="9"/>
    <x v="0"/>
    <x v="33"/>
    <x v="4"/>
    <x v="4"/>
    <x v="1"/>
    <n v="0.09"/>
    <n v="0.09"/>
    <n v="0.01"/>
    <n v="0.08"/>
  </r>
  <r>
    <x v="9"/>
    <x v="0"/>
    <x v="33"/>
    <x v="4"/>
    <x v="0"/>
    <x v="1"/>
    <n v="0.33"/>
    <n v="0.33"/>
    <n v="0.02"/>
    <n v="0.31"/>
  </r>
  <r>
    <x v="9"/>
    <x v="0"/>
    <x v="33"/>
    <x v="4"/>
    <x v="1"/>
    <x v="1"/>
    <n v="0.03"/>
    <n v="0.03"/>
    <n v="0"/>
    <n v="0.03"/>
  </r>
  <r>
    <x v="9"/>
    <x v="0"/>
    <x v="33"/>
    <x v="2"/>
    <x v="3"/>
    <x v="3"/>
    <n v="7.07"/>
    <n v="7.07"/>
    <n v="0"/>
    <n v="6.54"/>
  </r>
  <r>
    <x v="9"/>
    <x v="0"/>
    <x v="33"/>
    <x v="4"/>
    <x v="2"/>
    <x v="2"/>
    <n v="0.34"/>
    <n v="0.34"/>
    <n v="0.01"/>
    <n v="0.33"/>
  </r>
  <r>
    <x v="9"/>
    <x v="0"/>
    <x v="33"/>
    <x v="4"/>
    <x v="1"/>
    <x v="2"/>
    <n v="0.05"/>
    <n v="0.05"/>
    <n v="0"/>
    <n v="0.05"/>
  </r>
  <r>
    <x v="9"/>
    <x v="0"/>
    <x v="33"/>
    <x v="3"/>
    <x v="1"/>
    <x v="0"/>
    <n v="0.02"/>
    <n v="0.02"/>
    <n v="0"/>
    <n v="0.02"/>
  </r>
  <r>
    <x v="9"/>
    <x v="0"/>
    <x v="33"/>
    <x v="0"/>
    <x v="4"/>
    <x v="1"/>
    <n v="0.17"/>
    <n v="0.17"/>
    <n v="0.02"/>
    <n v="0.17"/>
  </r>
  <r>
    <x v="9"/>
    <x v="7"/>
    <x v="34"/>
    <x v="4"/>
    <x v="2"/>
    <x v="2"/>
    <n v="0.94"/>
    <n v="0.98"/>
    <n v="0.01"/>
    <n v="0.88"/>
  </r>
  <r>
    <x v="9"/>
    <x v="7"/>
    <x v="34"/>
    <x v="1"/>
    <x v="2"/>
    <x v="0"/>
    <n v="3.48"/>
    <n v="3.63"/>
    <n v="0.04"/>
    <n v="3.19"/>
  </r>
  <r>
    <x v="9"/>
    <x v="7"/>
    <x v="34"/>
    <x v="2"/>
    <x v="3"/>
    <x v="0"/>
    <n v="3.33"/>
    <n v="3.47"/>
    <n v="0.02"/>
    <n v="3.33"/>
  </r>
  <r>
    <x v="9"/>
    <x v="7"/>
    <x v="34"/>
    <x v="2"/>
    <x v="4"/>
    <x v="0"/>
    <n v="12.34"/>
    <n v="12.88"/>
    <n v="2.4700000000000002"/>
    <n v="11.89"/>
  </r>
  <r>
    <x v="9"/>
    <x v="7"/>
    <x v="34"/>
    <x v="2"/>
    <x v="0"/>
    <x v="0"/>
    <n v="8.34"/>
    <n v="8.7100000000000009"/>
    <n v="5.62"/>
    <n v="8.0399999999999991"/>
  </r>
  <r>
    <x v="9"/>
    <x v="7"/>
    <x v="34"/>
    <x v="4"/>
    <x v="1"/>
    <x v="2"/>
    <n v="1.2"/>
    <n v="1.26"/>
    <n v="0.02"/>
    <n v="1.1299999999999999"/>
  </r>
  <r>
    <x v="9"/>
    <x v="7"/>
    <x v="34"/>
    <x v="1"/>
    <x v="4"/>
    <x v="2"/>
    <n v="0.09"/>
    <n v="0.1"/>
    <n v="0.02"/>
    <n v="0.09"/>
  </r>
  <r>
    <x v="9"/>
    <x v="7"/>
    <x v="34"/>
    <x v="2"/>
    <x v="3"/>
    <x v="2"/>
    <n v="7.09"/>
    <n v="7.4"/>
    <n v="0"/>
    <n v="6.87"/>
  </r>
  <r>
    <x v="9"/>
    <x v="7"/>
    <x v="34"/>
    <x v="2"/>
    <x v="3"/>
    <x v="3"/>
    <n v="8.51"/>
    <n v="8.8800000000000008"/>
    <n v="0.01"/>
    <n v="8.5"/>
  </r>
  <r>
    <x v="9"/>
    <x v="7"/>
    <x v="34"/>
    <x v="4"/>
    <x v="0"/>
    <x v="1"/>
    <n v="0.03"/>
    <n v="0.03"/>
    <n v="0"/>
    <n v="0.03"/>
  </r>
  <r>
    <x v="9"/>
    <x v="7"/>
    <x v="34"/>
    <x v="4"/>
    <x v="4"/>
    <x v="1"/>
    <n v="1.51"/>
    <n v="1.58"/>
    <n v="0.03"/>
    <n v="1.39"/>
  </r>
  <r>
    <x v="9"/>
    <x v="7"/>
    <x v="34"/>
    <x v="4"/>
    <x v="1"/>
    <x v="1"/>
    <n v="1.55"/>
    <n v="1.62"/>
    <n v="0.01"/>
    <n v="1.43"/>
  </r>
  <r>
    <x v="9"/>
    <x v="7"/>
    <x v="34"/>
    <x v="0"/>
    <x v="0"/>
    <x v="1"/>
    <n v="1.6"/>
    <n v="1.67"/>
    <n v="0.04"/>
    <n v="1.47"/>
  </r>
  <r>
    <x v="9"/>
    <x v="7"/>
    <x v="34"/>
    <x v="0"/>
    <x v="4"/>
    <x v="1"/>
    <n v="0.26"/>
    <n v="0.27"/>
    <n v="0.03"/>
    <n v="0.24"/>
  </r>
  <r>
    <x v="9"/>
    <x v="7"/>
    <x v="34"/>
    <x v="0"/>
    <x v="0"/>
    <x v="0"/>
    <n v="11.78"/>
    <n v="12.3"/>
    <n v="4.95"/>
    <n v="10.73"/>
  </r>
  <r>
    <x v="9"/>
    <x v="7"/>
    <x v="34"/>
    <x v="1"/>
    <x v="1"/>
    <x v="0"/>
    <n v="43.25"/>
    <n v="45.17"/>
    <n v="2.13"/>
    <n v="40.14"/>
  </r>
  <r>
    <x v="9"/>
    <x v="7"/>
    <x v="34"/>
    <x v="4"/>
    <x v="4"/>
    <x v="2"/>
    <n v="1.28"/>
    <n v="1.33"/>
    <n v="0.04"/>
    <n v="1.23"/>
  </r>
  <r>
    <x v="9"/>
    <x v="7"/>
    <x v="34"/>
    <x v="1"/>
    <x v="0"/>
    <x v="1"/>
    <n v="0.75"/>
    <n v="0.78"/>
    <n v="0.03"/>
    <n v="0.72"/>
  </r>
  <r>
    <x v="9"/>
    <x v="7"/>
    <x v="34"/>
    <x v="1"/>
    <x v="0"/>
    <x v="0"/>
    <n v="12.11"/>
    <n v="12.65"/>
    <n v="7.74"/>
    <n v="11.5"/>
  </r>
  <r>
    <x v="9"/>
    <x v="7"/>
    <x v="34"/>
    <x v="0"/>
    <x v="4"/>
    <x v="0"/>
    <n v="48.28"/>
    <n v="50.42"/>
    <n v="11.37"/>
    <n v="45.11"/>
  </r>
  <r>
    <x v="9"/>
    <x v="7"/>
    <x v="34"/>
    <x v="1"/>
    <x v="4"/>
    <x v="0"/>
    <n v="239.86"/>
    <n v="250.48"/>
    <n v="42.88"/>
    <n v="223.66"/>
  </r>
  <r>
    <x v="9"/>
    <x v="7"/>
    <x v="34"/>
    <x v="4"/>
    <x v="1"/>
    <x v="0"/>
    <n v="17.559999999999999"/>
    <n v="18.329999999999998"/>
    <n v="0.98"/>
    <n v="16.47"/>
  </r>
  <r>
    <x v="9"/>
    <x v="7"/>
    <x v="34"/>
    <x v="1"/>
    <x v="2"/>
    <x v="1"/>
    <n v="9.14"/>
    <n v="9.5399999999999991"/>
    <n v="0.04"/>
    <n v="8.5"/>
  </r>
  <r>
    <x v="9"/>
    <x v="7"/>
    <x v="34"/>
    <x v="3"/>
    <x v="1"/>
    <x v="0"/>
    <n v="0.23"/>
    <n v="0.24"/>
    <n v="0.02"/>
    <n v="0.23"/>
  </r>
  <r>
    <x v="9"/>
    <x v="7"/>
    <x v="34"/>
    <x v="3"/>
    <x v="4"/>
    <x v="0"/>
    <n v="16.59"/>
    <n v="17.32"/>
    <n v="3.87"/>
    <n v="15.68"/>
  </r>
  <r>
    <x v="9"/>
    <x v="7"/>
    <x v="34"/>
    <x v="3"/>
    <x v="0"/>
    <x v="0"/>
    <n v="5.0199999999999996"/>
    <n v="5.24"/>
    <n v="0.95"/>
    <n v="4.96"/>
  </r>
  <r>
    <x v="9"/>
    <x v="7"/>
    <x v="34"/>
    <x v="2"/>
    <x v="3"/>
    <x v="1"/>
    <n v="0.77"/>
    <n v="0.8"/>
    <n v="0.01"/>
    <n v="0.7"/>
  </r>
  <r>
    <x v="9"/>
    <x v="7"/>
    <x v="34"/>
    <x v="4"/>
    <x v="4"/>
    <x v="0"/>
    <n v="91.05"/>
    <n v="95.08"/>
    <n v="14.57"/>
    <n v="85.23"/>
  </r>
  <r>
    <x v="9"/>
    <x v="7"/>
    <x v="34"/>
    <x v="1"/>
    <x v="1"/>
    <x v="1"/>
    <n v="7.6"/>
    <n v="7.94"/>
    <n v="0.08"/>
    <n v="7.12"/>
  </r>
  <r>
    <x v="9"/>
    <x v="7"/>
    <x v="34"/>
    <x v="1"/>
    <x v="4"/>
    <x v="1"/>
    <n v="0.22"/>
    <n v="0.23"/>
    <n v="0.01"/>
    <n v="0.22"/>
  </r>
  <r>
    <x v="9"/>
    <x v="10"/>
    <x v="35"/>
    <x v="4"/>
    <x v="4"/>
    <x v="0"/>
    <n v="28.58"/>
    <n v="29.85"/>
    <n v="4.57"/>
    <n v="26.76"/>
  </r>
  <r>
    <x v="9"/>
    <x v="10"/>
    <x v="35"/>
    <x v="4"/>
    <x v="1"/>
    <x v="0"/>
    <n v="5.52"/>
    <n v="5.76"/>
    <n v="0.31"/>
    <n v="5.17"/>
  </r>
  <r>
    <x v="9"/>
    <x v="10"/>
    <x v="35"/>
    <x v="0"/>
    <x v="0"/>
    <x v="0"/>
    <n v="3.71"/>
    <n v="3.87"/>
    <n v="1.56"/>
    <n v="3.37"/>
  </r>
  <r>
    <x v="9"/>
    <x v="10"/>
    <x v="35"/>
    <x v="0"/>
    <x v="4"/>
    <x v="0"/>
    <n v="15.19"/>
    <n v="15.86"/>
    <n v="3.57"/>
    <n v="14.19"/>
  </r>
  <r>
    <x v="9"/>
    <x v="10"/>
    <x v="35"/>
    <x v="1"/>
    <x v="0"/>
    <x v="1"/>
    <n v="0.18"/>
    <n v="0.19"/>
    <n v="0.01"/>
    <n v="0.17"/>
  </r>
  <r>
    <x v="9"/>
    <x v="10"/>
    <x v="35"/>
    <x v="1"/>
    <x v="4"/>
    <x v="0"/>
    <n v="75.31"/>
    <n v="78.64"/>
    <n v="13.46"/>
    <n v="70.22"/>
  </r>
  <r>
    <x v="9"/>
    <x v="10"/>
    <x v="35"/>
    <x v="3"/>
    <x v="1"/>
    <x v="0"/>
    <n v="7.0000000000000007E-2"/>
    <n v="0.08"/>
    <n v="0.01"/>
    <n v="7.0000000000000007E-2"/>
  </r>
  <r>
    <x v="9"/>
    <x v="10"/>
    <x v="35"/>
    <x v="0"/>
    <x v="4"/>
    <x v="1"/>
    <n v="0.06"/>
    <n v="0.06"/>
    <n v="0.01"/>
    <n v="0.06"/>
  </r>
  <r>
    <x v="9"/>
    <x v="10"/>
    <x v="35"/>
    <x v="1"/>
    <x v="0"/>
    <x v="0"/>
    <n v="3.8"/>
    <n v="3.97"/>
    <n v="2.4300000000000002"/>
    <n v="3.61"/>
  </r>
  <r>
    <x v="9"/>
    <x v="10"/>
    <x v="35"/>
    <x v="4"/>
    <x v="4"/>
    <x v="2"/>
    <n v="0.34"/>
    <n v="0.35"/>
    <n v="0.01"/>
    <n v="0.32"/>
  </r>
  <r>
    <x v="9"/>
    <x v="10"/>
    <x v="35"/>
    <x v="3"/>
    <x v="4"/>
    <x v="0"/>
    <n v="5.22"/>
    <n v="5.46"/>
    <n v="1.22"/>
    <n v="4.9400000000000004"/>
  </r>
  <r>
    <x v="9"/>
    <x v="10"/>
    <x v="35"/>
    <x v="3"/>
    <x v="0"/>
    <x v="0"/>
    <n v="1.58"/>
    <n v="1.65"/>
    <n v="0.3"/>
    <n v="1.56"/>
  </r>
  <r>
    <x v="9"/>
    <x v="10"/>
    <x v="35"/>
    <x v="2"/>
    <x v="3"/>
    <x v="1"/>
    <n v="0.19"/>
    <n v="0.19"/>
    <n v="0"/>
    <n v="0.17"/>
  </r>
  <r>
    <x v="9"/>
    <x v="10"/>
    <x v="35"/>
    <x v="1"/>
    <x v="2"/>
    <x v="1"/>
    <n v="2.19"/>
    <n v="2.29"/>
    <n v="0.01"/>
    <n v="2.04"/>
  </r>
  <r>
    <x v="9"/>
    <x v="10"/>
    <x v="35"/>
    <x v="1"/>
    <x v="4"/>
    <x v="1"/>
    <n v="0.05"/>
    <n v="0.06"/>
    <n v="0"/>
    <n v="0.05"/>
  </r>
  <r>
    <x v="9"/>
    <x v="10"/>
    <x v="35"/>
    <x v="2"/>
    <x v="4"/>
    <x v="0"/>
    <n v="4.21"/>
    <n v="4.4000000000000004"/>
    <n v="0.84"/>
    <n v="4.0599999999999996"/>
  </r>
  <r>
    <x v="9"/>
    <x v="10"/>
    <x v="35"/>
    <x v="0"/>
    <x v="0"/>
    <x v="1"/>
    <n v="0.38"/>
    <n v="0.4"/>
    <n v="0.01"/>
    <n v="0.35"/>
  </r>
  <r>
    <x v="9"/>
    <x v="10"/>
    <x v="35"/>
    <x v="2"/>
    <x v="3"/>
    <x v="2"/>
    <n v="1.83"/>
    <n v="1.91"/>
    <n v="0"/>
    <n v="1.77"/>
  </r>
  <r>
    <x v="9"/>
    <x v="10"/>
    <x v="35"/>
    <x v="1"/>
    <x v="1"/>
    <x v="1"/>
    <n v="1.83"/>
    <n v="1.91"/>
    <n v="0.02"/>
    <n v="1.71"/>
  </r>
  <r>
    <x v="9"/>
    <x v="10"/>
    <x v="35"/>
    <x v="1"/>
    <x v="4"/>
    <x v="2"/>
    <n v="0.03"/>
    <n v="0.03"/>
    <n v="0.01"/>
    <n v="0.02"/>
  </r>
  <r>
    <x v="9"/>
    <x v="10"/>
    <x v="35"/>
    <x v="2"/>
    <x v="0"/>
    <x v="0"/>
    <n v="2.85"/>
    <n v="2.98"/>
    <n v="1.92"/>
    <n v="2.75"/>
  </r>
  <r>
    <x v="9"/>
    <x v="10"/>
    <x v="35"/>
    <x v="1"/>
    <x v="2"/>
    <x v="0"/>
    <n v="1.0900000000000001"/>
    <n v="1.1399999999999999"/>
    <n v="0.01"/>
    <n v="1"/>
  </r>
  <r>
    <x v="9"/>
    <x v="10"/>
    <x v="35"/>
    <x v="4"/>
    <x v="0"/>
    <x v="1"/>
    <n v="0.01"/>
    <n v="0.01"/>
    <n v="0"/>
    <n v="0.01"/>
  </r>
  <r>
    <x v="9"/>
    <x v="10"/>
    <x v="35"/>
    <x v="4"/>
    <x v="1"/>
    <x v="1"/>
    <n v="0.37"/>
    <n v="0.39"/>
    <n v="0"/>
    <n v="0.34"/>
  </r>
  <r>
    <x v="9"/>
    <x v="10"/>
    <x v="35"/>
    <x v="4"/>
    <x v="1"/>
    <x v="2"/>
    <n v="0.32"/>
    <n v="0.33"/>
    <n v="0"/>
    <n v="0.3"/>
  </r>
  <r>
    <x v="9"/>
    <x v="10"/>
    <x v="35"/>
    <x v="4"/>
    <x v="2"/>
    <x v="2"/>
    <n v="0.25"/>
    <n v="0.26"/>
    <n v="0"/>
    <n v="0.23"/>
  </r>
  <r>
    <x v="9"/>
    <x v="10"/>
    <x v="35"/>
    <x v="1"/>
    <x v="1"/>
    <x v="0"/>
    <n v="13.59"/>
    <n v="14.19"/>
    <n v="0.67"/>
    <n v="12.61"/>
  </r>
  <r>
    <x v="9"/>
    <x v="10"/>
    <x v="35"/>
    <x v="2"/>
    <x v="3"/>
    <x v="3"/>
    <n v="4.17"/>
    <n v="4.3499999999999996"/>
    <n v="0.01"/>
    <n v="4.17"/>
  </r>
  <r>
    <x v="9"/>
    <x v="10"/>
    <x v="35"/>
    <x v="4"/>
    <x v="4"/>
    <x v="1"/>
    <n v="0.36"/>
    <n v="0.38"/>
    <n v="0.01"/>
    <n v="0.33"/>
  </r>
  <r>
    <x v="9"/>
    <x v="10"/>
    <x v="35"/>
    <x v="2"/>
    <x v="3"/>
    <x v="0"/>
    <n v="3.75"/>
    <n v="3.92"/>
    <n v="0.02"/>
    <n v="3.75"/>
  </r>
  <r>
    <x v="9"/>
    <x v="2"/>
    <x v="36"/>
    <x v="1"/>
    <x v="0"/>
    <x v="0"/>
    <n v="1.75"/>
    <n v="1.91"/>
    <n v="0.72"/>
    <n v="1.66"/>
  </r>
  <r>
    <x v="9"/>
    <x v="2"/>
    <x v="36"/>
    <x v="1"/>
    <x v="2"/>
    <x v="1"/>
    <n v="1.97"/>
    <n v="2.15"/>
    <n v="0"/>
    <n v="1.81"/>
  </r>
  <r>
    <x v="9"/>
    <x v="2"/>
    <x v="36"/>
    <x v="0"/>
    <x v="0"/>
    <x v="1"/>
    <n v="0.5"/>
    <n v="0.54"/>
    <n v="0.01"/>
    <n v="0.44"/>
  </r>
  <r>
    <x v="9"/>
    <x v="2"/>
    <x v="36"/>
    <x v="2"/>
    <x v="3"/>
    <x v="1"/>
    <n v="0.27"/>
    <n v="0.28999999999999998"/>
    <n v="0"/>
    <n v="0.24"/>
  </r>
  <r>
    <x v="9"/>
    <x v="2"/>
    <x v="36"/>
    <x v="0"/>
    <x v="4"/>
    <x v="1"/>
    <n v="7.0000000000000007E-2"/>
    <n v="7.0000000000000007E-2"/>
    <n v="0.01"/>
    <n v="0.06"/>
  </r>
  <r>
    <x v="9"/>
    <x v="2"/>
    <x v="36"/>
    <x v="0"/>
    <x v="4"/>
    <x v="0"/>
    <n v="2.73"/>
    <n v="2.97"/>
    <n v="0.54"/>
    <n v="2.56"/>
  </r>
  <r>
    <x v="9"/>
    <x v="2"/>
    <x v="36"/>
    <x v="1"/>
    <x v="4"/>
    <x v="1"/>
    <n v="0.13"/>
    <n v="0.14000000000000001"/>
    <n v="0"/>
    <n v="0.13"/>
  </r>
  <r>
    <x v="9"/>
    <x v="2"/>
    <x v="36"/>
    <x v="4"/>
    <x v="1"/>
    <x v="0"/>
    <n v="1.23"/>
    <n v="1.34"/>
    <n v="0.06"/>
    <n v="1.1599999999999999"/>
  </r>
  <r>
    <x v="9"/>
    <x v="2"/>
    <x v="36"/>
    <x v="3"/>
    <x v="0"/>
    <x v="0"/>
    <n v="0.65"/>
    <n v="0.71"/>
    <n v="0.18"/>
    <n v="0.65"/>
  </r>
  <r>
    <x v="9"/>
    <x v="2"/>
    <x v="36"/>
    <x v="4"/>
    <x v="1"/>
    <x v="1"/>
    <n v="0.11"/>
    <n v="0.12"/>
    <n v="0"/>
    <n v="0.1"/>
  </r>
  <r>
    <x v="9"/>
    <x v="2"/>
    <x v="36"/>
    <x v="3"/>
    <x v="4"/>
    <x v="0"/>
    <n v="2.59"/>
    <n v="2.82"/>
    <n v="0.49"/>
    <n v="2.4700000000000002"/>
  </r>
  <r>
    <x v="9"/>
    <x v="2"/>
    <x v="36"/>
    <x v="3"/>
    <x v="1"/>
    <x v="0"/>
    <n v="0.1"/>
    <n v="0.11"/>
    <n v="0.01"/>
    <n v="0.1"/>
  </r>
  <r>
    <x v="9"/>
    <x v="2"/>
    <x v="36"/>
    <x v="0"/>
    <x v="0"/>
    <x v="0"/>
    <n v="0.79"/>
    <n v="0.86"/>
    <n v="0.31"/>
    <n v="0.73"/>
  </r>
  <r>
    <x v="9"/>
    <x v="2"/>
    <x v="36"/>
    <x v="4"/>
    <x v="4"/>
    <x v="0"/>
    <n v="10.19"/>
    <n v="11.1"/>
    <n v="0.93"/>
    <n v="9.61"/>
  </r>
  <r>
    <x v="9"/>
    <x v="2"/>
    <x v="36"/>
    <x v="1"/>
    <x v="0"/>
    <x v="1"/>
    <n v="0.48"/>
    <n v="0.52"/>
    <n v="0.01"/>
    <n v="0.46"/>
  </r>
  <r>
    <x v="9"/>
    <x v="2"/>
    <x v="36"/>
    <x v="4"/>
    <x v="0"/>
    <x v="1"/>
    <n v="0.04"/>
    <n v="0.04"/>
    <n v="0"/>
    <n v="0.04"/>
  </r>
  <r>
    <x v="9"/>
    <x v="2"/>
    <x v="36"/>
    <x v="1"/>
    <x v="1"/>
    <x v="1"/>
    <n v="1.53"/>
    <n v="1.66"/>
    <n v="0.01"/>
    <n v="1.42"/>
  </r>
  <r>
    <x v="9"/>
    <x v="2"/>
    <x v="36"/>
    <x v="2"/>
    <x v="3"/>
    <x v="3"/>
    <n v="4.0199999999999996"/>
    <n v="4.37"/>
    <n v="0"/>
    <n v="4.0199999999999996"/>
  </r>
  <r>
    <x v="9"/>
    <x v="2"/>
    <x v="36"/>
    <x v="2"/>
    <x v="3"/>
    <x v="2"/>
    <n v="0.23"/>
    <n v="0.25"/>
    <n v="0"/>
    <n v="0.21"/>
  </r>
  <r>
    <x v="9"/>
    <x v="2"/>
    <x v="36"/>
    <x v="1"/>
    <x v="1"/>
    <x v="2"/>
    <n v="0.11"/>
    <n v="0.12"/>
    <n v="0"/>
    <n v="0.1"/>
  </r>
  <r>
    <x v="9"/>
    <x v="2"/>
    <x v="36"/>
    <x v="1"/>
    <x v="4"/>
    <x v="2"/>
    <n v="0.1"/>
    <n v="0.11"/>
    <n v="0"/>
    <n v="0.08"/>
  </r>
  <r>
    <x v="9"/>
    <x v="2"/>
    <x v="36"/>
    <x v="4"/>
    <x v="2"/>
    <x v="2"/>
    <n v="0.12"/>
    <n v="0.13"/>
    <n v="0"/>
    <n v="0.1"/>
  </r>
  <r>
    <x v="9"/>
    <x v="2"/>
    <x v="36"/>
    <x v="2"/>
    <x v="3"/>
    <x v="0"/>
    <n v="15.89"/>
    <n v="17.3"/>
    <n v="0.13"/>
    <n v="15.89"/>
  </r>
  <r>
    <x v="9"/>
    <x v="2"/>
    <x v="36"/>
    <x v="4"/>
    <x v="4"/>
    <x v="2"/>
    <n v="0.18"/>
    <n v="0.2"/>
    <n v="0"/>
    <n v="0.16"/>
  </r>
  <r>
    <x v="9"/>
    <x v="2"/>
    <x v="36"/>
    <x v="4"/>
    <x v="4"/>
    <x v="1"/>
    <n v="0.33"/>
    <n v="0.36"/>
    <n v="0"/>
    <n v="0.28999999999999998"/>
  </r>
  <r>
    <x v="9"/>
    <x v="2"/>
    <x v="36"/>
    <x v="1"/>
    <x v="4"/>
    <x v="0"/>
    <n v="24.23"/>
    <n v="26.37"/>
    <n v="3.4"/>
    <n v="22.66"/>
  </r>
  <r>
    <x v="9"/>
    <x v="2"/>
    <x v="36"/>
    <x v="1"/>
    <x v="1"/>
    <x v="0"/>
    <n v="3.59"/>
    <n v="3.91"/>
    <n v="0.18"/>
    <n v="3.37"/>
  </r>
  <r>
    <x v="9"/>
    <x v="2"/>
    <x v="36"/>
    <x v="1"/>
    <x v="2"/>
    <x v="0"/>
    <n v="0.68"/>
    <n v="0.74"/>
    <n v="0"/>
    <n v="0.62"/>
  </r>
  <r>
    <x v="9"/>
    <x v="2"/>
    <x v="36"/>
    <x v="2"/>
    <x v="0"/>
    <x v="0"/>
    <n v="1.43"/>
    <n v="1.56"/>
    <n v="0.49"/>
    <n v="1.36"/>
  </r>
  <r>
    <x v="9"/>
    <x v="2"/>
    <x v="36"/>
    <x v="2"/>
    <x v="4"/>
    <x v="0"/>
    <n v="1.1399999999999999"/>
    <n v="1.24"/>
    <n v="0.11"/>
    <n v="1.08"/>
  </r>
  <r>
    <x v="9"/>
    <x v="2"/>
    <x v="36"/>
    <x v="4"/>
    <x v="1"/>
    <x v="2"/>
    <n v="7.0000000000000007E-2"/>
    <n v="7.0000000000000007E-2"/>
    <n v="0"/>
    <n v="0.06"/>
  </r>
  <r>
    <x v="9"/>
    <x v="9"/>
    <x v="37"/>
    <x v="1"/>
    <x v="0"/>
    <x v="0"/>
    <n v="49.32"/>
    <n v="87.66"/>
    <n v="18.61"/>
    <n v="49.39"/>
  </r>
  <r>
    <x v="9"/>
    <x v="9"/>
    <x v="37"/>
    <x v="2"/>
    <x v="3"/>
    <x v="1"/>
    <n v="0.76"/>
    <n v="1.36"/>
    <n v="0.01"/>
    <n v="0.7"/>
  </r>
  <r>
    <x v="9"/>
    <x v="9"/>
    <x v="37"/>
    <x v="2"/>
    <x v="3"/>
    <x v="0"/>
    <n v="1.03"/>
    <n v="1.83"/>
    <n v="0.01"/>
    <n v="1.03"/>
  </r>
  <r>
    <x v="9"/>
    <x v="9"/>
    <x v="37"/>
    <x v="2"/>
    <x v="4"/>
    <x v="0"/>
    <n v="9.16"/>
    <n v="16.28"/>
    <n v="1.71"/>
    <n v="8.7200000000000006"/>
  </r>
  <r>
    <x v="9"/>
    <x v="9"/>
    <x v="37"/>
    <x v="2"/>
    <x v="0"/>
    <x v="0"/>
    <n v="9.2100000000000009"/>
    <n v="16.38"/>
    <n v="6.82"/>
    <n v="8.8000000000000007"/>
  </r>
  <r>
    <x v="9"/>
    <x v="9"/>
    <x v="37"/>
    <x v="1"/>
    <x v="2"/>
    <x v="0"/>
    <n v="6.37"/>
    <n v="11.31"/>
    <n v="0.08"/>
    <n v="5.85"/>
  </r>
  <r>
    <x v="9"/>
    <x v="9"/>
    <x v="37"/>
    <x v="1"/>
    <x v="1"/>
    <x v="0"/>
    <n v="44.13"/>
    <n v="78.44"/>
    <n v="2.5099999999999998"/>
    <n v="41.61"/>
  </r>
  <r>
    <x v="9"/>
    <x v="9"/>
    <x v="37"/>
    <x v="1"/>
    <x v="4"/>
    <x v="0"/>
    <n v="318.63"/>
    <n v="566.30999999999995"/>
    <n v="60.63"/>
    <n v="304.10000000000002"/>
  </r>
  <r>
    <x v="9"/>
    <x v="9"/>
    <x v="37"/>
    <x v="0"/>
    <x v="4"/>
    <x v="0"/>
    <n v="54.04"/>
    <n v="96.05"/>
    <n v="15.17"/>
    <n v="50.41"/>
  </r>
  <r>
    <x v="9"/>
    <x v="9"/>
    <x v="37"/>
    <x v="4"/>
    <x v="1"/>
    <x v="0"/>
    <n v="17.93"/>
    <n v="31.87"/>
    <n v="1.1399999999999999"/>
    <n v="17"/>
  </r>
  <r>
    <x v="9"/>
    <x v="9"/>
    <x v="37"/>
    <x v="4"/>
    <x v="4"/>
    <x v="0"/>
    <n v="204.34"/>
    <n v="363.19"/>
    <n v="23.55"/>
    <n v="192.49"/>
  </r>
  <r>
    <x v="9"/>
    <x v="9"/>
    <x v="37"/>
    <x v="3"/>
    <x v="1"/>
    <x v="0"/>
    <n v="0.02"/>
    <n v="0.04"/>
    <n v="0"/>
    <n v="0.02"/>
  </r>
  <r>
    <x v="9"/>
    <x v="9"/>
    <x v="37"/>
    <x v="0"/>
    <x v="0"/>
    <x v="0"/>
    <n v="8.32"/>
    <n v="14.79"/>
    <n v="4.74"/>
    <n v="7.71"/>
  </r>
  <r>
    <x v="9"/>
    <x v="9"/>
    <x v="37"/>
    <x v="3"/>
    <x v="0"/>
    <x v="0"/>
    <n v="0.61"/>
    <n v="1.08"/>
    <n v="0.14000000000000001"/>
    <n v="0.61"/>
  </r>
  <r>
    <x v="9"/>
    <x v="9"/>
    <x v="37"/>
    <x v="4"/>
    <x v="4"/>
    <x v="2"/>
    <n v="0.05"/>
    <n v="0.08"/>
    <n v="0"/>
    <n v="0.03"/>
  </r>
  <r>
    <x v="9"/>
    <x v="9"/>
    <x v="37"/>
    <x v="1"/>
    <x v="2"/>
    <x v="1"/>
    <n v="4.79"/>
    <n v="8.51"/>
    <n v="0.02"/>
    <n v="4.42"/>
  </r>
  <r>
    <x v="9"/>
    <x v="9"/>
    <x v="37"/>
    <x v="1"/>
    <x v="1"/>
    <x v="1"/>
    <n v="7.85"/>
    <n v="13.95"/>
    <n v="7.0000000000000007E-2"/>
    <n v="7.25"/>
  </r>
  <r>
    <x v="9"/>
    <x v="9"/>
    <x v="37"/>
    <x v="1"/>
    <x v="4"/>
    <x v="1"/>
    <n v="1.22"/>
    <n v="2.16"/>
    <n v="0.03"/>
    <n v="1.21"/>
  </r>
  <r>
    <x v="9"/>
    <x v="9"/>
    <x v="37"/>
    <x v="1"/>
    <x v="0"/>
    <x v="1"/>
    <n v="0.68"/>
    <n v="1.21"/>
    <n v="0.02"/>
    <n v="0.63"/>
  </r>
  <r>
    <x v="9"/>
    <x v="9"/>
    <x v="37"/>
    <x v="0"/>
    <x v="4"/>
    <x v="1"/>
    <n v="0.72"/>
    <n v="1.28"/>
    <n v="0.09"/>
    <n v="0.66"/>
  </r>
  <r>
    <x v="9"/>
    <x v="9"/>
    <x v="37"/>
    <x v="0"/>
    <x v="0"/>
    <x v="1"/>
    <n v="7.62"/>
    <n v="13.54"/>
    <n v="0.13"/>
    <n v="7"/>
  </r>
  <r>
    <x v="9"/>
    <x v="9"/>
    <x v="37"/>
    <x v="4"/>
    <x v="1"/>
    <x v="1"/>
    <n v="4.82"/>
    <n v="8.56"/>
    <n v="0.03"/>
    <n v="4.4400000000000004"/>
  </r>
  <r>
    <x v="9"/>
    <x v="9"/>
    <x v="37"/>
    <x v="4"/>
    <x v="4"/>
    <x v="1"/>
    <n v="8.3699999999999992"/>
    <n v="14.88"/>
    <n v="0.1"/>
    <n v="7.72"/>
  </r>
  <r>
    <x v="9"/>
    <x v="9"/>
    <x v="37"/>
    <x v="4"/>
    <x v="0"/>
    <x v="1"/>
    <n v="0.09"/>
    <n v="0.15"/>
    <n v="0.01"/>
    <n v="0.08"/>
  </r>
  <r>
    <x v="9"/>
    <x v="9"/>
    <x v="37"/>
    <x v="2"/>
    <x v="3"/>
    <x v="3"/>
    <n v="4.33"/>
    <n v="7.69"/>
    <n v="0"/>
    <n v="4.33"/>
  </r>
  <r>
    <x v="9"/>
    <x v="9"/>
    <x v="37"/>
    <x v="2"/>
    <x v="3"/>
    <x v="2"/>
    <n v="1.85"/>
    <n v="3.29"/>
    <n v="0"/>
    <n v="1.36"/>
  </r>
  <r>
    <x v="9"/>
    <x v="9"/>
    <x v="37"/>
    <x v="1"/>
    <x v="4"/>
    <x v="2"/>
    <n v="0.02"/>
    <n v="0.04"/>
    <n v="0"/>
    <n v="0.02"/>
  </r>
  <r>
    <x v="9"/>
    <x v="9"/>
    <x v="37"/>
    <x v="3"/>
    <x v="4"/>
    <x v="0"/>
    <n v="21.55"/>
    <n v="38.299999999999997"/>
    <n v="4.7699999999999996"/>
    <n v="20.67"/>
  </r>
  <r>
    <x v="9"/>
    <x v="7"/>
    <x v="38"/>
    <x v="4"/>
    <x v="1"/>
    <x v="0"/>
    <n v="2.23"/>
    <n v="2.23"/>
    <n v="0.13"/>
    <n v="2.1"/>
  </r>
  <r>
    <x v="9"/>
    <x v="7"/>
    <x v="38"/>
    <x v="4"/>
    <x v="2"/>
    <x v="2"/>
    <n v="0.14000000000000001"/>
    <n v="0.14000000000000001"/>
    <n v="0"/>
    <n v="0.14000000000000001"/>
  </r>
  <r>
    <x v="9"/>
    <x v="7"/>
    <x v="38"/>
    <x v="0"/>
    <x v="4"/>
    <x v="0"/>
    <n v="6.07"/>
    <n v="6.07"/>
    <n v="1.5"/>
    <n v="5.67"/>
  </r>
  <r>
    <x v="9"/>
    <x v="7"/>
    <x v="38"/>
    <x v="2"/>
    <x v="3"/>
    <x v="0"/>
    <n v="3.44"/>
    <n v="3.44"/>
    <n v="0.02"/>
    <n v="3.44"/>
  </r>
  <r>
    <x v="9"/>
    <x v="7"/>
    <x v="38"/>
    <x v="1"/>
    <x v="0"/>
    <x v="1"/>
    <n v="0.12"/>
    <n v="0.12"/>
    <n v="0.01"/>
    <n v="0.12"/>
  </r>
  <r>
    <x v="9"/>
    <x v="7"/>
    <x v="38"/>
    <x v="0"/>
    <x v="4"/>
    <x v="1"/>
    <n v="0.05"/>
    <n v="0.05"/>
    <n v="0"/>
    <n v="0.04"/>
  </r>
  <r>
    <x v="9"/>
    <x v="7"/>
    <x v="38"/>
    <x v="0"/>
    <x v="0"/>
    <x v="1"/>
    <n v="0.26"/>
    <n v="0.26"/>
    <n v="0.01"/>
    <n v="0.24"/>
  </r>
  <r>
    <x v="9"/>
    <x v="7"/>
    <x v="38"/>
    <x v="4"/>
    <x v="1"/>
    <x v="1"/>
    <n v="0.25"/>
    <n v="0.25"/>
    <n v="0"/>
    <n v="0.23"/>
  </r>
  <r>
    <x v="9"/>
    <x v="7"/>
    <x v="38"/>
    <x v="4"/>
    <x v="4"/>
    <x v="1"/>
    <n v="0.24"/>
    <n v="0.24"/>
    <n v="0"/>
    <n v="0.23"/>
  </r>
  <r>
    <x v="9"/>
    <x v="7"/>
    <x v="38"/>
    <x v="4"/>
    <x v="0"/>
    <x v="1"/>
    <n v="0"/>
    <n v="0"/>
    <n v="0"/>
    <n v="0"/>
  </r>
  <r>
    <x v="9"/>
    <x v="7"/>
    <x v="38"/>
    <x v="2"/>
    <x v="3"/>
    <x v="3"/>
    <n v="0.77"/>
    <n v="0.77"/>
    <n v="0"/>
    <n v="0.77"/>
  </r>
  <r>
    <x v="9"/>
    <x v="7"/>
    <x v="38"/>
    <x v="1"/>
    <x v="4"/>
    <x v="2"/>
    <n v="0.01"/>
    <n v="0.01"/>
    <n v="0"/>
    <n v="0.01"/>
  </r>
  <r>
    <x v="9"/>
    <x v="7"/>
    <x v="38"/>
    <x v="4"/>
    <x v="1"/>
    <x v="2"/>
    <n v="0.19"/>
    <n v="0.19"/>
    <n v="0"/>
    <n v="0.17"/>
  </r>
  <r>
    <x v="9"/>
    <x v="7"/>
    <x v="38"/>
    <x v="1"/>
    <x v="4"/>
    <x v="1"/>
    <n v="0.04"/>
    <n v="0.04"/>
    <n v="0"/>
    <n v="0.04"/>
  </r>
  <r>
    <x v="9"/>
    <x v="7"/>
    <x v="38"/>
    <x v="1"/>
    <x v="1"/>
    <x v="1"/>
    <n v="1.24"/>
    <n v="1.24"/>
    <n v="0.01"/>
    <n v="1.1599999999999999"/>
  </r>
  <r>
    <x v="9"/>
    <x v="7"/>
    <x v="38"/>
    <x v="1"/>
    <x v="4"/>
    <x v="0"/>
    <n v="30.39"/>
    <n v="30.39"/>
    <n v="5.71"/>
    <n v="28.34"/>
  </r>
  <r>
    <x v="9"/>
    <x v="7"/>
    <x v="38"/>
    <x v="2"/>
    <x v="4"/>
    <x v="0"/>
    <n v="1.91"/>
    <n v="1.91"/>
    <n v="0.4"/>
    <n v="1.84"/>
  </r>
  <r>
    <x v="9"/>
    <x v="7"/>
    <x v="38"/>
    <x v="2"/>
    <x v="0"/>
    <x v="0"/>
    <n v="1.29"/>
    <n v="1.29"/>
    <n v="0.92"/>
    <n v="1.25"/>
  </r>
  <r>
    <x v="9"/>
    <x v="7"/>
    <x v="38"/>
    <x v="2"/>
    <x v="3"/>
    <x v="2"/>
    <n v="1.0900000000000001"/>
    <n v="1.0900000000000001"/>
    <n v="0"/>
    <n v="1.05"/>
  </r>
  <r>
    <x v="9"/>
    <x v="7"/>
    <x v="38"/>
    <x v="1"/>
    <x v="1"/>
    <x v="0"/>
    <n v="5.5"/>
    <n v="5.5"/>
    <n v="0.28999999999999998"/>
    <n v="5.1100000000000003"/>
  </r>
  <r>
    <x v="9"/>
    <x v="7"/>
    <x v="38"/>
    <x v="1"/>
    <x v="2"/>
    <x v="1"/>
    <n v="1.48"/>
    <n v="1.48"/>
    <n v="0.01"/>
    <n v="1.38"/>
  </r>
  <r>
    <x v="9"/>
    <x v="7"/>
    <x v="38"/>
    <x v="1"/>
    <x v="0"/>
    <x v="0"/>
    <n v="1.53"/>
    <n v="1.53"/>
    <n v="1.03"/>
    <n v="1.46"/>
  </r>
  <r>
    <x v="9"/>
    <x v="7"/>
    <x v="38"/>
    <x v="0"/>
    <x v="0"/>
    <x v="0"/>
    <n v="1.48"/>
    <n v="1.48"/>
    <n v="0.65"/>
    <n v="1.35"/>
  </r>
  <r>
    <x v="9"/>
    <x v="7"/>
    <x v="38"/>
    <x v="2"/>
    <x v="3"/>
    <x v="1"/>
    <n v="0.14000000000000001"/>
    <n v="0.14000000000000001"/>
    <n v="0"/>
    <n v="0.13"/>
  </r>
  <r>
    <x v="9"/>
    <x v="7"/>
    <x v="38"/>
    <x v="4"/>
    <x v="4"/>
    <x v="0"/>
    <n v="11.53"/>
    <n v="11.53"/>
    <n v="1.94"/>
    <n v="10.79"/>
  </r>
  <r>
    <x v="9"/>
    <x v="7"/>
    <x v="38"/>
    <x v="3"/>
    <x v="1"/>
    <x v="0"/>
    <n v="0.03"/>
    <n v="0.03"/>
    <n v="0"/>
    <n v="0.03"/>
  </r>
  <r>
    <x v="9"/>
    <x v="7"/>
    <x v="38"/>
    <x v="3"/>
    <x v="4"/>
    <x v="0"/>
    <n v="2.15"/>
    <n v="2.15"/>
    <n v="0.53"/>
    <n v="2.0299999999999998"/>
  </r>
  <r>
    <x v="9"/>
    <x v="7"/>
    <x v="38"/>
    <x v="3"/>
    <x v="0"/>
    <x v="0"/>
    <n v="0.65"/>
    <n v="0.65"/>
    <n v="0.13"/>
    <n v="0.64"/>
  </r>
  <r>
    <x v="9"/>
    <x v="7"/>
    <x v="38"/>
    <x v="4"/>
    <x v="4"/>
    <x v="2"/>
    <n v="0.2"/>
    <n v="0.2"/>
    <n v="0.01"/>
    <n v="0.19"/>
  </r>
  <r>
    <x v="9"/>
    <x v="7"/>
    <x v="38"/>
    <x v="1"/>
    <x v="2"/>
    <x v="0"/>
    <n v="0.44"/>
    <n v="0.44"/>
    <n v="0"/>
    <n v="0.41"/>
  </r>
  <r>
    <x v="9"/>
    <x v="1"/>
    <x v="39"/>
    <x v="4"/>
    <x v="4"/>
    <x v="1"/>
    <n v="0.28000000000000003"/>
    <n v="0.3"/>
    <n v="0.02"/>
    <n v="0.23"/>
  </r>
  <r>
    <x v="9"/>
    <x v="1"/>
    <x v="39"/>
    <x v="4"/>
    <x v="0"/>
    <x v="1"/>
    <n v="0.16"/>
    <n v="0.17"/>
    <n v="0.03"/>
    <n v="0.13"/>
  </r>
  <r>
    <x v="9"/>
    <x v="1"/>
    <x v="39"/>
    <x v="2"/>
    <x v="3"/>
    <x v="3"/>
    <n v="2.5499999999999998"/>
    <n v="2.7"/>
    <n v="0"/>
    <n v="2.3199999999999998"/>
  </r>
  <r>
    <x v="9"/>
    <x v="1"/>
    <x v="39"/>
    <x v="2"/>
    <x v="3"/>
    <x v="2"/>
    <n v="0.72"/>
    <n v="0.76"/>
    <n v="0"/>
    <n v="0.72"/>
  </r>
  <r>
    <x v="9"/>
    <x v="1"/>
    <x v="39"/>
    <x v="1"/>
    <x v="1"/>
    <x v="2"/>
    <n v="0.34"/>
    <n v="0.36"/>
    <n v="0.01"/>
    <n v="0.34"/>
  </r>
  <r>
    <x v="9"/>
    <x v="1"/>
    <x v="39"/>
    <x v="4"/>
    <x v="4"/>
    <x v="2"/>
    <n v="0.11"/>
    <n v="0.12"/>
    <n v="0.02"/>
    <n v="0.1"/>
  </r>
  <r>
    <x v="9"/>
    <x v="1"/>
    <x v="39"/>
    <x v="3"/>
    <x v="1"/>
    <x v="0"/>
    <n v="0.28999999999999998"/>
    <n v="0.31"/>
    <n v="0.02"/>
    <n v="0.28999999999999998"/>
  </r>
  <r>
    <x v="9"/>
    <x v="1"/>
    <x v="39"/>
    <x v="4"/>
    <x v="1"/>
    <x v="1"/>
    <n v="0.19"/>
    <n v="0.21"/>
    <n v="0.01"/>
    <n v="0.16"/>
  </r>
  <r>
    <x v="9"/>
    <x v="1"/>
    <x v="39"/>
    <x v="4"/>
    <x v="1"/>
    <x v="2"/>
    <n v="0.06"/>
    <n v="7.0000000000000007E-2"/>
    <n v="0.01"/>
    <n v="0.06"/>
  </r>
  <r>
    <x v="9"/>
    <x v="1"/>
    <x v="39"/>
    <x v="4"/>
    <x v="1"/>
    <x v="0"/>
    <n v="4.63"/>
    <n v="4.8899999999999997"/>
    <n v="0.19"/>
    <n v="4.1399999999999997"/>
  </r>
  <r>
    <x v="9"/>
    <x v="1"/>
    <x v="39"/>
    <x v="2"/>
    <x v="3"/>
    <x v="0"/>
    <n v="0.3"/>
    <n v="0.31"/>
    <n v="0"/>
    <n v="0.3"/>
  </r>
  <r>
    <x v="9"/>
    <x v="1"/>
    <x v="39"/>
    <x v="2"/>
    <x v="4"/>
    <x v="0"/>
    <n v="2.85"/>
    <n v="3.01"/>
    <n v="0.61"/>
    <n v="2.56"/>
  </r>
  <r>
    <x v="9"/>
    <x v="1"/>
    <x v="39"/>
    <x v="2"/>
    <x v="0"/>
    <x v="0"/>
    <n v="3.3"/>
    <n v="3.48"/>
    <n v="2.46"/>
    <n v="3.03"/>
  </r>
  <r>
    <x v="9"/>
    <x v="1"/>
    <x v="39"/>
    <x v="1"/>
    <x v="2"/>
    <x v="0"/>
    <n v="11.62"/>
    <n v="12.27"/>
    <n v="0.06"/>
    <n v="9.7200000000000006"/>
  </r>
  <r>
    <x v="9"/>
    <x v="1"/>
    <x v="39"/>
    <x v="1"/>
    <x v="1"/>
    <x v="0"/>
    <n v="36.479999999999997"/>
    <n v="38.54"/>
    <n v="1.61"/>
    <n v="31.89"/>
  </r>
  <r>
    <x v="9"/>
    <x v="1"/>
    <x v="39"/>
    <x v="1"/>
    <x v="4"/>
    <x v="0"/>
    <n v="203.78"/>
    <n v="215.25"/>
    <n v="32.82"/>
    <n v="178.69"/>
  </r>
  <r>
    <x v="9"/>
    <x v="1"/>
    <x v="39"/>
    <x v="1"/>
    <x v="0"/>
    <x v="0"/>
    <n v="8.5500000000000007"/>
    <n v="9.0299999999999994"/>
    <n v="4.6500000000000004"/>
    <n v="8.02"/>
  </r>
  <r>
    <x v="9"/>
    <x v="1"/>
    <x v="39"/>
    <x v="3"/>
    <x v="0"/>
    <x v="0"/>
    <n v="3.97"/>
    <n v="4.1900000000000004"/>
    <n v="1.31"/>
    <n v="3.97"/>
  </r>
  <r>
    <x v="9"/>
    <x v="1"/>
    <x v="39"/>
    <x v="0"/>
    <x v="0"/>
    <x v="0"/>
    <n v="1.95"/>
    <n v="2.06"/>
    <n v="1.05"/>
    <n v="1.73"/>
  </r>
  <r>
    <x v="9"/>
    <x v="1"/>
    <x v="39"/>
    <x v="0"/>
    <x v="0"/>
    <x v="1"/>
    <n v="0.65"/>
    <n v="0.69"/>
    <n v="0.03"/>
    <n v="0.54"/>
  </r>
  <r>
    <x v="9"/>
    <x v="1"/>
    <x v="39"/>
    <x v="4"/>
    <x v="4"/>
    <x v="0"/>
    <n v="61.54"/>
    <n v="65"/>
    <n v="8.76"/>
    <n v="54.59"/>
  </r>
  <r>
    <x v="9"/>
    <x v="1"/>
    <x v="39"/>
    <x v="3"/>
    <x v="4"/>
    <x v="0"/>
    <n v="46.35"/>
    <n v="48.96"/>
    <n v="8.25"/>
    <n v="43.64"/>
  </r>
  <r>
    <x v="9"/>
    <x v="1"/>
    <x v="39"/>
    <x v="2"/>
    <x v="3"/>
    <x v="1"/>
    <n v="3.75"/>
    <n v="3.96"/>
    <n v="0"/>
    <n v="3.34"/>
  </r>
  <r>
    <x v="9"/>
    <x v="1"/>
    <x v="39"/>
    <x v="1"/>
    <x v="2"/>
    <x v="1"/>
    <n v="3.24"/>
    <n v="3.43"/>
    <n v="0.02"/>
    <n v="2.7"/>
  </r>
  <r>
    <x v="9"/>
    <x v="1"/>
    <x v="39"/>
    <x v="1"/>
    <x v="1"/>
    <x v="1"/>
    <n v="3.82"/>
    <n v="4.03"/>
    <n v="0.05"/>
    <n v="3.21"/>
  </r>
  <r>
    <x v="9"/>
    <x v="1"/>
    <x v="39"/>
    <x v="1"/>
    <x v="4"/>
    <x v="1"/>
    <n v="0.61"/>
    <n v="0.65"/>
    <n v="0.03"/>
    <n v="0.51"/>
  </r>
  <r>
    <x v="9"/>
    <x v="1"/>
    <x v="39"/>
    <x v="1"/>
    <x v="0"/>
    <x v="1"/>
    <n v="0.68"/>
    <n v="0.72"/>
    <n v="0.04"/>
    <n v="0.59"/>
  </r>
  <r>
    <x v="9"/>
    <x v="1"/>
    <x v="39"/>
    <x v="0"/>
    <x v="4"/>
    <x v="1"/>
    <n v="0.1"/>
    <n v="0.1"/>
    <n v="0.02"/>
    <n v="0.08"/>
  </r>
  <r>
    <x v="9"/>
    <x v="1"/>
    <x v="39"/>
    <x v="0"/>
    <x v="4"/>
    <x v="0"/>
    <n v="24.96"/>
    <n v="26.37"/>
    <n v="2.1"/>
    <n v="22.22"/>
  </r>
  <r>
    <x v="9"/>
    <x v="10"/>
    <x v="40"/>
    <x v="3"/>
    <x v="0"/>
    <x v="0"/>
    <n v="3.11"/>
    <n v="3.94"/>
    <n v="0.51"/>
    <n v="3.09"/>
  </r>
  <r>
    <x v="9"/>
    <x v="10"/>
    <x v="40"/>
    <x v="3"/>
    <x v="1"/>
    <x v="0"/>
    <n v="0.06"/>
    <n v="0.08"/>
    <n v="0.01"/>
    <n v="0.06"/>
  </r>
  <r>
    <x v="9"/>
    <x v="10"/>
    <x v="40"/>
    <x v="2"/>
    <x v="3"/>
    <x v="3"/>
    <n v="15.76"/>
    <n v="19.93"/>
    <n v="0.01"/>
    <n v="15.75"/>
  </r>
  <r>
    <x v="9"/>
    <x v="10"/>
    <x v="40"/>
    <x v="4"/>
    <x v="0"/>
    <x v="1"/>
    <n v="0.02"/>
    <n v="0.03"/>
    <n v="0"/>
    <n v="0.02"/>
  </r>
  <r>
    <x v="9"/>
    <x v="10"/>
    <x v="40"/>
    <x v="2"/>
    <x v="3"/>
    <x v="0"/>
    <n v="0.08"/>
    <n v="0.1"/>
    <n v="0.02"/>
    <n v="0.08"/>
  </r>
  <r>
    <x v="9"/>
    <x v="10"/>
    <x v="40"/>
    <x v="2"/>
    <x v="4"/>
    <x v="0"/>
    <n v="1.93"/>
    <n v="2.44"/>
    <n v="0.46"/>
    <n v="1.9"/>
  </r>
  <r>
    <x v="9"/>
    <x v="10"/>
    <x v="40"/>
    <x v="2"/>
    <x v="0"/>
    <x v="0"/>
    <n v="1.1599999999999999"/>
    <n v="1.47"/>
    <n v="1.08"/>
    <n v="1.1200000000000001"/>
  </r>
  <r>
    <x v="9"/>
    <x v="10"/>
    <x v="40"/>
    <x v="1"/>
    <x v="2"/>
    <x v="0"/>
    <n v="1.91"/>
    <n v="2.42"/>
    <n v="0.01"/>
    <n v="1.78"/>
  </r>
  <r>
    <x v="9"/>
    <x v="10"/>
    <x v="40"/>
    <x v="1"/>
    <x v="1"/>
    <x v="0"/>
    <n v="11.24"/>
    <n v="14.21"/>
    <n v="1.33"/>
    <n v="10.54"/>
  </r>
  <r>
    <x v="9"/>
    <x v="10"/>
    <x v="40"/>
    <x v="1"/>
    <x v="4"/>
    <x v="0"/>
    <n v="127.18"/>
    <n v="160.85"/>
    <n v="25.13"/>
    <n v="119.32"/>
  </r>
  <r>
    <x v="9"/>
    <x v="10"/>
    <x v="40"/>
    <x v="1"/>
    <x v="0"/>
    <x v="0"/>
    <n v="7.75"/>
    <n v="9.8000000000000007"/>
    <n v="4.83"/>
    <n v="7.34"/>
  </r>
  <r>
    <x v="9"/>
    <x v="10"/>
    <x v="40"/>
    <x v="0"/>
    <x v="4"/>
    <x v="0"/>
    <n v="12.12"/>
    <n v="15.33"/>
    <n v="2.68"/>
    <n v="11.25"/>
  </r>
  <r>
    <x v="9"/>
    <x v="10"/>
    <x v="40"/>
    <x v="0"/>
    <x v="0"/>
    <x v="0"/>
    <n v="3.22"/>
    <n v="4.07"/>
    <n v="1.32"/>
    <n v="2.94"/>
  </r>
  <r>
    <x v="9"/>
    <x v="10"/>
    <x v="40"/>
    <x v="1"/>
    <x v="2"/>
    <x v="1"/>
    <n v="5.45"/>
    <n v="6.89"/>
    <n v="0.02"/>
    <n v="5.05"/>
  </r>
  <r>
    <x v="9"/>
    <x v="10"/>
    <x v="40"/>
    <x v="4"/>
    <x v="4"/>
    <x v="0"/>
    <n v="34.79"/>
    <n v="44"/>
    <n v="4.87"/>
    <n v="33.17"/>
  </r>
  <r>
    <x v="9"/>
    <x v="10"/>
    <x v="40"/>
    <x v="4"/>
    <x v="4"/>
    <x v="2"/>
    <n v="0.05"/>
    <n v="0.06"/>
    <n v="0"/>
    <n v="0.03"/>
  </r>
  <r>
    <x v="9"/>
    <x v="10"/>
    <x v="40"/>
    <x v="3"/>
    <x v="4"/>
    <x v="0"/>
    <n v="3.14"/>
    <n v="3.98"/>
    <n v="0.86"/>
    <n v="3.06"/>
  </r>
  <r>
    <x v="9"/>
    <x v="10"/>
    <x v="40"/>
    <x v="4"/>
    <x v="1"/>
    <x v="2"/>
    <n v="0.16"/>
    <n v="0.21"/>
    <n v="0"/>
    <n v="0.09"/>
  </r>
  <r>
    <x v="9"/>
    <x v="10"/>
    <x v="40"/>
    <x v="2"/>
    <x v="3"/>
    <x v="1"/>
    <n v="0.9"/>
    <n v="1.1399999999999999"/>
    <n v="0.01"/>
    <n v="0.83"/>
  </r>
  <r>
    <x v="9"/>
    <x v="10"/>
    <x v="40"/>
    <x v="1"/>
    <x v="1"/>
    <x v="1"/>
    <n v="2.59"/>
    <n v="3.28"/>
    <n v="0.02"/>
    <n v="2.41"/>
  </r>
  <r>
    <x v="9"/>
    <x v="10"/>
    <x v="40"/>
    <x v="1"/>
    <x v="4"/>
    <x v="1"/>
    <n v="0.21"/>
    <n v="0.26"/>
    <n v="0.01"/>
    <n v="0.21"/>
  </r>
  <r>
    <x v="9"/>
    <x v="10"/>
    <x v="40"/>
    <x v="1"/>
    <x v="0"/>
    <x v="1"/>
    <n v="1.57"/>
    <n v="1.98"/>
    <n v="0.06"/>
    <n v="1.54"/>
  </r>
  <r>
    <x v="9"/>
    <x v="10"/>
    <x v="40"/>
    <x v="0"/>
    <x v="4"/>
    <x v="1"/>
    <n v="0.16"/>
    <n v="0.2"/>
    <n v="0.02"/>
    <n v="0.14000000000000001"/>
  </r>
  <r>
    <x v="9"/>
    <x v="10"/>
    <x v="40"/>
    <x v="0"/>
    <x v="0"/>
    <x v="1"/>
    <n v="1.52"/>
    <n v="1.92"/>
    <n v="0.04"/>
    <n v="1.39"/>
  </r>
  <r>
    <x v="9"/>
    <x v="10"/>
    <x v="40"/>
    <x v="4"/>
    <x v="1"/>
    <x v="1"/>
    <n v="0.65"/>
    <n v="0.82"/>
    <n v="0"/>
    <n v="0.6"/>
  </r>
  <r>
    <x v="9"/>
    <x v="10"/>
    <x v="40"/>
    <x v="4"/>
    <x v="4"/>
    <x v="1"/>
    <n v="1.92"/>
    <n v="2.4300000000000002"/>
    <n v="0.03"/>
    <n v="1.76"/>
  </r>
  <r>
    <x v="9"/>
    <x v="10"/>
    <x v="40"/>
    <x v="2"/>
    <x v="3"/>
    <x v="2"/>
    <n v="8.27"/>
    <n v="10.46"/>
    <n v="0"/>
    <n v="4.83"/>
  </r>
  <r>
    <x v="9"/>
    <x v="10"/>
    <x v="40"/>
    <x v="4"/>
    <x v="2"/>
    <x v="2"/>
    <n v="0.53"/>
    <n v="0.67"/>
    <n v="0"/>
    <n v="0.3"/>
  </r>
  <r>
    <x v="9"/>
    <x v="10"/>
    <x v="40"/>
    <x v="4"/>
    <x v="1"/>
    <x v="0"/>
    <n v="6.47"/>
    <n v="8.18"/>
    <n v="0.33"/>
    <n v="6.16"/>
  </r>
  <r>
    <x v="9"/>
    <x v="10"/>
    <x v="40"/>
    <x v="1"/>
    <x v="4"/>
    <x v="2"/>
    <n v="0.26"/>
    <n v="0.33"/>
    <n v="0"/>
    <n v="0.15"/>
  </r>
  <r>
    <x v="9"/>
    <x v="1"/>
    <x v="41"/>
    <x v="4"/>
    <x v="1"/>
    <x v="1"/>
    <n v="0.78"/>
    <n v="0.76"/>
    <n v="0.06"/>
    <n v="0.66"/>
  </r>
  <r>
    <x v="9"/>
    <x v="1"/>
    <x v="41"/>
    <x v="4"/>
    <x v="4"/>
    <x v="2"/>
    <n v="0.46"/>
    <n v="0.45"/>
    <n v="7.0000000000000007E-2"/>
    <n v="0.39"/>
  </r>
  <r>
    <x v="9"/>
    <x v="1"/>
    <x v="41"/>
    <x v="4"/>
    <x v="1"/>
    <x v="2"/>
    <n v="3.96"/>
    <n v="3.86"/>
    <n v="0.23"/>
    <n v="3.41"/>
  </r>
  <r>
    <x v="9"/>
    <x v="1"/>
    <x v="41"/>
    <x v="1"/>
    <x v="1"/>
    <x v="2"/>
    <n v="0.85"/>
    <n v="0.83"/>
    <n v="0.02"/>
    <n v="0.73"/>
  </r>
  <r>
    <x v="9"/>
    <x v="1"/>
    <x v="41"/>
    <x v="2"/>
    <x v="3"/>
    <x v="2"/>
    <n v="27.97"/>
    <n v="27.25"/>
    <n v="7.0000000000000007E-2"/>
    <n v="27.69"/>
  </r>
  <r>
    <x v="9"/>
    <x v="1"/>
    <x v="41"/>
    <x v="2"/>
    <x v="3"/>
    <x v="3"/>
    <n v="14.09"/>
    <n v="13.73"/>
    <n v="0.01"/>
    <n v="14.09"/>
  </r>
  <r>
    <x v="9"/>
    <x v="1"/>
    <x v="41"/>
    <x v="4"/>
    <x v="4"/>
    <x v="1"/>
    <n v="0.77"/>
    <n v="0.75"/>
    <n v="0.04"/>
    <n v="0.65"/>
  </r>
  <r>
    <x v="9"/>
    <x v="1"/>
    <x v="41"/>
    <x v="0"/>
    <x v="0"/>
    <x v="1"/>
    <n v="2.99"/>
    <n v="2.92"/>
    <n v="0.15"/>
    <n v="2.5299999999999998"/>
  </r>
  <r>
    <x v="9"/>
    <x v="1"/>
    <x v="41"/>
    <x v="0"/>
    <x v="4"/>
    <x v="1"/>
    <n v="2.39"/>
    <n v="2.33"/>
    <n v="0.04"/>
    <n v="2.02"/>
  </r>
  <r>
    <x v="9"/>
    <x v="1"/>
    <x v="41"/>
    <x v="1"/>
    <x v="0"/>
    <x v="1"/>
    <n v="2.4"/>
    <n v="2.34"/>
    <n v="0.12"/>
    <n v="2.1"/>
  </r>
  <r>
    <x v="9"/>
    <x v="1"/>
    <x v="41"/>
    <x v="1"/>
    <x v="4"/>
    <x v="1"/>
    <n v="2.69"/>
    <n v="2.62"/>
    <n v="0.08"/>
    <n v="2.33"/>
  </r>
  <r>
    <x v="9"/>
    <x v="1"/>
    <x v="41"/>
    <x v="1"/>
    <x v="1"/>
    <x v="1"/>
    <n v="12.64"/>
    <n v="12.32"/>
    <n v="0.23"/>
    <n v="10.73"/>
  </r>
  <r>
    <x v="9"/>
    <x v="1"/>
    <x v="41"/>
    <x v="1"/>
    <x v="2"/>
    <x v="1"/>
    <n v="25.34"/>
    <n v="24.69"/>
    <n v="0.16"/>
    <n v="21.47"/>
  </r>
  <r>
    <x v="9"/>
    <x v="1"/>
    <x v="41"/>
    <x v="2"/>
    <x v="4"/>
    <x v="0"/>
    <n v="28.51"/>
    <n v="27.78"/>
    <n v="5.72"/>
    <n v="25.47"/>
  </r>
  <r>
    <x v="9"/>
    <x v="1"/>
    <x v="41"/>
    <x v="4"/>
    <x v="0"/>
    <x v="1"/>
    <n v="0.59"/>
    <n v="0.56999999999999995"/>
    <n v="0.08"/>
    <n v="0.5"/>
  </r>
  <r>
    <x v="9"/>
    <x v="1"/>
    <x v="41"/>
    <x v="2"/>
    <x v="3"/>
    <x v="0"/>
    <n v="2.33"/>
    <n v="2.27"/>
    <n v="0.01"/>
    <n v="2.33"/>
  </r>
  <r>
    <x v="9"/>
    <x v="1"/>
    <x v="41"/>
    <x v="2"/>
    <x v="3"/>
    <x v="1"/>
    <n v="1.78"/>
    <n v="1.73"/>
    <n v="0.01"/>
    <n v="1.56"/>
  </r>
  <r>
    <x v="9"/>
    <x v="1"/>
    <x v="41"/>
    <x v="2"/>
    <x v="0"/>
    <x v="0"/>
    <n v="7.87"/>
    <n v="7.67"/>
    <n v="4.3499999999999996"/>
    <n v="7.45"/>
  </r>
  <r>
    <x v="9"/>
    <x v="1"/>
    <x v="41"/>
    <x v="1"/>
    <x v="2"/>
    <x v="0"/>
    <n v="24.66"/>
    <n v="24.03"/>
    <n v="0.14000000000000001"/>
    <n v="21.51"/>
  </r>
  <r>
    <x v="9"/>
    <x v="1"/>
    <x v="41"/>
    <x v="1"/>
    <x v="1"/>
    <x v="0"/>
    <n v="62.17"/>
    <n v="60.57"/>
    <n v="2.67"/>
    <n v="55.65"/>
  </r>
  <r>
    <x v="9"/>
    <x v="1"/>
    <x v="41"/>
    <x v="1"/>
    <x v="4"/>
    <x v="0"/>
    <n v="335.95"/>
    <n v="327.33999999999997"/>
    <n v="72.459999999999994"/>
    <n v="306.72000000000003"/>
  </r>
  <r>
    <x v="9"/>
    <x v="1"/>
    <x v="41"/>
    <x v="0"/>
    <x v="4"/>
    <x v="0"/>
    <n v="33.43"/>
    <n v="32.57"/>
    <n v="7.09"/>
    <n v="29.71"/>
  </r>
  <r>
    <x v="9"/>
    <x v="1"/>
    <x v="41"/>
    <x v="0"/>
    <x v="0"/>
    <x v="0"/>
    <n v="0.34"/>
    <n v="0.33"/>
    <n v="0.18"/>
    <n v="0.32"/>
  </r>
  <r>
    <x v="9"/>
    <x v="1"/>
    <x v="41"/>
    <x v="4"/>
    <x v="1"/>
    <x v="0"/>
    <n v="43.88"/>
    <n v="42.76"/>
    <n v="1.69"/>
    <n v="43.08"/>
  </r>
  <r>
    <x v="9"/>
    <x v="1"/>
    <x v="41"/>
    <x v="4"/>
    <x v="4"/>
    <x v="0"/>
    <n v="101.6"/>
    <n v="98.99"/>
    <n v="11.75"/>
    <n v="92.28"/>
  </r>
  <r>
    <x v="9"/>
    <x v="1"/>
    <x v="41"/>
    <x v="3"/>
    <x v="1"/>
    <x v="0"/>
    <n v="2.92"/>
    <n v="2.84"/>
    <n v="0.19"/>
    <n v="2.92"/>
  </r>
  <r>
    <x v="9"/>
    <x v="1"/>
    <x v="41"/>
    <x v="3"/>
    <x v="4"/>
    <x v="0"/>
    <n v="56.81"/>
    <n v="55.35"/>
    <n v="8.16"/>
    <n v="54.7"/>
  </r>
  <r>
    <x v="9"/>
    <x v="1"/>
    <x v="41"/>
    <x v="1"/>
    <x v="0"/>
    <x v="0"/>
    <n v="39.369999999999997"/>
    <n v="38.369999999999997"/>
    <n v="17.96"/>
    <n v="34.72"/>
  </r>
  <r>
    <x v="9"/>
    <x v="2"/>
    <x v="42"/>
    <x v="2"/>
    <x v="0"/>
    <x v="0"/>
    <n v="12.11"/>
    <n v="13.19"/>
    <n v="3.09"/>
    <n v="11.53"/>
  </r>
  <r>
    <x v="9"/>
    <x v="2"/>
    <x v="42"/>
    <x v="3"/>
    <x v="4"/>
    <x v="0"/>
    <n v="33.04"/>
    <n v="35.97"/>
    <n v="5.59"/>
    <n v="31.6"/>
  </r>
  <r>
    <x v="9"/>
    <x v="2"/>
    <x v="42"/>
    <x v="3"/>
    <x v="1"/>
    <x v="0"/>
    <n v="0.38"/>
    <n v="0.41"/>
    <n v="0.03"/>
    <n v="0.37"/>
  </r>
  <r>
    <x v="9"/>
    <x v="2"/>
    <x v="42"/>
    <x v="4"/>
    <x v="4"/>
    <x v="0"/>
    <n v="74.319999999999993"/>
    <n v="80.91"/>
    <n v="7.58"/>
    <n v="70.709999999999994"/>
  </r>
  <r>
    <x v="9"/>
    <x v="2"/>
    <x v="42"/>
    <x v="4"/>
    <x v="1"/>
    <x v="0"/>
    <n v="17.5"/>
    <n v="19.05"/>
    <n v="0.81"/>
    <n v="16.64"/>
  </r>
  <r>
    <x v="9"/>
    <x v="2"/>
    <x v="42"/>
    <x v="0"/>
    <x v="0"/>
    <x v="0"/>
    <n v="11.33"/>
    <n v="12.33"/>
    <n v="5.05"/>
    <n v="10.49"/>
  </r>
  <r>
    <x v="9"/>
    <x v="2"/>
    <x v="42"/>
    <x v="0"/>
    <x v="4"/>
    <x v="0"/>
    <n v="42.05"/>
    <n v="45.78"/>
    <n v="8.61"/>
    <n v="39.29"/>
  </r>
  <r>
    <x v="9"/>
    <x v="2"/>
    <x v="42"/>
    <x v="1"/>
    <x v="0"/>
    <x v="0"/>
    <n v="18.09"/>
    <n v="19.7"/>
    <n v="7.69"/>
    <n v="17.190000000000001"/>
  </r>
  <r>
    <x v="9"/>
    <x v="2"/>
    <x v="42"/>
    <x v="1"/>
    <x v="4"/>
    <x v="0"/>
    <n v="277.22000000000003"/>
    <n v="301.77999999999997"/>
    <n v="38.450000000000003"/>
    <n v="259.39"/>
  </r>
  <r>
    <x v="9"/>
    <x v="2"/>
    <x v="42"/>
    <x v="2"/>
    <x v="3"/>
    <x v="0"/>
    <n v="2.0099999999999998"/>
    <n v="2.1800000000000002"/>
    <n v="0.02"/>
    <n v="2.0099999999999998"/>
  </r>
  <r>
    <x v="9"/>
    <x v="2"/>
    <x v="42"/>
    <x v="1"/>
    <x v="2"/>
    <x v="0"/>
    <n v="8.5500000000000007"/>
    <n v="9.3000000000000007"/>
    <n v="7.0000000000000007E-2"/>
    <n v="7.74"/>
  </r>
  <r>
    <x v="9"/>
    <x v="2"/>
    <x v="42"/>
    <x v="2"/>
    <x v="4"/>
    <x v="0"/>
    <n v="7.58"/>
    <n v="8.25"/>
    <n v="1.01"/>
    <n v="7.27"/>
  </r>
  <r>
    <x v="9"/>
    <x v="2"/>
    <x v="42"/>
    <x v="1"/>
    <x v="2"/>
    <x v="1"/>
    <n v="2.36"/>
    <n v="2.57"/>
    <n v="0.01"/>
    <n v="2.27"/>
  </r>
  <r>
    <x v="9"/>
    <x v="2"/>
    <x v="42"/>
    <x v="2"/>
    <x v="3"/>
    <x v="1"/>
    <n v="3.77"/>
    <n v="4.0999999999999996"/>
    <n v="0"/>
    <n v="3.5"/>
  </r>
  <r>
    <x v="9"/>
    <x v="2"/>
    <x v="42"/>
    <x v="1"/>
    <x v="1"/>
    <x v="0"/>
    <n v="40.450000000000003"/>
    <n v="44.03"/>
    <n v="1.73"/>
    <n v="37.92"/>
  </r>
  <r>
    <x v="9"/>
    <x v="2"/>
    <x v="42"/>
    <x v="4"/>
    <x v="2"/>
    <x v="2"/>
    <n v="0.19"/>
    <n v="0.2"/>
    <n v="0"/>
    <n v="0.17"/>
  </r>
  <r>
    <x v="9"/>
    <x v="2"/>
    <x v="42"/>
    <x v="3"/>
    <x v="0"/>
    <x v="0"/>
    <n v="6.58"/>
    <n v="7.16"/>
    <n v="0.94"/>
    <n v="6.54"/>
  </r>
  <r>
    <x v="9"/>
    <x v="2"/>
    <x v="42"/>
    <x v="4"/>
    <x v="4"/>
    <x v="2"/>
    <n v="0.18"/>
    <n v="0.2"/>
    <n v="0"/>
    <n v="0.18"/>
  </r>
  <r>
    <x v="9"/>
    <x v="2"/>
    <x v="42"/>
    <x v="4"/>
    <x v="1"/>
    <x v="2"/>
    <n v="0.05"/>
    <n v="0.05"/>
    <n v="0"/>
    <n v="0.04"/>
  </r>
  <r>
    <x v="9"/>
    <x v="2"/>
    <x v="42"/>
    <x v="1"/>
    <x v="4"/>
    <x v="2"/>
    <n v="0.02"/>
    <n v="0.02"/>
    <n v="0"/>
    <n v="0.01"/>
  </r>
  <r>
    <x v="9"/>
    <x v="2"/>
    <x v="42"/>
    <x v="2"/>
    <x v="3"/>
    <x v="2"/>
    <n v="2.2999999999999998"/>
    <n v="2.5099999999999998"/>
    <n v="0.01"/>
    <n v="2.19"/>
  </r>
  <r>
    <x v="9"/>
    <x v="2"/>
    <x v="42"/>
    <x v="2"/>
    <x v="3"/>
    <x v="3"/>
    <n v="43.77"/>
    <n v="47.65"/>
    <n v="0.03"/>
    <n v="43.77"/>
  </r>
  <r>
    <x v="9"/>
    <x v="2"/>
    <x v="42"/>
    <x v="4"/>
    <x v="0"/>
    <x v="1"/>
    <n v="0.02"/>
    <n v="0.02"/>
    <n v="0"/>
    <n v="0.02"/>
  </r>
  <r>
    <x v="9"/>
    <x v="2"/>
    <x v="42"/>
    <x v="4"/>
    <x v="1"/>
    <x v="1"/>
    <n v="0.19"/>
    <n v="0.21"/>
    <n v="0"/>
    <n v="0.18"/>
  </r>
  <r>
    <x v="9"/>
    <x v="2"/>
    <x v="42"/>
    <x v="0"/>
    <x v="0"/>
    <x v="1"/>
    <n v="0.72"/>
    <n v="0.79"/>
    <n v="0.02"/>
    <n v="0.67"/>
  </r>
  <r>
    <x v="9"/>
    <x v="2"/>
    <x v="42"/>
    <x v="0"/>
    <x v="4"/>
    <x v="1"/>
    <n v="0.55000000000000004"/>
    <n v="0.6"/>
    <n v="0.01"/>
    <n v="0.5"/>
  </r>
  <r>
    <x v="9"/>
    <x v="2"/>
    <x v="42"/>
    <x v="1"/>
    <x v="0"/>
    <x v="1"/>
    <n v="0.48"/>
    <n v="0.52"/>
    <n v="0.03"/>
    <n v="0.48"/>
  </r>
  <r>
    <x v="9"/>
    <x v="2"/>
    <x v="42"/>
    <x v="1"/>
    <x v="4"/>
    <x v="1"/>
    <n v="0.66"/>
    <n v="0.72"/>
    <n v="0.02"/>
    <n v="0.66"/>
  </r>
  <r>
    <x v="9"/>
    <x v="2"/>
    <x v="42"/>
    <x v="4"/>
    <x v="4"/>
    <x v="1"/>
    <n v="0.18"/>
    <n v="0.2"/>
    <n v="0"/>
    <n v="0.17"/>
  </r>
  <r>
    <x v="9"/>
    <x v="2"/>
    <x v="42"/>
    <x v="1"/>
    <x v="1"/>
    <x v="1"/>
    <n v="1.02"/>
    <n v="1.1100000000000001"/>
    <n v="0.01"/>
    <n v="0.98"/>
  </r>
  <r>
    <x v="9"/>
    <x v="2"/>
    <x v="43"/>
    <x v="1"/>
    <x v="1"/>
    <x v="0"/>
    <n v="22.64"/>
    <n v="27.98"/>
    <n v="1.05"/>
    <n v="21.45"/>
  </r>
  <r>
    <x v="9"/>
    <x v="2"/>
    <x v="43"/>
    <x v="2"/>
    <x v="3"/>
    <x v="1"/>
    <n v="0.32"/>
    <n v="0.39"/>
    <n v="0"/>
    <n v="0.28000000000000003"/>
  </r>
  <r>
    <x v="9"/>
    <x v="2"/>
    <x v="43"/>
    <x v="3"/>
    <x v="0"/>
    <x v="0"/>
    <n v="5.49"/>
    <n v="6.78"/>
    <n v="1.01"/>
    <n v="5.47"/>
  </r>
  <r>
    <x v="9"/>
    <x v="2"/>
    <x v="43"/>
    <x v="3"/>
    <x v="4"/>
    <x v="0"/>
    <n v="9.3000000000000007"/>
    <n v="11.49"/>
    <n v="2.21"/>
    <n v="9"/>
  </r>
  <r>
    <x v="9"/>
    <x v="2"/>
    <x v="43"/>
    <x v="3"/>
    <x v="1"/>
    <x v="0"/>
    <n v="0.53"/>
    <n v="0.65"/>
    <n v="0.05"/>
    <n v="0.53"/>
  </r>
  <r>
    <x v="9"/>
    <x v="2"/>
    <x v="43"/>
    <x v="2"/>
    <x v="4"/>
    <x v="0"/>
    <n v="7.67"/>
    <n v="9.48"/>
    <n v="0.89"/>
    <n v="7.5"/>
  </r>
  <r>
    <x v="9"/>
    <x v="2"/>
    <x v="43"/>
    <x v="4"/>
    <x v="4"/>
    <x v="0"/>
    <n v="68.02"/>
    <n v="84.05"/>
    <n v="6.58"/>
    <n v="63.98"/>
  </r>
  <r>
    <x v="9"/>
    <x v="2"/>
    <x v="43"/>
    <x v="0"/>
    <x v="0"/>
    <x v="0"/>
    <n v="3.61"/>
    <n v="4.46"/>
    <n v="1.65"/>
    <n v="3.34"/>
  </r>
  <r>
    <x v="9"/>
    <x v="2"/>
    <x v="43"/>
    <x v="2"/>
    <x v="0"/>
    <x v="0"/>
    <n v="7.53"/>
    <n v="9.3000000000000007"/>
    <n v="2.4700000000000002"/>
    <n v="7.18"/>
  </r>
  <r>
    <x v="9"/>
    <x v="2"/>
    <x v="43"/>
    <x v="1"/>
    <x v="4"/>
    <x v="0"/>
    <n v="160.6"/>
    <n v="198.45"/>
    <n v="25.04"/>
    <n v="150.84"/>
  </r>
  <r>
    <x v="9"/>
    <x v="2"/>
    <x v="43"/>
    <x v="1"/>
    <x v="2"/>
    <x v="0"/>
    <n v="0.39"/>
    <n v="0.48"/>
    <n v="0.01"/>
    <n v="0.35"/>
  </r>
  <r>
    <x v="9"/>
    <x v="2"/>
    <x v="43"/>
    <x v="1"/>
    <x v="2"/>
    <x v="1"/>
    <n v="0.91"/>
    <n v="1.1299999999999999"/>
    <n v="0"/>
    <n v="0.85"/>
  </r>
  <r>
    <x v="9"/>
    <x v="2"/>
    <x v="43"/>
    <x v="4"/>
    <x v="0"/>
    <x v="1"/>
    <n v="0"/>
    <n v="0.01"/>
    <n v="0"/>
    <n v="0"/>
  </r>
  <r>
    <x v="9"/>
    <x v="2"/>
    <x v="43"/>
    <x v="1"/>
    <x v="0"/>
    <x v="0"/>
    <n v="9.1199999999999992"/>
    <n v="11.27"/>
    <n v="4.57"/>
    <n v="8.6999999999999993"/>
  </r>
  <r>
    <x v="9"/>
    <x v="2"/>
    <x v="43"/>
    <x v="1"/>
    <x v="1"/>
    <x v="1"/>
    <n v="0.79"/>
    <n v="0.98"/>
    <n v="0.02"/>
    <n v="0.75"/>
  </r>
  <r>
    <x v="9"/>
    <x v="2"/>
    <x v="43"/>
    <x v="1"/>
    <x v="4"/>
    <x v="1"/>
    <n v="0.11"/>
    <n v="0.14000000000000001"/>
    <n v="0.01"/>
    <n v="0.11"/>
  </r>
  <r>
    <x v="9"/>
    <x v="2"/>
    <x v="43"/>
    <x v="1"/>
    <x v="0"/>
    <x v="1"/>
    <n v="0.57999999999999996"/>
    <n v="0.71"/>
    <n v="0.04"/>
    <n v="0.55000000000000004"/>
  </r>
  <r>
    <x v="9"/>
    <x v="2"/>
    <x v="43"/>
    <x v="0"/>
    <x v="4"/>
    <x v="1"/>
    <n v="0.44"/>
    <n v="0.55000000000000004"/>
    <n v="0.01"/>
    <n v="0.39"/>
  </r>
  <r>
    <x v="9"/>
    <x v="2"/>
    <x v="43"/>
    <x v="0"/>
    <x v="0"/>
    <x v="1"/>
    <n v="0.61"/>
    <n v="0.75"/>
    <n v="0.02"/>
    <n v="0.53"/>
  </r>
  <r>
    <x v="9"/>
    <x v="2"/>
    <x v="43"/>
    <x v="4"/>
    <x v="4"/>
    <x v="1"/>
    <n v="0.18"/>
    <n v="0.22"/>
    <n v="0"/>
    <n v="0.16"/>
  </r>
  <r>
    <x v="9"/>
    <x v="2"/>
    <x v="43"/>
    <x v="0"/>
    <x v="4"/>
    <x v="0"/>
    <n v="23.15"/>
    <n v="28.6"/>
    <n v="4.57"/>
    <n v="21.84"/>
  </r>
  <r>
    <x v="9"/>
    <x v="2"/>
    <x v="43"/>
    <x v="2"/>
    <x v="3"/>
    <x v="3"/>
    <n v="20.48"/>
    <n v="25.31"/>
    <n v="0.01"/>
    <n v="20.48"/>
  </r>
  <r>
    <x v="9"/>
    <x v="2"/>
    <x v="43"/>
    <x v="2"/>
    <x v="3"/>
    <x v="2"/>
    <n v="7.0000000000000007E-2"/>
    <n v="0.09"/>
    <n v="0"/>
    <n v="0.08"/>
  </r>
  <r>
    <x v="9"/>
    <x v="2"/>
    <x v="43"/>
    <x v="1"/>
    <x v="4"/>
    <x v="2"/>
    <n v="2.46"/>
    <n v="3.04"/>
    <n v="0"/>
    <n v="2.44"/>
  </r>
  <r>
    <x v="9"/>
    <x v="2"/>
    <x v="43"/>
    <x v="4"/>
    <x v="2"/>
    <x v="2"/>
    <n v="0.24"/>
    <n v="0.3"/>
    <n v="0"/>
    <n v="0.24"/>
  </r>
  <r>
    <x v="9"/>
    <x v="2"/>
    <x v="43"/>
    <x v="4"/>
    <x v="1"/>
    <x v="2"/>
    <n v="0.21"/>
    <n v="0.26"/>
    <n v="0"/>
    <n v="0.21"/>
  </r>
  <r>
    <x v="9"/>
    <x v="2"/>
    <x v="43"/>
    <x v="4"/>
    <x v="4"/>
    <x v="2"/>
    <n v="0.71"/>
    <n v="0.87"/>
    <n v="0.01"/>
    <n v="0.7"/>
  </r>
  <r>
    <x v="9"/>
    <x v="2"/>
    <x v="43"/>
    <x v="2"/>
    <x v="3"/>
    <x v="0"/>
    <n v="2.44"/>
    <n v="3.02"/>
    <n v="0.02"/>
    <n v="2.44"/>
  </r>
  <r>
    <x v="9"/>
    <x v="2"/>
    <x v="43"/>
    <x v="4"/>
    <x v="1"/>
    <x v="1"/>
    <n v="0.1"/>
    <n v="0.13"/>
    <n v="0"/>
    <n v="0.09"/>
  </r>
  <r>
    <x v="9"/>
    <x v="2"/>
    <x v="43"/>
    <x v="4"/>
    <x v="1"/>
    <x v="0"/>
    <n v="7.45"/>
    <n v="9.1999999999999993"/>
    <n v="0.33"/>
    <n v="7.02"/>
  </r>
  <r>
    <x v="9"/>
    <x v="2"/>
    <x v="44"/>
    <x v="1"/>
    <x v="4"/>
    <x v="1"/>
    <n v="0.2"/>
    <n v="0.21"/>
    <n v="0.01"/>
    <n v="0.18"/>
  </r>
  <r>
    <x v="9"/>
    <x v="2"/>
    <x v="44"/>
    <x v="2"/>
    <x v="3"/>
    <x v="0"/>
    <n v="3.24"/>
    <n v="3.36"/>
    <n v="0.03"/>
    <n v="3.24"/>
  </r>
  <r>
    <x v="9"/>
    <x v="2"/>
    <x v="44"/>
    <x v="4"/>
    <x v="4"/>
    <x v="2"/>
    <n v="0.49"/>
    <n v="0.51"/>
    <n v="0.01"/>
    <n v="0.43"/>
  </r>
  <r>
    <x v="9"/>
    <x v="2"/>
    <x v="44"/>
    <x v="4"/>
    <x v="1"/>
    <x v="2"/>
    <n v="0.2"/>
    <n v="0.2"/>
    <n v="0"/>
    <n v="0.17"/>
  </r>
  <r>
    <x v="9"/>
    <x v="2"/>
    <x v="44"/>
    <x v="4"/>
    <x v="2"/>
    <x v="2"/>
    <n v="0.09"/>
    <n v="0.09"/>
    <n v="0"/>
    <n v="0.08"/>
  </r>
  <r>
    <x v="9"/>
    <x v="2"/>
    <x v="44"/>
    <x v="1"/>
    <x v="4"/>
    <x v="2"/>
    <n v="17.64"/>
    <n v="18.28"/>
    <n v="0.16"/>
    <n v="15.53"/>
  </r>
  <r>
    <x v="9"/>
    <x v="2"/>
    <x v="44"/>
    <x v="2"/>
    <x v="3"/>
    <x v="2"/>
    <n v="0.49"/>
    <n v="0.5"/>
    <n v="0"/>
    <n v="0.42"/>
  </r>
  <r>
    <x v="9"/>
    <x v="2"/>
    <x v="44"/>
    <x v="2"/>
    <x v="3"/>
    <x v="3"/>
    <n v="20.350000000000001"/>
    <n v="21.09"/>
    <n v="0.01"/>
    <n v="20.350000000000001"/>
  </r>
  <r>
    <x v="9"/>
    <x v="2"/>
    <x v="44"/>
    <x v="4"/>
    <x v="0"/>
    <x v="1"/>
    <n v="0.06"/>
    <n v="0.06"/>
    <n v="0"/>
    <n v="0.05"/>
  </r>
  <r>
    <x v="9"/>
    <x v="2"/>
    <x v="44"/>
    <x v="4"/>
    <x v="4"/>
    <x v="1"/>
    <n v="0.33"/>
    <n v="0.34"/>
    <n v="0.01"/>
    <n v="0.27"/>
  </r>
  <r>
    <x v="9"/>
    <x v="2"/>
    <x v="44"/>
    <x v="4"/>
    <x v="1"/>
    <x v="1"/>
    <n v="0.33"/>
    <n v="0.34"/>
    <n v="0"/>
    <n v="0.27"/>
  </r>
  <r>
    <x v="9"/>
    <x v="2"/>
    <x v="44"/>
    <x v="0"/>
    <x v="0"/>
    <x v="1"/>
    <n v="1.42"/>
    <n v="1.48"/>
    <n v="0.06"/>
    <n v="1.1499999999999999"/>
  </r>
  <r>
    <x v="9"/>
    <x v="2"/>
    <x v="44"/>
    <x v="1"/>
    <x v="0"/>
    <x v="1"/>
    <n v="0.74"/>
    <n v="0.76"/>
    <n v="0.05"/>
    <n v="0.65"/>
  </r>
  <r>
    <x v="9"/>
    <x v="2"/>
    <x v="44"/>
    <x v="1"/>
    <x v="1"/>
    <x v="1"/>
    <n v="2.12"/>
    <n v="2.2000000000000002"/>
    <n v="0.02"/>
    <n v="1.77"/>
  </r>
  <r>
    <x v="9"/>
    <x v="2"/>
    <x v="44"/>
    <x v="0"/>
    <x v="0"/>
    <x v="0"/>
    <n v="5.49"/>
    <n v="5.69"/>
    <n v="2.44"/>
    <n v="5.1100000000000003"/>
  </r>
  <r>
    <x v="9"/>
    <x v="2"/>
    <x v="44"/>
    <x v="2"/>
    <x v="4"/>
    <x v="0"/>
    <n v="3.48"/>
    <n v="3.61"/>
    <n v="0.47"/>
    <n v="3.39"/>
  </r>
  <r>
    <x v="9"/>
    <x v="2"/>
    <x v="44"/>
    <x v="2"/>
    <x v="0"/>
    <x v="0"/>
    <n v="3.38"/>
    <n v="3.51"/>
    <n v="1.54"/>
    <n v="3.26"/>
  </r>
  <r>
    <x v="9"/>
    <x v="2"/>
    <x v="44"/>
    <x v="1"/>
    <x v="2"/>
    <x v="0"/>
    <n v="1.48"/>
    <n v="1.53"/>
    <n v="0.03"/>
    <n v="1.34"/>
  </r>
  <r>
    <x v="9"/>
    <x v="2"/>
    <x v="44"/>
    <x v="1"/>
    <x v="1"/>
    <x v="0"/>
    <n v="24.67"/>
    <n v="25.57"/>
    <n v="1.17"/>
    <n v="23.44"/>
  </r>
  <r>
    <x v="9"/>
    <x v="2"/>
    <x v="44"/>
    <x v="1"/>
    <x v="4"/>
    <x v="0"/>
    <n v="137.51"/>
    <n v="142.53"/>
    <n v="22.49"/>
    <n v="129.68"/>
  </r>
  <r>
    <x v="9"/>
    <x v="2"/>
    <x v="44"/>
    <x v="0"/>
    <x v="4"/>
    <x v="1"/>
    <n v="2.93"/>
    <n v="3.04"/>
    <n v="0.06"/>
    <n v="2.37"/>
  </r>
  <r>
    <x v="9"/>
    <x v="2"/>
    <x v="44"/>
    <x v="0"/>
    <x v="4"/>
    <x v="0"/>
    <n v="22.83"/>
    <n v="23.67"/>
    <n v="5.03"/>
    <n v="21.57"/>
  </r>
  <r>
    <x v="9"/>
    <x v="2"/>
    <x v="44"/>
    <x v="1"/>
    <x v="2"/>
    <x v="1"/>
    <n v="6.25"/>
    <n v="6.48"/>
    <n v="0.03"/>
    <n v="5.28"/>
  </r>
  <r>
    <x v="9"/>
    <x v="2"/>
    <x v="44"/>
    <x v="4"/>
    <x v="1"/>
    <x v="0"/>
    <n v="8.32"/>
    <n v="8.6199999999999992"/>
    <n v="0.44"/>
    <n v="8"/>
  </r>
  <r>
    <x v="9"/>
    <x v="2"/>
    <x v="44"/>
    <x v="4"/>
    <x v="4"/>
    <x v="0"/>
    <n v="61.59"/>
    <n v="63.83"/>
    <n v="5.84"/>
    <n v="58.78"/>
  </r>
  <r>
    <x v="9"/>
    <x v="2"/>
    <x v="44"/>
    <x v="3"/>
    <x v="1"/>
    <x v="0"/>
    <n v="0.45"/>
    <n v="0.46"/>
    <n v="0.03"/>
    <n v="0.44"/>
  </r>
  <r>
    <x v="9"/>
    <x v="2"/>
    <x v="44"/>
    <x v="3"/>
    <x v="4"/>
    <x v="0"/>
    <n v="5.9"/>
    <n v="6.11"/>
    <n v="1.26"/>
    <n v="5.74"/>
  </r>
  <r>
    <x v="9"/>
    <x v="2"/>
    <x v="44"/>
    <x v="3"/>
    <x v="0"/>
    <x v="0"/>
    <n v="3.85"/>
    <n v="3.99"/>
    <n v="0.73"/>
    <n v="3.84"/>
  </r>
  <r>
    <x v="9"/>
    <x v="2"/>
    <x v="44"/>
    <x v="2"/>
    <x v="3"/>
    <x v="1"/>
    <n v="3.67"/>
    <n v="3.81"/>
    <n v="0"/>
    <n v="2.98"/>
  </r>
  <r>
    <x v="9"/>
    <x v="2"/>
    <x v="44"/>
    <x v="1"/>
    <x v="0"/>
    <x v="0"/>
    <n v="9.3000000000000007"/>
    <n v="9.64"/>
    <n v="4.08"/>
    <n v="8.8699999999999992"/>
  </r>
  <r>
    <x v="9"/>
    <x v="4"/>
    <x v="45"/>
    <x v="1"/>
    <x v="1"/>
    <x v="1"/>
    <n v="15.18"/>
    <n v="15.04"/>
    <n v="0.1"/>
    <n v="12.99"/>
  </r>
  <r>
    <x v="9"/>
    <x v="4"/>
    <x v="45"/>
    <x v="2"/>
    <x v="3"/>
    <x v="1"/>
    <n v="0"/>
    <n v="0"/>
    <n v="0.02"/>
    <n v="0"/>
  </r>
  <r>
    <x v="9"/>
    <x v="4"/>
    <x v="45"/>
    <x v="3"/>
    <x v="1"/>
    <x v="0"/>
    <n v="0.35"/>
    <n v="0.34"/>
    <n v="0.03"/>
    <n v="0.35"/>
  </r>
  <r>
    <x v="9"/>
    <x v="4"/>
    <x v="45"/>
    <x v="3"/>
    <x v="0"/>
    <x v="0"/>
    <n v="0.97"/>
    <n v="0.96"/>
    <n v="0.8"/>
    <n v="0.88"/>
  </r>
  <r>
    <x v="9"/>
    <x v="4"/>
    <x v="45"/>
    <x v="1"/>
    <x v="2"/>
    <x v="1"/>
    <n v="3.96"/>
    <n v="3.93"/>
    <n v="7.0000000000000007E-2"/>
    <n v="3.56"/>
  </r>
  <r>
    <x v="9"/>
    <x v="4"/>
    <x v="45"/>
    <x v="4"/>
    <x v="0"/>
    <x v="1"/>
    <n v="0.05"/>
    <n v="0.05"/>
    <n v="0.01"/>
    <n v="0.04"/>
  </r>
  <r>
    <x v="9"/>
    <x v="4"/>
    <x v="45"/>
    <x v="1"/>
    <x v="4"/>
    <x v="0"/>
    <n v="168.33"/>
    <n v="166.79"/>
    <n v="40.869999999999997"/>
    <n v="149.53"/>
  </r>
  <r>
    <x v="9"/>
    <x v="4"/>
    <x v="45"/>
    <x v="1"/>
    <x v="1"/>
    <x v="0"/>
    <n v="42.17"/>
    <n v="41.79"/>
    <n v="2.63"/>
    <n v="36.76"/>
  </r>
  <r>
    <x v="9"/>
    <x v="4"/>
    <x v="45"/>
    <x v="2"/>
    <x v="0"/>
    <x v="0"/>
    <n v="16.670000000000002"/>
    <n v="16.52"/>
    <n v="8.0399999999999991"/>
    <n v="15.62"/>
  </r>
  <r>
    <x v="9"/>
    <x v="4"/>
    <x v="45"/>
    <x v="3"/>
    <x v="4"/>
    <x v="0"/>
    <n v="11.02"/>
    <n v="10.92"/>
    <n v="5.39"/>
    <n v="10.199999999999999"/>
  </r>
  <r>
    <x v="9"/>
    <x v="4"/>
    <x v="45"/>
    <x v="1"/>
    <x v="4"/>
    <x v="1"/>
    <n v="7.0000000000000007E-2"/>
    <n v="7.0000000000000007E-2"/>
    <n v="0.03"/>
    <n v="0.06"/>
  </r>
  <r>
    <x v="9"/>
    <x v="4"/>
    <x v="45"/>
    <x v="1"/>
    <x v="0"/>
    <x v="1"/>
    <n v="0.18"/>
    <n v="0.18"/>
    <n v="0.11"/>
    <n v="0.16"/>
  </r>
  <r>
    <x v="9"/>
    <x v="4"/>
    <x v="45"/>
    <x v="1"/>
    <x v="0"/>
    <x v="0"/>
    <n v="14.88"/>
    <n v="14.74"/>
    <n v="8.9499999999999993"/>
    <n v="13.16"/>
  </r>
  <r>
    <x v="9"/>
    <x v="4"/>
    <x v="45"/>
    <x v="4"/>
    <x v="4"/>
    <x v="1"/>
    <n v="0.22"/>
    <n v="0.22"/>
    <n v="0.02"/>
    <n v="0.19"/>
  </r>
  <r>
    <x v="9"/>
    <x v="4"/>
    <x v="45"/>
    <x v="1"/>
    <x v="2"/>
    <x v="0"/>
    <n v="16.829999999999998"/>
    <n v="16.68"/>
    <n v="0.12"/>
    <n v="14.35"/>
  </r>
  <r>
    <x v="9"/>
    <x v="4"/>
    <x v="45"/>
    <x v="2"/>
    <x v="3"/>
    <x v="3"/>
    <n v="4.83"/>
    <n v="4.79"/>
    <n v="0.01"/>
    <n v="4.83"/>
  </r>
  <r>
    <x v="9"/>
    <x v="4"/>
    <x v="45"/>
    <x v="2"/>
    <x v="3"/>
    <x v="2"/>
    <n v="0"/>
    <n v="0"/>
    <n v="0.01"/>
    <n v="0"/>
  </r>
  <r>
    <x v="9"/>
    <x v="4"/>
    <x v="45"/>
    <x v="1"/>
    <x v="3"/>
    <x v="2"/>
    <n v="5.95"/>
    <n v="5.89"/>
    <n v="0.01"/>
    <n v="5.21"/>
  </r>
  <r>
    <x v="9"/>
    <x v="4"/>
    <x v="45"/>
    <x v="1"/>
    <x v="2"/>
    <x v="2"/>
    <n v="0.08"/>
    <n v="0.08"/>
    <n v="0"/>
    <n v="7.0000000000000007E-2"/>
  </r>
  <r>
    <x v="9"/>
    <x v="4"/>
    <x v="45"/>
    <x v="1"/>
    <x v="1"/>
    <x v="2"/>
    <n v="0.19"/>
    <n v="0.19"/>
    <n v="0.03"/>
    <n v="0.19"/>
  </r>
  <r>
    <x v="9"/>
    <x v="4"/>
    <x v="45"/>
    <x v="1"/>
    <x v="4"/>
    <x v="2"/>
    <n v="0.02"/>
    <n v="0.02"/>
    <n v="0.01"/>
    <n v="0.02"/>
  </r>
  <r>
    <x v="9"/>
    <x v="4"/>
    <x v="45"/>
    <x v="4"/>
    <x v="1"/>
    <x v="1"/>
    <n v="0.1"/>
    <n v="0.1"/>
    <n v="0.01"/>
    <n v="0.09"/>
  </r>
  <r>
    <x v="9"/>
    <x v="4"/>
    <x v="45"/>
    <x v="4"/>
    <x v="4"/>
    <x v="0"/>
    <n v="19.420000000000002"/>
    <n v="19.25"/>
    <n v="2.63"/>
    <n v="16.87"/>
  </r>
  <r>
    <x v="9"/>
    <x v="4"/>
    <x v="45"/>
    <x v="0"/>
    <x v="0"/>
    <x v="0"/>
    <n v="0.92"/>
    <n v="0.91"/>
    <n v="0.5"/>
    <n v="0.8"/>
  </r>
  <r>
    <x v="9"/>
    <x v="4"/>
    <x v="45"/>
    <x v="2"/>
    <x v="4"/>
    <x v="0"/>
    <n v="22.71"/>
    <n v="22.5"/>
    <n v="5.68"/>
    <n v="20.66"/>
  </r>
  <r>
    <x v="9"/>
    <x v="4"/>
    <x v="45"/>
    <x v="4"/>
    <x v="1"/>
    <x v="0"/>
    <n v="5.92"/>
    <n v="5.86"/>
    <n v="0.37"/>
    <n v="5.2"/>
  </r>
  <r>
    <x v="9"/>
    <x v="4"/>
    <x v="45"/>
    <x v="0"/>
    <x v="4"/>
    <x v="0"/>
    <n v="7.16"/>
    <n v="7.09"/>
    <n v="2.15"/>
    <n v="6.33"/>
  </r>
  <r>
    <x v="9"/>
    <x v="6"/>
    <x v="46"/>
    <x v="1"/>
    <x v="0"/>
    <x v="1"/>
    <n v="0.65"/>
    <n v="0.68"/>
    <n v="0.01"/>
    <n v="0.56000000000000005"/>
  </r>
  <r>
    <x v="9"/>
    <x v="6"/>
    <x v="46"/>
    <x v="2"/>
    <x v="4"/>
    <x v="1"/>
    <n v="0.38"/>
    <n v="0.4"/>
    <n v="0"/>
    <n v="0.38"/>
  </r>
  <r>
    <x v="9"/>
    <x v="6"/>
    <x v="46"/>
    <x v="2"/>
    <x v="3"/>
    <x v="1"/>
    <n v="1.44"/>
    <n v="1.49"/>
    <n v="0"/>
    <n v="1.44"/>
  </r>
  <r>
    <x v="9"/>
    <x v="6"/>
    <x v="46"/>
    <x v="1"/>
    <x v="4"/>
    <x v="0"/>
    <n v="119.08"/>
    <n v="123.61"/>
    <n v="22.96"/>
    <n v="105.22"/>
  </r>
  <r>
    <x v="9"/>
    <x v="6"/>
    <x v="46"/>
    <x v="1"/>
    <x v="4"/>
    <x v="1"/>
    <n v="0.63"/>
    <n v="0.65"/>
    <n v="0.01"/>
    <n v="0.54"/>
  </r>
  <r>
    <x v="9"/>
    <x v="6"/>
    <x v="46"/>
    <x v="1"/>
    <x v="1"/>
    <x v="1"/>
    <n v="1.6"/>
    <n v="1.67"/>
    <n v="0.04"/>
    <n v="1.39"/>
  </r>
  <r>
    <x v="9"/>
    <x v="6"/>
    <x v="46"/>
    <x v="0"/>
    <x v="4"/>
    <x v="1"/>
    <n v="0.62"/>
    <n v="0.64"/>
    <n v="0.06"/>
    <n v="0.54"/>
  </r>
  <r>
    <x v="9"/>
    <x v="6"/>
    <x v="46"/>
    <x v="0"/>
    <x v="0"/>
    <x v="1"/>
    <n v="2.98"/>
    <n v="3.09"/>
    <n v="0.06"/>
    <n v="2.6"/>
  </r>
  <r>
    <x v="9"/>
    <x v="6"/>
    <x v="46"/>
    <x v="2"/>
    <x v="3"/>
    <x v="0"/>
    <n v="1.1200000000000001"/>
    <n v="1.1599999999999999"/>
    <n v="0.01"/>
    <n v="1.1200000000000001"/>
  </r>
  <r>
    <x v="9"/>
    <x v="6"/>
    <x v="46"/>
    <x v="2"/>
    <x v="4"/>
    <x v="0"/>
    <n v="6.53"/>
    <n v="6.78"/>
    <n v="1.45"/>
    <n v="5.83"/>
  </r>
  <r>
    <x v="9"/>
    <x v="6"/>
    <x v="46"/>
    <x v="2"/>
    <x v="0"/>
    <x v="0"/>
    <n v="2.11"/>
    <n v="2.19"/>
    <n v="0.99"/>
    <n v="2"/>
  </r>
  <r>
    <x v="9"/>
    <x v="6"/>
    <x v="46"/>
    <x v="1"/>
    <x v="4"/>
    <x v="2"/>
    <n v="0.02"/>
    <n v="0.02"/>
    <n v="0"/>
    <n v="0.02"/>
  </r>
  <r>
    <x v="9"/>
    <x v="6"/>
    <x v="46"/>
    <x v="4"/>
    <x v="1"/>
    <x v="1"/>
    <n v="0.18"/>
    <n v="0.19"/>
    <n v="0.01"/>
    <n v="0.16"/>
  </r>
  <r>
    <x v="9"/>
    <x v="6"/>
    <x v="46"/>
    <x v="4"/>
    <x v="1"/>
    <x v="2"/>
    <n v="0.09"/>
    <n v="0.1"/>
    <n v="0"/>
    <n v="7.0000000000000007E-2"/>
  </r>
  <r>
    <x v="9"/>
    <x v="6"/>
    <x v="46"/>
    <x v="4"/>
    <x v="4"/>
    <x v="2"/>
    <n v="0.04"/>
    <n v="0.04"/>
    <n v="0"/>
    <n v="0.03"/>
  </r>
  <r>
    <x v="9"/>
    <x v="6"/>
    <x v="46"/>
    <x v="2"/>
    <x v="3"/>
    <x v="3"/>
    <n v="1.07"/>
    <n v="1.1100000000000001"/>
    <n v="0"/>
    <n v="0.97"/>
  </r>
  <r>
    <x v="9"/>
    <x v="6"/>
    <x v="46"/>
    <x v="3"/>
    <x v="4"/>
    <x v="0"/>
    <n v="1.96"/>
    <n v="2.0299999999999998"/>
    <n v="0.52"/>
    <n v="1.9"/>
  </r>
  <r>
    <x v="9"/>
    <x v="6"/>
    <x v="46"/>
    <x v="4"/>
    <x v="0"/>
    <x v="1"/>
    <n v="0.28000000000000003"/>
    <n v="0.28999999999999998"/>
    <n v="0.02"/>
    <n v="0.24"/>
  </r>
  <r>
    <x v="9"/>
    <x v="6"/>
    <x v="46"/>
    <x v="1"/>
    <x v="2"/>
    <x v="0"/>
    <n v="5.45"/>
    <n v="5.66"/>
    <n v="0.04"/>
    <n v="4.54"/>
  </r>
  <r>
    <x v="9"/>
    <x v="6"/>
    <x v="46"/>
    <x v="4"/>
    <x v="4"/>
    <x v="1"/>
    <n v="0.23"/>
    <n v="0.24"/>
    <n v="0.02"/>
    <n v="0.2"/>
  </r>
  <r>
    <x v="9"/>
    <x v="6"/>
    <x v="46"/>
    <x v="1"/>
    <x v="1"/>
    <x v="0"/>
    <n v="19.670000000000002"/>
    <n v="20.420000000000002"/>
    <n v="1.05"/>
    <n v="17"/>
  </r>
  <r>
    <x v="9"/>
    <x v="6"/>
    <x v="46"/>
    <x v="4"/>
    <x v="4"/>
    <x v="0"/>
    <n v="20.09"/>
    <n v="20.86"/>
    <n v="3.74"/>
    <n v="17.100000000000001"/>
  </r>
  <r>
    <x v="9"/>
    <x v="6"/>
    <x v="46"/>
    <x v="4"/>
    <x v="1"/>
    <x v="0"/>
    <n v="0.72"/>
    <n v="0.75"/>
    <n v="7.0000000000000007E-2"/>
    <n v="0.6"/>
  </r>
  <r>
    <x v="9"/>
    <x v="6"/>
    <x v="46"/>
    <x v="0"/>
    <x v="0"/>
    <x v="0"/>
    <n v="5.1100000000000003"/>
    <n v="5.3"/>
    <n v="2.27"/>
    <n v="4.34"/>
  </r>
  <r>
    <x v="9"/>
    <x v="6"/>
    <x v="46"/>
    <x v="0"/>
    <x v="4"/>
    <x v="0"/>
    <n v="16.91"/>
    <n v="17.55"/>
    <n v="3.54"/>
    <n v="14.48"/>
  </r>
  <r>
    <x v="9"/>
    <x v="6"/>
    <x v="46"/>
    <x v="1"/>
    <x v="0"/>
    <x v="0"/>
    <n v="7.26"/>
    <n v="7.54"/>
    <n v="3.29"/>
    <n v="6.24"/>
  </r>
  <r>
    <x v="9"/>
    <x v="6"/>
    <x v="46"/>
    <x v="1"/>
    <x v="1"/>
    <x v="2"/>
    <n v="1.08"/>
    <n v="1.1200000000000001"/>
    <n v="0.01"/>
    <n v="0.86"/>
  </r>
  <r>
    <x v="9"/>
    <x v="6"/>
    <x v="46"/>
    <x v="1"/>
    <x v="2"/>
    <x v="1"/>
    <n v="0.46"/>
    <n v="0.48"/>
    <n v="0.05"/>
    <n v="0.4"/>
  </r>
  <r>
    <x v="9"/>
    <x v="6"/>
    <x v="46"/>
    <x v="2"/>
    <x v="3"/>
    <x v="2"/>
    <n v="4.0599999999999996"/>
    <n v="4.22"/>
    <n v="0.01"/>
    <n v="3.25"/>
  </r>
  <r>
    <x v="9"/>
    <x v="7"/>
    <x v="47"/>
    <x v="2"/>
    <x v="3"/>
    <x v="1"/>
    <n v="0.08"/>
    <n v="0.15"/>
    <n v="0"/>
    <n v="7.0000000000000007E-2"/>
  </r>
  <r>
    <x v="9"/>
    <x v="7"/>
    <x v="47"/>
    <x v="2"/>
    <x v="4"/>
    <x v="0"/>
    <n v="3.4"/>
    <n v="6.73"/>
    <n v="1.18"/>
    <n v="3.17"/>
  </r>
  <r>
    <x v="9"/>
    <x v="7"/>
    <x v="47"/>
    <x v="2"/>
    <x v="0"/>
    <x v="0"/>
    <n v="2.2000000000000002"/>
    <n v="4.3600000000000003"/>
    <n v="2.34"/>
    <n v="2.0499999999999998"/>
  </r>
  <r>
    <x v="9"/>
    <x v="7"/>
    <x v="47"/>
    <x v="1"/>
    <x v="2"/>
    <x v="0"/>
    <n v="2.61"/>
    <n v="5.17"/>
    <n v="0.04"/>
    <n v="2.4"/>
  </r>
  <r>
    <x v="9"/>
    <x v="7"/>
    <x v="47"/>
    <x v="1"/>
    <x v="1"/>
    <x v="0"/>
    <n v="8.0500000000000007"/>
    <n v="15.93"/>
    <n v="0.57999999999999996"/>
    <n v="7.24"/>
  </r>
  <r>
    <x v="9"/>
    <x v="7"/>
    <x v="47"/>
    <x v="1"/>
    <x v="4"/>
    <x v="0"/>
    <n v="63.59"/>
    <n v="125.84"/>
    <n v="13.86"/>
    <n v="57.74"/>
  </r>
  <r>
    <x v="9"/>
    <x v="7"/>
    <x v="47"/>
    <x v="1"/>
    <x v="0"/>
    <x v="0"/>
    <n v="7.9"/>
    <n v="15.64"/>
    <n v="4.07"/>
    <n v="7.29"/>
  </r>
  <r>
    <x v="9"/>
    <x v="7"/>
    <x v="47"/>
    <x v="0"/>
    <x v="4"/>
    <x v="0"/>
    <n v="10.18"/>
    <n v="20.14"/>
    <n v="3.42"/>
    <n v="9.24"/>
  </r>
  <r>
    <x v="9"/>
    <x v="7"/>
    <x v="47"/>
    <x v="0"/>
    <x v="0"/>
    <x v="0"/>
    <n v="1.92"/>
    <n v="3.81"/>
    <n v="1.6"/>
    <n v="1.71"/>
  </r>
  <r>
    <x v="9"/>
    <x v="7"/>
    <x v="47"/>
    <x v="4"/>
    <x v="1"/>
    <x v="0"/>
    <n v="2.86"/>
    <n v="5.65"/>
    <n v="0.22"/>
    <n v="2.61"/>
  </r>
  <r>
    <x v="9"/>
    <x v="7"/>
    <x v="47"/>
    <x v="4"/>
    <x v="4"/>
    <x v="0"/>
    <n v="20.97"/>
    <n v="41.49"/>
    <n v="3.55"/>
    <n v="19.11"/>
  </r>
  <r>
    <x v="9"/>
    <x v="7"/>
    <x v="47"/>
    <x v="3"/>
    <x v="1"/>
    <x v="0"/>
    <n v="0.01"/>
    <n v="0.02"/>
    <n v="0"/>
    <n v="0.01"/>
  </r>
  <r>
    <x v="9"/>
    <x v="7"/>
    <x v="47"/>
    <x v="3"/>
    <x v="4"/>
    <x v="0"/>
    <n v="6.33"/>
    <n v="12.52"/>
    <n v="1.3"/>
    <n v="5.81"/>
  </r>
  <r>
    <x v="9"/>
    <x v="7"/>
    <x v="47"/>
    <x v="2"/>
    <x v="3"/>
    <x v="0"/>
    <n v="0.06"/>
    <n v="0.13"/>
    <n v="0.02"/>
    <n v="0.06"/>
  </r>
  <r>
    <x v="9"/>
    <x v="7"/>
    <x v="47"/>
    <x v="3"/>
    <x v="0"/>
    <x v="0"/>
    <n v="0.19"/>
    <n v="0.37"/>
    <n v="0.12"/>
    <n v="0.18"/>
  </r>
  <r>
    <x v="9"/>
    <x v="7"/>
    <x v="47"/>
    <x v="0"/>
    <x v="4"/>
    <x v="1"/>
    <n v="0.02"/>
    <n v="0.03"/>
    <n v="0"/>
    <n v="0.01"/>
  </r>
  <r>
    <x v="9"/>
    <x v="7"/>
    <x v="47"/>
    <x v="1"/>
    <x v="2"/>
    <x v="1"/>
    <n v="0.28000000000000003"/>
    <n v="0.55000000000000004"/>
    <n v="0"/>
    <n v="0.25"/>
  </r>
  <r>
    <x v="9"/>
    <x v="7"/>
    <x v="47"/>
    <x v="1"/>
    <x v="1"/>
    <x v="1"/>
    <n v="0.64"/>
    <n v="1.26"/>
    <n v="0.01"/>
    <n v="0.59"/>
  </r>
  <r>
    <x v="9"/>
    <x v="7"/>
    <x v="47"/>
    <x v="1"/>
    <x v="4"/>
    <x v="1"/>
    <n v="0.05"/>
    <n v="0.09"/>
    <n v="0"/>
    <n v="0.05"/>
  </r>
  <r>
    <x v="9"/>
    <x v="7"/>
    <x v="47"/>
    <x v="0"/>
    <x v="0"/>
    <x v="1"/>
    <n v="0.16"/>
    <n v="0.31"/>
    <n v="0.01"/>
    <n v="0.14000000000000001"/>
  </r>
  <r>
    <x v="9"/>
    <x v="7"/>
    <x v="47"/>
    <x v="4"/>
    <x v="4"/>
    <x v="1"/>
    <n v="7.0000000000000007E-2"/>
    <n v="0.13"/>
    <n v="0"/>
    <n v="0.06"/>
  </r>
  <r>
    <x v="9"/>
    <x v="7"/>
    <x v="47"/>
    <x v="4"/>
    <x v="0"/>
    <x v="1"/>
    <n v="0"/>
    <n v="0"/>
    <n v="0"/>
    <n v="0"/>
  </r>
  <r>
    <x v="9"/>
    <x v="7"/>
    <x v="47"/>
    <x v="2"/>
    <x v="3"/>
    <x v="3"/>
    <n v="8.19"/>
    <n v="16.21"/>
    <n v="0.01"/>
    <n v="8.19"/>
  </r>
  <r>
    <x v="9"/>
    <x v="7"/>
    <x v="47"/>
    <x v="2"/>
    <x v="3"/>
    <x v="2"/>
    <n v="0.06"/>
    <n v="0.12"/>
    <n v="0"/>
    <n v="0.04"/>
  </r>
  <r>
    <x v="9"/>
    <x v="7"/>
    <x v="47"/>
    <x v="1"/>
    <x v="1"/>
    <x v="2"/>
    <n v="0.01"/>
    <n v="0.01"/>
    <n v="0"/>
    <n v="0"/>
  </r>
  <r>
    <x v="9"/>
    <x v="7"/>
    <x v="47"/>
    <x v="1"/>
    <x v="4"/>
    <x v="2"/>
    <n v="0.27"/>
    <n v="0.54"/>
    <n v="0"/>
    <n v="0.16"/>
  </r>
  <r>
    <x v="9"/>
    <x v="7"/>
    <x v="47"/>
    <x v="4"/>
    <x v="1"/>
    <x v="2"/>
    <n v="0"/>
    <n v="0.01"/>
    <n v="0"/>
    <n v="0"/>
  </r>
  <r>
    <x v="9"/>
    <x v="7"/>
    <x v="47"/>
    <x v="4"/>
    <x v="4"/>
    <x v="2"/>
    <n v="0.16"/>
    <n v="0.32"/>
    <n v="0"/>
    <n v="0.09"/>
  </r>
  <r>
    <x v="9"/>
    <x v="7"/>
    <x v="47"/>
    <x v="1"/>
    <x v="0"/>
    <x v="1"/>
    <n v="0.04"/>
    <n v="7.0000000000000007E-2"/>
    <n v="0"/>
    <n v="0.03"/>
  </r>
  <r>
    <x v="9"/>
    <x v="7"/>
    <x v="47"/>
    <x v="4"/>
    <x v="1"/>
    <x v="1"/>
    <n v="0.1"/>
    <n v="0.19"/>
    <n v="0"/>
    <n v="0.09"/>
  </r>
  <r>
    <x v="9"/>
    <x v="2"/>
    <x v="48"/>
    <x v="0"/>
    <x v="4"/>
    <x v="0"/>
    <n v="47.85"/>
    <n v="54.13"/>
    <n v="11.62"/>
    <n v="44.8"/>
  </r>
  <r>
    <x v="9"/>
    <x v="2"/>
    <x v="48"/>
    <x v="2"/>
    <x v="3"/>
    <x v="1"/>
    <n v="10.63"/>
    <n v="12.02"/>
    <n v="0.04"/>
    <n v="9.67"/>
  </r>
  <r>
    <x v="9"/>
    <x v="2"/>
    <x v="48"/>
    <x v="3"/>
    <x v="0"/>
    <x v="0"/>
    <n v="19.48"/>
    <n v="22.04"/>
    <n v="9.27"/>
    <n v="19.21"/>
  </r>
  <r>
    <x v="9"/>
    <x v="2"/>
    <x v="48"/>
    <x v="3"/>
    <x v="4"/>
    <x v="0"/>
    <n v="135.54"/>
    <n v="153.32"/>
    <n v="22.57"/>
    <n v="129.24"/>
  </r>
  <r>
    <x v="9"/>
    <x v="2"/>
    <x v="48"/>
    <x v="3"/>
    <x v="1"/>
    <x v="0"/>
    <n v="8"/>
    <n v="9.06"/>
    <n v="0.5"/>
    <n v="7.8"/>
  </r>
  <r>
    <x v="9"/>
    <x v="2"/>
    <x v="48"/>
    <x v="4"/>
    <x v="4"/>
    <x v="0"/>
    <n v="352.76"/>
    <n v="399.04"/>
    <n v="32.950000000000003"/>
    <n v="332.9"/>
  </r>
  <r>
    <x v="9"/>
    <x v="2"/>
    <x v="48"/>
    <x v="2"/>
    <x v="4"/>
    <x v="0"/>
    <n v="25.24"/>
    <n v="28.55"/>
    <n v="2.4500000000000002"/>
    <n v="23.76"/>
  </r>
  <r>
    <x v="9"/>
    <x v="2"/>
    <x v="48"/>
    <x v="0"/>
    <x v="0"/>
    <x v="0"/>
    <n v="9.69"/>
    <n v="10.96"/>
    <n v="4.9800000000000004"/>
    <n v="8.9"/>
  </r>
  <r>
    <x v="9"/>
    <x v="2"/>
    <x v="48"/>
    <x v="1"/>
    <x v="4"/>
    <x v="1"/>
    <n v="2.4900000000000002"/>
    <n v="2.82"/>
    <n v="0.32"/>
    <n v="2.4700000000000002"/>
  </r>
  <r>
    <x v="9"/>
    <x v="2"/>
    <x v="48"/>
    <x v="1"/>
    <x v="0"/>
    <x v="0"/>
    <n v="45.73"/>
    <n v="51.73"/>
    <n v="22.92"/>
    <n v="43.06"/>
  </r>
  <r>
    <x v="9"/>
    <x v="2"/>
    <x v="48"/>
    <x v="1"/>
    <x v="4"/>
    <x v="0"/>
    <n v="738.19"/>
    <n v="835.03"/>
    <n v="114.26"/>
    <n v="691"/>
  </r>
  <r>
    <x v="9"/>
    <x v="2"/>
    <x v="48"/>
    <x v="1"/>
    <x v="1"/>
    <x v="0"/>
    <n v="124.35"/>
    <n v="140.66"/>
    <n v="7.29"/>
    <n v="116.56"/>
  </r>
  <r>
    <x v="9"/>
    <x v="2"/>
    <x v="48"/>
    <x v="1"/>
    <x v="2"/>
    <x v="0"/>
    <n v="43.9"/>
    <n v="49.66"/>
    <n v="0.39"/>
    <n v="39.92"/>
  </r>
  <r>
    <x v="9"/>
    <x v="2"/>
    <x v="48"/>
    <x v="2"/>
    <x v="0"/>
    <x v="0"/>
    <n v="18.97"/>
    <n v="21.46"/>
    <n v="8.1300000000000008"/>
    <n v="18.14"/>
  </r>
  <r>
    <x v="9"/>
    <x v="2"/>
    <x v="48"/>
    <x v="4"/>
    <x v="1"/>
    <x v="0"/>
    <n v="71"/>
    <n v="80.319999999999993"/>
    <n v="3.08"/>
    <n v="67.239999999999995"/>
  </r>
  <r>
    <x v="9"/>
    <x v="2"/>
    <x v="48"/>
    <x v="1"/>
    <x v="1"/>
    <x v="1"/>
    <n v="4.4000000000000004"/>
    <n v="4.9800000000000004"/>
    <n v="0.15"/>
    <n v="4.2"/>
  </r>
  <r>
    <x v="9"/>
    <x v="2"/>
    <x v="48"/>
    <x v="0"/>
    <x v="0"/>
    <x v="1"/>
    <n v="6.25"/>
    <n v="7.07"/>
    <n v="0.44"/>
    <n v="5.64"/>
  </r>
  <r>
    <x v="9"/>
    <x v="2"/>
    <x v="48"/>
    <x v="1"/>
    <x v="0"/>
    <x v="1"/>
    <n v="3.33"/>
    <n v="3.77"/>
    <n v="0.52"/>
    <n v="3.22"/>
  </r>
  <r>
    <x v="9"/>
    <x v="2"/>
    <x v="48"/>
    <x v="0"/>
    <x v="4"/>
    <x v="1"/>
    <n v="6.06"/>
    <n v="6.86"/>
    <n v="0.21"/>
    <n v="5.47"/>
  </r>
  <r>
    <x v="9"/>
    <x v="2"/>
    <x v="48"/>
    <x v="4"/>
    <x v="4"/>
    <x v="2"/>
    <n v="0.37"/>
    <n v="0.42"/>
    <n v="0.05"/>
    <n v="0.3"/>
  </r>
  <r>
    <x v="9"/>
    <x v="2"/>
    <x v="48"/>
    <x v="4"/>
    <x v="2"/>
    <x v="2"/>
    <n v="0.11"/>
    <n v="0.13"/>
    <n v="0"/>
    <n v="0.09"/>
  </r>
  <r>
    <x v="9"/>
    <x v="2"/>
    <x v="48"/>
    <x v="1"/>
    <x v="4"/>
    <x v="2"/>
    <n v="1.0900000000000001"/>
    <n v="1.23"/>
    <n v="0.04"/>
    <n v="0.88"/>
  </r>
  <r>
    <x v="9"/>
    <x v="2"/>
    <x v="48"/>
    <x v="1"/>
    <x v="1"/>
    <x v="2"/>
    <n v="0"/>
    <n v="0"/>
    <n v="0"/>
    <n v="0"/>
  </r>
  <r>
    <x v="9"/>
    <x v="2"/>
    <x v="48"/>
    <x v="2"/>
    <x v="3"/>
    <x v="2"/>
    <n v="1.31"/>
    <n v="1.48"/>
    <n v="0"/>
    <n v="1.05"/>
  </r>
  <r>
    <x v="9"/>
    <x v="2"/>
    <x v="48"/>
    <x v="2"/>
    <x v="3"/>
    <x v="3"/>
    <n v="104.91"/>
    <n v="118.67"/>
    <n v="7.0000000000000007E-2"/>
    <n v="104.9"/>
  </r>
  <r>
    <x v="9"/>
    <x v="2"/>
    <x v="48"/>
    <x v="4"/>
    <x v="0"/>
    <x v="1"/>
    <n v="0.69"/>
    <n v="0.78"/>
    <n v="0.14000000000000001"/>
    <n v="0.62"/>
  </r>
  <r>
    <x v="9"/>
    <x v="2"/>
    <x v="48"/>
    <x v="4"/>
    <x v="4"/>
    <x v="1"/>
    <n v="4.34"/>
    <n v="4.9000000000000004"/>
    <n v="0.17"/>
    <n v="3.95"/>
  </r>
  <r>
    <x v="9"/>
    <x v="2"/>
    <x v="48"/>
    <x v="4"/>
    <x v="1"/>
    <x v="1"/>
    <n v="0.53"/>
    <n v="0.6"/>
    <n v="0.04"/>
    <n v="0.5"/>
  </r>
  <r>
    <x v="9"/>
    <x v="2"/>
    <x v="48"/>
    <x v="2"/>
    <x v="3"/>
    <x v="0"/>
    <n v="1.1399999999999999"/>
    <n v="1.29"/>
    <n v="0.01"/>
    <n v="1.1399999999999999"/>
  </r>
  <r>
    <x v="9"/>
    <x v="2"/>
    <x v="48"/>
    <x v="1"/>
    <x v="2"/>
    <x v="1"/>
    <n v="16.2"/>
    <n v="18.329999999999998"/>
    <n v="0.22"/>
    <n v="15.22"/>
  </r>
  <r>
    <x v="9"/>
    <x v="2"/>
    <x v="48"/>
    <x v="4"/>
    <x v="1"/>
    <x v="2"/>
    <n v="0.13"/>
    <n v="0.15"/>
    <n v="0.01"/>
    <n v="0.11"/>
  </r>
  <r>
    <x v="9"/>
    <x v="3"/>
    <x v="49"/>
    <x v="4"/>
    <x v="1"/>
    <x v="1"/>
    <n v="4.7699999999999996"/>
    <n v="4.7699999999999996"/>
    <n v="0.48"/>
    <n v="4.33"/>
  </r>
  <r>
    <x v="9"/>
    <x v="3"/>
    <x v="49"/>
    <x v="4"/>
    <x v="4"/>
    <x v="0"/>
    <n v="1933.02"/>
    <n v="1933.02"/>
    <n v="213.61"/>
    <n v="1827.2"/>
  </r>
  <r>
    <x v="9"/>
    <x v="3"/>
    <x v="49"/>
    <x v="4"/>
    <x v="0"/>
    <x v="0"/>
    <n v="2.4500000000000002"/>
    <n v="2.4500000000000002"/>
    <n v="1.64"/>
    <n v="2.21"/>
  </r>
  <r>
    <x v="9"/>
    <x v="3"/>
    <x v="49"/>
    <x v="3"/>
    <x v="1"/>
    <x v="0"/>
    <n v="273.22000000000003"/>
    <n v="273.22000000000003"/>
    <n v="24.91"/>
    <n v="273.22000000000003"/>
  </r>
  <r>
    <x v="9"/>
    <x v="3"/>
    <x v="49"/>
    <x v="1"/>
    <x v="1"/>
    <x v="2"/>
    <n v="0.61"/>
    <n v="0.61"/>
    <n v="0.04"/>
    <n v="0.56999999999999995"/>
  </r>
  <r>
    <x v="9"/>
    <x v="3"/>
    <x v="49"/>
    <x v="3"/>
    <x v="0"/>
    <x v="0"/>
    <n v="513.23"/>
    <n v="513.23"/>
    <n v="366.13"/>
    <n v="504.06"/>
  </r>
  <r>
    <x v="9"/>
    <x v="3"/>
    <x v="49"/>
    <x v="2"/>
    <x v="4"/>
    <x v="1"/>
    <n v="0.4"/>
    <n v="0.4"/>
    <n v="0"/>
    <n v="0.38"/>
  </r>
  <r>
    <x v="9"/>
    <x v="3"/>
    <x v="49"/>
    <x v="1"/>
    <x v="2"/>
    <x v="1"/>
    <n v="150.36000000000001"/>
    <n v="150.36000000000001"/>
    <n v="1.1000000000000001"/>
    <n v="136.16"/>
  </r>
  <r>
    <x v="9"/>
    <x v="3"/>
    <x v="49"/>
    <x v="1"/>
    <x v="1"/>
    <x v="1"/>
    <n v="52.13"/>
    <n v="52.13"/>
    <n v="1.37"/>
    <n v="47.08"/>
  </r>
  <r>
    <x v="9"/>
    <x v="3"/>
    <x v="49"/>
    <x v="1"/>
    <x v="4"/>
    <x v="1"/>
    <n v="7.09"/>
    <n v="7.09"/>
    <n v="0.39"/>
    <n v="6.29"/>
  </r>
  <r>
    <x v="9"/>
    <x v="3"/>
    <x v="49"/>
    <x v="1"/>
    <x v="0"/>
    <x v="1"/>
    <n v="21.27"/>
    <n v="21.27"/>
    <n v="1.63"/>
    <n v="18.95"/>
  </r>
  <r>
    <x v="9"/>
    <x v="3"/>
    <x v="49"/>
    <x v="4"/>
    <x v="1"/>
    <x v="0"/>
    <n v="428.05"/>
    <n v="428.05"/>
    <n v="21.11"/>
    <n v="406.89"/>
  </r>
  <r>
    <x v="9"/>
    <x v="3"/>
    <x v="49"/>
    <x v="0"/>
    <x v="0"/>
    <x v="1"/>
    <n v="18.260000000000002"/>
    <n v="18.260000000000002"/>
    <n v="0.96"/>
    <n v="16.72"/>
  </r>
  <r>
    <x v="9"/>
    <x v="3"/>
    <x v="49"/>
    <x v="3"/>
    <x v="4"/>
    <x v="0"/>
    <n v="6941.58"/>
    <n v="6941.58"/>
    <n v="2186.13"/>
    <n v="6828.29"/>
  </r>
  <r>
    <x v="9"/>
    <x v="3"/>
    <x v="49"/>
    <x v="4"/>
    <x v="4"/>
    <x v="1"/>
    <n v="22.63"/>
    <n v="22.63"/>
    <n v="2.0299999999999998"/>
    <n v="20.39"/>
  </r>
  <r>
    <x v="9"/>
    <x v="3"/>
    <x v="49"/>
    <x v="4"/>
    <x v="0"/>
    <x v="1"/>
    <n v="6.72"/>
    <n v="6.72"/>
    <n v="1.59"/>
    <n v="6.06"/>
  </r>
  <r>
    <x v="9"/>
    <x v="3"/>
    <x v="49"/>
    <x v="2"/>
    <x v="3"/>
    <x v="3"/>
    <n v="1484.51"/>
    <n v="1484.51"/>
    <n v="0.5"/>
    <n v="1468.32"/>
  </r>
  <r>
    <x v="9"/>
    <x v="3"/>
    <x v="49"/>
    <x v="2"/>
    <x v="3"/>
    <x v="2"/>
    <n v="152.13"/>
    <n v="152.13"/>
    <n v="0.21"/>
    <n v="138.97999999999999"/>
  </r>
  <r>
    <x v="9"/>
    <x v="3"/>
    <x v="49"/>
    <x v="2"/>
    <x v="1"/>
    <x v="2"/>
    <n v="2.02"/>
    <n v="2.02"/>
    <n v="0"/>
    <n v="1.9"/>
  </r>
  <r>
    <x v="9"/>
    <x v="3"/>
    <x v="49"/>
    <x v="1"/>
    <x v="4"/>
    <x v="2"/>
    <n v="2.4900000000000002"/>
    <n v="2.4900000000000002"/>
    <n v="0.15"/>
    <n v="2.23"/>
  </r>
  <r>
    <x v="9"/>
    <x v="3"/>
    <x v="49"/>
    <x v="4"/>
    <x v="2"/>
    <x v="2"/>
    <n v="9.6999999999999993"/>
    <n v="9.6999999999999993"/>
    <n v="0.1"/>
    <n v="8.68"/>
  </r>
  <r>
    <x v="9"/>
    <x v="3"/>
    <x v="49"/>
    <x v="4"/>
    <x v="1"/>
    <x v="2"/>
    <n v="6.11"/>
    <n v="6.11"/>
    <n v="0.09"/>
    <n v="5.47"/>
  </r>
  <r>
    <x v="9"/>
    <x v="3"/>
    <x v="49"/>
    <x v="4"/>
    <x v="4"/>
    <x v="2"/>
    <n v="13.58"/>
    <n v="13.58"/>
    <n v="0.52"/>
    <n v="12.19"/>
  </r>
  <r>
    <x v="9"/>
    <x v="3"/>
    <x v="49"/>
    <x v="1"/>
    <x v="2"/>
    <x v="2"/>
    <n v="0.1"/>
    <n v="0.1"/>
    <n v="0.01"/>
    <n v="0.09"/>
  </r>
  <r>
    <x v="9"/>
    <x v="3"/>
    <x v="49"/>
    <x v="0"/>
    <x v="4"/>
    <x v="1"/>
    <n v="4.13"/>
    <n v="4.13"/>
    <n v="0.2"/>
    <n v="3.79"/>
  </r>
  <r>
    <x v="9"/>
    <x v="3"/>
    <x v="49"/>
    <x v="2"/>
    <x v="0"/>
    <x v="0"/>
    <n v="212.87"/>
    <n v="212.87"/>
    <n v="113.74"/>
    <n v="205.83"/>
  </r>
  <r>
    <x v="9"/>
    <x v="3"/>
    <x v="49"/>
    <x v="2"/>
    <x v="3"/>
    <x v="1"/>
    <n v="51.6"/>
    <n v="51.6"/>
    <n v="0.12"/>
    <n v="47.64"/>
  </r>
  <r>
    <x v="9"/>
    <x v="3"/>
    <x v="49"/>
    <x v="4"/>
    <x v="3"/>
    <x v="0"/>
    <n v="65.72"/>
    <n v="65.72"/>
    <n v="1.1599999999999999"/>
    <n v="65.72"/>
  </r>
  <r>
    <x v="9"/>
    <x v="3"/>
    <x v="49"/>
    <x v="2"/>
    <x v="4"/>
    <x v="0"/>
    <n v="317.85000000000002"/>
    <n v="317.85000000000002"/>
    <n v="91.81"/>
    <n v="313.45999999999998"/>
  </r>
  <r>
    <x v="9"/>
    <x v="3"/>
    <x v="49"/>
    <x v="1"/>
    <x v="2"/>
    <x v="0"/>
    <n v="563.78"/>
    <n v="563.78"/>
    <n v="3.54"/>
    <n v="518.39"/>
  </r>
  <r>
    <x v="9"/>
    <x v="3"/>
    <x v="49"/>
    <x v="1"/>
    <x v="1"/>
    <x v="0"/>
    <n v="949.12"/>
    <n v="949.12"/>
    <n v="78.14"/>
    <n v="899.77"/>
  </r>
  <r>
    <x v="9"/>
    <x v="3"/>
    <x v="49"/>
    <x v="1"/>
    <x v="4"/>
    <x v="0"/>
    <n v="7806.41"/>
    <n v="7806.41"/>
    <n v="1530.33"/>
    <n v="7475.03"/>
  </r>
  <r>
    <x v="9"/>
    <x v="3"/>
    <x v="49"/>
    <x v="1"/>
    <x v="0"/>
    <x v="0"/>
    <n v="536.46"/>
    <n v="536.46"/>
    <n v="317.06"/>
    <n v="519.07000000000005"/>
  </r>
  <r>
    <x v="9"/>
    <x v="3"/>
    <x v="49"/>
    <x v="0"/>
    <x v="0"/>
    <x v="0"/>
    <n v="15.84"/>
    <n v="15.84"/>
    <n v="4.54"/>
    <n v="14.78"/>
  </r>
  <r>
    <x v="9"/>
    <x v="3"/>
    <x v="49"/>
    <x v="0"/>
    <x v="4"/>
    <x v="0"/>
    <n v="296.43"/>
    <n v="296.43"/>
    <n v="122.21"/>
    <n v="288.29000000000002"/>
  </r>
  <r>
    <x v="9"/>
    <x v="3"/>
    <x v="49"/>
    <x v="2"/>
    <x v="2"/>
    <x v="0"/>
    <n v="0.81"/>
    <n v="0.81"/>
    <n v="0.08"/>
    <n v="0.81"/>
  </r>
  <r>
    <x v="10"/>
    <x v="0"/>
    <x v="0"/>
    <x v="4"/>
    <x v="1"/>
    <x v="1"/>
    <n v="0.02"/>
    <n v="0.08"/>
    <n v="0"/>
    <n v="0.02"/>
  </r>
  <r>
    <x v="10"/>
    <x v="0"/>
    <x v="0"/>
    <x v="4"/>
    <x v="4"/>
    <x v="1"/>
    <n v="0.09"/>
    <n v="0.33"/>
    <n v="0.01"/>
    <n v="0.09"/>
  </r>
  <r>
    <x v="10"/>
    <x v="0"/>
    <x v="0"/>
    <x v="4"/>
    <x v="1"/>
    <x v="0"/>
    <n v="2"/>
    <n v="6.95"/>
    <n v="0.46"/>
    <n v="1.88"/>
  </r>
  <r>
    <x v="10"/>
    <x v="0"/>
    <x v="0"/>
    <x v="4"/>
    <x v="3"/>
    <x v="0"/>
    <n v="4.7699999999999996"/>
    <n v="16.579999999999998"/>
    <n v="0.08"/>
    <n v="4.7699999999999996"/>
  </r>
  <r>
    <x v="10"/>
    <x v="0"/>
    <x v="0"/>
    <x v="0"/>
    <x v="4"/>
    <x v="0"/>
    <n v="2.68"/>
    <n v="9.32"/>
    <n v="1.1499999999999999"/>
    <n v="2.58"/>
  </r>
  <r>
    <x v="10"/>
    <x v="0"/>
    <x v="0"/>
    <x v="0"/>
    <x v="4"/>
    <x v="1"/>
    <n v="0.4"/>
    <n v="1.38"/>
    <n v="0.01"/>
    <n v="0.38"/>
  </r>
  <r>
    <x v="10"/>
    <x v="0"/>
    <x v="0"/>
    <x v="0"/>
    <x v="0"/>
    <x v="1"/>
    <n v="0.61"/>
    <n v="2.13"/>
    <n v="0.02"/>
    <n v="0.59"/>
  </r>
  <r>
    <x v="10"/>
    <x v="0"/>
    <x v="0"/>
    <x v="2"/>
    <x v="0"/>
    <x v="0"/>
    <n v="0.96"/>
    <n v="3.33"/>
    <n v="1.34"/>
    <n v="0.9"/>
  </r>
  <r>
    <x v="10"/>
    <x v="0"/>
    <x v="0"/>
    <x v="1"/>
    <x v="0"/>
    <x v="1"/>
    <n v="0.04"/>
    <n v="0.12"/>
    <n v="0"/>
    <n v="0.03"/>
  </r>
  <r>
    <x v="10"/>
    <x v="0"/>
    <x v="0"/>
    <x v="1"/>
    <x v="1"/>
    <x v="2"/>
    <n v="7.0000000000000007E-2"/>
    <n v="0.24"/>
    <n v="0"/>
    <n v="0.06"/>
  </r>
  <r>
    <x v="10"/>
    <x v="0"/>
    <x v="0"/>
    <x v="1"/>
    <x v="4"/>
    <x v="1"/>
    <n v="0.11"/>
    <n v="0.4"/>
    <n v="0.01"/>
    <n v="0.11"/>
  </r>
  <r>
    <x v="10"/>
    <x v="0"/>
    <x v="0"/>
    <x v="0"/>
    <x v="0"/>
    <x v="0"/>
    <n v="0.4"/>
    <n v="1.4"/>
    <n v="0.93"/>
    <n v="0.38"/>
  </r>
  <r>
    <x v="10"/>
    <x v="0"/>
    <x v="0"/>
    <x v="4"/>
    <x v="4"/>
    <x v="0"/>
    <n v="6.12"/>
    <n v="21.27"/>
    <n v="2.5099999999999998"/>
    <n v="5.76"/>
  </r>
  <r>
    <x v="10"/>
    <x v="0"/>
    <x v="0"/>
    <x v="4"/>
    <x v="0"/>
    <x v="1"/>
    <n v="0.52"/>
    <n v="1.8"/>
    <n v="0.04"/>
    <n v="0.49"/>
  </r>
  <r>
    <x v="10"/>
    <x v="0"/>
    <x v="0"/>
    <x v="3"/>
    <x v="1"/>
    <x v="0"/>
    <n v="0"/>
    <n v="0.01"/>
    <n v="0"/>
    <n v="0"/>
  </r>
  <r>
    <x v="10"/>
    <x v="0"/>
    <x v="0"/>
    <x v="3"/>
    <x v="4"/>
    <x v="0"/>
    <n v="3.87"/>
    <n v="13.46"/>
    <n v="1.31"/>
    <n v="3.67"/>
  </r>
  <r>
    <x v="10"/>
    <x v="0"/>
    <x v="0"/>
    <x v="2"/>
    <x v="3"/>
    <x v="2"/>
    <n v="0"/>
    <n v="0.01"/>
    <n v="0"/>
    <n v="0"/>
  </r>
  <r>
    <x v="10"/>
    <x v="0"/>
    <x v="0"/>
    <x v="1"/>
    <x v="4"/>
    <x v="2"/>
    <n v="0.09"/>
    <n v="0.33"/>
    <n v="0.01"/>
    <n v="0.09"/>
  </r>
  <r>
    <x v="10"/>
    <x v="0"/>
    <x v="0"/>
    <x v="4"/>
    <x v="2"/>
    <x v="2"/>
    <n v="0"/>
    <n v="0.02"/>
    <n v="0"/>
    <n v="0"/>
  </r>
  <r>
    <x v="10"/>
    <x v="0"/>
    <x v="0"/>
    <x v="4"/>
    <x v="1"/>
    <x v="2"/>
    <n v="0.01"/>
    <n v="0.03"/>
    <n v="0"/>
    <n v="0.01"/>
  </r>
  <r>
    <x v="10"/>
    <x v="0"/>
    <x v="0"/>
    <x v="4"/>
    <x v="4"/>
    <x v="2"/>
    <n v="0.01"/>
    <n v="0.05"/>
    <n v="0"/>
    <n v="0.01"/>
  </r>
  <r>
    <x v="10"/>
    <x v="0"/>
    <x v="0"/>
    <x v="1"/>
    <x v="0"/>
    <x v="0"/>
    <n v="1.59"/>
    <n v="5.54"/>
    <n v="0.85"/>
    <n v="1.52"/>
  </r>
  <r>
    <x v="10"/>
    <x v="0"/>
    <x v="0"/>
    <x v="1"/>
    <x v="1"/>
    <x v="1"/>
    <n v="2"/>
    <n v="6.97"/>
    <n v="0.08"/>
    <n v="1.92"/>
  </r>
  <r>
    <x v="10"/>
    <x v="0"/>
    <x v="0"/>
    <x v="1"/>
    <x v="2"/>
    <x v="1"/>
    <n v="2.77"/>
    <n v="9.64"/>
    <n v="0.02"/>
    <n v="2.64"/>
  </r>
  <r>
    <x v="10"/>
    <x v="0"/>
    <x v="0"/>
    <x v="2"/>
    <x v="3"/>
    <x v="3"/>
    <n v="1.1000000000000001"/>
    <n v="3.81"/>
    <n v="0"/>
    <n v="1.03"/>
  </r>
  <r>
    <x v="10"/>
    <x v="0"/>
    <x v="0"/>
    <x v="2"/>
    <x v="4"/>
    <x v="0"/>
    <n v="0.85"/>
    <n v="2.94"/>
    <n v="0.39"/>
    <n v="0.8"/>
  </r>
  <r>
    <x v="10"/>
    <x v="0"/>
    <x v="0"/>
    <x v="1"/>
    <x v="1"/>
    <x v="0"/>
    <n v="5.2"/>
    <n v="18.09"/>
    <n v="0.46"/>
    <n v="4.92"/>
  </r>
  <r>
    <x v="10"/>
    <x v="0"/>
    <x v="0"/>
    <x v="1"/>
    <x v="4"/>
    <x v="0"/>
    <n v="27.57"/>
    <n v="95.87"/>
    <n v="6.92"/>
    <n v="26.17"/>
  </r>
  <r>
    <x v="10"/>
    <x v="0"/>
    <x v="0"/>
    <x v="1"/>
    <x v="2"/>
    <x v="0"/>
    <n v="3.12"/>
    <n v="10.84"/>
    <n v="7.0000000000000007E-2"/>
    <n v="2.95"/>
  </r>
  <r>
    <x v="10"/>
    <x v="0"/>
    <x v="0"/>
    <x v="4"/>
    <x v="0"/>
    <x v="0"/>
    <n v="0.05"/>
    <n v="0.19"/>
    <n v="0.05"/>
    <n v="0.05"/>
  </r>
  <r>
    <x v="10"/>
    <x v="1"/>
    <x v="1"/>
    <x v="4"/>
    <x v="1"/>
    <x v="1"/>
    <n v="1.31"/>
    <n v="1.59"/>
    <n v="0.1"/>
    <n v="1.1200000000000001"/>
  </r>
  <r>
    <x v="10"/>
    <x v="1"/>
    <x v="1"/>
    <x v="2"/>
    <x v="3"/>
    <x v="0"/>
    <n v="9.86"/>
    <n v="11.96"/>
    <n v="0.08"/>
    <n v="9.86"/>
  </r>
  <r>
    <x v="10"/>
    <x v="1"/>
    <x v="1"/>
    <x v="4"/>
    <x v="4"/>
    <x v="2"/>
    <n v="0.05"/>
    <n v="0.06"/>
    <n v="0.01"/>
    <n v="0.05"/>
  </r>
  <r>
    <x v="10"/>
    <x v="1"/>
    <x v="1"/>
    <x v="4"/>
    <x v="1"/>
    <x v="2"/>
    <n v="0.2"/>
    <n v="0.24"/>
    <n v="0.01"/>
    <n v="0.16"/>
  </r>
  <r>
    <x v="10"/>
    <x v="1"/>
    <x v="1"/>
    <x v="1"/>
    <x v="4"/>
    <x v="2"/>
    <n v="0.1"/>
    <n v="0.13"/>
    <n v="0"/>
    <n v="0.08"/>
  </r>
  <r>
    <x v="10"/>
    <x v="1"/>
    <x v="1"/>
    <x v="1"/>
    <x v="1"/>
    <x v="2"/>
    <n v="0.39"/>
    <n v="0.47"/>
    <n v="0.01"/>
    <n v="0.31"/>
  </r>
  <r>
    <x v="10"/>
    <x v="1"/>
    <x v="1"/>
    <x v="2"/>
    <x v="3"/>
    <x v="2"/>
    <n v="0.04"/>
    <n v="0.05"/>
    <n v="0.01"/>
    <n v="0.04"/>
  </r>
  <r>
    <x v="10"/>
    <x v="1"/>
    <x v="1"/>
    <x v="2"/>
    <x v="3"/>
    <x v="3"/>
    <n v="26.4"/>
    <n v="32.04"/>
    <n v="0.02"/>
    <n v="22.8"/>
  </r>
  <r>
    <x v="10"/>
    <x v="1"/>
    <x v="1"/>
    <x v="4"/>
    <x v="4"/>
    <x v="1"/>
    <n v="1.87"/>
    <n v="2.27"/>
    <n v="0.12"/>
    <n v="1.57"/>
  </r>
  <r>
    <x v="10"/>
    <x v="1"/>
    <x v="1"/>
    <x v="0"/>
    <x v="0"/>
    <x v="1"/>
    <n v="0.88"/>
    <n v="1.06"/>
    <n v="0.04"/>
    <n v="0.77"/>
  </r>
  <r>
    <x v="10"/>
    <x v="1"/>
    <x v="1"/>
    <x v="0"/>
    <x v="4"/>
    <x v="1"/>
    <n v="2"/>
    <n v="2.4300000000000002"/>
    <n v="0.04"/>
    <n v="1.68"/>
  </r>
  <r>
    <x v="10"/>
    <x v="1"/>
    <x v="1"/>
    <x v="1"/>
    <x v="0"/>
    <x v="1"/>
    <n v="3.01"/>
    <n v="3.66"/>
    <n v="0.16"/>
    <n v="2.57"/>
  </r>
  <r>
    <x v="10"/>
    <x v="1"/>
    <x v="1"/>
    <x v="1"/>
    <x v="4"/>
    <x v="1"/>
    <n v="0.5"/>
    <n v="0.61"/>
    <n v="0.02"/>
    <n v="0.43"/>
  </r>
  <r>
    <x v="10"/>
    <x v="1"/>
    <x v="1"/>
    <x v="1"/>
    <x v="1"/>
    <x v="1"/>
    <n v="0.65"/>
    <n v="0.79"/>
    <n v="0.01"/>
    <n v="0.55000000000000004"/>
  </r>
  <r>
    <x v="10"/>
    <x v="1"/>
    <x v="1"/>
    <x v="1"/>
    <x v="2"/>
    <x v="1"/>
    <n v="30.79"/>
    <n v="37.35"/>
    <n v="0.2"/>
    <n v="26.32"/>
  </r>
  <r>
    <x v="10"/>
    <x v="1"/>
    <x v="1"/>
    <x v="1"/>
    <x v="0"/>
    <x v="0"/>
    <n v="6.05"/>
    <n v="7.34"/>
    <n v="4.2"/>
    <n v="5.67"/>
  </r>
  <r>
    <x v="10"/>
    <x v="1"/>
    <x v="1"/>
    <x v="2"/>
    <x v="4"/>
    <x v="0"/>
    <n v="30.14"/>
    <n v="36.58"/>
    <n v="8.14"/>
    <n v="29.53"/>
  </r>
  <r>
    <x v="10"/>
    <x v="1"/>
    <x v="1"/>
    <x v="4"/>
    <x v="0"/>
    <x v="1"/>
    <n v="0.51"/>
    <n v="0.62"/>
    <n v="0.09"/>
    <n v="0.43"/>
  </r>
  <r>
    <x v="10"/>
    <x v="1"/>
    <x v="1"/>
    <x v="2"/>
    <x v="4"/>
    <x v="1"/>
    <n v="1.23"/>
    <n v="1.49"/>
    <n v="0.01"/>
    <n v="1.23"/>
  </r>
  <r>
    <x v="10"/>
    <x v="1"/>
    <x v="1"/>
    <x v="1"/>
    <x v="2"/>
    <x v="0"/>
    <n v="39.53"/>
    <n v="47.97"/>
    <n v="0.23"/>
    <n v="33.68"/>
  </r>
  <r>
    <x v="10"/>
    <x v="1"/>
    <x v="1"/>
    <x v="1"/>
    <x v="4"/>
    <x v="0"/>
    <n v="259.99"/>
    <n v="315.47000000000003"/>
    <n v="40.53"/>
    <n v="235.36"/>
  </r>
  <r>
    <x v="10"/>
    <x v="1"/>
    <x v="1"/>
    <x v="2"/>
    <x v="0"/>
    <x v="0"/>
    <n v="8.66"/>
    <n v="10.5"/>
    <n v="5.52"/>
    <n v="8.57"/>
  </r>
  <r>
    <x v="10"/>
    <x v="1"/>
    <x v="1"/>
    <x v="0"/>
    <x v="4"/>
    <x v="0"/>
    <n v="11.46"/>
    <n v="13.91"/>
    <n v="2.74"/>
    <n v="9.98"/>
  </r>
  <r>
    <x v="10"/>
    <x v="1"/>
    <x v="1"/>
    <x v="0"/>
    <x v="0"/>
    <x v="0"/>
    <n v="9.4"/>
    <n v="11.4"/>
    <n v="5.09"/>
    <n v="8.0500000000000007"/>
  </r>
  <r>
    <x v="10"/>
    <x v="1"/>
    <x v="1"/>
    <x v="4"/>
    <x v="1"/>
    <x v="0"/>
    <n v="56.92"/>
    <n v="69.069999999999993"/>
    <n v="2.2999999999999998"/>
    <n v="51.63"/>
  </r>
  <r>
    <x v="10"/>
    <x v="1"/>
    <x v="1"/>
    <x v="4"/>
    <x v="4"/>
    <x v="0"/>
    <n v="114.71"/>
    <n v="139.19"/>
    <n v="14.28"/>
    <n v="102.84"/>
  </r>
  <r>
    <x v="10"/>
    <x v="1"/>
    <x v="1"/>
    <x v="3"/>
    <x v="4"/>
    <x v="0"/>
    <n v="80.349999999999994"/>
    <n v="97.5"/>
    <n v="13.86"/>
    <n v="79.12"/>
  </r>
  <r>
    <x v="10"/>
    <x v="1"/>
    <x v="1"/>
    <x v="3"/>
    <x v="0"/>
    <x v="0"/>
    <n v="4.57"/>
    <n v="5.54"/>
    <n v="1.49"/>
    <n v="4.57"/>
  </r>
  <r>
    <x v="10"/>
    <x v="1"/>
    <x v="1"/>
    <x v="2"/>
    <x v="3"/>
    <x v="1"/>
    <n v="2.75"/>
    <n v="3.34"/>
    <n v="0.01"/>
    <n v="2.37"/>
  </r>
  <r>
    <x v="10"/>
    <x v="1"/>
    <x v="1"/>
    <x v="1"/>
    <x v="1"/>
    <x v="0"/>
    <n v="41.95"/>
    <n v="50.9"/>
    <n v="2.59"/>
    <n v="37.25"/>
  </r>
  <r>
    <x v="10"/>
    <x v="2"/>
    <x v="2"/>
    <x v="4"/>
    <x v="4"/>
    <x v="2"/>
    <n v="0.22"/>
    <n v="0.24"/>
    <n v="0.01"/>
    <n v="0.19"/>
  </r>
  <r>
    <x v="10"/>
    <x v="2"/>
    <x v="2"/>
    <x v="4"/>
    <x v="1"/>
    <x v="0"/>
    <n v="6.13"/>
    <n v="6.67"/>
    <n v="0.31"/>
    <n v="6"/>
  </r>
  <r>
    <x v="10"/>
    <x v="2"/>
    <x v="2"/>
    <x v="0"/>
    <x v="0"/>
    <x v="0"/>
    <n v="1.63"/>
    <n v="1.78"/>
    <n v="0.65"/>
    <n v="1.54"/>
  </r>
  <r>
    <x v="10"/>
    <x v="2"/>
    <x v="2"/>
    <x v="0"/>
    <x v="4"/>
    <x v="0"/>
    <n v="28.03"/>
    <n v="30.51"/>
    <n v="5.75"/>
    <n v="26.35"/>
  </r>
  <r>
    <x v="10"/>
    <x v="2"/>
    <x v="2"/>
    <x v="4"/>
    <x v="1"/>
    <x v="2"/>
    <n v="0.13"/>
    <n v="0.14000000000000001"/>
    <n v="0"/>
    <n v="0.11"/>
  </r>
  <r>
    <x v="10"/>
    <x v="2"/>
    <x v="2"/>
    <x v="1"/>
    <x v="4"/>
    <x v="0"/>
    <n v="138.93"/>
    <n v="151.24"/>
    <n v="18.82"/>
    <n v="131.13"/>
  </r>
  <r>
    <x v="10"/>
    <x v="2"/>
    <x v="2"/>
    <x v="2"/>
    <x v="3"/>
    <x v="3"/>
    <n v="3.15"/>
    <n v="3.43"/>
    <n v="0"/>
    <n v="3.15"/>
  </r>
  <r>
    <x v="10"/>
    <x v="2"/>
    <x v="2"/>
    <x v="2"/>
    <x v="3"/>
    <x v="0"/>
    <n v="6.62"/>
    <n v="7.21"/>
    <n v="0.05"/>
    <n v="6.62"/>
  </r>
  <r>
    <x v="10"/>
    <x v="2"/>
    <x v="2"/>
    <x v="2"/>
    <x v="4"/>
    <x v="0"/>
    <n v="6.06"/>
    <n v="6.6"/>
    <n v="0.63"/>
    <n v="5.91"/>
  </r>
  <r>
    <x v="10"/>
    <x v="2"/>
    <x v="2"/>
    <x v="2"/>
    <x v="0"/>
    <x v="0"/>
    <n v="3.06"/>
    <n v="3.33"/>
    <n v="1.04"/>
    <n v="2.94"/>
  </r>
  <r>
    <x v="10"/>
    <x v="2"/>
    <x v="2"/>
    <x v="1"/>
    <x v="2"/>
    <x v="0"/>
    <n v="2.87"/>
    <n v="3.13"/>
    <n v="0.06"/>
    <n v="2.66"/>
  </r>
  <r>
    <x v="10"/>
    <x v="2"/>
    <x v="2"/>
    <x v="1"/>
    <x v="0"/>
    <x v="0"/>
    <n v="4.97"/>
    <n v="5.41"/>
    <n v="2.0699999999999998"/>
    <n v="4.8099999999999996"/>
  </r>
  <r>
    <x v="10"/>
    <x v="2"/>
    <x v="2"/>
    <x v="1"/>
    <x v="1"/>
    <x v="0"/>
    <n v="12.11"/>
    <n v="13.19"/>
    <n v="0.65"/>
    <n v="11.56"/>
  </r>
  <r>
    <x v="10"/>
    <x v="2"/>
    <x v="2"/>
    <x v="1"/>
    <x v="4"/>
    <x v="2"/>
    <n v="0.26"/>
    <n v="0.28000000000000003"/>
    <n v="0"/>
    <n v="0.22"/>
  </r>
  <r>
    <x v="10"/>
    <x v="2"/>
    <x v="2"/>
    <x v="4"/>
    <x v="4"/>
    <x v="0"/>
    <n v="43.81"/>
    <n v="47.7"/>
    <n v="4.3099999999999996"/>
    <n v="42"/>
  </r>
  <r>
    <x v="10"/>
    <x v="2"/>
    <x v="2"/>
    <x v="3"/>
    <x v="4"/>
    <x v="0"/>
    <n v="6.46"/>
    <n v="7.03"/>
    <n v="1.28"/>
    <n v="6.29"/>
  </r>
  <r>
    <x v="10"/>
    <x v="2"/>
    <x v="2"/>
    <x v="3"/>
    <x v="0"/>
    <x v="0"/>
    <n v="1.96"/>
    <n v="2.13"/>
    <n v="0.36"/>
    <n v="1.98"/>
  </r>
  <r>
    <x v="10"/>
    <x v="2"/>
    <x v="2"/>
    <x v="2"/>
    <x v="3"/>
    <x v="1"/>
    <n v="0"/>
    <n v="0"/>
    <n v="0"/>
    <n v="0"/>
  </r>
  <r>
    <x v="10"/>
    <x v="2"/>
    <x v="2"/>
    <x v="1"/>
    <x v="2"/>
    <x v="1"/>
    <n v="2.5099999999999998"/>
    <n v="2.73"/>
    <n v="0"/>
    <n v="2.31"/>
  </r>
  <r>
    <x v="10"/>
    <x v="2"/>
    <x v="2"/>
    <x v="1"/>
    <x v="1"/>
    <x v="1"/>
    <n v="1.27"/>
    <n v="1.39"/>
    <n v="0"/>
    <n v="1.1599999999999999"/>
  </r>
  <r>
    <x v="10"/>
    <x v="2"/>
    <x v="2"/>
    <x v="1"/>
    <x v="4"/>
    <x v="1"/>
    <n v="7.0000000000000007E-2"/>
    <n v="7.0000000000000007E-2"/>
    <n v="0"/>
    <n v="0.06"/>
  </r>
  <r>
    <x v="10"/>
    <x v="2"/>
    <x v="2"/>
    <x v="1"/>
    <x v="0"/>
    <x v="1"/>
    <n v="0.41"/>
    <n v="0.45"/>
    <n v="0.02"/>
    <n v="0.4"/>
  </r>
  <r>
    <x v="10"/>
    <x v="2"/>
    <x v="2"/>
    <x v="0"/>
    <x v="4"/>
    <x v="1"/>
    <n v="0.06"/>
    <n v="7.0000000000000007E-2"/>
    <n v="0"/>
    <n v="0.06"/>
  </r>
  <r>
    <x v="10"/>
    <x v="2"/>
    <x v="2"/>
    <x v="0"/>
    <x v="0"/>
    <x v="1"/>
    <n v="0.16"/>
    <n v="0.17"/>
    <n v="0.01"/>
    <n v="0.14000000000000001"/>
  </r>
  <r>
    <x v="10"/>
    <x v="2"/>
    <x v="2"/>
    <x v="4"/>
    <x v="4"/>
    <x v="1"/>
    <n v="0.04"/>
    <n v="0.04"/>
    <n v="0"/>
    <n v="0.04"/>
  </r>
  <r>
    <x v="10"/>
    <x v="2"/>
    <x v="2"/>
    <x v="4"/>
    <x v="0"/>
    <x v="1"/>
    <n v="0.01"/>
    <n v="0.01"/>
    <n v="0"/>
    <n v="0.01"/>
  </r>
  <r>
    <x v="10"/>
    <x v="2"/>
    <x v="2"/>
    <x v="4"/>
    <x v="2"/>
    <x v="2"/>
    <n v="0.02"/>
    <n v="0.02"/>
    <n v="0"/>
    <n v="0.01"/>
  </r>
  <r>
    <x v="10"/>
    <x v="2"/>
    <x v="3"/>
    <x v="0"/>
    <x v="4"/>
    <x v="1"/>
    <n v="0.27"/>
    <n v="0.28999999999999998"/>
    <n v="0.01"/>
    <n v="0.24"/>
  </r>
  <r>
    <x v="10"/>
    <x v="2"/>
    <x v="3"/>
    <x v="4"/>
    <x v="1"/>
    <x v="0"/>
    <n v="4.3499999999999996"/>
    <n v="4.7300000000000004"/>
    <n v="0.24"/>
    <n v="4.07"/>
  </r>
  <r>
    <x v="10"/>
    <x v="2"/>
    <x v="3"/>
    <x v="4"/>
    <x v="4"/>
    <x v="0"/>
    <n v="42.44"/>
    <n v="46.2"/>
    <n v="4.0599999999999996"/>
    <n v="39.82"/>
  </r>
  <r>
    <x v="10"/>
    <x v="2"/>
    <x v="3"/>
    <x v="3"/>
    <x v="4"/>
    <x v="0"/>
    <n v="5.44"/>
    <n v="5.92"/>
    <n v="1.1499999999999999"/>
    <n v="5.21"/>
  </r>
  <r>
    <x v="10"/>
    <x v="2"/>
    <x v="3"/>
    <x v="3"/>
    <x v="0"/>
    <x v="0"/>
    <n v="2.46"/>
    <n v="2.67"/>
    <n v="0.45"/>
    <n v="2.44"/>
  </r>
  <r>
    <x v="10"/>
    <x v="2"/>
    <x v="3"/>
    <x v="2"/>
    <x v="3"/>
    <x v="1"/>
    <n v="0.3"/>
    <n v="0.32"/>
    <n v="0"/>
    <n v="0.27"/>
  </r>
  <r>
    <x v="10"/>
    <x v="2"/>
    <x v="3"/>
    <x v="1"/>
    <x v="2"/>
    <x v="1"/>
    <n v="0.78"/>
    <n v="0.85"/>
    <n v="0.01"/>
    <n v="0.74"/>
  </r>
  <r>
    <x v="10"/>
    <x v="2"/>
    <x v="3"/>
    <x v="1"/>
    <x v="1"/>
    <x v="1"/>
    <n v="3.58"/>
    <n v="3.9"/>
    <n v="0.01"/>
    <n v="3.37"/>
  </r>
  <r>
    <x v="10"/>
    <x v="2"/>
    <x v="3"/>
    <x v="1"/>
    <x v="4"/>
    <x v="0"/>
    <n v="105.9"/>
    <n v="115.28"/>
    <n v="14.33"/>
    <n v="98.81"/>
  </r>
  <r>
    <x v="10"/>
    <x v="2"/>
    <x v="3"/>
    <x v="1"/>
    <x v="0"/>
    <x v="1"/>
    <n v="0.03"/>
    <n v="0.03"/>
    <n v="0.02"/>
    <n v="0.03"/>
  </r>
  <r>
    <x v="10"/>
    <x v="2"/>
    <x v="3"/>
    <x v="0"/>
    <x v="4"/>
    <x v="0"/>
    <n v="10.65"/>
    <n v="11.59"/>
    <n v="2.12"/>
    <n v="9.9"/>
  </r>
  <r>
    <x v="10"/>
    <x v="2"/>
    <x v="3"/>
    <x v="0"/>
    <x v="0"/>
    <x v="1"/>
    <n v="0.24"/>
    <n v="0.26"/>
    <n v="0.01"/>
    <n v="0.22"/>
  </r>
  <r>
    <x v="10"/>
    <x v="2"/>
    <x v="3"/>
    <x v="4"/>
    <x v="4"/>
    <x v="1"/>
    <n v="0.06"/>
    <n v="7.0000000000000007E-2"/>
    <n v="0"/>
    <n v="0.06"/>
  </r>
  <r>
    <x v="10"/>
    <x v="2"/>
    <x v="3"/>
    <x v="4"/>
    <x v="0"/>
    <x v="1"/>
    <n v="0.01"/>
    <n v="0.02"/>
    <n v="0"/>
    <n v="0.01"/>
  </r>
  <r>
    <x v="10"/>
    <x v="2"/>
    <x v="3"/>
    <x v="2"/>
    <x v="3"/>
    <x v="3"/>
    <n v="24.89"/>
    <n v="27.1"/>
    <n v="0.02"/>
    <n v="24.89"/>
  </r>
  <r>
    <x v="10"/>
    <x v="2"/>
    <x v="3"/>
    <x v="2"/>
    <x v="2"/>
    <x v="3"/>
    <n v="0.63"/>
    <n v="0.69"/>
    <n v="0"/>
    <n v="0.63"/>
  </r>
  <r>
    <x v="10"/>
    <x v="2"/>
    <x v="3"/>
    <x v="0"/>
    <x v="0"/>
    <x v="0"/>
    <n v="3.46"/>
    <n v="3.77"/>
    <n v="1.41"/>
    <n v="3.19"/>
  </r>
  <r>
    <x v="10"/>
    <x v="2"/>
    <x v="3"/>
    <x v="1"/>
    <x v="0"/>
    <x v="0"/>
    <n v="8.24"/>
    <n v="8.9700000000000006"/>
    <n v="3.05"/>
    <n v="7.8"/>
  </r>
  <r>
    <x v="10"/>
    <x v="2"/>
    <x v="3"/>
    <x v="1"/>
    <x v="4"/>
    <x v="1"/>
    <n v="0.06"/>
    <n v="0.06"/>
    <n v="0"/>
    <n v="0.05"/>
  </r>
  <r>
    <x v="10"/>
    <x v="2"/>
    <x v="3"/>
    <x v="4"/>
    <x v="1"/>
    <x v="2"/>
    <n v="0.75"/>
    <n v="0.82"/>
    <n v="0"/>
    <n v="0.64"/>
  </r>
  <r>
    <x v="10"/>
    <x v="2"/>
    <x v="3"/>
    <x v="1"/>
    <x v="1"/>
    <x v="2"/>
    <n v="0.04"/>
    <n v="0.04"/>
    <n v="0"/>
    <n v="0.04"/>
  </r>
  <r>
    <x v="10"/>
    <x v="2"/>
    <x v="3"/>
    <x v="4"/>
    <x v="2"/>
    <x v="2"/>
    <n v="0.53"/>
    <n v="0.57999999999999996"/>
    <n v="0"/>
    <n v="0.44"/>
  </r>
  <r>
    <x v="10"/>
    <x v="2"/>
    <x v="3"/>
    <x v="4"/>
    <x v="4"/>
    <x v="2"/>
    <n v="1.64"/>
    <n v="1.79"/>
    <n v="0.01"/>
    <n v="1.39"/>
  </r>
  <r>
    <x v="10"/>
    <x v="2"/>
    <x v="3"/>
    <x v="1"/>
    <x v="1"/>
    <x v="0"/>
    <n v="14.55"/>
    <n v="15.83"/>
    <n v="0.65"/>
    <n v="13.7"/>
  </r>
  <r>
    <x v="10"/>
    <x v="2"/>
    <x v="3"/>
    <x v="1"/>
    <x v="2"/>
    <x v="0"/>
    <n v="7.27"/>
    <n v="7.92"/>
    <n v="0.02"/>
    <n v="6.74"/>
  </r>
  <r>
    <x v="10"/>
    <x v="2"/>
    <x v="3"/>
    <x v="2"/>
    <x v="0"/>
    <x v="0"/>
    <n v="5.42"/>
    <n v="5.9"/>
    <n v="2.0699999999999998"/>
    <n v="5.12"/>
  </r>
  <r>
    <x v="10"/>
    <x v="2"/>
    <x v="3"/>
    <x v="2"/>
    <x v="4"/>
    <x v="0"/>
    <n v="4.75"/>
    <n v="5.17"/>
    <n v="0.45"/>
    <n v="4.47"/>
  </r>
  <r>
    <x v="10"/>
    <x v="2"/>
    <x v="3"/>
    <x v="2"/>
    <x v="3"/>
    <x v="2"/>
    <n v="0.97"/>
    <n v="1.06"/>
    <n v="0"/>
    <n v="0.89"/>
  </r>
  <r>
    <x v="10"/>
    <x v="2"/>
    <x v="3"/>
    <x v="2"/>
    <x v="3"/>
    <x v="0"/>
    <n v="5.25"/>
    <n v="5.71"/>
    <n v="0.04"/>
    <n v="5.25"/>
  </r>
  <r>
    <x v="10"/>
    <x v="2"/>
    <x v="3"/>
    <x v="1"/>
    <x v="4"/>
    <x v="2"/>
    <n v="0.32"/>
    <n v="0.35"/>
    <n v="0.02"/>
    <n v="0.27"/>
  </r>
  <r>
    <x v="10"/>
    <x v="0"/>
    <x v="4"/>
    <x v="1"/>
    <x v="1"/>
    <x v="1"/>
    <n v="2.37"/>
    <n v="3.53"/>
    <n v="0.06"/>
    <n v="2.2599999999999998"/>
  </r>
  <r>
    <x v="10"/>
    <x v="0"/>
    <x v="4"/>
    <x v="1"/>
    <x v="2"/>
    <x v="1"/>
    <n v="25.84"/>
    <n v="38.46"/>
    <n v="0.09"/>
    <n v="24.64"/>
  </r>
  <r>
    <x v="10"/>
    <x v="0"/>
    <x v="4"/>
    <x v="2"/>
    <x v="3"/>
    <x v="1"/>
    <n v="6.11"/>
    <n v="9.1"/>
    <n v="0.01"/>
    <n v="5.83"/>
  </r>
  <r>
    <x v="10"/>
    <x v="0"/>
    <x v="4"/>
    <x v="3"/>
    <x v="0"/>
    <x v="0"/>
    <n v="3.56"/>
    <n v="5.3"/>
    <n v="2.2000000000000002"/>
    <n v="3.56"/>
  </r>
  <r>
    <x v="10"/>
    <x v="0"/>
    <x v="4"/>
    <x v="3"/>
    <x v="4"/>
    <x v="0"/>
    <n v="8.23"/>
    <n v="12.25"/>
    <n v="2.02"/>
    <n v="8.1199999999999992"/>
  </r>
  <r>
    <x v="10"/>
    <x v="0"/>
    <x v="4"/>
    <x v="3"/>
    <x v="1"/>
    <x v="0"/>
    <n v="0.11"/>
    <n v="0.16"/>
    <n v="0.02"/>
    <n v="0.11"/>
  </r>
  <r>
    <x v="10"/>
    <x v="0"/>
    <x v="4"/>
    <x v="4"/>
    <x v="0"/>
    <x v="0"/>
    <n v="0.36"/>
    <n v="0.54"/>
    <n v="0.06"/>
    <n v="0.34"/>
  </r>
  <r>
    <x v="10"/>
    <x v="0"/>
    <x v="4"/>
    <x v="4"/>
    <x v="4"/>
    <x v="0"/>
    <n v="61.8"/>
    <n v="91.98"/>
    <n v="9.69"/>
    <n v="59.69"/>
  </r>
  <r>
    <x v="10"/>
    <x v="0"/>
    <x v="4"/>
    <x v="2"/>
    <x v="3"/>
    <x v="0"/>
    <n v="0.03"/>
    <n v="0.05"/>
    <n v="0"/>
    <n v="0.03"/>
  </r>
  <r>
    <x v="10"/>
    <x v="0"/>
    <x v="4"/>
    <x v="4"/>
    <x v="1"/>
    <x v="0"/>
    <n v="11.08"/>
    <n v="16.489999999999998"/>
    <n v="0.81"/>
    <n v="10.73"/>
  </r>
  <r>
    <x v="10"/>
    <x v="0"/>
    <x v="4"/>
    <x v="0"/>
    <x v="0"/>
    <x v="0"/>
    <n v="4.22"/>
    <n v="6.28"/>
    <n v="2.96"/>
    <n v="4.0999999999999996"/>
  </r>
  <r>
    <x v="10"/>
    <x v="0"/>
    <x v="4"/>
    <x v="0"/>
    <x v="4"/>
    <x v="0"/>
    <n v="34.94"/>
    <n v="52"/>
    <n v="6.39"/>
    <n v="34.36"/>
  </r>
  <r>
    <x v="10"/>
    <x v="0"/>
    <x v="4"/>
    <x v="1"/>
    <x v="0"/>
    <x v="0"/>
    <n v="15.9"/>
    <n v="23.67"/>
    <n v="13.64"/>
    <n v="15.65"/>
  </r>
  <r>
    <x v="10"/>
    <x v="0"/>
    <x v="4"/>
    <x v="1"/>
    <x v="4"/>
    <x v="0"/>
    <n v="183.56"/>
    <n v="273.22000000000003"/>
    <n v="57.54"/>
    <n v="179.3"/>
  </r>
  <r>
    <x v="10"/>
    <x v="0"/>
    <x v="4"/>
    <x v="1"/>
    <x v="2"/>
    <x v="0"/>
    <n v="21.81"/>
    <n v="32.46"/>
    <n v="0.39"/>
    <n v="20.82"/>
  </r>
  <r>
    <x v="10"/>
    <x v="0"/>
    <x v="4"/>
    <x v="2"/>
    <x v="3"/>
    <x v="3"/>
    <n v="156.80000000000001"/>
    <n v="233.39"/>
    <n v="0.06"/>
    <n v="152.44"/>
  </r>
  <r>
    <x v="10"/>
    <x v="0"/>
    <x v="4"/>
    <x v="0"/>
    <x v="4"/>
    <x v="1"/>
    <n v="0.01"/>
    <n v="0.02"/>
    <n v="0"/>
    <n v="0.01"/>
  </r>
  <r>
    <x v="10"/>
    <x v="0"/>
    <x v="4"/>
    <x v="4"/>
    <x v="0"/>
    <x v="1"/>
    <n v="1.94"/>
    <n v="2.89"/>
    <n v="0.11"/>
    <n v="1.85"/>
  </r>
  <r>
    <x v="10"/>
    <x v="0"/>
    <x v="4"/>
    <x v="4"/>
    <x v="4"/>
    <x v="2"/>
    <n v="0.05"/>
    <n v="7.0000000000000007E-2"/>
    <n v="0"/>
    <n v="0.04"/>
  </r>
  <r>
    <x v="10"/>
    <x v="0"/>
    <x v="4"/>
    <x v="4"/>
    <x v="1"/>
    <x v="2"/>
    <n v="0.04"/>
    <n v="0.06"/>
    <n v="0"/>
    <n v="0.04"/>
  </r>
  <r>
    <x v="10"/>
    <x v="0"/>
    <x v="4"/>
    <x v="2"/>
    <x v="0"/>
    <x v="0"/>
    <n v="12.76"/>
    <n v="18.989999999999998"/>
    <n v="15"/>
    <n v="12.42"/>
  </r>
  <r>
    <x v="10"/>
    <x v="0"/>
    <x v="4"/>
    <x v="4"/>
    <x v="4"/>
    <x v="1"/>
    <n v="0.27"/>
    <n v="0.4"/>
    <n v="0.02"/>
    <n v="0.26"/>
  </r>
  <r>
    <x v="10"/>
    <x v="0"/>
    <x v="4"/>
    <x v="2"/>
    <x v="4"/>
    <x v="0"/>
    <n v="29.17"/>
    <n v="43.41"/>
    <n v="11.12"/>
    <n v="28.83"/>
  </r>
  <r>
    <x v="10"/>
    <x v="0"/>
    <x v="4"/>
    <x v="0"/>
    <x v="0"/>
    <x v="1"/>
    <n v="6.34"/>
    <n v="9.43"/>
    <n v="0.14000000000000001"/>
    <n v="6.04"/>
  </r>
  <r>
    <x v="10"/>
    <x v="0"/>
    <x v="4"/>
    <x v="1"/>
    <x v="4"/>
    <x v="1"/>
    <n v="0.4"/>
    <n v="0.59"/>
    <n v="0.01"/>
    <n v="0.37"/>
  </r>
  <r>
    <x v="10"/>
    <x v="0"/>
    <x v="4"/>
    <x v="1"/>
    <x v="0"/>
    <x v="1"/>
    <n v="1.21"/>
    <n v="1.8"/>
    <n v="0.06"/>
    <n v="1.1499999999999999"/>
  </r>
  <r>
    <x v="10"/>
    <x v="0"/>
    <x v="4"/>
    <x v="4"/>
    <x v="2"/>
    <x v="2"/>
    <n v="0.03"/>
    <n v="0.05"/>
    <n v="0"/>
    <n v="0.03"/>
  </r>
  <r>
    <x v="10"/>
    <x v="0"/>
    <x v="4"/>
    <x v="1"/>
    <x v="4"/>
    <x v="2"/>
    <n v="0.05"/>
    <n v="7.0000000000000007E-2"/>
    <n v="0"/>
    <n v="0.05"/>
  </r>
  <r>
    <x v="10"/>
    <x v="0"/>
    <x v="4"/>
    <x v="1"/>
    <x v="1"/>
    <x v="0"/>
    <n v="48.34"/>
    <n v="71.95"/>
    <n v="3.86"/>
    <n v="46.86"/>
  </r>
  <r>
    <x v="10"/>
    <x v="0"/>
    <x v="4"/>
    <x v="2"/>
    <x v="3"/>
    <x v="2"/>
    <n v="0.71"/>
    <n v="1.06"/>
    <n v="0"/>
    <n v="0.68"/>
  </r>
  <r>
    <x v="10"/>
    <x v="0"/>
    <x v="4"/>
    <x v="4"/>
    <x v="1"/>
    <x v="1"/>
    <n v="0.14000000000000001"/>
    <n v="0.21"/>
    <n v="0.01"/>
    <n v="0.13"/>
  </r>
  <r>
    <x v="10"/>
    <x v="3"/>
    <x v="5"/>
    <x v="4"/>
    <x v="1"/>
    <x v="1"/>
    <n v="0.18"/>
    <n v="0.22"/>
    <n v="0.03"/>
    <n v="0.15"/>
  </r>
  <r>
    <x v="10"/>
    <x v="3"/>
    <x v="5"/>
    <x v="2"/>
    <x v="4"/>
    <x v="1"/>
    <n v="0.1"/>
    <n v="0.12"/>
    <n v="0"/>
    <n v="0.08"/>
  </r>
  <r>
    <x v="10"/>
    <x v="3"/>
    <x v="5"/>
    <x v="2"/>
    <x v="4"/>
    <x v="0"/>
    <n v="50.93"/>
    <n v="61.45"/>
    <n v="15.06"/>
    <n v="50.14"/>
  </r>
  <r>
    <x v="10"/>
    <x v="3"/>
    <x v="5"/>
    <x v="2"/>
    <x v="0"/>
    <x v="0"/>
    <n v="48.58"/>
    <n v="58.61"/>
    <n v="20.420000000000002"/>
    <n v="46.52"/>
  </r>
  <r>
    <x v="10"/>
    <x v="3"/>
    <x v="5"/>
    <x v="1"/>
    <x v="4"/>
    <x v="0"/>
    <n v="544.87"/>
    <n v="657.43"/>
    <n v="145.87"/>
    <n v="521.54"/>
  </r>
  <r>
    <x v="10"/>
    <x v="3"/>
    <x v="5"/>
    <x v="1"/>
    <x v="0"/>
    <x v="0"/>
    <n v="46.75"/>
    <n v="56.41"/>
    <n v="32.6"/>
    <n v="45.41"/>
  </r>
  <r>
    <x v="10"/>
    <x v="3"/>
    <x v="5"/>
    <x v="0"/>
    <x v="4"/>
    <x v="0"/>
    <n v="45.65"/>
    <n v="55.08"/>
    <n v="22.12"/>
    <n v="44.13"/>
  </r>
  <r>
    <x v="10"/>
    <x v="3"/>
    <x v="5"/>
    <x v="0"/>
    <x v="0"/>
    <x v="0"/>
    <n v="3.99"/>
    <n v="4.8099999999999996"/>
    <n v="0.6"/>
    <n v="3.73"/>
  </r>
  <r>
    <x v="10"/>
    <x v="3"/>
    <x v="5"/>
    <x v="4"/>
    <x v="1"/>
    <x v="0"/>
    <n v="27.76"/>
    <n v="33.49"/>
    <n v="0.52"/>
    <n v="26.26"/>
  </r>
  <r>
    <x v="10"/>
    <x v="3"/>
    <x v="5"/>
    <x v="4"/>
    <x v="4"/>
    <x v="0"/>
    <n v="216.51"/>
    <n v="261.23"/>
    <n v="26.83"/>
    <n v="204.45"/>
  </r>
  <r>
    <x v="10"/>
    <x v="3"/>
    <x v="5"/>
    <x v="4"/>
    <x v="0"/>
    <x v="0"/>
    <n v="0.85"/>
    <n v="1.03"/>
    <n v="0.7"/>
    <n v="0.79"/>
  </r>
  <r>
    <x v="10"/>
    <x v="3"/>
    <x v="5"/>
    <x v="3"/>
    <x v="4"/>
    <x v="0"/>
    <n v="139.16"/>
    <n v="167.9"/>
    <n v="42.07"/>
    <n v="129.25"/>
  </r>
  <r>
    <x v="10"/>
    <x v="3"/>
    <x v="5"/>
    <x v="4"/>
    <x v="0"/>
    <x v="1"/>
    <n v="0.98"/>
    <n v="1.19"/>
    <n v="0.06"/>
    <n v="0.79"/>
  </r>
  <r>
    <x v="10"/>
    <x v="3"/>
    <x v="5"/>
    <x v="2"/>
    <x v="3"/>
    <x v="1"/>
    <n v="0.67"/>
    <n v="0.81"/>
    <n v="0"/>
    <n v="0.55000000000000004"/>
  </r>
  <r>
    <x v="10"/>
    <x v="3"/>
    <x v="5"/>
    <x v="4"/>
    <x v="4"/>
    <x v="2"/>
    <n v="0.45"/>
    <n v="0.54"/>
    <n v="0.02"/>
    <n v="0.41"/>
  </r>
  <r>
    <x v="10"/>
    <x v="3"/>
    <x v="5"/>
    <x v="1"/>
    <x v="2"/>
    <x v="1"/>
    <n v="5.22"/>
    <n v="6.3"/>
    <n v="0.04"/>
    <n v="4.2"/>
  </r>
  <r>
    <x v="10"/>
    <x v="3"/>
    <x v="5"/>
    <x v="1"/>
    <x v="1"/>
    <x v="1"/>
    <n v="1.52"/>
    <n v="1.84"/>
    <n v="0.03"/>
    <n v="1.23"/>
  </r>
  <r>
    <x v="10"/>
    <x v="3"/>
    <x v="5"/>
    <x v="1"/>
    <x v="4"/>
    <x v="1"/>
    <n v="0.85"/>
    <n v="1.03"/>
    <n v="7.0000000000000007E-2"/>
    <n v="0.69"/>
  </r>
  <r>
    <x v="10"/>
    <x v="3"/>
    <x v="5"/>
    <x v="1"/>
    <x v="0"/>
    <x v="1"/>
    <n v="0.91"/>
    <n v="1.1000000000000001"/>
    <n v="0.09"/>
    <n v="0.74"/>
  </r>
  <r>
    <x v="10"/>
    <x v="3"/>
    <x v="5"/>
    <x v="0"/>
    <x v="4"/>
    <x v="1"/>
    <n v="5.85"/>
    <n v="7.06"/>
    <n v="0.22"/>
    <n v="4.7"/>
  </r>
  <r>
    <x v="10"/>
    <x v="3"/>
    <x v="5"/>
    <x v="0"/>
    <x v="0"/>
    <x v="1"/>
    <n v="3.74"/>
    <n v="4.51"/>
    <n v="0.25"/>
    <n v="3"/>
  </r>
  <r>
    <x v="10"/>
    <x v="3"/>
    <x v="5"/>
    <x v="4"/>
    <x v="4"/>
    <x v="1"/>
    <n v="0.14000000000000001"/>
    <n v="0.17"/>
    <n v="0.02"/>
    <n v="0.12"/>
  </r>
  <r>
    <x v="10"/>
    <x v="3"/>
    <x v="5"/>
    <x v="2"/>
    <x v="3"/>
    <x v="3"/>
    <n v="56.22"/>
    <n v="67.84"/>
    <n v="0.03"/>
    <n v="55.4"/>
  </r>
  <r>
    <x v="10"/>
    <x v="3"/>
    <x v="5"/>
    <x v="2"/>
    <x v="3"/>
    <x v="2"/>
    <n v="3.09"/>
    <n v="3.73"/>
    <n v="0.01"/>
    <n v="2.81"/>
  </r>
  <r>
    <x v="10"/>
    <x v="3"/>
    <x v="5"/>
    <x v="4"/>
    <x v="2"/>
    <x v="2"/>
    <n v="0.22"/>
    <n v="0.27"/>
    <n v="0"/>
    <n v="0.2"/>
  </r>
  <r>
    <x v="10"/>
    <x v="3"/>
    <x v="5"/>
    <x v="4"/>
    <x v="1"/>
    <x v="2"/>
    <n v="0.28999999999999998"/>
    <n v="0.35"/>
    <n v="0.01"/>
    <n v="0.26"/>
  </r>
  <r>
    <x v="10"/>
    <x v="3"/>
    <x v="5"/>
    <x v="3"/>
    <x v="0"/>
    <x v="0"/>
    <n v="61.53"/>
    <n v="74.239999999999995"/>
    <n v="56.69"/>
    <n v="59.96"/>
  </r>
  <r>
    <x v="10"/>
    <x v="0"/>
    <x v="6"/>
    <x v="2"/>
    <x v="4"/>
    <x v="0"/>
    <n v="3.24"/>
    <n v="3.96"/>
    <n v="0.5"/>
    <n v="3.16"/>
  </r>
  <r>
    <x v="10"/>
    <x v="0"/>
    <x v="6"/>
    <x v="3"/>
    <x v="4"/>
    <x v="0"/>
    <n v="4.93"/>
    <n v="6.02"/>
    <n v="1.23"/>
    <n v="4.7"/>
  </r>
  <r>
    <x v="10"/>
    <x v="0"/>
    <x v="6"/>
    <x v="3"/>
    <x v="1"/>
    <x v="0"/>
    <n v="0.04"/>
    <n v="0.04"/>
    <n v="0"/>
    <n v="0.04"/>
  </r>
  <r>
    <x v="10"/>
    <x v="0"/>
    <x v="6"/>
    <x v="4"/>
    <x v="0"/>
    <x v="0"/>
    <n v="0.12"/>
    <n v="0.15"/>
    <n v="0.02"/>
    <n v="0.11"/>
  </r>
  <r>
    <x v="10"/>
    <x v="0"/>
    <x v="6"/>
    <x v="4"/>
    <x v="4"/>
    <x v="0"/>
    <n v="10.210000000000001"/>
    <n v="12.48"/>
    <n v="1.74"/>
    <n v="9.5299999999999994"/>
  </r>
  <r>
    <x v="10"/>
    <x v="0"/>
    <x v="6"/>
    <x v="4"/>
    <x v="1"/>
    <x v="0"/>
    <n v="3.82"/>
    <n v="4.67"/>
    <n v="0.2"/>
    <n v="3.56"/>
  </r>
  <r>
    <x v="10"/>
    <x v="0"/>
    <x v="6"/>
    <x v="4"/>
    <x v="3"/>
    <x v="0"/>
    <n v="14.76"/>
    <n v="18.03"/>
    <n v="0.03"/>
    <n v="14.76"/>
  </r>
  <r>
    <x v="10"/>
    <x v="0"/>
    <x v="6"/>
    <x v="0"/>
    <x v="0"/>
    <x v="0"/>
    <n v="1.2"/>
    <n v="1.47"/>
    <n v="1.03"/>
    <n v="1.1200000000000001"/>
  </r>
  <r>
    <x v="10"/>
    <x v="0"/>
    <x v="6"/>
    <x v="0"/>
    <x v="4"/>
    <x v="0"/>
    <n v="3.87"/>
    <n v="4.7300000000000004"/>
    <n v="0.83"/>
    <n v="3.67"/>
  </r>
  <r>
    <x v="10"/>
    <x v="0"/>
    <x v="6"/>
    <x v="1"/>
    <x v="0"/>
    <x v="0"/>
    <n v="2.04"/>
    <n v="2.4900000000000002"/>
    <n v="1.1100000000000001"/>
    <n v="1.93"/>
  </r>
  <r>
    <x v="10"/>
    <x v="0"/>
    <x v="6"/>
    <x v="1"/>
    <x v="4"/>
    <x v="0"/>
    <n v="43.41"/>
    <n v="53.03"/>
    <n v="10.050000000000001"/>
    <n v="40.840000000000003"/>
  </r>
  <r>
    <x v="10"/>
    <x v="0"/>
    <x v="6"/>
    <x v="1"/>
    <x v="1"/>
    <x v="0"/>
    <n v="6.28"/>
    <n v="7.67"/>
    <n v="0.66"/>
    <n v="5.93"/>
  </r>
  <r>
    <x v="10"/>
    <x v="0"/>
    <x v="6"/>
    <x v="1"/>
    <x v="2"/>
    <x v="0"/>
    <n v="9.2799999999999994"/>
    <n v="11.33"/>
    <n v="0.1"/>
    <n v="8.7100000000000009"/>
  </r>
  <r>
    <x v="10"/>
    <x v="0"/>
    <x v="6"/>
    <x v="0"/>
    <x v="0"/>
    <x v="1"/>
    <n v="1.82"/>
    <n v="2.23"/>
    <n v="0.04"/>
    <n v="1.74"/>
  </r>
  <r>
    <x v="10"/>
    <x v="0"/>
    <x v="6"/>
    <x v="2"/>
    <x v="0"/>
    <x v="0"/>
    <n v="3.01"/>
    <n v="3.68"/>
    <n v="2.0699999999999998"/>
    <n v="2.83"/>
  </r>
  <r>
    <x v="10"/>
    <x v="0"/>
    <x v="6"/>
    <x v="1"/>
    <x v="2"/>
    <x v="1"/>
    <n v="14.82"/>
    <n v="18.100000000000001"/>
    <n v="0.06"/>
    <n v="14.1"/>
  </r>
  <r>
    <x v="10"/>
    <x v="0"/>
    <x v="6"/>
    <x v="3"/>
    <x v="0"/>
    <x v="0"/>
    <n v="2.34"/>
    <n v="2.86"/>
    <n v="1.26"/>
    <n v="2.3199999999999998"/>
  </r>
  <r>
    <x v="10"/>
    <x v="0"/>
    <x v="6"/>
    <x v="4"/>
    <x v="4"/>
    <x v="2"/>
    <n v="0.14000000000000001"/>
    <n v="0.17"/>
    <n v="0"/>
    <n v="0.13"/>
  </r>
  <r>
    <x v="10"/>
    <x v="0"/>
    <x v="6"/>
    <x v="4"/>
    <x v="1"/>
    <x v="2"/>
    <n v="0.42"/>
    <n v="0.52"/>
    <n v="0.01"/>
    <n v="0.4"/>
  </r>
  <r>
    <x v="10"/>
    <x v="0"/>
    <x v="6"/>
    <x v="4"/>
    <x v="2"/>
    <x v="2"/>
    <n v="0.55000000000000004"/>
    <n v="0.67"/>
    <n v="0.01"/>
    <n v="0.51"/>
  </r>
  <r>
    <x v="10"/>
    <x v="0"/>
    <x v="6"/>
    <x v="1"/>
    <x v="4"/>
    <x v="2"/>
    <n v="0.11"/>
    <n v="0.14000000000000001"/>
    <n v="0"/>
    <n v="0.11"/>
  </r>
  <r>
    <x v="10"/>
    <x v="0"/>
    <x v="6"/>
    <x v="2"/>
    <x v="3"/>
    <x v="3"/>
    <n v="3.2"/>
    <n v="3.91"/>
    <n v="0"/>
    <n v="2.91"/>
  </r>
  <r>
    <x v="10"/>
    <x v="0"/>
    <x v="6"/>
    <x v="4"/>
    <x v="0"/>
    <x v="1"/>
    <n v="0.84"/>
    <n v="1.03"/>
    <n v="0.05"/>
    <n v="0.8"/>
  </r>
  <r>
    <x v="10"/>
    <x v="0"/>
    <x v="6"/>
    <x v="4"/>
    <x v="4"/>
    <x v="1"/>
    <n v="0.16"/>
    <n v="0.19"/>
    <n v="0.01"/>
    <n v="0.15"/>
  </r>
  <r>
    <x v="10"/>
    <x v="0"/>
    <x v="6"/>
    <x v="4"/>
    <x v="1"/>
    <x v="1"/>
    <n v="0.04"/>
    <n v="0.05"/>
    <n v="0"/>
    <n v="0.04"/>
  </r>
  <r>
    <x v="10"/>
    <x v="0"/>
    <x v="6"/>
    <x v="0"/>
    <x v="4"/>
    <x v="1"/>
    <n v="0.19"/>
    <n v="0.24"/>
    <n v="0.02"/>
    <n v="0.18"/>
  </r>
  <r>
    <x v="10"/>
    <x v="0"/>
    <x v="6"/>
    <x v="1"/>
    <x v="0"/>
    <x v="1"/>
    <n v="0.2"/>
    <n v="0.25"/>
    <n v="0.01"/>
    <n v="0.19"/>
  </r>
  <r>
    <x v="10"/>
    <x v="0"/>
    <x v="6"/>
    <x v="1"/>
    <x v="4"/>
    <x v="1"/>
    <n v="0.6"/>
    <n v="0.74"/>
    <n v="0.02"/>
    <n v="0.56999999999999995"/>
  </r>
  <r>
    <x v="10"/>
    <x v="0"/>
    <x v="6"/>
    <x v="1"/>
    <x v="1"/>
    <x v="1"/>
    <n v="6.46"/>
    <n v="7.9"/>
    <n v="0.19"/>
    <n v="6.16"/>
  </r>
  <r>
    <x v="10"/>
    <x v="4"/>
    <x v="7"/>
    <x v="0"/>
    <x v="0"/>
    <x v="0"/>
    <n v="85.22"/>
    <n v="89.06"/>
    <n v="52.12"/>
    <n v="75.03"/>
  </r>
  <r>
    <x v="10"/>
    <x v="4"/>
    <x v="7"/>
    <x v="4"/>
    <x v="1"/>
    <x v="1"/>
    <n v="4.78"/>
    <n v="5"/>
    <n v="0.12"/>
    <n v="3.97"/>
  </r>
  <r>
    <x v="10"/>
    <x v="4"/>
    <x v="7"/>
    <x v="4"/>
    <x v="1"/>
    <x v="0"/>
    <n v="119.9"/>
    <n v="125.3"/>
    <n v="12.52"/>
    <n v="108.19"/>
  </r>
  <r>
    <x v="10"/>
    <x v="4"/>
    <x v="7"/>
    <x v="4"/>
    <x v="4"/>
    <x v="0"/>
    <n v="725.71"/>
    <n v="758.39"/>
    <n v="194.89"/>
    <n v="668.06"/>
  </r>
  <r>
    <x v="10"/>
    <x v="4"/>
    <x v="7"/>
    <x v="3"/>
    <x v="1"/>
    <x v="0"/>
    <n v="33.11"/>
    <n v="34.6"/>
    <n v="3.73"/>
    <n v="33.479999999999997"/>
  </r>
  <r>
    <x v="10"/>
    <x v="4"/>
    <x v="7"/>
    <x v="3"/>
    <x v="4"/>
    <x v="0"/>
    <n v="1878.37"/>
    <n v="1962.97"/>
    <n v="502.73"/>
    <n v="1775.4"/>
  </r>
  <r>
    <x v="10"/>
    <x v="4"/>
    <x v="7"/>
    <x v="2"/>
    <x v="3"/>
    <x v="1"/>
    <n v="41.88"/>
    <n v="43.76"/>
    <n v="0.06"/>
    <n v="34.89"/>
  </r>
  <r>
    <x v="10"/>
    <x v="4"/>
    <x v="7"/>
    <x v="0"/>
    <x v="2"/>
    <x v="0"/>
    <n v="10.9"/>
    <n v="11.39"/>
    <n v="0.15"/>
    <n v="8.82"/>
  </r>
  <r>
    <x v="10"/>
    <x v="4"/>
    <x v="7"/>
    <x v="1"/>
    <x v="1"/>
    <x v="1"/>
    <n v="166.33"/>
    <n v="173.82"/>
    <n v="1.04"/>
    <n v="137.47"/>
  </r>
  <r>
    <x v="10"/>
    <x v="4"/>
    <x v="7"/>
    <x v="1"/>
    <x v="4"/>
    <x v="1"/>
    <n v="15.99"/>
    <n v="16.71"/>
    <n v="1.2"/>
    <n v="13.31"/>
  </r>
  <r>
    <x v="10"/>
    <x v="4"/>
    <x v="7"/>
    <x v="1"/>
    <x v="0"/>
    <x v="1"/>
    <n v="17.87"/>
    <n v="18.670000000000002"/>
    <n v="1.74"/>
    <n v="14.84"/>
  </r>
  <r>
    <x v="10"/>
    <x v="4"/>
    <x v="7"/>
    <x v="4"/>
    <x v="3"/>
    <x v="0"/>
    <n v="204.88"/>
    <n v="214.1"/>
    <n v="2.72"/>
    <n v="204.88"/>
  </r>
  <r>
    <x v="10"/>
    <x v="4"/>
    <x v="7"/>
    <x v="0"/>
    <x v="0"/>
    <x v="1"/>
    <n v="30.22"/>
    <n v="31.58"/>
    <n v="2.12"/>
    <n v="24.97"/>
  </r>
  <r>
    <x v="10"/>
    <x v="4"/>
    <x v="7"/>
    <x v="3"/>
    <x v="0"/>
    <x v="0"/>
    <n v="124.51"/>
    <n v="130.11000000000001"/>
    <n v="74.680000000000007"/>
    <n v="125.89"/>
  </r>
  <r>
    <x v="10"/>
    <x v="4"/>
    <x v="7"/>
    <x v="4"/>
    <x v="4"/>
    <x v="1"/>
    <n v="13.49"/>
    <n v="14.1"/>
    <n v="1.49"/>
    <n v="11.15"/>
  </r>
  <r>
    <x v="10"/>
    <x v="4"/>
    <x v="7"/>
    <x v="4"/>
    <x v="0"/>
    <x v="1"/>
    <n v="0.27"/>
    <n v="0.28000000000000003"/>
    <n v="7.0000000000000007E-2"/>
    <n v="0.22"/>
  </r>
  <r>
    <x v="10"/>
    <x v="4"/>
    <x v="7"/>
    <x v="2"/>
    <x v="3"/>
    <x v="3"/>
    <n v="126.67"/>
    <n v="132.37"/>
    <n v="0.1"/>
    <n v="126.48"/>
  </r>
  <r>
    <x v="10"/>
    <x v="4"/>
    <x v="7"/>
    <x v="2"/>
    <x v="3"/>
    <x v="2"/>
    <n v="93.2"/>
    <n v="97.4"/>
    <n v="0.13"/>
    <n v="92.13"/>
  </r>
  <r>
    <x v="10"/>
    <x v="4"/>
    <x v="7"/>
    <x v="1"/>
    <x v="1"/>
    <x v="2"/>
    <n v="2.2599999999999998"/>
    <n v="2.36"/>
    <n v="0.01"/>
    <n v="1.86"/>
  </r>
  <r>
    <x v="10"/>
    <x v="4"/>
    <x v="7"/>
    <x v="1"/>
    <x v="4"/>
    <x v="2"/>
    <n v="3.05"/>
    <n v="3.18"/>
    <n v="0.21"/>
    <n v="2.5099999999999998"/>
  </r>
  <r>
    <x v="10"/>
    <x v="4"/>
    <x v="7"/>
    <x v="4"/>
    <x v="2"/>
    <x v="2"/>
    <n v="16.71"/>
    <n v="17.46"/>
    <n v="0.24"/>
    <n v="13.76"/>
  </r>
  <r>
    <x v="10"/>
    <x v="4"/>
    <x v="7"/>
    <x v="4"/>
    <x v="1"/>
    <x v="2"/>
    <n v="34.15"/>
    <n v="35.69"/>
    <n v="0.8"/>
    <n v="28.13"/>
  </r>
  <r>
    <x v="10"/>
    <x v="4"/>
    <x v="7"/>
    <x v="4"/>
    <x v="4"/>
    <x v="2"/>
    <n v="0.6"/>
    <n v="0.63"/>
    <n v="0.19"/>
    <n v="0.5"/>
  </r>
  <r>
    <x v="10"/>
    <x v="4"/>
    <x v="7"/>
    <x v="0"/>
    <x v="4"/>
    <x v="1"/>
    <n v="139.62"/>
    <n v="145.91"/>
    <n v="1.47"/>
    <n v="115.37"/>
  </r>
  <r>
    <x v="10"/>
    <x v="4"/>
    <x v="7"/>
    <x v="2"/>
    <x v="4"/>
    <x v="0"/>
    <n v="251.52"/>
    <n v="262.83999999999997"/>
    <n v="74.22"/>
    <n v="232.18"/>
  </r>
  <r>
    <x v="10"/>
    <x v="4"/>
    <x v="7"/>
    <x v="0"/>
    <x v="4"/>
    <x v="0"/>
    <n v="398.79"/>
    <n v="416.76"/>
    <n v="121.39"/>
    <n v="355.58"/>
  </r>
  <r>
    <x v="10"/>
    <x v="4"/>
    <x v="7"/>
    <x v="1"/>
    <x v="0"/>
    <x v="0"/>
    <n v="94.71"/>
    <n v="98.98"/>
    <n v="78.290000000000006"/>
    <n v="88.39"/>
  </r>
  <r>
    <x v="10"/>
    <x v="4"/>
    <x v="7"/>
    <x v="1"/>
    <x v="4"/>
    <x v="0"/>
    <n v="6837.4"/>
    <n v="7145.34"/>
    <n v="1858.35"/>
    <n v="6254.73"/>
  </r>
  <r>
    <x v="10"/>
    <x v="4"/>
    <x v="7"/>
    <x v="1"/>
    <x v="2"/>
    <x v="1"/>
    <n v="329.81"/>
    <n v="344.67"/>
    <n v="0.72"/>
    <n v="272.60000000000002"/>
  </r>
  <r>
    <x v="10"/>
    <x v="4"/>
    <x v="7"/>
    <x v="1"/>
    <x v="1"/>
    <x v="0"/>
    <n v="2915.99"/>
    <n v="3047.32"/>
    <n v="291.29000000000002"/>
    <n v="2589.98"/>
  </r>
  <r>
    <x v="10"/>
    <x v="4"/>
    <x v="7"/>
    <x v="1"/>
    <x v="2"/>
    <x v="0"/>
    <n v="369.84"/>
    <n v="386.5"/>
    <n v="9.32"/>
    <n v="320.61"/>
  </r>
  <r>
    <x v="10"/>
    <x v="4"/>
    <x v="7"/>
    <x v="2"/>
    <x v="0"/>
    <x v="0"/>
    <n v="198.48"/>
    <n v="207.42"/>
    <n v="230.69"/>
    <n v="182.97"/>
  </r>
  <r>
    <x v="10"/>
    <x v="0"/>
    <x v="8"/>
    <x v="4"/>
    <x v="4"/>
    <x v="2"/>
    <n v="0.11"/>
    <n v="0.16"/>
    <n v="0"/>
    <n v="0.1"/>
  </r>
  <r>
    <x v="10"/>
    <x v="0"/>
    <x v="8"/>
    <x v="4"/>
    <x v="1"/>
    <x v="2"/>
    <n v="0.7"/>
    <n v="1.08"/>
    <n v="0.02"/>
    <n v="0.65"/>
  </r>
  <r>
    <x v="10"/>
    <x v="0"/>
    <x v="8"/>
    <x v="2"/>
    <x v="3"/>
    <x v="3"/>
    <n v="1.62"/>
    <n v="2.4700000000000002"/>
    <n v="0"/>
    <n v="1.47"/>
  </r>
  <r>
    <x v="10"/>
    <x v="0"/>
    <x v="8"/>
    <x v="4"/>
    <x v="0"/>
    <x v="1"/>
    <n v="0.32"/>
    <n v="0.49"/>
    <n v="0.02"/>
    <n v="0.3"/>
  </r>
  <r>
    <x v="10"/>
    <x v="0"/>
    <x v="8"/>
    <x v="4"/>
    <x v="4"/>
    <x v="1"/>
    <n v="0.12"/>
    <n v="0.19"/>
    <n v="0.01"/>
    <n v="0.12"/>
  </r>
  <r>
    <x v="10"/>
    <x v="0"/>
    <x v="8"/>
    <x v="4"/>
    <x v="1"/>
    <x v="1"/>
    <n v="0.02"/>
    <n v="0.03"/>
    <n v="0"/>
    <n v="0.02"/>
  </r>
  <r>
    <x v="10"/>
    <x v="0"/>
    <x v="8"/>
    <x v="0"/>
    <x v="0"/>
    <x v="1"/>
    <n v="0.44"/>
    <n v="0.68"/>
    <n v="0.01"/>
    <n v="0.42"/>
  </r>
  <r>
    <x v="10"/>
    <x v="0"/>
    <x v="8"/>
    <x v="3"/>
    <x v="4"/>
    <x v="0"/>
    <n v="6.61"/>
    <n v="10.1"/>
    <n v="2.36"/>
    <n v="6.37"/>
  </r>
  <r>
    <x v="10"/>
    <x v="0"/>
    <x v="8"/>
    <x v="1"/>
    <x v="0"/>
    <x v="1"/>
    <n v="7.0000000000000007E-2"/>
    <n v="0.1"/>
    <n v="0"/>
    <n v="0.06"/>
  </r>
  <r>
    <x v="10"/>
    <x v="0"/>
    <x v="8"/>
    <x v="0"/>
    <x v="4"/>
    <x v="0"/>
    <n v="4.63"/>
    <n v="7.08"/>
    <n v="1.42"/>
    <n v="4.4400000000000004"/>
  </r>
  <r>
    <x v="10"/>
    <x v="0"/>
    <x v="8"/>
    <x v="1"/>
    <x v="4"/>
    <x v="1"/>
    <n v="0.09"/>
    <n v="0.14000000000000001"/>
    <n v="0"/>
    <n v="0.09"/>
  </r>
  <r>
    <x v="10"/>
    <x v="0"/>
    <x v="8"/>
    <x v="1"/>
    <x v="1"/>
    <x v="1"/>
    <n v="1.1599999999999999"/>
    <n v="1.78"/>
    <n v="0.03"/>
    <n v="1.1100000000000001"/>
  </r>
  <r>
    <x v="10"/>
    <x v="0"/>
    <x v="8"/>
    <x v="0"/>
    <x v="4"/>
    <x v="1"/>
    <n v="7.0000000000000007E-2"/>
    <n v="0.11"/>
    <n v="0.01"/>
    <n v="7.0000000000000007E-2"/>
  </r>
  <r>
    <x v="10"/>
    <x v="0"/>
    <x v="8"/>
    <x v="3"/>
    <x v="1"/>
    <x v="0"/>
    <n v="0.03"/>
    <n v="0.05"/>
    <n v="0"/>
    <n v="0.03"/>
  </r>
  <r>
    <x v="10"/>
    <x v="0"/>
    <x v="8"/>
    <x v="4"/>
    <x v="0"/>
    <x v="0"/>
    <n v="0.19"/>
    <n v="0.28999999999999998"/>
    <n v="0.03"/>
    <n v="0.18"/>
  </r>
  <r>
    <x v="10"/>
    <x v="0"/>
    <x v="8"/>
    <x v="4"/>
    <x v="4"/>
    <x v="0"/>
    <n v="8.84"/>
    <n v="13.51"/>
    <n v="2.5099999999999998"/>
    <n v="8.4600000000000009"/>
  </r>
  <r>
    <x v="10"/>
    <x v="0"/>
    <x v="8"/>
    <x v="0"/>
    <x v="0"/>
    <x v="0"/>
    <n v="2.38"/>
    <n v="3.64"/>
    <n v="2.21"/>
    <n v="2.2400000000000002"/>
  </r>
  <r>
    <x v="10"/>
    <x v="0"/>
    <x v="8"/>
    <x v="1"/>
    <x v="0"/>
    <x v="0"/>
    <n v="3.07"/>
    <n v="4.7"/>
    <n v="1.64"/>
    <n v="3.01"/>
  </r>
  <r>
    <x v="10"/>
    <x v="0"/>
    <x v="8"/>
    <x v="1"/>
    <x v="4"/>
    <x v="0"/>
    <n v="28.62"/>
    <n v="43.75"/>
    <n v="10.1"/>
    <n v="27.8"/>
  </r>
  <r>
    <x v="10"/>
    <x v="0"/>
    <x v="8"/>
    <x v="1"/>
    <x v="1"/>
    <x v="0"/>
    <n v="10.49"/>
    <n v="16.04"/>
    <n v="0.68"/>
    <n v="10.24"/>
  </r>
  <r>
    <x v="10"/>
    <x v="0"/>
    <x v="8"/>
    <x v="1"/>
    <x v="2"/>
    <x v="0"/>
    <n v="6.74"/>
    <n v="10.3"/>
    <n v="0.12"/>
    <n v="6.58"/>
  </r>
  <r>
    <x v="10"/>
    <x v="0"/>
    <x v="8"/>
    <x v="2"/>
    <x v="0"/>
    <x v="0"/>
    <n v="2.36"/>
    <n v="3.6"/>
    <n v="1.87"/>
    <n v="2.3199999999999998"/>
  </r>
  <r>
    <x v="10"/>
    <x v="0"/>
    <x v="8"/>
    <x v="2"/>
    <x v="4"/>
    <x v="0"/>
    <n v="0.92"/>
    <n v="1.4"/>
    <n v="0.28999999999999998"/>
    <n v="0.91"/>
  </r>
  <r>
    <x v="10"/>
    <x v="0"/>
    <x v="8"/>
    <x v="2"/>
    <x v="3"/>
    <x v="1"/>
    <n v="0"/>
    <n v="0"/>
    <n v="0"/>
    <n v="0"/>
  </r>
  <r>
    <x v="10"/>
    <x v="0"/>
    <x v="8"/>
    <x v="1"/>
    <x v="2"/>
    <x v="1"/>
    <n v="5.7"/>
    <n v="8.7200000000000006"/>
    <n v="0.02"/>
    <n v="5.44"/>
  </r>
  <r>
    <x v="10"/>
    <x v="0"/>
    <x v="8"/>
    <x v="4"/>
    <x v="1"/>
    <x v="0"/>
    <n v="5.51"/>
    <n v="8.43"/>
    <n v="0.44"/>
    <n v="5.31"/>
  </r>
  <r>
    <x v="10"/>
    <x v="5"/>
    <x v="9"/>
    <x v="1"/>
    <x v="4"/>
    <x v="0"/>
    <n v="77.099999999999994"/>
    <n v="82.05"/>
    <n v="17.600000000000001"/>
    <n v="70.459999999999994"/>
  </r>
  <r>
    <x v="10"/>
    <x v="5"/>
    <x v="9"/>
    <x v="2"/>
    <x v="4"/>
    <x v="0"/>
    <n v="2.8"/>
    <n v="2.99"/>
    <n v="0.63"/>
    <n v="2.62"/>
  </r>
  <r>
    <x v="10"/>
    <x v="5"/>
    <x v="9"/>
    <x v="2"/>
    <x v="3"/>
    <x v="0"/>
    <n v="4.08"/>
    <n v="4.34"/>
    <n v="0.04"/>
    <n v="4.08"/>
  </r>
  <r>
    <x v="10"/>
    <x v="5"/>
    <x v="9"/>
    <x v="1"/>
    <x v="1"/>
    <x v="0"/>
    <n v="13.11"/>
    <n v="13.96"/>
    <n v="0.7"/>
    <n v="11.92"/>
  </r>
  <r>
    <x v="10"/>
    <x v="5"/>
    <x v="9"/>
    <x v="1"/>
    <x v="0"/>
    <x v="0"/>
    <n v="4.82"/>
    <n v="5.13"/>
    <n v="2.76"/>
    <n v="4.49"/>
  </r>
  <r>
    <x v="10"/>
    <x v="5"/>
    <x v="9"/>
    <x v="0"/>
    <x v="4"/>
    <x v="0"/>
    <n v="5.35"/>
    <n v="5.69"/>
    <n v="1.59"/>
    <n v="4.93"/>
  </r>
  <r>
    <x v="10"/>
    <x v="5"/>
    <x v="9"/>
    <x v="0"/>
    <x v="0"/>
    <x v="0"/>
    <n v="1.47"/>
    <n v="1.56"/>
    <n v="0.98"/>
    <n v="1.32"/>
  </r>
  <r>
    <x v="10"/>
    <x v="5"/>
    <x v="9"/>
    <x v="4"/>
    <x v="1"/>
    <x v="0"/>
    <n v="2.72"/>
    <n v="2.89"/>
    <n v="0.14000000000000001"/>
    <n v="2.52"/>
  </r>
  <r>
    <x v="10"/>
    <x v="5"/>
    <x v="9"/>
    <x v="4"/>
    <x v="4"/>
    <x v="0"/>
    <n v="22.34"/>
    <n v="23.78"/>
    <n v="2.96"/>
    <n v="20.62"/>
  </r>
  <r>
    <x v="10"/>
    <x v="5"/>
    <x v="9"/>
    <x v="3"/>
    <x v="1"/>
    <x v="0"/>
    <n v="0"/>
    <n v="0"/>
    <n v="0"/>
    <n v="0"/>
  </r>
  <r>
    <x v="10"/>
    <x v="5"/>
    <x v="9"/>
    <x v="3"/>
    <x v="4"/>
    <x v="0"/>
    <n v="2.0299999999999998"/>
    <n v="2.16"/>
    <n v="0.75"/>
    <n v="1.88"/>
  </r>
  <r>
    <x v="10"/>
    <x v="5"/>
    <x v="9"/>
    <x v="3"/>
    <x v="0"/>
    <x v="0"/>
    <n v="1.66"/>
    <n v="1.76"/>
    <n v="0.4"/>
    <n v="1.6"/>
  </r>
  <r>
    <x v="10"/>
    <x v="5"/>
    <x v="9"/>
    <x v="2"/>
    <x v="3"/>
    <x v="1"/>
    <n v="0.33"/>
    <n v="0.35"/>
    <n v="0"/>
    <n v="0.3"/>
  </r>
  <r>
    <x v="10"/>
    <x v="5"/>
    <x v="9"/>
    <x v="1"/>
    <x v="2"/>
    <x v="1"/>
    <n v="1.93"/>
    <n v="2.0499999999999998"/>
    <n v="0.01"/>
    <n v="1.81"/>
  </r>
  <r>
    <x v="10"/>
    <x v="5"/>
    <x v="9"/>
    <x v="2"/>
    <x v="3"/>
    <x v="2"/>
    <n v="7.0000000000000007E-2"/>
    <n v="7.0000000000000007E-2"/>
    <n v="0"/>
    <n v="0.06"/>
  </r>
  <r>
    <x v="10"/>
    <x v="5"/>
    <x v="9"/>
    <x v="2"/>
    <x v="0"/>
    <x v="0"/>
    <n v="2.13"/>
    <n v="2.27"/>
    <n v="1.95"/>
    <n v="1.98"/>
  </r>
  <r>
    <x v="10"/>
    <x v="5"/>
    <x v="9"/>
    <x v="4"/>
    <x v="1"/>
    <x v="2"/>
    <n v="0.33"/>
    <n v="0.36"/>
    <n v="0"/>
    <n v="0.28999999999999998"/>
  </r>
  <r>
    <x v="10"/>
    <x v="5"/>
    <x v="9"/>
    <x v="1"/>
    <x v="1"/>
    <x v="1"/>
    <n v="3.3"/>
    <n v="3.52"/>
    <n v="0.02"/>
    <n v="3.08"/>
  </r>
  <r>
    <x v="10"/>
    <x v="5"/>
    <x v="9"/>
    <x v="1"/>
    <x v="4"/>
    <x v="2"/>
    <n v="0"/>
    <n v="0"/>
    <n v="0"/>
    <n v="0"/>
  </r>
  <r>
    <x v="10"/>
    <x v="5"/>
    <x v="9"/>
    <x v="4"/>
    <x v="4"/>
    <x v="2"/>
    <n v="0.28999999999999998"/>
    <n v="0.31"/>
    <n v="0.01"/>
    <n v="0.25"/>
  </r>
  <r>
    <x v="10"/>
    <x v="5"/>
    <x v="9"/>
    <x v="4"/>
    <x v="0"/>
    <x v="1"/>
    <n v="0.02"/>
    <n v="0.02"/>
    <n v="0"/>
    <n v="0.02"/>
  </r>
  <r>
    <x v="10"/>
    <x v="5"/>
    <x v="9"/>
    <x v="4"/>
    <x v="4"/>
    <x v="1"/>
    <n v="1.72"/>
    <n v="1.83"/>
    <n v="0.02"/>
    <n v="1.57"/>
  </r>
  <r>
    <x v="10"/>
    <x v="5"/>
    <x v="9"/>
    <x v="4"/>
    <x v="1"/>
    <x v="1"/>
    <n v="0.69"/>
    <n v="0.74"/>
    <n v="0"/>
    <n v="0.63"/>
  </r>
  <r>
    <x v="10"/>
    <x v="5"/>
    <x v="9"/>
    <x v="0"/>
    <x v="0"/>
    <x v="1"/>
    <n v="0.95"/>
    <n v="1.01"/>
    <n v="0.02"/>
    <n v="0.86"/>
  </r>
  <r>
    <x v="10"/>
    <x v="5"/>
    <x v="9"/>
    <x v="0"/>
    <x v="4"/>
    <x v="1"/>
    <n v="0.09"/>
    <n v="0.1"/>
    <n v="0.01"/>
    <n v="0.08"/>
  </r>
  <r>
    <x v="10"/>
    <x v="5"/>
    <x v="9"/>
    <x v="1"/>
    <x v="0"/>
    <x v="1"/>
    <n v="0.98"/>
    <n v="1.04"/>
    <n v="0.03"/>
    <n v="0.96"/>
  </r>
  <r>
    <x v="10"/>
    <x v="5"/>
    <x v="9"/>
    <x v="1"/>
    <x v="4"/>
    <x v="1"/>
    <n v="0.18"/>
    <n v="0.19"/>
    <n v="0"/>
    <n v="0.18"/>
  </r>
  <r>
    <x v="10"/>
    <x v="5"/>
    <x v="9"/>
    <x v="4"/>
    <x v="2"/>
    <x v="2"/>
    <n v="0.28999999999999998"/>
    <n v="0.31"/>
    <n v="0"/>
    <n v="0.24"/>
  </r>
  <r>
    <x v="10"/>
    <x v="2"/>
    <x v="10"/>
    <x v="3"/>
    <x v="0"/>
    <x v="0"/>
    <n v="2.14"/>
    <n v="2.33"/>
    <n v="0.38"/>
    <n v="2.13"/>
  </r>
  <r>
    <x v="10"/>
    <x v="2"/>
    <x v="10"/>
    <x v="3"/>
    <x v="4"/>
    <x v="0"/>
    <n v="7.68"/>
    <n v="8.35"/>
    <n v="1.67"/>
    <n v="7.34"/>
  </r>
  <r>
    <x v="10"/>
    <x v="2"/>
    <x v="10"/>
    <x v="4"/>
    <x v="4"/>
    <x v="0"/>
    <n v="50.99"/>
    <n v="55.38"/>
    <n v="4.59"/>
    <n v="48.22"/>
  </r>
  <r>
    <x v="10"/>
    <x v="2"/>
    <x v="10"/>
    <x v="4"/>
    <x v="1"/>
    <x v="0"/>
    <n v="5.16"/>
    <n v="5.6"/>
    <n v="0.26"/>
    <n v="4.9000000000000004"/>
  </r>
  <r>
    <x v="10"/>
    <x v="2"/>
    <x v="10"/>
    <x v="0"/>
    <x v="0"/>
    <x v="0"/>
    <n v="3.55"/>
    <n v="3.85"/>
    <n v="1.32"/>
    <n v="3.31"/>
  </r>
  <r>
    <x v="10"/>
    <x v="2"/>
    <x v="10"/>
    <x v="0"/>
    <x v="4"/>
    <x v="0"/>
    <n v="10.29"/>
    <n v="11.17"/>
    <n v="2.21"/>
    <n v="9.67"/>
  </r>
  <r>
    <x v="10"/>
    <x v="2"/>
    <x v="10"/>
    <x v="1"/>
    <x v="0"/>
    <x v="0"/>
    <n v="4.88"/>
    <n v="5.3"/>
    <n v="2.36"/>
    <n v="4.6399999999999997"/>
  </r>
  <r>
    <x v="10"/>
    <x v="2"/>
    <x v="10"/>
    <x v="1"/>
    <x v="4"/>
    <x v="0"/>
    <n v="77.42"/>
    <n v="84.09"/>
    <n v="11.58"/>
    <n v="72.819999999999993"/>
  </r>
  <r>
    <x v="10"/>
    <x v="2"/>
    <x v="10"/>
    <x v="2"/>
    <x v="3"/>
    <x v="1"/>
    <n v="0.13"/>
    <n v="0.14000000000000001"/>
    <n v="0"/>
    <n v="0.12"/>
  </r>
  <r>
    <x v="10"/>
    <x v="2"/>
    <x v="10"/>
    <x v="2"/>
    <x v="0"/>
    <x v="0"/>
    <n v="5.29"/>
    <n v="5.75"/>
    <n v="1.51"/>
    <n v="5"/>
  </r>
  <r>
    <x v="10"/>
    <x v="2"/>
    <x v="10"/>
    <x v="4"/>
    <x v="0"/>
    <x v="1"/>
    <n v="0"/>
    <n v="0"/>
    <n v="0"/>
    <n v="0"/>
  </r>
  <r>
    <x v="10"/>
    <x v="2"/>
    <x v="10"/>
    <x v="1"/>
    <x v="1"/>
    <x v="0"/>
    <n v="14.02"/>
    <n v="15.23"/>
    <n v="0.69"/>
    <n v="13.15"/>
  </r>
  <r>
    <x v="10"/>
    <x v="2"/>
    <x v="10"/>
    <x v="1"/>
    <x v="2"/>
    <x v="1"/>
    <n v="0.35"/>
    <n v="0.38"/>
    <n v="0"/>
    <n v="0.31"/>
  </r>
  <r>
    <x v="10"/>
    <x v="2"/>
    <x v="10"/>
    <x v="1"/>
    <x v="1"/>
    <x v="1"/>
    <n v="0.03"/>
    <n v="0.04"/>
    <n v="0"/>
    <n v="0.03"/>
  </r>
  <r>
    <x v="10"/>
    <x v="2"/>
    <x v="10"/>
    <x v="1"/>
    <x v="4"/>
    <x v="1"/>
    <n v="0.02"/>
    <n v="0.02"/>
    <n v="0"/>
    <n v="0.02"/>
  </r>
  <r>
    <x v="10"/>
    <x v="2"/>
    <x v="10"/>
    <x v="1"/>
    <x v="0"/>
    <x v="1"/>
    <n v="0.16"/>
    <n v="0.17"/>
    <n v="0.01"/>
    <n v="0.16"/>
  </r>
  <r>
    <x v="10"/>
    <x v="2"/>
    <x v="10"/>
    <x v="0"/>
    <x v="4"/>
    <x v="1"/>
    <n v="0.17"/>
    <n v="0.18"/>
    <n v="0"/>
    <n v="0.15"/>
  </r>
  <r>
    <x v="10"/>
    <x v="2"/>
    <x v="10"/>
    <x v="0"/>
    <x v="0"/>
    <x v="1"/>
    <n v="0.13"/>
    <n v="0.14000000000000001"/>
    <n v="0.01"/>
    <n v="0.12"/>
  </r>
  <r>
    <x v="10"/>
    <x v="2"/>
    <x v="10"/>
    <x v="4"/>
    <x v="4"/>
    <x v="1"/>
    <n v="0.04"/>
    <n v="0.04"/>
    <n v="0"/>
    <n v="0.03"/>
  </r>
  <r>
    <x v="10"/>
    <x v="2"/>
    <x v="10"/>
    <x v="2"/>
    <x v="3"/>
    <x v="3"/>
    <n v="27.79"/>
    <n v="30.18"/>
    <n v="0.02"/>
    <n v="27.79"/>
  </r>
  <r>
    <x v="10"/>
    <x v="2"/>
    <x v="10"/>
    <x v="2"/>
    <x v="3"/>
    <x v="2"/>
    <n v="1.02"/>
    <n v="1.1000000000000001"/>
    <n v="0"/>
    <n v="0.94"/>
  </r>
  <r>
    <x v="10"/>
    <x v="2"/>
    <x v="10"/>
    <x v="1"/>
    <x v="4"/>
    <x v="2"/>
    <n v="0.22"/>
    <n v="0.24"/>
    <n v="0"/>
    <n v="0.18"/>
  </r>
  <r>
    <x v="10"/>
    <x v="2"/>
    <x v="10"/>
    <x v="2"/>
    <x v="4"/>
    <x v="0"/>
    <n v="2.93"/>
    <n v="3.19"/>
    <n v="0.51"/>
    <n v="2.8"/>
  </r>
  <r>
    <x v="10"/>
    <x v="2"/>
    <x v="10"/>
    <x v="2"/>
    <x v="3"/>
    <x v="0"/>
    <n v="4.51"/>
    <n v="4.8899999999999997"/>
    <n v="0.04"/>
    <n v="4.51"/>
  </r>
  <r>
    <x v="10"/>
    <x v="2"/>
    <x v="10"/>
    <x v="4"/>
    <x v="1"/>
    <x v="1"/>
    <n v="0.24"/>
    <n v="0.26"/>
    <n v="0"/>
    <n v="0.22"/>
  </r>
  <r>
    <x v="10"/>
    <x v="2"/>
    <x v="11"/>
    <x v="1"/>
    <x v="2"/>
    <x v="1"/>
    <n v="0.06"/>
    <n v="7.0000000000000007E-2"/>
    <n v="0"/>
    <n v="0.06"/>
  </r>
  <r>
    <x v="10"/>
    <x v="2"/>
    <x v="11"/>
    <x v="1"/>
    <x v="4"/>
    <x v="0"/>
    <n v="114.9"/>
    <n v="125.08"/>
    <n v="18.03"/>
    <n v="108.4"/>
  </r>
  <r>
    <x v="10"/>
    <x v="2"/>
    <x v="11"/>
    <x v="1"/>
    <x v="0"/>
    <x v="0"/>
    <n v="5.96"/>
    <n v="6.49"/>
    <n v="2.71"/>
    <n v="5.73"/>
  </r>
  <r>
    <x v="10"/>
    <x v="2"/>
    <x v="11"/>
    <x v="0"/>
    <x v="4"/>
    <x v="0"/>
    <n v="14.13"/>
    <n v="15.38"/>
    <n v="3.17"/>
    <n v="13.26"/>
  </r>
  <r>
    <x v="10"/>
    <x v="2"/>
    <x v="11"/>
    <x v="0"/>
    <x v="0"/>
    <x v="0"/>
    <n v="3.91"/>
    <n v="4.25"/>
    <n v="1.73"/>
    <n v="3.65"/>
  </r>
  <r>
    <x v="10"/>
    <x v="2"/>
    <x v="11"/>
    <x v="4"/>
    <x v="1"/>
    <x v="0"/>
    <n v="7.59"/>
    <n v="8.26"/>
    <n v="0.33"/>
    <n v="7.16"/>
  </r>
  <r>
    <x v="10"/>
    <x v="2"/>
    <x v="11"/>
    <x v="4"/>
    <x v="4"/>
    <x v="0"/>
    <n v="67.760000000000005"/>
    <n v="73.77"/>
    <n v="6.67"/>
    <n v="64.19"/>
  </r>
  <r>
    <x v="10"/>
    <x v="2"/>
    <x v="11"/>
    <x v="3"/>
    <x v="4"/>
    <x v="0"/>
    <n v="7.76"/>
    <n v="8.4499999999999993"/>
    <n v="1.81"/>
    <n v="7.51"/>
  </r>
  <r>
    <x v="10"/>
    <x v="2"/>
    <x v="11"/>
    <x v="4"/>
    <x v="0"/>
    <x v="1"/>
    <n v="0"/>
    <n v="0"/>
    <n v="0"/>
    <n v="0"/>
  </r>
  <r>
    <x v="10"/>
    <x v="2"/>
    <x v="11"/>
    <x v="2"/>
    <x v="3"/>
    <x v="1"/>
    <n v="0.2"/>
    <n v="0.22"/>
    <n v="0"/>
    <n v="0.19"/>
  </r>
  <r>
    <x v="10"/>
    <x v="2"/>
    <x v="11"/>
    <x v="2"/>
    <x v="4"/>
    <x v="0"/>
    <n v="5.56"/>
    <n v="6.06"/>
    <n v="0.69"/>
    <n v="5.33"/>
  </r>
  <r>
    <x v="10"/>
    <x v="2"/>
    <x v="11"/>
    <x v="1"/>
    <x v="1"/>
    <x v="1"/>
    <n v="0.79"/>
    <n v="0.86"/>
    <n v="0"/>
    <n v="0.81"/>
  </r>
  <r>
    <x v="10"/>
    <x v="2"/>
    <x v="11"/>
    <x v="1"/>
    <x v="4"/>
    <x v="1"/>
    <n v="0.04"/>
    <n v="0.04"/>
    <n v="0"/>
    <n v="0.04"/>
  </r>
  <r>
    <x v="10"/>
    <x v="2"/>
    <x v="11"/>
    <x v="1"/>
    <x v="0"/>
    <x v="1"/>
    <n v="0.36"/>
    <n v="0.39"/>
    <n v="0.01"/>
    <n v="0.38"/>
  </r>
  <r>
    <x v="10"/>
    <x v="2"/>
    <x v="11"/>
    <x v="0"/>
    <x v="4"/>
    <x v="1"/>
    <n v="0.1"/>
    <n v="0.11"/>
    <n v="0"/>
    <n v="0.1"/>
  </r>
  <r>
    <x v="10"/>
    <x v="2"/>
    <x v="11"/>
    <x v="0"/>
    <x v="0"/>
    <x v="1"/>
    <n v="0.11"/>
    <n v="0.12"/>
    <n v="0.01"/>
    <n v="0.11"/>
  </r>
  <r>
    <x v="10"/>
    <x v="2"/>
    <x v="11"/>
    <x v="4"/>
    <x v="1"/>
    <x v="1"/>
    <n v="0.12"/>
    <n v="0.13"/>
    <n v="0"/>
    <n v="0.12"/>
  </r>
  <r>
    <x v="10"/>
    <x v="2"/>
    <x v="11"/>
    <x v="4"/>
    <x v="4"/>
    <x v="1"/>
    <n v="0.04"/>
    <n v="0.04"/>
    <n v="0"/>
    <n v="0.04"/>
  </r>
  <r>
    <x v="10"/>
    <x v="2"/>
    <x v="11"/>
    <x v="3"/>
    <x v="0"/>
    <x v="0"/>
    <n v="2.0699999999999998"/>
    <n v="2.25"/>
    <n v="0.39"/>
    <n v="2.08"/>
  </r>
  <r>
    <x v="10"/>
    <x v="2"/>
    <x v="11"/>
    <x v="4"/>
    <x v="4"/>
    <x v="2"/>
    <n v="0.98"/>
    <n v="1.07"/>
    <n v="0.01"/>
    <n v="0.96"/>
  </r>
  <r>
    <x v="10"/>
    <x v="2"/>
    <x v="11"/>
    <x v="2"/>
    <x v="3"/>
    <x v="0"/>
    <n v="8.4499999999999993"/>
    <n v="9.1999999999999993"/>
    <n v="7.0000000000000007E-2"/>
    <n v="8.4499999999999993"/>
  </r>
  <r>
    <x v="10"/>
    <x v="2"/>
    <x v="11"/>
    <x v="2"/>
    <x v="3"/>
    <x v="3"/>
    <n v="3.19"/>
    <n v="3.47"/>
    <n v="0"/>
    <n v="3.19"/>
  </r>
  <r>
    <x v="10"/>
    <x v="2"/>
    <x v="11"/>
    <x v="1"/>
    <x v="4"/>
    <x v="2"/>
    <n v="1.44"/>
    <n v="1.56"/>
    <n v="0.01"/>
    <n v="1.41"/>
  </r>
  <r>
    <x v="10"/>
    <x v="2"/>
    <x v="11"/>
    <x v="4"/>
    <x v="2"/>
    <x v="2"/>
    <n v="0.3"/>
    <n v="0.33"/>
    <n v="0"/>
    <n v="0.28999999999999998"/>
  </r>
  <r>
    <x v="10"/>
    <x v="2"/>
    <x v="11"/>
    <x v="2"/>
    <x v="0"/>
    <x v="0"/>
    <n v="7.85"/>
    <n v="8.5500000000000007"/>
    <n v="1.69"/>
    <n v="7.5"/>
  </r>
  <r>
    <x v="10"/>
    <x v="2"/>
    <x v="11"/>
    <x v="1"/>
    <x v="1"/>
    <x v="0"/>
    <n v="17.72"/>
    <n v="19.29"/>
    <n v="0.86"/>
    <n v="16.72"/>
  </r>
  <r>
    <x v="10"/>
    <x v="2"/>
    <x v="12"/>
    <x v="0"/>
    <x v="4"/>
    <x v="0"/>
    <n v="77.17"/>
    <n v="84.01"/>
    <n v="14.86"/>
    <n v="71.94"/>
  </r>
  <r>
    <x v="10"/>
    <x v="2"/>
    <x v="12"/>
    <x v="3"/>
    <x v="0"/>
    <x v="0"/>
    <n v="28.04"/>
    <n v="30.52"/>
    <n v="10.09"/>
    <n v="27.42"/>
  </r>
  <r>
    <x v="10"/>
    <x v="2"/>
    <x v="12"/>
    <x v="2"/>
    <x v="3"/>
    <x v="0"/>
    <n v="2.4300000000000002"/>
    <n v="2.64"/>
    <n v="0.02"/>
    <n v="2.4300000000000002"/>
  </r>
  <r>
    <x v="10"/>
    <x v="2"/>
    <x v="12"/>
    <x v="2"/>
    <x v="4"/>
    <x v="0"/>
    <n v="30.82"/>
    <n v="33.549999999999997"/>
    <n v="3.28"/>
    <n v="29"/>
  </r>
  <r>
    <x v="10"/>
    <x v="2"/>
    <x v="12"/>
    <x v="2"/>
    <x v="0"/>
    <x v="0"/>
    <n v="25.8"/>
    <n v="28.08"/>
    <n v="13.08"/>
    <n v="24.49"/>
  </r>
  <r>
    <x v="10"/>
    <x v="2"/>
    <x v="12"/>
    <x v="1"/>
    <x v="2"/>
    <x v="0"/>
    <n v="8.7799999999999994"/>
    <n v="9.56"/>
    <n v="0.17"/>
    <n v="7.89"/>
  </r>
  <r>
    <x v="10"/>
    <x v="2"/>
    <x v="12"/>
    <x v="1"/>
    <x v="1"/>
    <x v="0"/>
    <n v="70.86"/>
    <n v="77.14"/>
    <n v="3.3"/>
    <n v="65.72"/>
  </r>
  <r>
    <x v="10"/>
    <x v="2"/>
    <x v="12"/>
    <x v="1"/>
    <x v="0"/>
    <x v="0"/>
    <n v="40.19"/>
    <n v="43.75"/>
    <n v="20.23"/>
    <n v="38.119999999999997"/>
  </r>
  <r>
    <x v="10"/>
    <x v="2"/>
    <x v="12"/>
    <x v="4"/>
    <x v="1"/>
    <x v="0"/>
    <n v="24.98"/>
    <n v="27.19"/>
    <n v="1.31"/>
    <n v="23.24"/>
  </r>
  <r>
    <x v="10"/>
    <x v="2"/>
    <x v="12"/>
    <x v="3"/>
    <x v="1"/>
    <x v="0"/>
    <n v="2.2000000000000002"/>
    <n v="2.4"/>
    <n v="0.18"/>
    <n v="2.13"/>
  </r>
  <r>
    <x v="10"/>
    <x v="2"/>
    <x v="12"/>
    <x v="3"/>
    <x v="4"/>
    <x v="0"/>
    <n v="116.63"/>
    <n v="126.96"/>
    <n v="33.369999999999997"/>
    <n v="112.05"/>
  </r>
  <r>
    <x v="10"/>
    <x v="2"/>
    <x v="12"/>
    <x v="4"/>
    <x v="4"/>
    <x v="0"/>
    <n v="212.49"/>
    <n v="231.32"/>
    <n v="19.34"/>
    <n v="203.06"/>
  </r>
  <r>
    <x v="10"/>
    <x v="2"/>
    <x v="12"/>
    <x v="1"/>
    <x v="4"/>
    <x v="0"/>
    <n v="635.54999999999995"/>
    <n v="691.85"/>
    <n v="77.209999999999994"/>
    <n v="588.61"/>
  </r>
  <r>
    <x v="10"/>
    <x v="2"/>
    <x v="12"/>
    <x v="4"/>
    <x v="4"/>
    <x v="1"/>
    <n v="0.69"/>
    <n v="0.75"/>
    <n v="0.02"/>
    <n v="0.66"/>
  </r>
  <r>
    <x v="10"/>
    <x v="2"/>
    <x v="12"/>
    <x v="4"/>
    <x v="4"/>
    <x v="2"/>
    <n v="1.61"/>
    <n v="1.75"/>
    <n v="0.03"/>
    <n v="1.7"/>
  </r>
  <r>
    <x v="10"/>
    <x v="2"/>
    <x v="12"/>
    <x v="0"/>
    <x v="0"/>
    <x v="0"/>
    <n v="15.63"/>
    <n v="17.010000000000002"/>
    <n v="6.54"/>
    <n v="14.23"/>
  </r>
  <r>
    <x v="10"/>
    <x v="2"/>
    <x v="12"/>
    <x v="1"/>
    <x v="2"/>
    <x v="1"/>
    <n v="14.81"/>
    <n v="16.13"/>
    <n v="0.08"/>
    <n v="14.4"/>
  </r>
  <r>
    <x v="10"/>
    <x v="2"/>
    <x v="12"/>
    <x v="1"/>
    <x v="4"/>
    <x v="1"/>
    <n v="5.33"/>
    <n v="5.8"/>
    <n v="0.09"/>
    <n v="5.48"/>
  </r>
  <r>
    <x v="10"/>
    <x v="2"/>
    <x v="12"/>
    <x v="1"/>
    <x v="0"/>
    <x v="1"/>
    <n v="2.9"/>
    <n v="3.16"/>
    <n v="0.24"/>
    <n v="3.01"/>
  </r>
  <r>
    <x v="10"/>
    <x v="2"/>
    <x v="12"/>
    <x v="0"/>
    <x v="4"/>
    <x v="1"/>
    <n v="3.87"/>
    <n v="4.21"/>
    <n v="0.09"/>
    <n v="3.67"/>
  </r>
  <r>
    <x v="10"/>
    <x v="2"/>
    <x v="12"/>
    <x v="4"/>
    <x v="1"/>
    <x v="1"/>
    <n v="0.68"/>
    <n v="0.74"/>
    <n v="0.01"/>
    <n v="0.65"/>
  </r>
  <r>
    <x v="10"/>
    <x v="2"/>
    <x v="12"/>
    <x v="1"/>
    <x v="1"/>
    <x v="1"/>
    <n v="3.95"/>
    <n v="4.3"/>
    <n v="0.06"/>
    <n v="4.0199999999999996"/>
  </r>
  <r>
    <x v="10"/>
    <x v="2"/>
    <x v="12"/>
    <x v="4"/>
    <x v="0"/>
    <x v="1"/>
    <n v="7.0000000000000007E-2"/>
    <n v="7.0000000000000007E-2"/>
    <n v="0.01"/>
    <n v="0.06"/>
  </r>
  <r>
    <x v="10"/>
    <x v="2"/>
    <x v="12"/>
    <x v="2"/>
    <x v="3"/>
    <x v="1"/>
    <n v="2.4"/>
    <n v="2.61"/>
    <n v="0"/>
    <n v="2.29"/>
  </r>
  <r>
    <x v="10"/>
    <x v="2"/>
    <x v="12"/>
    <x v="2"/>
    <x v="3"/>
    <x v="3"/>
    <n v="85.97"/>
    <n v="93.59"/>
    <n v="0.06"/>
    <n v="85.97"/>
  </r>
  <r>
    <x v="10"/>
    <x v="2"/>
    <x v="12"/>
    <x v="2"/>
    <x v="3"/>
    <x v="2"/>
    <n v="0.66"/>
    <n v="0.71"/>
    <n v="0"/>
    <n v="0.7"/>
  </r>
  <r>
    <x v="10"/>
    <x v="2"/>
    <x v="12"/>
    <x v="1"/>
    <x v="4"/>
    <x v="2"/>
    <n v="0.38"/>
    <n v="0.41"/>
    <n v="0.02"/>
    <n v="0.39"/>
  </r>
  <r>
    <x v="10"/>
    <x v="2"/>
    <x v="12"/>
    <x v="4"/>
    <x v="2"/>
    <x v="2"/>
    <n v="1.07"/>
    <n v="1.17"/>
    <n v="0"/>
    <n v="1.1299999999999999"/>
  </r>
  <r>
    <x v="10"/>
    <x v="2"/>
    <x v="12"/>
    <x v="4"/>
    <x v="1"/>
    <x v="2"/>
    <n v="0.68"/>
    <n v="0.73"/>
    <n v="0"/>
    <n v="0.71"/>
  </r>
  <r>
    <x v="10"/>
    <x v="2"/>
    <x v="12"/>
    <x v="0"/>
    <x v="0"/>
    <x v="1"/>
    <n v="3.57"/>
    <n v="3.88"/>
    <n v="0.17"/>
    <n v="3.38"/>
  </r>
  <r>
    <x v="10"/>
    <x v="2"/>
    <x v="13"/>
    <x v="1"/>
    <x v="4"/>
    <x v="0"/>
    <n v="951.51"/>
    <n v="1035.8"/>
    <n v="141.61000000000001"/>
    <n v="871.13"/>
  </r>
  <r>
    <x v="10"/>
    <x v="2"/>
    <x v="13"/>
    <x v="0"/>
    <x v="0"/>
    <x v="0"/>
    <n v="41.32"/>
    <n v="44.98"/>
    <n v="14"/>
    <n v="37.590000000000003"/>
  </r>
  <r>
    <x v="10"/>
    <x v="2"/>
    <x v="13"/>
    <x v="1"/>
    <x v="1"/>
    <x v="0"/>
    <n v="95.97"/>
    <n v="104.47"/>
    <n v="4.01"/>
    <n v="88.19"/>
  </r>
  <r>
    <x v="10"/>
    <x v="2"/>
    <x v="13"/>
    <x v="1"/>
    <x v="2"/>
    <x v="0"/>
    <n v="36.14"/>
    <n v="39.340000000000003"/>
    <n v="0.47"/>
    <n v="32.22"/>
  </r>
  <r>
    <x v="10"/>
    <x v="2"/>
    <x v="13"/>
    <x v="1"/>
    <x v="0"/>
    <x v="0"/>
    <n v="74.569999999999993"/>
    <n v="81.17"/>
    <n v="30.9"/>
    <n v="68.8"/>
  </r>
  <r>
    <x v="10"/>
    <x v="2"/>
    <x v="13"/>
    <x v="0"/>
    <x v="2"/>
    <x v="0"/>
    <n v="0.31"/>
    <n v="0.34"/>
    <n v="0"/>
    <n v="0.3"/>
  </r>
  <r>
    <x v="10"/>
    <x v="2"/>
    <x v="13"/>
    <x v="0"/>
    <x v="4"/>
    <x v="0"/>
    <n v="142.01"/>
    <n v="154.59"/>
    <n v="31.26"/>
    <n v="130.62"/>
  </r>
  <r>
    <x v="10"/>
    <x v="2"/>
    <x v="13"/>
    <x v="4"/>
    <x v="1"/>
    <x v="0"/>
    <n v="48.84"/>
    <n v="53.16"/>
    <n v="2.19"/>
    <n v="45.24"/>
  </r>
  <r>
    <x v="10"/>
    <x v="2"/>
    <x v="13"/>
    <x v="4"/>
    <x v="4"/>
    <x v="0"/>
    <n v="368.5"/>
    <n v="401.14"/>
    <n v="34.14"/>
    <n v="342.5"/>
  </r>
  <r>
    <x v="10"/>
    <x v="2"/>
    <x v="13"/>
    <x v="3"/>
    <x v="1"/>
    <x v="0"/>
    <n v="5.3"/>
    <n v="5.77"/>
    <n v="1.35"/>
    <n v="5.24"/>
  </r>
  <r>
    <x v="10"/>
    <x v="2"/>
    <x v="13"/>
    <x v="3"/>
    <x v="4"/>
    <x v="0"/>
    <n v="223.39"/>
    <n v="243.18"/>
    <n v="67.97"/>
    <n v="213.66"/>
  </r>
  <r>
    <x v="10"/>
    <x v="2"/>
    <x v="13"/>
    <x v="0"/>
    <x v="0"/>
    <x v="1"/>
    <n v="4.78"/>
    <n v="5.21"/>
    <n v="0.19"/>
    <n v="4.33"/>
  </r>
  <r>
    <x v="10"/>
    <x v="2"/>
    <x v="13"/>
    <x v="2"/>
    <x v="0"/>
    <x v="0"/>
    <n v="45.97"/>
    <n v="50.05"/>
    <n v="19.36"/>
    <n v="42.72"/>
  </r>
  <r>
    <x v="10"/>
    <x v="2"/>
    <x v="13"/>
    <x v="1"/>
    <x v="0"/>
    <x v="1"/>
    <n v="7.83"/>
    <n v="8.5299999999999994"/>
    <n v="0.27"/>
    <n v="7.58"/>
  </r>
  <r>
    <x v="10"/>
    <x v="2"/>
    <x v="13"/>
    <x v="1"/>
    <x v="4"/>
    <x v="1"/>
    <n v="0.6"/>
    <n v="0.65"/>
    <n v="0.05"/>
    <n v="0.6"/>
  </r>
  <r>
    <x v="10"/>
    <x v="2"/>
    <x v="13"/>
    <x v="1"/>
    <x v="1"/>
    <x v="1"/>
    <n v="0.57999999999999996"/>
    <n v="0.63"/>
    <n v="0.11"/>
    <n v="0.55000000000000004"/>
  </r>
  <r>
    <x v="10"/>
    <x v="2"/>
    <x v="13"/>
    <x v="1"/>
    <x v="2"/>
    <x v="1"/>
    <n v="10.67"/>
    <n v="11.61"/>
    <n v="0.08"/>
    <n v="9.92"/>
  </r>
  <r>
    <x v="10"/>
    <x v="2"/>
    <x v="13"/>
    <x v="2"/>
    <x v="3"/>
    <x v="1"/>
    <n v="4.5"/>
    <n v="4.9000000000000004"/>
    <n v="0.01"/>
    <n v="4.1100000000000003"/>
  </r>
  <r>
    <x v="10"/>
    <x v="2"/>
    <x v="13"/>
    <x v="0"/>
    <x v="4"/>
    <x v="1"/>
    <n v="5.12"/>
    <n v="5.58"/>
    <n v="0.1"/>
    <n v="4.6399999999999997"/>
  </r>
  <r>
    <x v="10"/>
    <x v="2"/>
    <x v="13"/>
    <x v="2"/>
    <x v="4"/>
    <x v="3"/>
    <n v="0.28999999999999998"/>
    <n v="0.31"/>
    <n v="0"/>
    <n v="0.28999999999999998"/>
  </r>
  <r>
    <x v="10"/>
    <x v="2"/>
    <x v="13"/>
    <x v="4"/>
    <x v="1"/>
    <x v="1"/>
    <n v="1.83"/>
    <n v="1.99"/>
    <n v="0.02"/>
    <n v="1.67"/>
  </r>
  <r>
    <x v="10"/>
    <x v="2"/>
    <x v="13"/>
    <x v="3"/>
    <x v="0"/>
    <x v="0"/>
    <n v="9.86"/>
    <n v="10.74"/>
    <n v="2.16"/>
    <n v="9.58"/>
  </r>
  <r>
    <x v="10"/>
    <x v="2"/>
    <x v="13"/>
    <x v="4"/>
    <x v="4"/>
    <x v="2"/>
    <n v="4.2300000000000004"/>
    <n v="4.6100000000000003"/>
    <n v="0.05"/>
    <n v="3.32"/>
  </r>
  <r>
    <x v="10"/>
    <x v="2"/>
    <x v="13"/>
    <x v="4"/>
    <x v="1"/>
    <x v="2"/>
    <n v="5.26"/>
    <n v="5.73"/>
    <n v="0.02"/>
    <n v="4.12"/>
  </r>
  <r>
    <x v="10"/>
    <x v="2"/>
    <x v="13"/>
    <x v="4"/>
    <x v="2"/>
    <x v="2"/>
    <n v="0.05"/>
    <n v="0.06"/>
    <n v="0"/>
    <n v="0.04"/>
  </r>
  <r>
    <x v="10"/>
    <x v="2"/>
    <x v="13"/>
    <x v="4"/>
    <x v="4"/>
    <x v="1"/>
    <n v="2.1"/>
    <n v="2.29"/>
    <n v="0.05"/>
    <n v="1.91"/>
  </r>
  <r>
    <x v="10"/>
    <x v="2"/>
    <x v="13"/>
    <x v="2"/>
    <x v="3"/>
    <x v="2"/>
    <n v="0.92"/>
    <n v="1"/>
    <n v="0"/>
    <n v="0.73"/>
  </r>
  <r>
    <x v="10"/>
    <x v="2"/>
    <x v="13"/>
    <x v="2"/>
    <x v="4"/>
    <x v="0"/>
    <n v="65.959999999999994"/>
    <n v="71.8"/>
    <n v="6.56"/>
    <n v="61.08"/>
  </r>
  <r>
    <x v="10"/>
    <x v="2"/>
    <x v="13"/>
    <x v="2"/>
    <x v="1"/>
    <x v="3"/>
    <n v="21.93"/>
    <n v="23.88"/>
    <n v="0.02"/>
    <n v="21.48"/>
  </r>
  <r>
    <x v="10"/>
    <x v="2"/>
    <x v="13"/>
    <x v="2"/>
    <x v="2"/>
    <x v="3"/>
    <n v="2.9"/>
    <n v="3.16"/>
    <n v="0"/>
    <n v="2.9"/>
  </r>
  <r>
    <x v="10"/>
    <x v="2"/>
    <x v="13"/>
    <x v="2"/>
    <x v="3"/>
    <x v="3"/>
    <n v="296.12"/>
    <n v="322.35000000000002"/>
    <n v="0.16"/>
    <n v="294.08999999999997"/>
  </r>
  <r>
    <x v="10"/>
    <x v="2"/>
    <x v="13"/>
    <x v="4"/>
    <x v="0"/>
    <x v="1"/>
    <n v="0.46"/>
    <n v="0.5"/>
    <n v="0.03"/>
    <n v="0.42"/>
  </r>
  <r>
    <x v="10"/>
    <x v="2"/>
    <x v="13"/>
    <x v="2"/>
    <x v="3"/>
    <x v="0"/>
    <n v="3.88"/>
    <n v="4.22"/>
    <n v="0.03"/>
    <n v="3.88"/>
  </r>
  <r>
    <x v="10"/>
    <x v="2"/>
    <x v="13"/>
    <x v="2"/>
    <x v="2"/>
    <x v="0"/>
    <n v="7.0000000000000007E-2"/>
    <n v="0.08"/>
    <n v="0.01"/>
    <n v="7.0000000000000007E-2"/>
  </r>
  <r>
    <x v="10"/>
    <x v="2"/>
    <x v="13"/>
    <x v="1"/>
    <x v="4"/>
    <x v="2"/>
    <n v="2.0099999999999998"/>
    <n v="2.1800000000000002"/>
    <n v="0.08"/>
    <n v="1.57"/>
  </r>
  <r>
    <x v="10"/>
    <x v="2"/>
    <x v="14"/>
    <x v="1"/>
    <x v="4"/>
    <x v="2"/>
    <n v="1.17"/>
    <n v="1.28"/>
    <n v="0.02"/>
    <n v="1.08"/>
  </r>
  <r>
    <x v="10"/>
    <x v="2"/>
    <x v="14"/>
    <x v="4"/>
    <x v="4"/>
    <x v="2"/>
    <n v="0.04"/>
    <n v="0.04"/>
    <n v="0"/>
    <n v="0.04"/>
  </r>
  <r>
    <x v="10"/>
    <x v="2"/>
    <x v="14"/>
    <x v="2"/>
    <x v="3"/>
    <x v="2"/>
    <n v="0.53"/>
    <n v="0.56999999999999995"/>
    <n v="0"/>
    <n v="0.49"/>
  </r>
  <r>
    <x v="10"/>
    <x v="2"/>
    <x v="14"/>
    <x v="2"/>
    <x v="3"/>
    <x v="0"/>
    <n v="19.71"/>
    <n v="21.46"/>
    <n v="0.16"/>
    <n v="19.71"/>
  </r>
  <r>
    <x v="10"/>
    <x v="2"/>
    <x v="14"/>
    <x v="1"/>
    <x v="4"/>
    <x v="1"/>
    <n v="7.0000000000000007E-2"/>
    <n v="7.0000000000000007E-2"/>
    <n v="0"/>
    <n v="0.06"/>
  </r>
  <r>
    <x v="10"/>
    <x v="2"/>
    <x v="14"/>
    <x v="0"/>
    <x v="4"/>
    <x v="1"/>
    <n v="0.12"/>
    <n v="0.14000000000000001"/>
    <n v="0"/>
    <n v="0.11"/>
  </r>
  <r>
    <x v="10"/>
    <x v="2"/>
    <x v="14"/>
    <x v="2"/>
    <x v="4"/>
    <x v="0"/>
    <n v="5.22"/>
    <n v="5.68"/>
    <n v="0.66"/>
    <n v="5.0199999999999996"/>
  </r>
  <r>
    <x v="10"/>
    <x v="2"/>
    <x v="14"/>
    <x v="2"/>
    <x v="3"/>
    <x v="3"/>
    <n v="0.59"/>
    <n v="0.64"/>
    <n v="0"/>
    <n v="0.59"/>
  </r>
  <r>
    <x v="10"/>
    <x v="2"/>
    <x v="14"/>
    <x v="1"/>
    <x v="0"/>
    <x v="1"/>
    <n v="0.03"/>
    <n v="0.03"/>
    <n v="0"/>
    <n v="0.02"/>
  </r>
  <r>
    <x v="10"/>
    <x v="2"/>
    <x v="14"/>
    <x v="1"/>
    <x v="1"/>
    <x v="1"/>
    <n v="0.62"/>
    <n v="0.67"/>
    <n v="0"/>
    <n v="0.59"/>
  </r>
  <r>
    <x v="10"/>
    <x v="2"/>
    <x v="14"/>
    <x v="1"/>
    <x v="2"/>
    <x v="1"/>
    <n v="0.22"/>
    <n v="0.24"/>
    <n v="0"/>
    <n v="0.19"/>
  </r>
  <r>
    <x v="10"/>
    <x v="2"/>
    <x v="14"/>
    <x v="2"/>
    <x v="3"/>
    <x v="1"/>
    <n v="0.12"/>
    <n v="0.13"/>
    <n v="0"/>
    <n v="0.11"/>
  </r>
  <r>
    <x v="10"/>
    <x v="2"/>
    <x v="14"/>
    <x v="3"/>
    <x v="0"/>
    <x v="0"/>
    <n v="1.47"/>
    <n v="1.6"/>
    <n v="0.26"/>
    <n v="1.45"/>
  </r>
  <r>
    <x v="10"/>
    <x v="2"/>
    <x v="14"/>
    <x v="1"/>
    <x v="1"/>
    <x v="0"/>
    <n v="4.04"/>
    <n v="4.3899999999999997"/>
    <n v="0.32"/>
    <n v="3.79"/>
  </r>
  <r>
    <x v="10"/>
    <x v="2"/>
    <x v="14"/>
    <x v="4"/>
    <x v="4"/>
    <x v="0"/>
    <n v="4.8899999999999997"/>
    <n v="5.32"/>
    <n v="0.55000000000000004"/>
    <n v="4.59"/>
  </r>
  <r>
    <x v="10"/>
    <x v="2"/>
    <x v="14"/>
    <x v="4"/>
    <x v="1"/>
    <x v="0"/>
    <n v="1.49"/>
    <n v="1.62"/>
    <n v="0.09"/>
    <n v="1.39"/>
  </r>
  <r>
    <x v="10"/>
    <x v="2"/>
    <x v="14"/>
    <x v="0"/>
    <x v="0"/>
    <x v="0"/>
    <n v="0.99"/>
    <n v="1.08"/>
    <n v="0.43"/>
    <n v="0.92"/>
  </r>
  <r>
    <x v="10"/>
    <x v="2"/>
    <x v="14"/>
    <x v="0"/>
    <x v="4"/>
    <x v="0"/>
    <n v="6.62"/>
    <n v="7.21"/>
    <n v="1.37"/>
    <n v="6.28"/>
  </r>
  <r>
    <x v="10"/>
    <x v="2"/>
    <x v="14"/>
    <x v="1"/>
    <x v="0"/>
    <x v="0"/>
    <n v="3.05"/>
    <n v="3.32"/>
    <n v="1.57"/>
    <n v="2.93"/>
  </r>
  <r>
    <x v="10"/>
    <x v="2"/>
    <x v="14"/>
    <x v="1"/>
    <x v="4"/>
    <x v="0"/>
    <n v="34.65"/>
    <n v="37.72"/>
    <n v="5.91"/>
    <n v="32.450000000000003"/>
  </r>
  <r>
    <x v="10"/>
    <x v="2"/>
    <x v="14"/>
    <x v="3"/>
    <x v="4"/>
    <x v="0"/>
    <n v="1.7"/>
    <n v="1.85"/>
    <n v="0.51"/>
    <n v="1.62"/>
  </r>
  <r>
    <x v="10"/>
    <x v="2"/>
    <x v="14"/>
    <x v="0"/>
    <x v="0"/>
    <x v="1"/>
    <n v="0.09"/>
    <n v="0.1"/>
    <n v="0"/>
    <n v="0.08"/>
  </r>
  <r>
    <x v="10"/>
    <x v="2"/>
    <x v="14"/>
    <x v="2"/>
    <x v="0"/>
    <x v="0"/>
    <n v="1.9"/>
    <n v="2.0699999999999998"/>
    <n v="0.85"/>
    <n v="1.84"/>
  </r>
  <r>
    <x v="10"/>
    <x v="4"/>
    <x v="15"/>
    <x v="1"/>
    <x v="2"/>
    <x v="1"/>
    <n v="6.84"/>
    <n v="6.89"/>
    <n v="0.12"/>
    <n v="5.74"/>
  </r>
  <r>
    <x v="10"/>
    <x v="4"/>
    <x v="15"/>
    <x v="2"/>
    <x v="3"/>
    <x v="1"/>
    <n v="0"/>
    <n v="0"/>
    <n v="0"/>
    <n v="0"/>
  </r>
  <r>
    <x v="10"/>
    <x v="4"/>
    <x v="15"/>
    <x v="3"/>
    <x v="0"/>
    <x v="0"/>
    <n v="0.28000000000000003"/>
    <n v="0.28000000000000003"/>
    <n v="0.1"/>
    <n v="0.28999999999999998"/>
  </r>
  <r>
    <x v="10"/>
    <x v="4"/>
    <x v="15"/>
    <x v="3"/>
    <x v="4"/>
    <x v="0"/>
    <n v="12"/>
    <n v="12.09"/>
    <n v="2.0099999999999998"/>
    <n v="11.45"/>
  </r>
  <r>
    <x v="10"/>
    <x v="4"/>
    <x v="15"/>
    <x v="3"/>
    <x v="1"/>
    <x v="0"/>
    <n v="0.33"/>
    <n v="0.33"/>
    <n v="0.04"/>
    <n v="0.34"/>
  </r>
  <r>
    <x v="10"/>
    <x v="4"/>
    <x v="15"/>
    <x v="4"/>
    <x v="4"/>
    <x v="0"/>
    <n v="23.76"/>
    <n v="23.95"/>
    <n v="3.88"/>
    <n v="21.95"/>
  </r>
  <r>
    <x v="10"/>
    <x v="4"/>
    <x v="15"/>
    <x v="4"/>
    <x v="1"/>
    <x v="0"/>
    <n v="13.56"/>
    <n v="13.66"/>
    <n v="0.82"/>
    <n v="12.32"/>
  </r>
  <r>
    <x v="10"/>
    <x v="4"/>
    <x v="15"/>
    <x v="0"/>
    <x v="4"/>
    <x v="0"/>
    <n v="3.58"/>
    <n v="3.61"/>
    <n v="0.67"/>
    <n v="3.64"/>
  </r>
  <r>
    <x v="10"/>
    <x v="4"/>
    <x v="15"/>
    <x v="1"/>
    <x v="0"/>
    <x v="0"/>
    <n v="11.15"/>
    <n v="11.24"/>
    <n v="7.54"/>
    <n v="10.72"/>
  </r>
  <r>
    <x v="10"/>
    <x v="4"/>
    <x v="15"/>
    <x v="1"/>
    <x v="1"/>
    <x v="1"/>
    <n v="1.71"/>
    <n v="1.72"/>
    <n v="0.08"/>
    <n v="1.46"/>
  </r>
  <r>
    <x v="10"/>
    <x v="4"/>
    <x v="15"/>
    <x v="4"/>
    <x v="1"/>
    <x v="2"/>
    <n v="0.12"/>
    <n v="0.12"/>
    <n v="0.02"/>
    <n v="0.14000000000000001"/>
  </r>
  <r>
    <x v="10"/>
    <x v="4"/>
    <x v="15"/>
    <x v="0"/>
    <x v="0"/>
    <x v="0"/>
    <n v="2.36"/>
    <n v="2.38"/>
    <n v="0.93"/>
    <n v="2.31"/>
  </r>
  <r>
    <x v="10"/>
    <x v="4"/>
    <x v="15"/>
    <x v="1"/>
    <x v="4"/>
    <x v="1"/>
    <n v="0.15"/>
    <n v="0.15"/>
    <n v="7.0000000000000007E-2"/>
    <n v="0.12"/>
  </r>
  <r>
    <x v="10"/>
    <x v="4"/>
    <x v="15"/>
    <x v="1"/>
    <x v="0"/>
    <x v="1"/>
    <n v="0.15"/>
    <n v="0.15"/>
    <n v="0.11"/>
    <n v="0.13"/>
  </r>
  <r>
    <x v="10"/>
    <x v="4"/>
    <x v="15"/>
    <x v="0"/>
    <x v="4"/>
    <x v="1"/>
    <n v="0.32"/>
    <n v="0.32"/>
    <n v="0.15"/>
    <n v="0.26"/>
  </r>
  <r>
    <x v="10"/>
    <x v="4"/>
    <x v="15"/>
    <x v="4"/>
    <x v="1"/>
    <x v="1"/>
    <n v="7.0000000000000007E-2"/>
    <n v="7.0000000000000007E-2"/>
    <n v="0.01"/>
    <n v="0.06"/>
  </r>
  <r>
    <x v="10"/>
    <x v="4"/>
    <x v="15"/>
    <x v="4"/>
    <x v="4"/>
    <x v="1"/>
    <n v="0.03"/>
    <n v="0.03"/>
    <n v="0.03"/>
    <n v="0.03"/>
  </r>
  <r>
    <x v="10"/>
    <x v="4"/>
    <x v="15"/>
    <x v="4"/>
    <x v="0"/>
    <x v="1"/>
    <n v="0.03"/>
    <n v="0.03"/>
    <n v="0.06"/>
    <n v="0.03"/>
  </r>
  <r>
    <x v="10"/>
    <x v="4"/>
    <x v="15"/>
    <x v="2"/>
    <x v="3"/>
    <x v="3"/>
    <n v="10.029999999999999"/>
    <n v="10.11"/>
    <n v="0.01"/>
    <n v="8.43"/>
  </r>
  <r>
    <x v="10"/>
    <x v="4"/>
    <x v="15"/>
    <x v="1"/>
    <x v="1"/>
    <x v="2"/>
    <n v="0.45"/>
    <n v="0.46"/>
    <n v="0.04"/>
    <n v="0.42"/>
  </r>
  <r>
    <x v="10"/>
    <x v="4"/>
    <x v="15"/>
    <x v="4"/>
    <x v="2"/>
    <x v="2"/>
    <n v="0.02"/>
    <n v="0.02"/>
    <n v="0"/>
    <n v="0.02"/>
  </r>
  <r>
    <x v="10"/>
    <x v="4"/>
    <x v="15"/>
    <x v="4"/>
    <x v="4"/>
    <x v="2"/>
    <n v="0.05"/>
    <n v="0.05"/>
    <n v="0.03"/>
    <n v="0.04"/>
  </r>
  <r>
    <x v="10"/>
    <x v="4"/>
    <x v="15"/>
    <x v="2"/>
    <x v="0"/>
    <x v="0"/>
    <n v="4.63"/>
    <n v="4.67"/>
    <n v="3.29"/>
    <n v="4.53"/>
  </r>
  <r>
    <x v="10"/>
    <x v="4"/>
    <x v="15"/>
    <x v="1"/>
    <x v="4"/>
    <x v="2"/>
    <n v="0.04"/>
    <n v="0.04"/>
    <n v="0.02"/>
    <n v="0.04"/>
  </r>
  <r>
    <x v="10"/>
    <x v="4"/>
    <x v="15"/>
    <x v="1"/>
    <x v="4"/>
    <x v="0"/>
    <n v="156.33000000000001"/>
    <n v="157.59"/>
    <n v="35.22"/>
    <n v="147.59"/>
  </r>
  <r>
    <x v="10"/>
    <x v="4"/>
    <x v="15"/>
    <x v="1"/>
    <x v="2"/>
    <x v="0"/>
    <n v="6.1"/>
    <n v="6.15"/>
    <n v="7.0000000000000007E-2"/>
    <n v="5.45"/>
  </r>
  <r>
    <x v="10"/>
    <x v="4"/>
    <x v="15"/>
    <x v="2"/>
    <x v="4"/>
    <x v="0"/>
    <n v="5.54"/>
    <n v="5.59"/>
    <n v="1.79"/>
    <n v="5.29"/>
  </r>
  <r>
    <x v="10"/>
    <x v="4"/>
    <x v="15"/>
    <x v="1"/>
    <x v="1"/>
    <x v="0"/>
    <n v="28.07"/>
    <n v="28.3"/>
    <n v="2.14"/>
    <n v="26.83"/>
  </r>
  <r>
    <x v="10"/>
    <x v="5"/>
    <x v="16"/>
    <x v="0"/>
    <x v="0"/>
    <x v="0"/>
    <n v="1.03"/>
    <n v="1.17"/>
    <n v="0.61"/>
    <n v="0.93"/>
  </r>
  <r>
    <x v="10"/>
    <x v="5"/>
    <x v="16"/>
    <x v="1"/>
    <x v="1"/>
    <x v="1"/>
    <n v="0.37"/>
    <n v="0.42"/>
    <n v="0"/>
    <n v="0.35"/>
  </r>
  <r>
    <x v="10"/>
    <x v="5"/>
    <x v="16"/>
    <x v="1"/>
    <x v="0"/>
    <x v="1"/>
    <n v="0.18"/>
    <n v="0.2"/>
    <n v="0.01"/>
    <n v="0.17"/>
  </r>
  <r>
    <x v="10"/>
    <x v="5"/>
    <x v="16"/>
    <x v="0"/>
    <x v="4"/>
    <x v="1"/>
    <n v="0.01"/>
    <n v="0.01"/>
    <n v="0"/>
    <n v="0.01"/>
  </r>
  <r>
    <x v="10"/>
    <x v="5"/>
    <x v="16"/>
    <x v="2"/>
    <x v="3"/>
    <x v="3"/>
    <n v="0.05"/>
    <n v="0.05"/>
    <n v="0"/>
    <n v="0.04"/>
  </r>
  <r>
    <x v="10"/>
    <x v="5"/>
    <x v="16"/>
    <x v="4"/>
    <x v="0"/>
    <x v="1"/>
    <n v="0"/>
    <n v="0"/>
    <n v="0"/>
    <n v="0"/>
  </r>
  <r>
    <x v="10"/>
    <x v="5"/>
    <x v="16"/>
    <x v="0"/>
    <x v="4"/>
    <x v="0"/>
    <n v="3.98"/>
    <n v="4.5"/>
    <n v="1.1100000000000001"/>
    <n v="3.66"/>
  </r>
  <r>
    <x v="10"/>
    <x v="5"/>
    <x v="16"/>
    <x v="4"/>
    <x v="1"/>
    <x v="1"/>
    <n v="0.13"/>
    <n v="0.15"/>
    <n v="0"/>
    <n v="0.11"/>
  </r>
  <r>
    <x v="10"/>
    <x v="5"/>
    <x v="16"/>
    <x v="4"/>
    <x v="1"/>
    <x v="0"/>
    <n v="1.47"/>
    <n v="1.66"/>
    <n v="0.08"/>
    <n v="1.38"/>
  </r>
  <r>
    <x v="10"/>
    <x v="5"/>
    <x v="16"/>
    <x v="0"/>
    <x v="0"/>
    <x v="1"/>
    <n v="0.15"/>
    <n v="0.17"/>
    <n v="0"/>
    <n v="0.13"/>
  </r>
  <r>
    <x v="10"/>
    <x v="5"/>
    <x v="16"/>
    <x v="4"/>
    <x v="1"/>
    <x v="2"/>
    <n v="0.39"/>
    <n v="0.44"/>
    <n v="0"/>
    <n v="0.33"/>
  </r>
  <r>
    <x v="10"/>
    <x v="5"/>
    <x v="16"/>
    <x v="4"/>
    <x v="4"/>
    <x v="2"/>
    <n v="0.04"/>
    <n v="0.05"/>
    <n v="0"/>
    <n v="0.04"/>
  </r>
  <r>
    <x v="10"/>
    <x v="5"/>
    <x v="16"/>
    <x v="2"/>
    <x v="3"/>
    <x v="2"/>
    <n v="0.01"/>
    <n v="0.01"/>
    <n v="0"/>
    <n v="0.01"/>
  </r>
  <r>
    <x v="10"/>
    <x v="5"/>
    <x v="16"/>
    <x v="4"/>
    <x v="4"/>
    <x v="1"/>
    <n v="0.28000000000000003"/>
    <n v="0.32"/>
    <n v="0"/>
    <n v="0.25"/>
  </r>
  <r>
    <x v="10"/>
    <x v="5"/>
    <x v="16"/>
    <x v="2"/>
    <x v="4"/>
    <x v="0"/>
    <n v="2.64"/>
    <n v="2.99"/>
    <n v="0.48"/>
    <n v="2.4700000000000002"/>
  </r>
  <r>
    <x v="10"/>
    <x v="5"/>
    <x v="16"/>
    <x v="4"/>
    <x v="4"/>
    <x v="0"/>
    <n v="11.88"/>
    <n v="13.45"/>
    <n v="1.75"/>
    <n v="11.07"/>
  </r>
  <r>
    <x v="10"/>
    <x v="5"/>
    <x v="16"/>
    <x v="3"/>
    <x v="1"/>
    <x v="0"/>
    <n v="0"/>
    <n v="0"/>
    <n v="0"/>
    <n v="0"/>
  </r>
  <r>
    <x v="10"/>
    <x v="5"/>
    <x v="16"/>
    <x v="3"/>
    <x v="4"/>
    <x v="0"/>
    <n v="1.26"/>
    <n v="1.42"/>
    <n v="0.44"/>
    <n v="1.19"/>
  </r>
  <r>
    <x v="10"/>
    <x v="5"/>
    <x v="16"/>
    <x v="3"/>
    <x v="0"/>
    <x v="0"/>
    <n v="1.41"/>
    <n v="1.6"/>
    <n v="0.34"/>
    <n v="1.36"/>
  </r>
  <r>
    <x v="10"/>
    <x v="5"/>
    <x v="16"/>
    <x v="2"/>
    <x v="3"/>
    <x v="1"/>
    <n v="0.05"/>
    <n v="0.06"/>
    <n v="0"/>
    <n v="0.05"/>
  </r>
  <r>
    <x v="10"/>
    <x v="5"/>
    <x v="16"/>
    <x v="1"/>
    <x v="4"/>
    <x v="1"/>
    <n v="7.0000000000000007E-2"/>
    <n v="0.08"/>
    <n v="0"/>
    <n v="7.0000000000000007E-2"/>
  </r>
  <r>
    <x v="10"/>
    <x v="5"/>
    <x v="16"/>
    <x v="2"/>
    <x v="3"/>
    <x v="0"/>
    <n v="0.1"/>
    <n v="0.12"/>
    <n v="0.04"/>
    <n v="0.1"/>
  </r>
  <r>
    <x v="10"/>
    <x v="5"/>
    <x v="16"/>
    <x v="1"/>
    <x v="0"/>
    <x v="0"/>
    <n v="2.46"/>
    <n v="2.78"/>
    <n v="1.65"/>
    <n v="2.2599999999999998"/>
  </r>
  <r>
    <x v="10"/>
    <x v="5"/>
    <x v="16"/>
    <x v="2"/>
    <x v="0"/>
    <x v="0"/>
    <n v="1.75"/>
    <n v="1.98"/>
    <n v="1.35"/>
    <n v="1.63"/>
  </r>
  <r>
    <x v="10"/>
    <x v="5"/>
    <x v="16"/>
    <x v="1"/>
    <x v="2"/>
    <x v="0"/>
    <n v="0.22"/>
    <n v="0.25"/>
    <n v="0.01"/>
    <n v="0.19"/>
  </r>
  <r>
    <x v="10"/>
    <x v="5"/>
    <x v="16"/>
    <x v="1"/>
    <x v="1"/>
    <x v="0"/>
    <n v="7.95"/>
    <n v="9"/>
    <n v="0.54"/>
    <n v="7.19"/>
  </r>
  <r>
    <x v="10"/>
    <x v="5"/>
    <x v="16"/>
    <x v="1"/>
    <x v="4"/>
    <x v="0"/>
    <n v="51.19"/>
    <n v="57.94"/>
    <n v="12.37"/>
    <n v="46.38"/>
  </r>
  <r>
    <x v="10"/>
    <x v="5"/>
    <x v="16"/>
    <x v="1"/>
    <x v="2"/>
    <x v="1"/>
    <n v="0.18"/>
    <n v="0.21"/>
    <n v="0"/>
    <n v="0.17"/>
  </r>
  <r>
    <x v="10"/>
    <x v="6"/>
    <x v="17"/>
    <x v="1"/>
    <x v="4"/>
    <x v="1"/>
    <n v="1.4"/>
    <n v="1.52"/>
    <n v="0.03"/>
    <n v="1.22"/>
  </r>
  <r>
    <x v="10"/>
    <x v="6"/>
    <x v="17"/>
    <x v="1"/>
    <x v="1"/>
    <x v="1"/>
    <n v="7.57"/>
    <n v="8.23"/>
    <n v="0.08"/>
    <n v="6.5"/>
  </r>
  <r>
    <x v="10"/>
    <x v="6"/>
    <x v="17"/>
    <x v="4"/>
    <x v="4"/>
    <x v="1"/>
    <n v="2.41"/>
    <n v="2.62"/>
    <n v="0.06"/>
    <n v="2.06"/>
  </r>
  <r>
    <x v="10"/>
    <x v="6"/>
    <x v="17"/>
    <x v="1"/>
    <x v="0"/>
    <x v="1"/>
    <n v="2.0699999999999998"/>
    <n v="2.25"/>
    <n v="0.06"/>
    <n v="1.81"/>
  </r>
  <r>
    <x v="10"/>
    <x v="6"/>
    <x v="17"/>
    <x v="0"/>
    <x v="4"/>
    <x v="1"/>
    <n v="0.5"/>
    <n v="0.54"/>
    <n v="0.05"/>
    <n v="0.43"/>
  </r>
  <r>
    <x v="10"/>
    <x v="6"/>
    <x v="17"/>
    <x v="0"/>
    <x v="0"/>
    <x v="1"/>
    <n v="2.11"/>
    <n v="2.29"/>
    <n v="0.04"/>
    <n v="1.8"/>
  </r>
  <r>
    <x v="10"/>
    <x v="6"/>
    <x v="17"/>
    <x v="4"/>
    <x v="1"/>
    <x v="1"/>
    <n v="0.34"/>
    <n v="0.37"/>
    <n v="0.01"/>
    <n v="0.28999999999999998"/>
  </r>
  <r>
    <x v="10"/>
    <x v="6"/>
    <x v="17"/>
    <x v="4"/>
    <x v="0"/>
    <x v="1"/>
    <n v="1.38"/>
    <n v="1.5"/>
    <n v="0.11"/>
    <n v="1.18"/>
  </r>
  <r>
    <x v="10"/>
    <x v="6"/>
    <x v="17"/>
    <x v="2"/>
    <x v="3"/>
    <x v="2"/>
    <n v="3.86"/>
    <n v="4.1900000000000004"/>
    <n v="0.01"/>
    <n v="3.73"/>
  </r>
  <r>
    <x v="10"/>
    <x v="6"/>
    <x v="17"/>
    <x v="1"/>
    <x v="3"/>
    <x v="2"/>
    <n v="0.52"/>
    <n v="0.56000000000000005"/>
    <n v="0.03"/>
    <n v="0.5"/>
  </r>
  <r>
    <x v="10"/>
    <x v="6"/>
    <x v="17"/>
    <x v="1"/>
    <x v="1"/>
    <x v="2"/>
    <n v="2.89"/>
    <n v="3.14"/>
    <n v="0.04"/>
    <n v="2.8"/>
  </r>
  <r>
    <x v="10"/>
    <x v="6"/>
    <x v="17"/>
    <x v="4"/>
    <x v="4"/>
    <x v="2"/>
    <n v="0.72"/>
    <n v="0.78"/>
    <n v="0.06"/>
    <n v="0.6"/>
  </r>
  <r>
    <x v="10"/>
    <x v="6"/>
    <x v="17"/>
    <x v="1"/>
    <x v="2"/>
    <x v="1"/>
    <n v="13.01"/>
    <n v="14.14"/>
    <n v="0.05"/>
    <n v="11.17"/>
  </r>
  <r>
    <x v="10"/>
    <x v="6"/>
    <x v="17"/>
    <x v="1"/>
    <x v="2"/>
    <x v="2"/>
    <n v="0.02"/>
    <n v="0.02"/>
    <n v="0"/>
    <n v="0.02"/>
  </r>
  <r>
    <x v="10"/>
    <x v="6"/>
    <x v="17"/>
    <x v="4"/>
    <x v="1"/>
    <x v="2"/>
    <n v="0.42"/>
    <n v="0.45"/>
    <n v="0.01"/>
    <n v="0.35"/>
  </r>
  <r>
    <x v="10"/>
    <x v="6"/>
    <x v="17"/>
    <x v="1"/>
    <x v="2"/>
    <x v="0"/>
    <n v="15.92"/>
    <n v="17.309999999999999"/>
    <n v="0.19"/>
    <n v="13.88"/>
  </r>
  <r>
    <x v="10"/>
    <x v="6"/>
    <x v="17"/>
    <x v="2"/>
    <x v="4"/>
    <x v="1"/>
    <n v="0.16"/>
    <n v="0.17"/>
    <n v="0"/>
    <n v="0.16"/>
  </r>
  <r>
    <x v="10"/>
    <x v="6"/>
    <x v="17"/>
    <x v="1"/>
    <x v="4"/>
    <x v="2"/>
    <n v="0.37"/>
    <n v="0.41"/>
    <n v="0.01"/>
    <n v="0.32"/>
  </r>
  <r>
    <x v="10"/>
    <x v="6"/>
    <x v="17"/>
    <x v="2"/>
    <x v="0"/>
    <x v="0"/>
    <n v="19.82"/>
    <n v="21.56"/>
    <n v="11.94"/>
    <n v="19.62"/>
  </r>
  <r>
    <x v="10"/>
    <x v="6"/>
    <x v="17"/>
    <x v="1"/>
    <x v="1"/>
    <x v="0"/>
    <n v="37.340000000000003"/>
    <n v="40.6"/>
    <n v="2.2000000000000002"/>
    <n v="33.700000000000003"/>
  </r>
  <r>
    <x v="10"/>
    <x v="6"/>
    <x v="17"/>
    <x v="1"/>
    <x v="4"/>
    <x v="0"/>
    <n v="363.5"/>
    <n v="395.26"/>
    <n v="67.3"/>
    <n v="336.98"/>
  </r>
  <r>
    <x v="10"/>
    <x v="6"/>
    <x v="17"/>
    <x v="1"/>
    <x v="0"/>
    <x v="0"/>
    <n v="21.92"/>
    <n v="23.83"/>
    <n v="11.54"/>
    <n v="20.190000000000001"/>
  </r>
  <r>
    <x v="10"/>
    <x v="6"/>
    <x v="17"/>
    <x v="0"/>
    <x v="4"/>
    <x v="0"/>
    <n v="39"/>
    <n v="42.41"/>
    <n v="20.420000000000002"/>
    <n v="38.770000000000003"/>
  </r>
  <r>
    <x v="10"/>
    <x v="6"/>
    <x v="17"/>
    <x v="4"/>
    <x v="1"/>
    <x v="0"/>
    <n v="15.61"/>
    <n v="16.97"/>
    <n v="1.03"/>
    <n v="14.26"/>
  </r>
  <r>
    <x v="10"/>
    <x v="6"/>
    <x v="17"/>
    <x v="4"/>
    <x v="4"/>
    <x v="0"/>
    <n v="176.6"/>
    <n v="192.03"/>
    <n v="27.28"/>
    <n v="160.78"/>
  </r>
  <r>
    <x v="10"/>
    <x v="6"/>
    <x v="17"/>
    <x v="4"/>
    <x v="0"/>
    <x v="0"/>
    <n v="0.37"/>
    <n v="0.4"/>
    <n v="0.44"/>
    <n v="0.37"/>
  </r>
  <r>
    <x v="10"/>
    <x v="6"/>
    <x v="17"/>
    <x v="3"/>
    <x v="1"/>
    <x v="0"/>
    <n v="0.1"/>
    <n v="0.11"/>
    <n v="0.01"/>
    <n v="0.1"/>
  </r>
  <r>
    <x v="10"/>
    <x v="6"/>
    <x v="17"/>
    <x v="3"/>
    <x v="4"/>
    <x v="0"/>
    <n v="59.73"/>
    <n v="64.95"/>
    <n v="9.57"/>
    <n v="54.95"/>
  </r>
  <r>
    <x v="10"/>
    <x v="6"/>
    <x v="17"/>
    <x v="2"/>
    <x v="3"/>
    <x v="1"/>
    <n v="2.11"/>
    <n v="2.29"/>
    <n v="0.01"/>
    <n v="1.96"/>
  </r>
  <r>
    <x v="10"/>
    <x v="6"/>
    <x v="17"/>
    <x v="0"/>
    <x v="0"/>
    <x v="0"/>
    <n v="22.95"/>
    <n v="24.96"/>
    <n v="12.27"/>
    <n v="20.48"/>
  </r>
  <r>
    <x v="10"/>
    <x v="6"/>
    <x v="17"/>
    <x v="3"/>
    <x v="0"/>
    <x v="0"/>
    <n v="5.12"/>
    <n v="5.56"/>
    <n v="2.2400000000000002"/>
    <n v="5.12"/>
  </r>
  <r>
    <x v="10"/>
    <x v="6"/>
    <x v="17"/>
    <x v="2"/>
    <x v="4"/>
    <x v="0"/>
    <n v="11.66"/>
    <n v="12.68"/>
    <n v="4.1500000000000004"/>
    <n v="11.36"/>
  </r>
  <r>
    <x v="10"/>
    <x v="6"/>
    <x v="18"/>
    <x v="1"/>
    <x v="2"/>
    <x v="0"/>
    <n v="5.01"/>
    <n v="6.41"/>
    <n v="0.04"/>
    <n v="4.16"/>
  </r>
  <r>
    <x v="10"/>
    <x v="6"/>
    <x v="18"/>
    <x v="2"/>
    <x v="3"/>
    <x v="1"/>
    <n v="0.21"/>
    <n v="0.27"/>
    <n v="0"/>
    <n v="0.19"/>
  </r>
  <r>
    <x v="10"/>
    <x v="6"/>
    <x v="18"/>
    <x v="3"/>
    <x v="0"/>
    <x v="0"/>
    <n v="4.07"/>
    <n v="5.21"/>
    <n v="1.7"/>
    <n v="3.86"/>
  </r>
  <r>
    <x v="10"/>
    <x v="6"/>
    <x v="18"/>
    <x v="3"/>
    <x v="1"/>
    <x v="0"/>
    <n v="7.0000000000000007E-2"/>
    <n v="0.08"/>
    <n v="0.01"/>
    <n v="0.05"/>
  </r>
  <r>
    <x v="10"/>
    <x v="6"/>
    <x v="18"/>
    <x v="4"/>
    <x v="1"/>
    <x v="0"/>
    <n v="4.26"/>
    <n v="5.46"/>
    <n v="0.22"/>
    <n v="3.68"/>
  </r>
  <r>
    <x v="10"/>
    <x v="6"/>
    <x v="18"/>
    <x v="0"/>
    <x v="0"/>
    <x v="0"/>
    <n v="8.43"/>
    <n v="10.79"/>
    <n v="4.59"/>
    <n v="7.17"/>
  </r>
  <r>
    <x v="10"/>
    <x v="6"/>
    <x v="18"/>
    <x v="0"/>
    <x v="4"/>
    <x v="0"/>
    <n v="16.38"/>
    <n v="20.96"/>
    <n v="3.8"/>
    <n v="14.03"/>
  </r>
  <r>
    <x v="10"/>
    <x v="6"/>
    <x v="18"/>
    <x v="1"/>
    <x v="0"/>
    <x v="0"/>
    <n v="11.41"/>
    <n v="14.6"/>
    <n v="5.39"/>
    <n v="9.75"/>
  </r>
  <r>
    <x v="10"/>
    <x v="6"/>
    <x v="18"/>
    <x v="1"/>
    <x v="1"/>
    <x v="0"/>
    <n v="20.98"/>
    <n v="26.85"/>
    <n v="1.28"/>
    <n v="17.87"/>
  </r>
  <r>
    <x v="10"/>
    <x v="6"/>
    <x v="18"/>
    <x v="2"/>
    <x v="0"/>
    <x v="0"/>
    <n v="6.98"/>
    <n v="8.94"/>
    <n v="3.46"/>
    <n v="6.43"/>
  </r>
  <r>
    <x v="10"/>
    <x v="6"/>
    <x v="18"/>
    <x v="2"/>
    <x v="4"/>
    <x v="1"/>
    <n v="0.03"/>
    <n v="0.03"/>
    <n v="0"/>
    <n v="0.02"/>
  </r>
  <r>
    <x v="10"/>
    <x v="6"/>
    <x v="18"/>
    <x v="3"/>
    <x v="4"/>
    <x v="0"/>
    <n v="5.0199999999999996"/>
    <n v="6.42"/>
    <n v="1.01"/>
    <n v="4.4800000000000004"/>
  </r>
  <r>
    <x v="10"/>
    <x v="6"/>
    <x v="18"/>
    <x v="2"/>
    <x v="4"/>
    <x v="0"/>
    <n v="12.91"/>
    <n v="16.52"/>
    <n v="3.16"/>
    <n v="11.62"/>
  </r>
  <r>
    <x v="10"/>
    <x v="6"/>
    <x v="18"/>
    <x v="1"/>
    <x v="4"/>
    <x v="0"/>
    <n v="71.08"/>
    <n v="90.98"/>
    <n v="16.09"/>
    <n v="61.05"/>
  </r>
  <r>
    <x v="10"/>
    <x v="6"/>
    <x v="18"/>
    <x v="1"/>
    <x v="1"/>
    <x v="2"/>
    <n v="0.66"/>
    <n v="0.84"/>
    <n v="0.01"/>
    <n v="0.37"/>
  </r>
  <r>
    <x v="10"/>
    <x v="6"/>
    <x v="18"/>
    <x v="4"/>
    <x v="4"/>
    <x v="0"/>
    <n v="25.53"/>
    <n v="32.68"/>
    <n v="5.73"/>
    <n v="21.89"/>
  </r>
  <r>
    <x v="10"/>
    <x v="6"/>
    <x v="18"/>
    <x v="1"/>
    <x v="2"/>
    <x v="1"/>
    <n v="6.18"/>
    <n v="7.91"/>
    <n v="0.02"/>
    <n v="4.93"/>
  </r>
  <r>
    <x v="10"/>
    <x v="6"/>
    <x v="18"/>
    <x v="4"/>
    <x v="0"/>
    <x v="1"/>
    <n v="0.2"/>
    <n v="0.25"/>
    <n v="0.01"/>
    <n v="0.16"/>
  </r>
  <r>
    <x v="10"/>
    <x v="6"/>
    <x v="18"/>
    <x v="2"/>
    <x v="3"/>
    <x v="2"/>
    <n v="0.14000000000000001"/>
    <n v="0.18"/>
    <n v="0.02"/>
    <n v="0.08"/>
  </r>
  <r>
    <x v="10"/>
    <x v="6"/>
    <x v="18"/>
    <x v="4"/>
    <x v="1"/>
    <x v="2"/>
    <n v="0.01"/>
    <n v="0.02"/>
    <n v="0"/>
    <n v="0.01"/>
  </r>
  <r>
    <x v="10"/>
    <x v="6"/>
    <x v="18"/>
    <x v="4"/>
    <x v="4"/>
    <x v="2"/>
    <n v="0.02"/>
    <n v="0.02"/>
    <n v="0"/>
    <n v="0.01"/>
  </r>
  <r>
    <x v="10"/>
    <x v="6"/>
    <x v="18"/>
    <x v="1"/>
    <x v="0"/>
    <x v="1"/>
    <n v="0.32"/>
    <n v="0.41"/>
    <n v="0.01"/>
    <n v="0.25"/>
  </r>
  <r>
    <x v="10"/>
    <x v="6"/>
    <x v="18"/>
    <x v="4"/>
    <x v="1"/>
    <x v="1"/>
    <n v="0.04"/>
    <n v="0.05"/>
    <n v="0"/>
    <n v="0.03"/>
  </r>
  <r>
    <x v="10"/>
    <x v="6"/>
    <x v="18"/>
    <x v="0"/>
    <x v="0"/>
    <x v="1"/>
    <n v="1.55"/>
    <n v="1.98"/>
    <n v="0.03"/>
    <n v="1.26"/>
  </r>
  <r>
    <x v="10"/>
    <x v="6"/>
    <x v="18"/>
    <x v="1"/>
    <x v="1"/>
    <x v="1"/>
    <n v="1.27"/>
    <n v="1.63"/>
    <n v="0.01"/>
    <n v="1.02"/>
  </r>
  <r>
    <x v="10"/>
    <x v="6"/>
    <x v="18"/>
    <x v="0"/>
    <x v="4"/>
    <x v="1"/>
    <n v="0.18"/>
    <n v="0.23"/>
    <n v="0.02"/>
    <n v="0.15"/>
  </r>
  <r>
    <x v="10"/>
    <x v="6"/>
    <x v="18"/>
    <x v="4"/>
    <x v="4"/>
    <x v="1"/>
    <n v="0.04"/>
    <n v="0.06"/>
    <n v="0"/>
    <n v="0.04"/>
  </r>
  <r>
    <x v="10"/>
    <x v="6"/>
    <x v="18"/>
    <x v="1"/>
    <x v="4"/>
    <x v="1"/>
    <n v="0.35"/>
    <n v="0.45"/>
    <n v="0.01"/>
    <n v="0.27"/>
  </r>
  <r>
    <x v="10"/>
    <x v="6"/>
    <x v="18"/>
    <x v="2"/>
    <x v="3"/>
    <x v="3"/>
    <n v="0.96"/>
    <n v="1.23"/>
    <n v="0"/>
    <n v="0.77"/>
  </r>
  <r>
    <x v="10"/>
    <x v="2"/>
    <x v="19"/>
    <x v="1"/>
    <x v="2"/>
    <x v="0"/>
    <n v="0.72"/>
    <n v="0.78"/>
    <n v="0.01"/>
    <n v="0.61"/>
  </r>
  <r>
    <x v="10"/>
    <x v="2"/>
    <x v="19"/>
    <x v="1"/>
    <x v="4"/>
    <x v="0"/>
    <n v="194.2"/>
    <n v="211.4"/>
    <n v="26.19"/>
    <n v="180.52"/>
  </r>
  <r>
    <x v="10"/>
    <x v="2"/>
    <x v="19"/>
    <x v="2"/>
    <x v="4"/>
    <x v="0"/>
    <n v="12.63"/>
    <n v="13.75"/>
    <n v="2.16"/>
    <n v="12.02"/>
  </r>
  <r>
    <x v="10"/>
    <x v="2"/>
    <x v="19"/>
    <x v="2"/>
    <x v="3"/>
    <x v="0"/>
    <n v="4.16"/>
    <n v="4.53"/>
    <n v="0.03"/>
    <n v="4.16"/>
  </r>
  <r>
    <x v="10"/>
    <x v="2"/>
    <x v="19"/>
    <x v="4"/>
    <x v="2"/>
    <x v="2"/>
    <n v="0.01"/>
    <n v="0.01"/>
    <n v="0"/>
    <n v="0.01"/>
  </r>
  <r>
    <x v="10"/>
    <x v="2"/>
    <x v="19"/>
    <x v="1"/>
    <x v="0"/>
    <x v="0"/>
    <n v="15.32"/>
    <n v="16.68"/>
    <n v="7.33"/>
    <n v="14.41"/>
  </r>
  <r>
    <x v="10"/>
    <x v="2"/>
    <x v="19"/>
    <x v="0"/>
    <x v="4"/>
    <x v="0"/>
    <n v="41.96"/>
    <n v="45.68"/>
    <n v="7.82"/>
    <n v="39.049999999999997"/>
  </r>
  <r>
    <x v="10"/>
    <x v="2"/>
    <x v="19"/>
    <x v="1"/>
    <x v="1"/>
    <x v="0"/>
    <n v="31.06"/>
    <n v="33.81"/>
    <n v="1.1200000000000001"/>
    <n v="28.87"/>
  </r>
  <r>
    <x v="10"/>
    <x v="2"/>
    <x v="19"/>
    <x v="4"/>
    <x v="4"/>
    <x v="2"/>
    <n v="5.37"/>
    <n v="5.85"/>
    <n v="0.01"/>
    <n v="6.04"/>
  </r>
  <r>
    <x v="10"/>
    <x v="2"/>
    <x v="19"/>
    <x v="4"/>
    <x v="1"/>
    <x v="2"/>
    <n v="0.02"/>
    <n v="0.03"/>
    <n v="0"/>
    <n v="0.03"/>
  </r>
  <r>
    <x v="10"/>
    <x v="2"/>
    <x v="19"/>
    <x v="4"/>
    <x v="4"/>
    <x v="0"/>
    <n v="28.55"/>
    <n v="31.08"/>
    <n v="2.88"/>
    <n v="26.02"/>
  </r>
  <r>
    <x v="10"/>
    <x v="2"/>
    <x v="19"/>
    <x v="2"/>
    <x v="0"/>
    <x v="0"/>
    <n v="6.21"/>
    <n v="6.76"/>
    <n v="3.35"/>
    <n v="5.89"/>
  </r>
  <r>
    <x v="10"/>
    <x v="2"/>
    <x v="19"/>
    <x v="0"/>
    <x v="0"/>
    <x v="1"/>
    <n v="0.02"/>
    <n v="0.02"/>
    <n v="0"/>
    <n v="0.02"/>
  </r>
  <r>
    <x v="10"/>
    <x v="2"/>
    <x v="19"/>
    <x v="4"/>
    <x v="1"/>
    <x v="0"/>
    <n v="7.8"/>
    <n v="8.49"/>
    <n v="0.38"/>
    <n v="7.08"/>
  </r>
  <r>
    <x v="10"/>
    <x v="2"/>
    <x v="19"/>
    <x v="3"/>
    <x v="1"/>
    <x v="0"/>
    <n v="3.79"/>
    <n v="4.13"/>
    <n v="0.31"/>
    <n v="3.6"/>
  </r>
  <r>
    <x v="10"/>
    <x v="2"/>
    <x v="19"/>
    <x v="3"/>
    <x v="4"/>
    <x v="0"/>
    <n v="25.41"/>
    <n v="27.66"/>
    <n v="7.3"/>
    <n v="24.16"/>
  </r>
  <r>
    <x v="10"/>
    <x v="2"/>
    <x v="19"/>
    <x v="3"/>
    <x v="0"/>
    <x v="0"/>
    <n v="21.16"/>
    <n v="23.03"/>
    <n v="4.59"/>
    <n v="20.170000000000002"/>
  </r>
  <r>
    <x v="10"/>
    <x v="2"/>
    <x v="19"/>
    <x v="1"/>
    <x v="2"/>
    <x v="1"/>
    <n v="0.09"/>
    <n v="0.09"/>
    <n v="0"/>
    <n v="0.08"/>
  </r>
  <r>
    <x v="10"/>
    <x v="2"/>
    <x v="19"/>
    <x v="1"/>
    <x v="1"/>
    <x v="1"/>
    <n v="0.1"/>
    <n v="0.11"/>
    <n v="0"/>
    <n v="0.09"/>
  </r>
  <r>
    <x v="10"/>
    <x v="2"/>
    <x v="19"/>
    <x v="1"/>
    <x v="4"/>
    <x v="1"/>
    <n v="0.01"/>
    <n v="0.02"/>
    <n v="0"/>
    <n v="0.01"/>
  </r>
  <r>
    <x v="10"/>
    <x v="2"/>
    <x v="19"/>
    <x v="1"/>
    <x v="0"/>
    <x v="1"/>
    <n v="0.01"/>
    <n v="0.01"/>
    <n v="0"/>
    <n v="0.01"/>
  </r>
  <r>
    <x v="10"/>
    <x v="2"/>
    <x v="19"/>
    <x v="0"/>
    <x v="4"/>
    <x v="1"/>
    <n v="0.01"/>
    <n v="0.01"/>
    <n v="0"/>
    <n v="0.01"/>
  </r>
  <r>
    <x v="10"/>
    <x v="2"/>
    <x v="19"/>
    <x v="0"/>
    <x v="0"/>
    <x v="0"/>
    <n v="3.38"/>
    <n v="3.68"/>
    <n v="1.85"/>
    <n v="2.99"/>
  </r>
  <r>
    <x v="10"/>
    <x v="7"/>
    <x v="20"/>
    <x v="0"/>
    <x v="0"/>
    <x v="0"/>
    <n v="1.65"/>
    <n v="1.56"/>
    <n v="1.07"/>
    <n v="1.49"/>
  </r>
  <r>
    <x v="10"/>
    <x v="7"/>
    <x v="20"/>
    <x v="0"/>
    <x v="4"/>
    <x v="0"/>
    <n v="6.69"/>
    <n v="6.34"/>
    <n v="2.39"/>
    <n v="6.24"/>
  </r>
  <r>
    <x v="10"/>
    <x v="7"/>
    <x v="20"/>
    <x v="1"/>
    <x v="0"/>
    <x v="0"/>
    <n v="6.91"/>
    <n v="6.55"/>
    <n v="5.38"/>
    <n v="6.47"/>
  </r>
  <r>
    <x v="10"/>
    <x v="7"/>
    <x v="20"/>
    <x v="1"/>
    <x v="1"/>
    <x v="0"/>
    <n v="32.369999999999997"/>
    <n v="30.68"/>
    <n v="1.51"/>
    <n v="29.99"/>
  </r>
  <r>
    <x v="10"/>
    <x v="7"/>
    <x v="20"/>
    <x v="2"/>
    <x v="3"/>
    <x v="0"/>
    <n v="0.26"/>
    <n v="0.25"/>
    <n v="0.04"/>
    <n v="0.26"/>
  </r>
  <r>
    <x v="10"/>
    <x v="7"/>
    <x v="20"/>
    <x v="4"/>
    <x v="1"/>
    <x v="0"/>
    <n v="15.96"/>
    <n v="15.13"/>
    <n v="0.85"/>
    <n v="14.82"/>
  </r>
  <r>
    <x v="10"/>
    <x v="7"/>
    <x v="20"/>
    <x v="1"/>
    <x v="2"/>
    <x v="1"/>
    <n v="0.09"/>
    <n v="0.09"/>
    <n v="0"/>
    <n v="0.08"/>
  </r>
  <r>
    <x v="10"/>
    <x v="7"/>
    <x v="20"/>
    <x v="2"/>
    <x v="0"/>
    <x v="0"/>
    <n v="1.99"/>
    <n v="1.89"/>
    <n v="2.33"/>
    <n v="1.88"/>
  </r>
  <r>
    <x v="10"/>
    <x v="7"/>
    <x v="20"/>
    <x v="2"/>
    <x v="4"/>
    <x v="0"/>
    <n v="4.25"/>
    <n v="4.0199999999999996"/>
    <n v="1.42"/>
    <n v="4"/>
  </r>
  <r>
    <x v="10"/>
    <x v="7"/>
    <x v="20"/>
    <x v="0"/>
    <x v="4"/>
    <x v="1"/>
    <n v="0.01"/>
    <n v="0.01"/>
    <n v="0"/>
    <n v="0.01"/>
  </r>
  <r>
    <x v="10"/>
    <x v="7"/>
    <x v="20"/>
    <x v="4"/>
    <x v="4"/>
    <x v="2"/>
    <n v="0.01"/>
    <n v="0.01"/>
    <n v="0"/>
    <n v="0.01"/>
  </r>
  <r>
    <x v="10"/>
    <x v="7"/>
    <x v="20"/>
    <x v="4"/>
    <x v="1"/>
    <x v="2"/>
    <n v="0"/>
    <n v="0"/>
    <n v="0"/>
    <n v="0"/>
  </r>
  <r>
    <x v="10"/>
    <x v="7"/>
    <x v="20"/>
    <x v="2"/>
    <x v="3"/>
    <x v="2"/>
    <n v="0.01"/>
    <n v="0.01"/>
    <n v="0"/>
    <n v="0.01"/>
  </r>
  <r>
    <x v="10"/>
    <x v="7"/>
    <x v="20"/>
    <x v="2"/>
    <x v="3"/>
    <x v="3"/>
    <n v="6.23"/>
    <n v="5.91"/>
    <n v="0"/>
    <n v="6.23"/>
  </r>
  <r>
    <x v="10"/>
    <x v="7"/>
    <x v="20"/>
    <x v="4"/>
    <x v="0"/>
    <x v="1"/>
    <n v="0"/>
    <n v="0"/>
    <n v="0"/>
    <n v="0"/>
  </r>
  <r>
    <x v="10"/>
    <x v="7"/>
    <x v="20"/>
    <x v="3"/>
    <x v="0"/>
    <x v="0"/>
    <n v="5.27"/>
    <n v="5"/>
    <n v="0.96"/>
    <n v="5.17"/>
  </r>
  <r>
    <x v="10"/>
    <x v="7"/>
    <x v="20"/>
    <x v="0"/>
    <x v="0"/>
    <x v="1"/>
    <n v="0.09"/>
    <n v="0.09"/>
    <n v="0"/>
    <n v="0.08"/>
  </r>
  <r>
    <x v="10"/>
    <x v="7"/>
    <x v="20"/>
    <x v="4"/>
    <x v="4"/>
    <x v="0"/>
    <n v="98.84"/>
    <n v="93.66"/>
    <n v="11.58"/>
    <n v="91.3"/>
  </r>
  <r>
    <x v="10"/>
    <x v="7"/>
    <x v="20"/>
    <x v="1"/>
    <x v="0"/>
    <x v="1"/>
    <n v="0.12"/>
    <n v="0.11"/>
    <n v="0.01"/>
    <n v="0.11"/>
  </r>
  <r>
    <x v="10"/>
    <x v="7"/>
    <x v="20"/>
    <x v="1"/>
    <x v="4"/>
    <x v="1"/>
    <n v="0.03"/>
    <n v="0.02"/>
    <n v="0"/>
    <n v="0.02"/>
  </r>
  <r>
    <x v="10"/>
    <x v="7"/>
    <x v="20"/>
    <x v="1"/>
    <x v="1"/>
    <x v="1"/>
    <n v="0.12"/>
    <n v="0.11"/>
    <n v="0"/>
    <n v="0.11"/>
  </r>
  <r>
    <x v="10"/>
    <x v="7"/>
    <x v="20"/>
    <x v="2"/>
    <x v="3"/>
    <x v="1"/>
    <n v="0.13"/>
    <n v="0.12"/>
    <n v="0"/>
    <n v="0.11"/>
  </r>
  <r>
    <x v="10"/>
    <x v="7"/>
    <x v="20"/>
    <x v="3"/>
    <x v="4"/>
    <x v="0"/>
    <n v="10.38"/>
    <n v="9.84"/>
    <n v="3.55"/>
    <n v="9.8000000000000007"/>
  </r>
  <r>
    <x v="10"/>
    <x v="7"/>
    <x v="20"/>
    <x v="3"/>
    <x v="1"/>
    <x v="0"/>
    <n v="0.3"/>
    <n v="0.28999999999999998"/>
    <n v="0.02"/>
    <n v="0.3"/>
  </r>
  <r>
    <x v="10"/>
    <x v="7"/>
    <x v="20"/>
    <x v="4"/>
    <x v="4"/>
    <x v="1"/>
    <n v="0.02"/>
    <n v="0.02"/>
    <n v="0"/>
    <n v="0.02"/>
  </r>
  <r>
    <x v="10"/>
    <x v="7"/>
    <x v="20"/>
    <x v="1"/>
    <x v="4"/>
    <x v="0"/>
    <n v="117.7"/>
    <n v="111.53"/>
    <n v="24.44"/>
    <n v="109.02"/>
  </r>
  <r>
    <x v="10"/>
    <x v="2"/>
    <x v="21"/>
    <x v="2"/>
    <x v="4"/>
    <x v="0"/>
    <n v="21.03"/>
    <n v="22.89"/>
    <n v="3.05"/>
    <n v="19.920000000000002"/>
  </r>
  <r>
    <x v="10"/>
    <x v="2"/>
    <x v="21"/>
    <x v="0"/>
    <x v="0"/>
    <x v="0"/>
    <n v="11.99"/>
    <n v="13.06"/>
    <n v="5.0999999999999996"/>
    <n v="10.9"/>
  </r>
  <r>
    <x v="10"/>
    <x v="2"/>
    <x v="21"/>
    <x v="1"/>
    <x v="2"/>
    <x v="1"/>
    <n v="4.17"/>
    <n v="4.54"/>
    <n v="0.02"/>
    <n v="3.46"/>
  </r>
  <r>
    <x v="10"/>
    <x v="2"/>
    <x v="21"/>
    <x v="3"/>
    <x v="0"/>
    <x v="0"/>
    <n v="8.64"/>
    <n v="9.4"/>
    <n v="1.57"/>
    <n v="8.41"/>
  </r>
  <r>
    <x v="10"/>
    <x v="2"/>
    <x v="21"/>
    <x v="3"/>
    <x v="1"/>
    <x v="0"/>
    <n v="1.31"/>
    <n v="1.43"/>
    <n v="0.11"/>
    <n v="1.27"/>
  </r>
  <r>
    <x v="10"/>
    <x v="2"/>
    <x v="21"/>
    <x v="4"/>
    <x v="4"/>
    <x v="0"/>
    <n v="83.56"/>
    <n v="90.97"/>
    <n v="8.5299999999999994"/>
    <n v="78.239999999999995"/>
  </r>
  <r>
    <x v="10"/>
    <x v="2"/>
    <x v="21"/>
    <x v="4"/>
    <x v="1"/>
    <x v="0"/>
    <n v="12.66"/>
    <n v="13.78"/>
    <n v="0.71"/>
    <n v="11.95"/>
  </r>
  <r>
    <x v="10"/>
    <x v="2"/>
    <x v="21"/>
    <x v="0"/>
    <x v="4"/>
    <x v="0"/>
    <n v="38.29"/>
    <n v="41.69"/>
    <n v="8.86"/>
    <n v="35.36"/>
  </r>
  <r>
    <x v="10"/>
    <x v="2"/>
    <x v="21"/>
    <x v="1"/>
    <x v="0"/>
    <x v="0"/>
    <n v="23.29"/>
    <n v="25.36"/>
    <n v="10.91"/>
    <n v="21.47"/>
  </r>
  <r>
    <x v="10"/>
    <x v="2"/>
    <x v="21"/>
    <x v="1"/>
    <x v="4"/>
    <x v="0"/>
    <n v="329.59"/>
    <n v="358.78"/>
    <n v="50.49"/>
    <n v="302.54000000000002"/>
  </r>
  <r>
    <x v="10"/>
    <x v="2"/>
    <x v="21"/>
    <x v="1"/>
    <x v="1"/>
    <x v="0"/>
    <n v="52.42"/>
    <n v="57.06"/>
    <n v="2.41"/>
    <n v="48.25"/>
  </r>
  <r>
    <x v="10"/>
    <x v="2"/>
    <x v="21"/>
    <x v="1"/>
    <x v="1"/>
    <x v="1"/>
    <n v="2.89"/>
    <n v="3.15"/>
    <n v="0.02"/>
    <n v="2.41"/>
  </r>
  <r>
    <x v="10"/>
    <x v="2"/>
    <x v="21"/>
    <x v="2"/>
    <x v="0"/>
    <x v="0"/>
    <n v="22.6"/>
    <n v="24.6"/>
    <n v="9.92"/>
    <n v="21.08"/>
  </r>
  <r>
    <x v="10"/>
    <x v="2"/>
    <x v="21"/>
    <x v="2"/>
    <x v="3"/>
    <x v="1"/>
    <n v="3.02"/>
    <n v="3.29"/>
    <n v="0"/>
    <n v="2.5099999999999998"/>
  </r>
  <r>
    <x v="10"/>
    <x v="2"/>
    <x v="21"/>
    <x v="2"/>
    <x v="3"/>
    <x v="0"/>
    <n v="5.03"/>
    <n v="5.48"/>
    <n v="0.04"/>
    <n v="5.03"/>
  </r>
  <r>
    <x v="10"/>
    <x v="2"/>
    <x v="21"/>
    <x v="1"/>
    <x v="2"/>
    <x v="0"/>
    <n v="2.2000000000000002"/>
    <n v="2.4"/>
    <n v="0.03"/>
    <n v="1.99"/>
  </r>
  <r>
    <x v="10"/>
    <x v="2"/>
    <x v="21"/>
    <x v="4"/>
    <x v="2"/>
    <x v="2"/>
    <n v="0.24"/>
    <n v="0.26"/>
    <n v="0"/>
    <n v="0.23"/>
  </r>
  <r>
    <x v="10"/>
    <x v="2"/>
    <x v="21"/>
    <x v="3"/>
    <x v="4"/>
    <x v="0"/>
    <n v="43.62"/>
    <n v="47.49"/>
    <n v="8.85"/>
    <n v="40.75"/>
  </r>
  <r>
    <x v="10"/>
    <x v="2"/>
    <x v="21"/>
    <x v="1"/>
    <x v="4"/>
    <x v="1"/>
    <n v="0.11"/>
    <n v="0.12"/>
    <n v="0.01"/>
    <n v="0.1"/>
  </r>
  <r>
    <x v="10"/>
    <x v="2"/>
    <x v="21"/>
    <x v="4"/>
    <x v="1"/>
    <x v="2"/>
    <n v="0.19"/>
    <n v="0.21"/>
    <n v="0"/>
    <n v="0.19"/>
  </r>
  <r>
    <x v="10"/>
    <x v="2"/>
    <x v="21"/>
    <x v="1"/>
    <x v="4"/>
    <x v="2"/>
    <n v="0.39"/>
    <n v="0.42"/>
    <n v="0.02"/>
    <n v="0.37"/>
  </r>
  <r>
    <x v="10"/>
    <x v="2"/>
    <x v="21"/>
    <x v="2"/>
    <x v="3"/>
    <x v="2"/>
    <n v="5.07"/>
    <n v="5.52"/>
    <n v="0.01"/>
    <n v="4.79"/>
  </r>
  <r>
    <x v="10"/>
    <x v="2"/>
    <x v="21"/>
    <x v="2"/>
    <x v="3"/>
    <x v="3"/>
    <n v="72.78"/>
    <n v="79.23"/>
    <n v="0.04"/>
    <n v="72.78"/>
  </r>
  <r>
    <x v="10"/>
    <x v="2"/>
    <x v="21"/>
    <x v="0"/>
    <x v="4"/>
    <x v="1"/>
    <n v="5.12"/>
    <n v="5.58"/>
    <n v="0.1"/>
    <n v="4.22"/>
  </r>
  <r>
    <x v="10"/>
    <x v="2"/>
    <x v="21"/>
    <x v="4"/>
    <x v="4"/>
    <x v="1"/>
    <n v="0.52"/>
    <n v="0.56999999999999995"/>
    <n v="0.01"/>
    <n v="0.43"/>
  </r>
  <r>
    <x v="10"/>
    <x v="2"/>
    <x v="21"/>
    <x v="4"/>
    <x v="1"/>
    <x v="1"/>
    <n v="0.65"/>
    <n v="0.71"/>
    <n v="0"/>
    <n v="0.54"/>
  </r>
  <r>
    <x v="10"/>
    <x v="2"/>
    <x v="21"/>
    <x v="0"/>
    <x v="0"/>
    <x v="1"/>
    <n v="3.18"/>
    <n v="3.46"/>
    <n v="0.12"/>
    <n v="2.62"/>
  </r>
  <r>
    <x v="10"/>
    <x v="2"/>
    <x v="21"/>
    <x v="4"/>
    <x v="0"/>
    <x v="1"/>
    <n v="0.01"/>
    <n v="0.01"/>
    <n v="0.01"/>
    <n v="0.01"/>
  </r>
  <r>
    <x v="10"/>
    <x v="2"/>
    <x v="21"/>
    <x v="1"/>
    <x v="0"/>
    <x v="1"/>
    <n v="0.39"/>
    <n v="0.43"/>
    <n v="0.02"/>
    <n v="0.34"/>
  </r>
  <r>
    <x v="10"/>
    <x v="2"/>
    <x v="21"/>
    <x v="4"/>
    <x v="4"/>
    <x v="2"/>
    <n v="0.48"/>
    <n v="0.52"/>
    <n v="0"/>
    <n v="0.47"/>
  </r>
  <r>
    <x v="10"/>
    <x v="8"/>
    <x v="22"/>
    <x v="1"/>
    <x v="2"/>
    <x v="0"/>
    <n v="62.53"/>
    <n v="71.05"/>
    <n v="0.81"/>
    <n v="51.35"/>
  </r>
  <r>
    <x v="10"/>
    <x v="8"/>
    <x v="22"/>
    <x v="2"/>
    <x v="0"/>
    <x v="0"/>
    <n v="520.23"/>
    <n v="591.14"/>
    <n v="107.37"/>
    <n v="475.36"/>
  </r>
  <r>
    <x v="10"/>
    <x v="8"/>
    <x v="22"/>
    <x v="3"/>
    <x v="1"/>
    <x v="0"/>
    <n v="0.56000000000000005"/>
    <n v="0.64"/>
    <n v="0.18"/>
    <n v="0.53"/>
  </r>
  <r>
    <x v="10"/>
    <x v="8"/>
    <x v="22"/>
    <x v="3"/>
    <x v="4"/>
    <x v="0"/>
    <n v="330.73"/>
    <n v="375.81"/>
    <n v="51.63"/>
    <n v="307.67"/>
  </r>
  <r>
    <x v="10"/>
    <x v="8"/>
    <x v="22"/>
    <x v="3"/>
    <x v="0"/>
    <x v="0"/>
    <n v="79.569999999999993"/>
    <n v="90.42"/>
    <n v="22.58"/>
    <n v="73.63"/>
  </r>
  <r>
    <x v="10"/>
    <x v="8"/>
    <x v="22"/>
    <x v="1"/>
    <x v="2"/>
    <x v="1"/>
    <n v="22.04"/>
    <n v="25.05"/>
    <n v="0.08"/>
    <n v="19.84"/>
  </r>
  <r>
    <x v="10"/>
    <x v="8"/>
    <x v="22"/>
    <x v="1"/>
    <x v="1"/>
    <x v="1"/>
    <n v="18.920000000000002"/>
    <n v="21.5"/>
    <n v="0.24"/>
    <n v="16.829999999999998"/>
  </r>
  <r>
    <x v="10"/>
    <x v="8"/>
    <x v="22"/>
    <x v="1"/>
    <x v="1"/>
    <x v="0"/>
    <n v="14.8"/>
    <n v="16.82"/>
    <n v="3.92"/>
    <n v="13.83"/>
  </r>
  <r>
    <x v="10"/>
    <x v="8"/>
    <x v="22"/>
    <x v="4"/>
    <x v="4"/>
    <x v="0"/>
    <n v="259.58"/>
    <n v="294.95999999999998"/>
    <n v="23.66"/>
    <n v="237.95"/>
  </r>
  <r>
    <x v="10"/>
    <x v="8"/>
    <x v="22"/>
    <x v="1"/>
    <x v="4"/>
    <x v="1"/>
    <n v="0.99"/>
    <n v="1.1299999999999999"/>
    <n v="0.03"/>
    <n v="0.85"/>
  </r>
  <r>
    <x v="10"/>
    <x v="8"/>
    <x v="22"/>
    <x v="2"/>
    <x v="3"/>
    <x v="1"/>
    <n v="10.15"/>
    <n v="11.53"/>
    <n v="0.01"/>
    <n v="9.43"/>
  </r>
  <r>
    <x v="10"/>
    <x v="8"/>
    <x v="22"/>
    <x v="1"/>
    <x v="4"/>
    <x v="0"/>
    <n v="1225.82"/>
    <n v="1392.91"/>
    <n v="169.06"/>
    <n v="1089.83"/>
  </r>
  <r>
    <x v="10"/>
    <x v="8"/>
    <x v="22"/>
    <x v="1"/>
    <x v="0"/>
    <x v="0"/>
    <n v="245.17"/>
    <n v="278.58999999999997"/>
    <n v="72.06"/>
    <n v="220.61"/>
  </r>
  <r>
    <x v="10"/>
    <x v="8"/>
    <x v="22"/>
    <x v="0"/>
    <x v="3"/>
    <x v="0"/>
    <n v="29.08"/>
    <n v="33.049999999999997"/>
    <n v="0.19"/>
    <n v="29.08"/>
  </r>
  <r>
    <x v="10"/>
    <x v="8"/>
    <x v="22"/>
    <x v="0"/>
    <x v="2"/>
    <x v="0"/>
    <n v="9.8699999999999992"/>
    <n v="11.22"/>
    <n v="0.15"/>
    <n v="9.9"/>
  </r>
  <r>
    <x v="10"/>
    <x v="8"/>
    <x v="22"/>
    <x v="0"/>
    <x v="1"/>
    <x v="0"/>
    <n v="23.19"/>
    <n v="26.35"/>
    <n v="0.95"/>
    <n v="23.25"/>
  </r>
  <r>
    <x v="10"/>
    <x v="8"/>
    <x v="22"/>
    <x v="4"/>
    <x v="4"/>
    <x v="2"/>
    <n v="0.2"/>
    <n v="0.23"/>
    <n v="0.02"/>
    <n v="0.19"/>
  </r>
  <r>
    <x v="10"/>
    <x v="8"/>
    <x v="22"/>
    <x v="1"/>
    <x v="0"/>
    <x v="1"/>
    <n v="4.8600000000000003"/>
    <n v="5.52"/>
    <n v="0.34"/>
    <n v="4.3499999999999996"/>
  </r>
  <r>
    <x v="10"/>
    <x v="8"/>
    <x v="22"/>
    <x v="4"/>
    <x v="1"/>
    <x v="0"/>
    <n v="7.97"/>
    <n v="9.0500000000000007"/>
    <n v="1.19"/>
    <n v="7.88"/>
  </r>
  <r>
    <x v="10"/>
    <x v="8"/>
    <x v="22"/>
    <x v="0"/>
    <x v="0"/>
    <x v="0"/>
    <n v="99.7"/>
    <n v="113.28"/>
    <n v="24.41"/>
    <n v="88.42"/>
  </r>
  <r>
    <x v="10"/>
    <x v="8"/>
    <x v="22"/>
    <x v="0"/>
    <x v="4"/>
    <x v="0"/>
    <n v="122.44"/>
    <n v="139.13"/>
    <n v="13.01"/>
    <n v="111.6"/>
  </r>
  <r>
    <x v="10"/>
    <x v="8"/>
    <x v="22"/>
    <x v="4"/>
    <x v="0"/>
    <x v="0"/>
    <n v="1.41"/>
    <n v="1.6"/>
    <n v="0.37"/>
    <n v="1.25"/>
  </r>
  <r>
    <x v="10"/>
    <x v="8"/>
    <x v="22"/>
    <x v="2"/>
    <x v="0"/>
    <x v="3"/>
    <n v="0.03"/>
    <n v="0.03"/>
    <n v="0"/>
    <n v="0.02"/>
  </r>
  <r>
    <x v="10"/>
    <x v="8"/>
    <x v="22"/>
    <x v="2"/>
    <x v="4"/>
    <x v="0"/>
    <n v="117.35"/>
    <n v="133.34"/>
    <n v="17.41"/>
    <n v="109"/>
  </r>
  <r>
    <x v="10"/>
    <x v="8"/>
    <x v="22"/>
    <x v="1"/>
    <x v="4"/>
    <x v="2"/>
    <n v="7.96"/>
    <n v="9.0500000000000007"/>
    <n v="0.23"/>
    <n v="6.88"/>
  </r>
  <r>
    <x v="10"/>
    <x v="8"/>
    <x v="22"/>
    <x v="4"/>
    <x v="1"/>
    <x v="2"/>
    <n v="0.99"/>
    <n v="1.1299999999999999"/>
    <n v="0.05"/>
    <n v="0.9"/>
  </r>
  <r>
    <x v="10"/>
    <x v="8"/>
    <x v="22"/>
    <x v="0"/>
    <x v="4"/>
    <x v="1"/>
    <n v="2.5299999999999998"/>
    <n v="2.87"/>
    <n v="0.23"/>
    <n v="2.2599999999999998"/>
  </r>
  <r>
    <x v="10"/>
    <x v="8"/>
    <x v="22"/>
    <x v="2"/>
    <x v="3"/>
    <x v="2"/>
    <n v="29.71"/>
    <n v="33.76"/>
    <n v="0.02"/>
    <n v="29.75"/>
  </r>
  <r>
    <x v="10"/>
    <x v="8"/>
    <x v="22"/>
    <x v="1"/>
    <x v="1"/>
    <x v="2"/>
    <n v="0.57999999999999996"/>
    <n v="0.66"/>
    <n v="0.01"/>
    <n v="0.56999999999999995"/>
  </r>
  <r>
    <x v="10"/>
    <x v="8"/>
    <x v="22"/>
    <x v="2"/>
    <x v="4"/>
    <x v="3"/>
    <n v="0.17"/>
    <n v="0.19"/>
    <n v="0.02"/>
    <n v="0.14000000000000001"/>
  </r>
  <r>
    <x v="10"/>
    <x v="8"/>
    <x v="22"/>
    <x v="2"/>
    <x v="1"/>
    <x v="3"/>
    <n v="93.12"/>
    <n v="105.82"/>
    <n v="7.0000000000000007E-2"/>
    <n v="76.83"/>
  </r>
  <r>
    <x v="10"/>
    <x v="8"/>
    <x v="22"/>
    <x v="2"/>
    <x v="2"/>
    <x v="3"/>
    <n v="246.76"/>
    <n v="280.39"/>
    <n v="0.05"/>
    <n v="203.58"/>
  </r>
  <r>
    <x v="10"/>
    <x v="8"/>
    <x v="22"/>
    <x v="2"/>
    <x v="3"/>
    <x v="3"/>
    <n v="2.66"/>
    <n v="3.03"/>
    <n v="0"/>
    <n v="2.5299999999999998"/>
  </r>
  <r>
    <x v="10"/>
    <x v="8"/>
    <x v="22"/>
    <x v="4"/>
    <x v="0"/>
    <x v="1"/>
    <n v="5.72"/>
    <n v="6.49"/>
    <n v="0.31"/>
    <n v="4.66"/>
  </r>
  <r>
    <x v="10"/>
    <x v="8"/>
    <x v="22"/>
    <x v="0"/>
    <x v="0"/>
    <x v="1"/>
    <n v="48.83"/>
    <n v="55.48"/>
    <n v="0.93"/>
    <n v="43.94"/>
  </r>
  <r>
    <x v="10"/>
    <x v="8"/>
    <x v="22"/>
    <x v="1"/>
    <x v="2"/>
    <x v="2"/>
    <n v="0.27"/>
    <n v="0.31"/>
    <n v="0.01"/>
    <n v="0.26"/>
  </r>
  <r>
    <x v="10"/>
    <x v="6"/>
    <x v="23"/>
    <x v="2"/>
    <x v="3"/>
    <x v="3"/>
    <n v="3.08"/>
    <n v="3.87"/>
    <n v="0"/>
    <n v="3.08"/>
  </r>
  <r>
    <x v="10"/>
    <x v="6"/>
    <x v="23"/>
    <x v="4"/>
    <x v="0"/>
    <x v="1"/>
    <n v="0.27"/>
    <n v="0.34"/>
    <n v="0.02"/>
    <n v="0.22"/>
  </r>
  <r>
    <x v="10"/>
    <x v="6"/>
    <x v="23"/>
    <x v="4"/>
    <x v="4"/>
    <x v="1"/>
    <n v="0.13"/>
    <n v="0.16"/>
    <n v="0"/>
    <n v="0.1"/>
  </r>
  <r>
    <x v="10"/>
    <x v="6"/>
    <x v="23"/>
    <x v="4"/>
    <x v="1"/>
    <x v="1"/>
    <n v="0.13"/>
    <n v="0.17"/>
    <n v="0.01"/>
    <n v="0.13"/>
  </r>
  <r>
    <x v="10"/>
    <x v="6"/>
    <x v="23"/>
    <x v="0"/>
    <x v="0"/>
    <x v="1"/>
    <n v="1.1200000000000001"/>
    <n v="1.4"/>
    <n v="0.02"/>
    <n v="0.87"/>
  </r>
  <r>
    <x v="10"/>
    <x v="6"/>
    <x v="23"/>
    <x v="0"/>
    <x v="4"/>
    <x v="1"/>
    <n v="0.24"/>
    <n v="0.3"/>
    <n v="0.03"/>
    <n v="0.19"/>
  </r>
  <r>
    <x v="10"/>
    <x v="6"/>
    <x v="23"/>
    <x v="3"/>
    <x v="4"/>
    <x v="0"/>
    <n v="16.559999999999999"/>
    <n v="20.79"/>
    <n v="2.72"/>
    <n v="14.19"/>
  </r>
  <r>
    <x v="10"/>
    <x v="6"/>
    <x v="23"/>
    <x v="1"/>
    <x v="4"/>
    <x v="1"/>
    <n v="0.21"/>
    <n v="0.27"/>
    <n v="0"/>
    <n v="0.18"/>
  </r>
  <r>
    <x v="10"/>
    <x v="6"/>
    <x v="23"/>
    <x v="4"/>
    <x v="1"/>
    <x v="2"/>
    <n v="0.06"/>
    <n v="7.0000000000000007E-2"/>
    <n v="0"/>
    <n v="0.04"/>
  </r>
  <r>
    <x v="10"/>
    <x v="6"/>
    <x v="23"/>
    <x v="1"/>
    <x v="1"/>
    <x v="1"/>
    <n v="2.95"/>
    <n v="3.7"/>
    <n v="0.02"/>
    <n v="2.2999999999999998"/>
  </r>
  <r>
    <x v="10"/>
    <x v="6"/>
    <x v="23"/>
    <x v="1"/>
    <x v="2"/>
    <x v="1"/>
    <n v="4.09"/>
    <n v="5.13"/>
    <n v="0.01"/>
    <n v="3.22"/>
  </r>
  <r>
    <x v="10"/>
    <x v="6"/>
    <x v="23"/>
    <x v="2"/>
    <x v="3"/>
    <x v="1"/>
    <n v="0"/>
    <n v="0"/>
    <n v="0"/>
    <n v="0"/>
  </r>
  <r>
    <x v="10"/>
    <x v="6"/>
    <x v="23"/>
    <x v="0"/>
    <x v="4"/>
    <x v="0"/>
    <n v="6.49"/>
    <n v="8.14"/>
    <n v="1.37"/>
    <n v="5.8"/>
  </r>
  <r>
    <x v="10"/>
    <x v="6"/>
    <x v="23"/>
    <x v="0"/>
    <x v="0"/>
    <x v="0"/>
    <n v="4.0199999999999996"/>
    <n v="5.04"/>
    <n v="2.0299999999999998"/>
    <n v="3.44"/>
  </r>
  <r>
    <x v="10"/>
    <x v="6"/>
    <x v="23"/>
    <x v="4"/>
    <x v="1"/>
    <x v="0"/>
    <n v="3.94"/>
    <n v="4.95"/>
    <n v="0.19"/>
    <n v="3.48"/>
  </r>
  <r>
    <x v="10"/>
    <x v="6"/>
    <x v="23"/>
    <x v="4"/>
    <x v="4"/>
    <x v="0"/>
    <n v="11.17"/>
    <n v="14.01"/>
    <n v="2.19"/>
    <n v="9.69"/>
  </r>
  <r>
    <x v="10"/>
    <x v="6"/>
    <x v="23"/>
    <x v="1"/>
    <x v="0"/>
    <x v="1"/>
    <n v="0.26"/>
    <n v="0.33"/>
    <n v="0.01"/>
    <n v="0.22"/>
  </r>
  <r>
    <x v="10"/>
    <x v="6"/>
    <x v="23"/>
    <x v="1"/>
    <x v="0"/>
    <x v="0"/>
    <n v="5.74"/>
    <n v="7.2"/>
    <n v="2.79"/>
    <n v="5.12"/>
  </r>
  <r>
    <x v="10"/>
    <x v="6"/>
    <x v="23"/>
    <x v="2"/>
    <x v="3"/>
    <x v="0"/>
    <n v="4.67"/>
    <n v="5.86"/>
    <n v="0.05"/>
    <n v="4.67"/>
  </r>
  <r>
    <x v="10"/>
    <x v="6"/>
    <x v="23"/>
    <x v="4"/>
    <x v="4"/>
    <x v="2"/>
    <n v="0.01"/>
    <n v="0.01"/>
    <n v="0"/>
    <n v="0"/>
  </r>
  <r>
    <x v="10"/>
    <x v="6"/>
    <x v="23"/>
    <x v="2"/>
    <x v="4"/>
    <x v="0"/>
    <n v="9.42"/>
    <n v="11.83"/>
    <n v="2.06"/>
    <n v="8.66"/>
  </r>
  <r>
    <x v="10"/>
    <x v="6"/>
    <x v="23"/>
    <x v="2"/>
    <x v="0"/>
    <x v="0"/>
    <n v="2.7"/>
    <n v="3.39"/>
    <n v="1.2"/>
    <n v="2.63"/>
  </r>
  <r>
    <x v="10"/>
    <x v="6"/>
    <x v="23"/>
    <x v="1"/>
    <x v="2"/>
    <x v="0"/>
    <n v="3.88"/>
    <n v="4.8600000000000003"/>
    <n v="0.03"/>
    <n v="3.26"/>
  </r>
  <r>
    <x v="10"/>
    <x v="6"/>
    <x v="23"/>
    <x v="1"/>
    <x v="1"/>
    <x v="0"/>
    <n v="15.94"/>
    <n v="20"/>
    <n v="0.84"/>
    <n v="13.9"/>
  </r>
  <r>
    <x v="10"/>
    <x v="6"/>
    <x v="23"/>
    <x v="4"/>
    <x v="2"/>
    <x v="2"/>
    <n v="0.02"/>
    <n v="0.03"/>
    <n v="0"/>
    <n v="0.02"/>
  </r>
  <r>
    <x v="10"/>
    <x v="6"/>
    <x v="23"/>
    <x v="1"/>
    <x v="4"/>
    <x v="0"/>
    <n v="95.12"/>
    <n v="119.38"/>
    <n v="19.03"/>
    <n v="85.86"/>
  </r>
  <r>
    <x v="10"/>
    <x v="6"/>
    <x v="23"/>
    <x v="1"/>
    <x v="2"/>
    <x v="2"/>
    <n v="0.01"/>
    <n v="0.01"/>
    <n v="0"/>
    <n v="0"/>
  </r>
  <r>
    <x v="10"/>
    <x v="0"/>
    <x v="24"/>
    <x v="4"/>
    <x v="1"/>
    <x v="0"/>
    <n v="10.65"/>
    <n v="15.79"/>
    <n v="1.04"/>
    <n v="10.130000000000001"/>
  </r>
  <r>
    <x v="10"/>
    <x v="0"/>
    <x v="24"/>
    <x v="3"/>
    <x v="0"/>
    <x v="0"/>
    <n v="2.71"/>
    <n v="4.0199999999999996"/>
    <n v="2.76"/>
    <n v="2.65"/>
  </r>
  <r>
    <x v="10"/>
    <x v="0"/>
    <x v="24"/>
    <x v="1"/>
    <x v="2"/>
    <x v="1"/>
    <n v="13.03"/>
    <n v="19.3"/>
    <n v="7.0000000000000007E-2"/>
    <n v="12.43"/>
  </r>
  <r>
    <x v="10"/>
    <x v="0"/>
    <x v="24"/>
    <x v="3"/>
    <x v="4"/>
    <x v="0"/>
    <n v="16.2"/>
    <n v="24.01"/>
    <n v="3.5"/>
    <n v="15.41"/>
  </r>
  <r>
    <x v="10"/>
    <x v="0"/>
    <x v="24"/>
    <x v="3"/>
    <x v="1"/>
    <x v="0"/>
    <n v="0.02"/>
    <n v="0.03"/>
    <n v="0"/>
    <n v="0.02"/>
  </r>
  <r>
    <x v="10"/>
    <x v="0"/>
    <x v="24"/>
    <x v="4"/>
    <x v="4"/>
    <x v="0"/>
    <n v="26.9"/>
    <n v="39.85"/>
    <n v="6.1"/>
    <n v="25.32"/>
  </r>
  <r>
    <x v="10"/>
    <x v="0"/>
    <x v="24"/>
    <x v="1"/>
    <x v="0"/>
    <x v="1"/>
    <n v="0.13"/>
    <n v="0.19"/>
    <n v="0.01"/>
    <n v="0.12"/>
  </r>
  <r>
    <x v="10"/>
    <x v="0"/>
    <x v="24"/>
    <x v="0"/>
    <x v="0"/>
    <x v="0"/>
    <n v="3.4"/>
    <n v="5.04"/>
    <n v="4.97"/>
    <n v="3.21"/>
  </r>
  <r>
    <x v="10"/>
    <x v="0"/>
    <x v="24"/>
    <x v="0"/>
    <x v="4"/>
    <x v="0"/>
    <n v="12.36"/>
    <n v="18.309999999999999"/>
    <n v="3.61"/>
    <n v="11.79"/>
  </r>
  <r>
    <x v="10"/>
    <x v="0"/>
    <x v="24"/>
    <x v="1"/>
    <x v="0"/>
    <x v="0"/>
    <n v="8.9600000000000009"/>
    <n v="13.28"/>
    <n v="5.53"/>
    <n v="8.5500000000000007"/>
  </r>
  <r>
    <x v="10"/>
    <x v="0"/>
    <x v="24"/>
    <x v="1"/>
    <x v="1"/>
    <x v="0"/>
    <n v="11.52"/>
    <n v="17.059999999999999"/>
    <n v="0.82"/>
    <n v="10.81"/>
  </r>
  <r>
    <x v="10"/>
    <x v="0"/>
    <x v="24"/>
    <x v="4"/>
    <x v="0"/>
    <x v="0"/>
    <n v="0.44"/>
    <n v="0.65"/>
    <n v="0.09"/>
    <n v="0.4"/>
  </r>
  <r>
    <x v="10"/>
    <x v="0"/>
    <x v="24"/>
    <x v="1"/>
    <x v="4"/>
    <x v="1"/>
    <n v="0.38"/>
    <n v="0.56999999999999995"/>
    <n v="0.02"/>
    <n v="0.36"/>
  </r>
  <r>
    <x v="10"/>
    <x v="0"/>
    <x v="24"/>
    <x v="1"/>
    <x v="2"/>
    <x v="0"/>
    <n v="17.46"/>
    <n v="25.87"/>
    <n v="0.2"/>
    <n v="16.190000000000001"/>
  </r>
  <r>
    <x v="10"/>
    <x v="0"/>
    <x v="24"/>
    <x v="0"/>
    <x v="4"/>
    <x v="1"/>
    <n v="0.2"/>
    <n v="0.28999999999999998"/>
    <n v="0.03"/>
    <n v="0.19"/>
  </r>
  <r>
    <x v="10"/>
    <x v="0"/>
    <x v="24"/>
    <x v="0"/>
    <x v="0"/>
    <x v="1"/>
    <n v="1.84"/>
    <n v="2.72"/>
    <n v="0.06"/>
    <n v="1.76"/>
  </r>
  <r>
    <x v="10"/>
    <x v="0"/>
    <x v="24"/>
    <x v="4"/>
    <x v="1"/>
    <x v="1"/>
    <n v="0.06"/>
    <n v="0.08"/>
    <n v="0.01"/>
    <n v="0.05"/>
  </r>
  <r>
    <x v="10"/>
    <x v="0"/>
    <x v="24"/>
    <x v="4"/>
    <x v="4"/>
    <x v="1"/>
    <n v="0.3"/>
    <n v="0.44"/>
    <n v="0.02"/>
    <n v="0.28999999999999998"/>
  </r>
  <r>
    <x v="10"/>
    <x v="0"/>
    <x v="24"/>
    <x v="4"/>
    <x v="0"/>
    <x v="1"/>
    <n v="0.89"/>
    <n v="1.31"/>
    <n v="7.0000000000000007E-2"/>
    <n v="0.84"/>
  </r>
  <r>
    <x v="10"/>
    <x v="0"/>
    <x v="24"/>
    <x v="2"/>
    <x v="3"/>
    <x v="3"/>
    <n v="17.690000000000001"/>
    <n v="26.21"/>
    <n v="0.01"/>
    <n v="17.27"/>
  </r>
  <r>
    <x v="10"/>
    <x v="0"/>
    <x v="24"/>
    <x v="2"/>
    <x v="3"/>
    <x v="2"/>
    <n v="0.92"/>
    <n v="1.37"/>
    <n v="0"/>
    <n v="0.9"/>
  </r>
  <r>
    <x v="10"/>
    <x v="0"/>
    <x v="24"/>
    <x v="1"/>
    <x v="4"/>
    <x v="2"/>
    <n v="0.3"/>
    <n v="0.45"/>
    <n v="0.03"/>
    <n v="0.3"/>
  </r>
  <r>
    <x v="10"/>
    <x v="0"/>
    <x v="24"/>
    <x v="4"/>
    <x v="2"/>
    <x v="2"/>
    <n v="0.18"/>
    <n v="0.27"/>
    <n v="0"/>
    <n v="0.17"/>
  </r>
  <r>
    <x v="10"/>
    <x v="0"/>
    <x v="24"/>
    <x v="4"/>
    <x v="1"/>
    <x v="2"/>
    <n v="0.13"/>
    <n v="0.19"/>
    <n v="0.01"/>
    <n v="0.13"/>
  </r>
  <r>
    <x v="10"/>
    <x v="0"/>
    <x v="24"/>
    <x v="4"/>
    <x v="4"/>
    <x v="2"/>
    <n v="0.19"/>
    <n v="0.28000000000000003"/>
    <n v="0.01"/>
    <n v="0.18"/>
  </r>
  <r>
    <x v="10"/>
    <x v="0"/>
    <x v="24"/>
    <x v="1"/>
    <x v="1"/>
    <x v="1"/>
    <n v="4.18"/>
    <n v="6.2"/>
    <n v="0.19"/>
    <n v="3.98"/>
  </r>
  <r>
    <x v="10"/>
    <x v="0"/>
    <x v="24"/>
    <x v="2"/>
    <x v="4"/>
    <x v="0"/>
    <n v="6.56"/>
    <n v="9.7100000000000009"/>
    <n v="1.96"/>
    <n v="6.35"/>
  </r>
  <r>
    <x v="10"/>
    <x v="0"/>
    <x v="24"/>
    <x v="1"/>
    <x v="4"/>
    <x v="0"/>
    <n v="125.63"/>
    <n v="186.12"/>
    <n v="24.11"/>
    <n v="118.73"/>
  </r>
  <r>
    <x v="10"/>
    <x v="0"/>
    <x v="24"/>
    <x v="2"/>
    <x v="0"/>
    <x v="0"/>
    <n v="11.04"/>
    <n v="16.36"/>
    <n v="7.63"/>
    <n v="10.39"/>
  </r>
  <r>
    <x v="10"/>
    <x v="2"/>
    <x v="25"/>
    <x v="1"/>
    <x v="1"/>
    <x v="1"/>
    <n v="0.34"/>
    <n v="0.37"/>
    <n v="0"/>
    <n v="0.32"/>
  </r>
  <r>
    <x v="10"/>
    <x v="2"/>
    <x v="25"/>
    <x v="0"/>
    <x v="0"/>
    <x v="0"/>
    <n v="10.050000000000001"/>
    <n v="10.94"/>
    <n v="4.5999999999999996"/>
    <n v="9.2200000000000006"/>
  </r>
  <r>
    <x v="10"/>
    <x v="2"/>
    <x v="25"/>
    <x v="4"/>
    <x v="4"/>
    <x v="1"/>
    <n v="0.13"/>
    <n v="0.15"/>
    <n v="0"/>
    <n v="0.12"/>
  </r>
  <r>
    <x v="10"/>
    <x v="2"/>
    <x v="25"/>
    <x v="4"/>
    <x v="1"/>
    <x v="1"/>
    <n v="0.1"/>
    <n v="0.11"/>
    <n v="0"/>
    <n v="0.09"/>
  </r>
  <r>
    <x v="10"/>
    <x v="2"/>
    <x v="25"/>
    <x v="0"/>
    <x v="0"/>
    <x v="1"/>
    <n v="0.55000000000000004"/>
    <n v="0.6"/>
    <n v="0.02"/>
    <n v="0.51"/>
  </r>
  <r>
    <x v="10"/>
    <x v="2"/>
    <x v="25"/>
    <x v="0"/>
    <x v="4"/>
    <x v="1"/>
    <n v="0.91"/>
    <n v="0.99"/>
    <n v="0.02"/>
    <n v="0.84"/>
  </r>
  <r>
    <x v="10"/>
    <x v="2"/>
    <x v="25"/>
    <x v="1"/>
    <x v="4"/>
    <x v="1"/>
    <n v="0.01"/>
    <n v="0.01"/>
    <n v="0"/>
    <n v="0.01"/>
  </r>
  <r>
    <x v="10"/>
    <x v="2"/>
    <x v="25"/>
    <x v="1"/>
    <x v="2"/>
    <x v="1"/>
    <n v="0.93"/>
    <n v="1.01"/>
    <n v="0"/>
    <n v="0.87"/>
  </r>
  <r>
    <x v="10"/>
    <x v="2"/>
    <x v="25"/>
    <x v="2"/>
    <x v="3"/>
    <x v="1"/>
    <n v="2.31"/>
    <n v="2.5099999999999998"/>
    <n v="0"/>
    <n v="2.13"/>
  </r>
  <r>
    <x v="10"/>
    <x v="2"/>
    <x v="25"/>
    <x v="3"/>
    <x v="0"/>
    <x v="0"/>
    <n v="10.66"/>
    <n v="11.61"/>
    <n v="5.73"/>
    <n v="10.66"/>
  </r>
  <r>
    <x v="10"/>
    <x v="2"/>
    <x v="25"/>
    <x v="3"/>
    <x v="4"/>
    <x v="0"/>
    <n v="66.569999999999993"/>
    <n v="72.47"/>
    <n v="13.03"/>
    <n v="64.959999999999994"/>
  </r>
  <r>
    <x v="10"/>
    <x v="2"/>
    <x v="25"/>
    <x v="4"/>
    <x v="4"/>
    <x v="0"/>
    <n v="123.88"/>
    <n v="134.85"/>
    <n v="12.44"/>
    <n v="116.93"/>
  </r>
  <r>
    <x v="10"/>
    <x v="2"/>
    <x v="25"/>
    <x v="4"/>
    <x v="1"/>
    <x v="0"/>
    <n v="22.4"/>
    <n v="24.39"/>
    <n v="1.08"/>
    <n v="21.29"/>
  </r>
  <r>
    <x v="10"/>
    <x v="2"/>
    <x v="25"/>
    <x v="2"/>
    <x v="3"/>
    <x v="3"/>
    <n v="28.04"/>
    <n v="30.53"/>
    <n v="0.02"/>
    <n v="28.04"/>
  </r>
  <r>
    <x v="10"/>
    <x v="2"/>
    <x v="25"/>
    <x v="2"/>
    <x v="3"/>
    <x v="2"/>
    <n v="3.23"/>
    <n v="3.51"/>
    <n v="0"/>
    <n v="2.95"/>
  </r>
  <r>
    <x v="10"/>
    <x v="2"/>
    <x v="25"/>
    <x v="1"/>
    <x v="4"/>
    <x v="2"/>
    <n v="0.35"/>
    <n v="0.38"/>
    <n v="0"/>
    <n v="0.32"/>
  </r>
  <r>
    <x v="10"/>
    <x v="2"/>
    <x v="25"/>
    <x v="4"/>
    <x v="4"/>
    <x v="2"/>
    <n v="0.14000000000000001"/>
    <n v="0.16"/>
    <n v="0"/>
    <n v="0.13"/>
  </r>
  <r>
    <x v="10"/>
    <x v="2"/>
    <x v="25"/>
    <x v="4"/>
    <x v="0"/>
    <x v="1"/>
    <n v="0.02"/>
    <n v="0.02"/>
    <n v="0"/>
    <n v="0.02"/>
  </r>
  <r>
    <x v="10"/>
    <x v="2"/>
    <x v="25"/>
    <x v="1"/>
    <x v="0"/>
    <x v="1"/>
    <n v="0.4"/>
    <n v="0.43"/>
    <n v="0.03"/>
    <n v="0.4"/>
  </r>
  <r>
    <x v="10"/>
    <x v="2"/>
    <x v="25"/>
    <x v="3"/>
    <x v="1"/>
    <x v="0"/>
    <n v="1.62"/>
    <n v="1.77"/>
    <n v="0.13"/>
    <n v="1.61"/>
  </r>
  <r>
    <x v="10"/>
    <x v="2"/>
    <x v="25"/>
    <x v="2"/>
    <x v="4"/>
    <x v="0"/>
    <n v="17.510000000000002"/>
    <n v="19.059999999999999"/>
    <n v="2.75"/>
    <n v="17.079999999999998"/>
  </r>
  <r>
    <x v="10"/>
    <x v="2"/>
    <x v="25"/>
    <x v="1"/>
    <x v="2"/>
    <x v="0"/>
    <n v="3.17"/>
    <n v="3.45"/>
    <n v="7.0000000000000007E-2"/>
    <n v="2.9"/>
  </r>
  <r>
    <x v="10"/>
    <x v="2"/>
    <x v="25"/>
    <x v="1"/>
    <x v="1"/>
    <x v="0"/>
    <n v="56.81"/>
    <n v="61.84"/>
    <n v="2.29"/>
    <n v="53.69"/>
  </r>
  <r>
    <x v="10"/>
    <x v="2"/>
    <x v="25"/>
    <x v="1"/>
    <x v="4"/>
    <x v="0"/>
    <n v="394.48"/>
    <n v="429.42"/>
    <n v="58.03"/>
    <n v="372.25"/>
  </r>
  <r>
    <x v="10"/>
    <x v="2"/>
    <x v="25"/>
    <x v="1"/>
    <x v="0"/>
    <x v="0"/>
    <n v="30.75"/>
    <n v="33.479999999999997"/>
    <n v="14.56"/>
    <n v="29.5"/>
  </r>
  <r>
    <x v="10"/>
    <x v="2"/>
    <x v="25"/>
    <x v="2"/>
    <x v="0"/>
    <x v="0"/>
    <n v="15.11"/>
    <n v="16.45"/>
    <n v="5.1100000000000003"/>
    <n v="14.67"/>
  </r>
  <r>
    <x v="10"/>
    <x v="2"/>
    <x v="25"/>
    <x v="0"/>
    <x v="4"/>
    <x v="0"/>
    <n v="65.790000000000006"/>
    <n v="71.62"/>
    <n v="13.36"/>
    <n v="62.29"/>
  </r>
  <r>
    <x v="10"/>
    <x v="2"/>
    <x v="25"/>
    <x v="2"/>
    <x v="3"/>
    <x v="0"/>
    <n v="5.65"/>
    <n v="6.15"/>
    <n v="0.05"/>
    <n v="5.65"/>
  </r>
  <r>
    <x v="10"/>
    <x v="1"/>
    <x v="26"/>
    <x v="1"/>
    <x v="0"/>
    <x v="0"/>
    <n v="2.86"/>
    <n v="3.23"/>
    <n v="1.33"/>
    <n v="2.44"/>
  </r>
  <r>
    <x v="10"/>
    <x v="1"/>
    <x v="26"/>
    <x v="4"/>
    <x v="1"/>
    <x v="2"/>
    <n v="0.01"/>
    <n v="0.01"/>
    <n v="0"/>
    <n v="0.01"/>
  </r>
  <r>
    <x v="10"/>
    <x v="1"/>
    <x v="26"/>
    <x v="2"/>
    <x v="0"/>
    <x v="0"/>
    <n v="0.9"/>
    <n v="1.02"/>
    <n v="0.47"/>
    <n v="0.84"/>
  </r>
  <r>
    <x v="10"/>
    <x v="1"/>
    <x v="26"/>
    <x v="1"/>
    <x v="2"/>
    <x v="0"/>
    <n v="0.1"/>
    <n v="0.11"/>
    <n v="0"/>
    <n v="0.08"/>
  </r>
  <r>
    <x v="10"/>
    <x v="1"/>
    <x v="26"/>
    <x v="2"/>
    <x v="4"/>
    <x v="0"/>
    <n v="4.1900000000000004"/>
    <n v="4.7300000000000004"/>
    <n v="0.91"/>
    <n v="3.68"/>
  </r>
  <r>
    <x v="10"/>
    <x v="1"/>
    <x v="26"/>
    <x v="1"/>
    <x v="4"/>
    <x v="0"/>
    <n v="23.17"/>
    <n v="26.15"/>
    <n v="3.35"/>
    <n v="20.440000000000001"/>
  </r>
  <r>
    <x v="10"/>
    <x v="1"/>
    <x v="26"/>
    <x v="0"/>
    <x v="4"/>
    <x v="0"/>
    <n v="7.66"/>
    <n v="8.65"/>
    <n v="2.06"/>
    <n v="6.48"/>
  </r>
  <r>
    <x v="10"/>
    <x v="1"/>
    <x v="26"/>
    <x v="0"/>
    <x v="0"/>
    <x v="0"/>
    <n v="0.18"/>
    <n v="0.21"/>
    <n v="0.06"/>
    <n v="0.16"/>
  </r>
  <r>
    <x v="10"/>
    <x v="1"/>
    <x v="26"/>
    <x v="4"/>
    <x v="1"/>
    <x v="0"/>
    <n v="1.1599999999999999"/>
    <n v="1.31"/>
    <n v="0.05"/>
    <n v="1.1399999999999999"/>
  </r>
  <r>
    <x v="10"/>
    <x v="1"/>
    <x v="26"/>
    <x v="4"/>
    <x v="4"/>
    <x v="0"/>
    <n v="10.6"/>
    <n v="11.96"/>
    <n v="1.51"/>
    <n v="9.0500000000000007"/>
  </r>
  <r>
    <x v="10"/>
    <x v="1"/>
    <x v="26"/>
    <x v="0"/>
    <x v="4"/>
    <x v="1"/>
    <n v="0.01"/>
    <n v="0.01"/>
    <n v="0"/>
    <n v="0.01"/>
  </r>
  <r>
    <x v="10"/>
    <x v="1"/>
    <x v="26"/>
    <x v="1"/>
    <x v="1"/>
    <x v="0"/>
    <n v="3.07"/>
    <n v="3.47"/>
    <n v="0.13"/>
    <n v="2.6"/>
  </r>
  <r>
    <x v="10"/>
    <x v="1"/>
    <x v="26"/>
    <x v="2"/>
    <x v="3"/>
    <x v="3"/>
    <n v="0.01"/>
    <n v="0.01"/>
    <n v="0"/>
    <n v="0.01"/>
  </r>
  <r>
    <x v="10"/>
    <x v="1"/>
    <x v="26"/>
    <x v="3"/>
    <x v="1"/>
    <x v="0"/>
    <n v="0.02"/>
    <n v="0.02"/>
    <n v="0"/>
    <n v="0.02"/>
  </r>
  <r>
    <x v="10"/>
    <x v="1"/>
    <x v="26"/>
    <x v="4"/>
    <x v="0"/>
    <x v="1"/>
    <n v="0.01"/>
    <n v="0.01"/>
    <n v="0"/>
    <n v="0.01"/>
  </r>
  <r>
    <x v="10"/>
    <x v="1"/>
    <x v="26"/>
    <x v="4"/>
    <x v="1"/>
    <x v="1"/>
    <n v="0.01"/>
    <n v="0.02"/>
    <n v="0"/>
    <n v="0.01"/>
  </r>
  <r>
    <x v="10"/>
    <x v="1"/>
    <x v="26"/>
    <x v="1"/>
    <x v="4"/>
    <x v="1"/>
    <n v="0.17"/>
    <n v="0.19"/>
    <n v="0.01"/>
    <n v="0.15"/>
  </r>
  <r>
    <x v="10"/>
    <x v="1"/>
    <x v="26"/>
    <x v="1"/>
    <x v="1"/>
    <x v="2"/>
    <n v="0.01"/>
    <n v="0.02"/>
    <n v="0"/>
    <n v="0.01"/>
  </r>
  <r>
    <x v="10"/>
    <x v="1"/>
    <x v="26"/>
    <x v="1"/>
    <x v="1"/>
    <x v="1"/>
    <n v="0.16"/>
    <n v="0.18"/>
    <n v="0.01"/>
    <n v="0.14000000000000001"/>
  </r>
  <r>
    <x v="10"/>
    <x v="1"/>
    <x v="26"/>
    <x v="1"/>
    <x v="2"/>
    <x v="1"/>
    <n v="0.08"/>
    <n v="0.09"/>
    <n v="0.02"/>
    <n v="7.0000000000000007E-2"/>
  </r>
  <r>
    <x v="10"/>
    <x v="1"/>
    <x v="26"/>
    <x v="2"/>
    <x v="3"/>
    <x v="1"/>
    <n v="0"/>
    <n v="0"/>
    <n v="0"/>
    <n v="0"/>
  </r>
  <r>
    <x v="10"/>
    <x v="1"/>
    <x v="26"/>
    <x v="3"/>
    <x v="4"/>
    <x v="0"/>
    <n v="1.79"/>
    <n v="2.02"/>
    <n v="0.55000000000000004"/>
    <n v="1.5"/>
  </r>
  <r>
    <x v="10"/>
    <x v="2"/>
    <x v="27"/>
    <x v="2"/>
    <x v="3"/>
    <x v="0"/>
    <n v="3.49"/>
    <n v="4.7"/>
    <n v="0.03"/>
    <n v="3.49"/>
  </r>
  <r>
    <x v="10"/>
    <x v="2"/>
    <x v="27"/>
    <x v="0"/>
    <x v="4"/>
    <x v="0"/>
    <n v="8.2200000000000006"/>
    <n v="11.05"/>
    <n v="1.72"/>
    <n v="7.81"/>
  </r>
  <r>
    <x v="10"/>
    <x v="2"/>
    <x v="27"/>
    <x v="4"/>
    <x v="1"/>
    <x v="0"/>
    <n v="3.75"/>
    <n v="5.04"/>
    <n v="0.18"/>
    <n v="3.54"/>
  </r>
  <r>
    <x v="10"/>
    <x v="2"/>
    <x v="27"/>
    <x v="0"/>
    <x v="0"/>
    <x v="0"/>
    <n v="1.5"/>
    <n v="2.0099999999999998"/>
    <n v="0.65"/>
    <n v="1.39"/>
  </r>
  <r>
    <x v="10"/>
    <x v="2"/>
    <x v="27"/>
    <x v="3"/>
    <x v="1"/>
    <x v="0"/>
    <n v="0.17"/>
    <n v="0.22"/>
    <n v="0.02"/>
    <n v="0.17"/>
  </r>
  <r>
    <x v="10"/>
    <x v="2"/>
    <x v="27"/>
    <x v="1"/>
    <x v="0"/>
    <x v="0"/>
    <n v="3.7"/>
    <n v="4.97"/>
    <n v="2"/>
    <n v="3.57"/>
  </r>
  <r>
    <x v="10"/>
    <x v="2"/>
    <x v="27"/>
    <x v="1"/>
    <x v="4"/>
    <x v="0"/>
    <n v="62"/>
    <n v="83.38"/>
    <n v="10.76"/>
    <n v="58.87"/>
  </r>
  <r>
    <x v="10"/>
    <x v="2"/>
    <x v="27"/>
    <x v="1"/>
    <x v="1"/>
    <x v="0"/>
    <n v="6.96"/>
    <n v="9.36"/>
    <n v="0.39"/>
    <n v="6.6"/>
  </r>
  <r>
    <x v="10"/>
    <x v="2"/>
    <x v="27"/>
    <x v="2"/>
    <x v="4"/>
    <x v="0"/>
    <n v="3.53"/>
    <n v="4.75"/>
    <n v="0.42"/>
    <n v="3.46"/>
  </r>
  <r>
    <x v="10"/>
    <x v="2"/>
    <x v="27"/>
    <x v="3"/>
    <x v="0"/>
    <x v="0"/>
    <n v="2.98"/>
    <n v="4.01"/>
    <n v="0.56000000000000005"/>
    <n v="2.99"/>
  </r>
  <r>
    <x v="10"/>
    <x v="2"/>
    <x v="27"/>
    <x v="3"/>
    <x v="4"/>
    <x v="0"/>
    <n v="4.24"/>
    <n v="5.71"/>
    <n v="1.41"/>
    <n v="4.1399999999999997"/>
  </r>
  <r>
    <x v="10"/>
    <x v="2"/>
    <x v="27"/>
    <x v="2"/>
    <x v="0"/>
    <x v="0"/>
    <n v="2.38"/>
    <n v="3.21"/>
    <n v="0.87"/>
    <n v="2.2999999999999998"/>
  </r>
  <r>
    <x v="10"/>
    <x v="2"/>
    <x v="27"/>
    <x v="4"/>
    <x v="0"/>
    <x v="1"/>
    <n v="0.01"/>
    <n v="0.01"/>
    <n v="0"/>
    <n v="0.01"/>
  </r>
  <r>
    <x v="10"/>
    <x v="2"/>
    <x v="27"/>
    <x v="4"/>
    <x v="4"/>
    <x v="0"/>
    <n v="25.09"/>
    <n v="33.74"/>
    <n v="2.46"/>
    <n v="23.64"/>
  </r>
  <r>
    <x v="10"/>
    <x v="2"/>
    <x v="27"/>
    <x v="4"/>
    <x v="1"/>
    <x v="2"/>
    <n v="0.06"/>
    <n v="0.08"/>
    <n v="0"/>
    <n v="0.05"/>
  </r>
  <r>
    <x v="10"/>
    <x v="2"/>
    <x v="27"/>
    <x v="2"/>
    <x v="3"/>
    <x v="1"/>
    <n v="1.07"/>
    <n v="1.44"/>
    <n v="0"/>
    <n v="1.06"/>
  </r>
  <r>
    <x v="10"/>
    <x v="2"/>
    <x v="27"/>
    <x v="2"/>
    <x v="3"/>
    <x v="3"/>
    <n v="3.19"/>
    <n v="4.29"/>
    <n v="0"/>
    <n v="3.19"/>
  </r>
  <r>
    <x v="10"/>
    <x v="2"/>
    <x v="27"/>
    <x v="4"/>
    <x v="4"/>
    <x v="2"/>
    <n v="0.37"/>
    <n v="0.49"/>
    <n v="0.01"/>
    <n v="0.33"/>
  </r>
  <r>
    <x v="10"/>
    <x v="2"/>
    <x v="27"/>
    <x v="4"/>
    <x v="4"/>
    <x v="1"/>
    <n v="0.04"/>
    <n v="0.06"/>
    <n v="0"/>
    <n v="0.04"/>
  </r>
  <r>
    <x v="10"/>
    <x v="2"/>
    <x v="27"/>
    <x v="4"/>
    <x v="1"/>
    <x v="1"/>
    <n v="0.03"/>
    <n v="0.05"/>
    <n v="0"/>
    <n v="0.03"/>
  </r>
  <r>
    <x v="10"/>
    <x v="2"/>
    <x v="27"/>
    <x v="0"/>
    <x v="0"/>
    <x v="1"/>
    <n v="0.15"/>
    <n v="0.2"/>
    <n v="0.01"/>
    <n v="0.15"/>
  </r>
  <r>
    <x v="10"/>
    <x v="2"/>
    <x v="27"/>
    <x v="0"/>
    <x v="4"/>
    <x v="1"/>
    <n v="0.16"/>
    <n v="0.21"/>
    <n v="0"/>
    <n v="0.16"/>
  </r>
  <r>
    <x v="10"/>
    <x v="2"/>
    <x v="27"/>
    <x v="1"/>
    <x v="0"/>
    <x v="1"/>
    <n v="7.0000000000000007E-2"/>
    <n v="0.1"/>
    <n v="0"/>
    <n v="0.08"/>
  </r>
  <r>
    <x v="10"/>
    <x v="2"/>
    <x v="27"/>
    <x v="1"/>
    <x v="4"/>
    <x v="1"/>
    <n v="0.06"/>
    <n v="0.08"/>
    <n v="0"/>
    <n v="0.06"/>
  </r>
  <r>
    <x v="10"/>
    <x v="2"/>
    <x v="27"/>
    <x v="1"/>
    <x v="1"/>
    <x v="1"/>
    <n v="0.09"/>
    <n v="0.12"/>
    <n v="0"/>
    <n v="0.09"/>
  </r>
  <r>
    <x v="10"/>
    <x v="2"/>
    <x v="27"/>
    <x v="1"/>
    <x v="2"/>
    <x v="1"/>
    <n v="0.03"/>
    <n v="0.04"/>
    <n v="0"/>
    <n v="0.03"/>
  </r>
  <r>
    <x v="10"/>
    <x v="2"/>
    <x v="27"/>
    <x v="1"/>
    <x v="4"/>
    <x v="2"/>
    <n v="3.66"/>
    <n v="4.93"/>
    <n v="0.04"/>
    <n v="3.24"/>
  </r>
  <r>
    <x v="10"/>
    <x v="5"/>
    <x v="28"/>
    <x v="3"/>
    <x v="1"/>
    <x v="0"/>
    <n v="0"/>
    <n v="0.01"/>
    <n v="0"/>
    <n v="0"/>
  </r>
  <r>
    <x v="10"/>
    <x v="5"/>
    <x v="28"/>
    <x v="4"/>
    <x v="1"/>
    <x v="2"/>
    <n v="0.39"/>
    <n v="0.42"/>
    <n v="0"/>
    <n v="0.28000000000000003"/>
  </r>
  <r>
    <x v="10"/>
    <x v="5"/>
    <x v="28"/>
    <x v="4"/>
    <x v="2"/>
    <x v="2"/>
    <n v="0.01"/>
    <n v="0.01"/>
    <n v="0"/>
    <n v="0.01"/>
  </r>
  <r>
    <x v="10"/>
    <x v="5"/>
    <x v="28"/>
    <x v="1"/>
    <x v="4"/>
    <x v="2"/>
    <n v="0.01"/>
    <n v="0.01"/>
    <n v="0"/>
    <n v="0.01"/>
  </r>
  <r>
    <x v="10"/>
    <x v="5"/>
    <x v="28"/>
    <x v="2"/>
    <x v="3"/>
    <x v="2"/>
    <n v="5.65"/>
    <n v="6.09"/>
    <n v="0"/>
    <n v="4.38"/>
  </r>
  <r>
    <x v="10"/>
    <x v="5"/>
    <x v="28"/>
    <x v="4"/>
    <x v="4"/>
    <x v="2"/>
    <n v="0.38"/>
    <n v="0.41"/>
    <n v="0"/>
    <n v="0.28000000000000003"/>
  </r>
  <r>
    <x v="10"/>
    <x v="5"/>
    <x v="28"/>
    <x v="4"/>
    <x v="0"/>
    <x v="1"/>
    <n v="0.02"/>
    <n v="0.02"/>
    <n v="0"/>
    <n v="0.02"/>
  </r>
  <r>
    <x v="10"/>
    <x v="5"/>
    <x v="28"/>
    <x v="2"/>
    <x v="3"/>
    <x v="3"/>
    <n v="3.94"/>
    <n v="4.24"/>
    <n v="0"/>
    <n v="3.94"/>
  </r>
  <r>
    <x v="10"/>
    <x v="5"/>
    <x v="28"/>
    <x v="4"/>
    <x v="4"/>
    <x v="1"/>
    <n v="1.3"/>
    <n v="1.41"/>
    <n v="0.02"/>
    <n v="1.19"/>
  </r>
  <r>
    <x v="10"/>
    <x v="5"/>
    <x v="28"/>
    <x v="4"/>
    <x v="1"/>
    <x v="1"/>
    <n v="0.8"/>
    <n v="0.86"/>
    <n v="0"/>
    <n v="0.73"/>
  </r>
  <r>
    <x v="10"/>
    <x v="5"/>
    <x v="28"/>
    <x v="0"/>
    <x v="4"/>
    <x v="1"/>
    <n v="0.1"/>
    <n v="0.11"/>
    <n v="0.01"/>
    <n v="0.1"/>
  </r>
  <r>
    <x v="10"/>
    <x v="5"/>
    <x v="28"/>
    <x v="1"/>
    <x v="0"/>
    <x v="1"/>
    <n v="0.6"/>
    <n v="0.65"/>
    <n v="0.02"/>
    <n v="0.57999999999999996"/>
  </r>
  <r>
    <x v="10"/>
    <x v="5"/>
    <x v="28"/>
    <x v="1"/>
    <x v="4"/>
    <x v="1"/>
    <n v="0.02"/>
    <n v="0.02"/>
    <n v="0"/>
    <n v="0.02"/>
  </r>
  <r>
    <x v="10"/>
    <x v="5"/>
    <x v="28"/>
    <x v="1"/>
    <x v="1"/>
    <x v="1"/>
    <n v="0.4"/>
    <n v="0.43"/>
    <n v="0"/>
    <n v="0.37"/>
  </r>
  <r>
    <x v="10"/>
    <x v="5"/>
    <x v="28"/>
    <x v="1"/>
    <x v="2"/>
    <x v="1"/>
    <n v="1.1299999999999999"/>
    <n v="1.21"/>
    <n v="0"/>
    <n v="1.03"/>
  </r>
  <r>
    <x v="10"/>
    <x v="5"/>
    <x v="28"/>
    <x v="2"/>
    <x v="3"/>
    <x v="1"/>
    <n v="0.24"/>
    <n v="0.26"/>
    <n v="0"/>
    <n v="0.22"/>
  </r>
  <r>
    <x v="10"/>
    <x v="5"/>
    <x v="28"/>
    <x v="0"/>
    <x v="0"/>
    <x v="1"/>
    <n v="0.84"/>
    <n v="0.91"/>
    <n v="0.01"/>
    <n v="0.77"/>
  </r>
  <r>
    <x v="10"/>
    <x v="5"/>
    <x v="28"/>
    <x v="3"/>
    <x v="0"/>
    <x v="0"/>
    <n v="4.1399999999999997"/>
    <n v="4.46"/>
    <n v="0.99"/>
    <n v="4.01"/>
  </r>
  <r>
    <x v="10"/>
    <x v="5"/>
    <x v="28"/>
    <x v="3"/>
    <x v="4"/>
    <x v="0"/>
    <n v="5.41"/>
    <n v="5.82"/>
    <n v="1.63"/>
    <n v="5.01"/>
  </r>
  <r>
    <x v="10"/>
    <x v="5"/>
    <x v="28"/>
    <x v="2"/>
    <x v="3"/>
    <x v="0"/>
    <n v="4.57"/>
    <n v="4.93"/>
    <n v="0.04"/>
    <n v="4.57"/>
  </r>
  <r>
    <x v="10"/>
    <x v="5"/>
    <x v="28"/>
    <x v="2"/>
    <x v="4"/>
    <x v="0"/>
    <n v="6.13"/>
    <n v="6.61"/>
    <n v="1.1299999999999999"/>
    <n v="5.76"/>
  </r>
  <r>
    <x v="10"/>
    <x v="5"/>
    <x v="28"/>
    <x v="2"/>
    <x v="0"/>
    <x v="0"/>
    <n v="6.39"/>
    <n v="6.88"/>
    <n v="3.69"/>
    <n v="5.97"/>
  </r>
  <r>
    <x v="10"/>
    <x v="5"/>
    <x v="28"/>
    <x v="1"/>
    <x v="2"/>
    <x v="0"/>
    <n v="0.56000000000000005"/>
    <n v="0.6"/>
    <n v="0.02"/>
    <n v="0.49"/>
  </r>
  <r>
    <x v="10"/>
    <x v="5"/>
    <x v="28"/>
    <x v="1"/>
    <x v="1"/>
    <x v="0"/>
    <n v="21.54"/>
    <n v="23.21"/>
    <n v="1.34"/>
    <n v="19.690000000000001"/>
  </r>
  <r>
    <x v="10"/>
    <x v="5"/>
    <x v="28"/>
    <x v="1"/>
    <x v="0"/>
    <x v="0"/>
    <n v="10.07"/>
    <n v="10.85"/>
    <n v="5.98"/>
    <n v="9.39"/>
  </r>
  <r>
    <x v="10"/>
    <x v="5"/>
    <x v="28"/>
    <x v="0"/>
    <x v="4"/>
    <x v="0"/>
    <n v="12.28"/>
    <n v="13.23"/>
    <n v="3.25"/>
    <n v="11.35"/>
  </r>
  <r>
    <x v="10"/>
    <x v="5"/>
    <x v="28"/>
    <x v="0"/>
    <x v="0"/>
    <x v="0"/>
    <n v="3.73"/>
    <n v="4.0199999999999996"/>
    <n v="1.94"/>
    <n v="3.38"/>
  </r>
  <r>
    <x v="10"/>
    <x v="5"/>
    <x v="28"/>
    <x v="4"/>
    <x v="1"/>
    <x v="0"/>
    <n v="4.0599999999999996"/>
    <n v="4.37"/>
    <n v="0.21"/>
    <n v="3.73"/>
  </r>
  <r>
    <x v="10"/>
    <x v="5"/>
    <x v="28"/>
    <x v="4"/>
    <x v="4"/>
    <x v="0"/>
    <n v="41.44"/>
    <n v="44.66"/>
    <n v="5.07"/>
    <n v="38.19"/>
  </r>
  <r>
    <x v="10"/>
    <x v="5"/>
    <x v="28"/>
    <x v="1"/>
    <x v="4"/>
    <x v="0"/>
    <n v="127.67"/>
    <n v="137.57"/>
    <n v="30.82"/>
    <n v="117.33"/>
  </r>
  <r>
    <x v="10"/>
    <x v="2"/>
    <x v="29"/>
    <x v="3"/>
    <x v="0"/>
    <x v="0"/>
    <n v="0.81"/>
    <n v="0.88"/>
    <n v="0.14000000000000001"/>
    <n v="0.81"/>
  </r>
  <r>
    <x v="10"/>
    <x v="2"/>
    <x v="29"/>
    <x v="3"/>
    <x v="4"/>
    <x v="0"/>
    <n v="0.95"/>
    <n v="1.04"/>
    <n v="0.3"/>
    <n v="0.93"/>
  </r>
  <r>
    <x v="10"/>
    <x v="2"/>
    <x v="29"/>
    <x v="4"/>
    <x v="4"/>
    <x v="0"/>
    <n v="9.17"/>
    <n v="9.98"/>
    <n v="1"/>
    <n v="8.83"/>
  </r>
  <r>
    <x v="10"/>
    <x v="2"/>
    <x v="29"/>
    <x v="4"/>
    <x v="1"/>
    <x v="0"/>
    <n v="0.14000000000000001"/>
    <n v="0.15"/>
    <n v="0.01"/>
    <n v="0.14000000000000001"/>
  </r>
  <r>
    <x v="10"/>
    <x v="2"/>
    <x v="29"/>
    <x v="0"/>
    <x v="0"/>
    <x v="0"/>
    <n v="1.92"/>
    <n v="2.09"/>
    <n v="0.89"/>
    <n v="1.78"/>
  </r>
  <r>
    <x v="10"/>
    <x v="2"/>
    <x v="29"/>
    <x v="0"/>
    <x v="4"/>
    <x v="0"/>
    <n v="5.76"/>
    <n v="6.27"/>
    <n v="1.26"/>
    <n v="5.47"/>
  </r>
  <r>
    <x v="10"/>
    <x v="2"/>
    <x v="29"/>
    <x v="1"/>
    <x v="0"/>
    <x v="0"/>
    <n v="3.57"/>
    <n v="3.88"/>
    <n v="1.59"/>
    <n v="3.38"/>
  </r>
  <r>
    <x v="10"/>
    <x v="2"/>
    <x v="29"/>
    <x v="1"/>
    <x v="4"/>
    <x v="0"/>
    <n v="37.28"/>
    <n v="40.58"/>
    <n v="6.75"/>
    <n v="35.07"/>
  </r>
  <r>
    <x v="10"/>
    <x v="2"/>
    <x v="29"/>
    <x v="1"/>
    <x v="1"/>
    <x v="0"/>
    <n v="2.41"/>
    <n v="2.62"/>
    <n v="0.22"/>
    <n v="2.34"/>
  </r>
  <r>
    <x v="10"/>
    <x v="2"/>
    <x v="29"/>
    <x v="2"/>
    <x v="3"/>
    <x v="1"/>
    <n v="0.06"/>
    <n v="7.0000000000000007E-2"/>
    <n v="0"/>
    <n v="0.06"/>
  </r>
  <r>
    <x v="10"/>
    <x v="2"/>
    <x v="29"/>
    <x v="2"/>
    <x v="3"/>
    <x v="0"/>
    <n v="12.71"/>
    <n v="13.83"/>
    <n v="0.1"/>
    <n v="12.71"/>
  </r>
  <r>
    <x v="10"/>
    <x v="2"/>
    <x v="29"/>
    <x v="2"/>
    <x v="3"/>
    <x v="2"/>
    <n v="0.01"/>
    <n v="0.01"/>
    <n v="0"/>
    <n v="0.01"/>
  </r>
  <r>
    <x v="10"/>
    <x v="2"/>
    <x v="29"/>
    <x v="1"/>
    <x v="2"/>
    <x v="0"/>
    <n v="0.15"/>
    <n v="0.16"/>
    <n v="0"/>
    <n v="0.13"/>
  </r>
  <r>
    <x v="10"/>
    <x v="2"/>
    <x v="29"/>
    <x v="1"/>
    <x v="2"/>
    <x v="1"/>
    <n v="0"/>
    <n v="0"/>
    <n v="0"/>
    <n v="0"/>
  </r>
  <r>
    <x v="10"/>
    <x v="2"/>
    <x v="29"/>
    <x v="1"/>
    <x v="1"/>
    <x v="1"/>
    <n v="0.24"/>
    <n v="0.26"/>
    <n v="0"/>
    <n v="0.23"/>
  </r>
  <r>
    <x v="10"/>
    <x v="2"/>
    <x v="29"/>
    <x v="1"/>
    <x v="4"/>
    <x v="1"/>
    <n v="0.02"/>
    <n v="0.02"/>
    <n v="0"/>
    <n v="0.02"/>
  </r>
  <r>
    <x v="10"/>
    <x v="2"/>
    <x v="29"/>
    <x v="1"/>
    <x v="0"/>
    <x v="1"/>
    <n v="0.08"/>
    <n v="0.09"/>
    <n v="0"/>
    <n v="0.08"/>
  </r>
  <r>
    <x v="10"/>
    <x v="2"/>
    <x v="29"/>
    <x v="0"/>
    <x v="4"/>
    <x v="1"/>
    <n v="0.1"/>
    <n v="0.11"/>
    <n v="0"/>
    <n v="0.1"/>
  </r>
  <r>
    <x v="10"/>
    <x v="2"/>
    <x v="29"/>
    <x v="0"/>
    <x v="0"/>
    <x v="1"/>
    <n v="0.1"/>
    <n v="0.1"/>
    <n v="0"/>
    <n v="0.09"/>
  </r>
  <r>
    <x v="10"/>
    <x v="2"/>
    <x v="29"/>
    <x v="4"/>
    <x v="0"/>
    <x v="1"/>
    <n v="0.01"/>
    <n v="0.01"/>
    <n v="0"/>
    <n v="0.01"/>
  </r>
  <r>
    <x v="10"/>
    <x v="2"/>
    <x v="29"/>
    <x v="1"/>
    <x v="4"/>
    <x v="2"/>
    <n v="0.2"/>
    <n v="0.21"/>
    <n v="0"/>
    <n v="0.18"/>
  </r>
  <r>
    <x v="10"/>
    <x v="2"/>
    <x v="29"/>
    <x v="4"/>
    <x v="2"/>
    <x v="2"/>
    <n v="0"/>
    <n v="0"/>
    <n v="0"/>
    <n v="0"/>
  </r>
  <r>
    <x v="10"/>
    <x v="2"/>
    <x v="29"/>
    <x v="4"/>
    <x v="1"/>
    <x v="2"/>
    <n v="0"/>
    <n v="0"/>
    <n v="0"/>
    <n v="0"/>
  </r>
  <r>
    <x v="10"/>
    <x v="2"/>
    <x v="29"/>
    <x v="4"/>
    <x v="4"/>
    <x v="2"/>
    <n v="0.03"/>
    <n v="0.03"/>
    <n v="0.01"/>
    <n v="0.03"/>
  </r>
  <r>
    <x v="10"/>
    <x v="2"/>
    <x v="29"/>
    <x v="2"/>
    <x v="4"/>
    <x v="0"/>
    <n v="2.88"/>
    <n v="3.13"/>
    <n v="0.36"/>
    <n v="2.83"/>
  </r>
  <r>
    <x v="10"/>
    <x v="2"/>
    <x v="29"/>
    <x v="4"/>
    <x v="4"/>
    <x v="1"/>
    <n v="0.01"/>
    <n v="0.01"/>
    <n v="0"/>
    <n v="0.01"/>
  </r>
  <r>
    <x v="10"/>
    <x v="2"/>
    <x v="29"/>
    <x v="2"/>
    <x v="0"/>
    <x v="0"/>
    <n v="2.9"/>
    <n v="3.16"/>
    <n v="1.43"/>
    <n v="2.79"/>
  </r>
  <r>
    <x v="10"/>
    <x v="5"/>
    <x v="30"/>
    <x v="2"/>
    <x v="0"/>
    <x v="0"/>
    <n v="5.78"/>
    <n v="6.29"/>
    <n v="4.17"/>
    <n v="5.41"/>
  </r>
  <r>
    <x v="10"/>
    <x v="5"/>
    <x v="30"/>
    <x v="3"/>
    <x v="0"/>
    <x v="0"/>
    <n v="2.9"/>
    <n v="3.16"/>
    <n v="0.75"/>
    <n v="2.82"/>
  </r>
  <r>
    <x v="10"/>
    <x v="5"/>
    <x v="30"/>
    <x v="3"/>
    <x v="4"/>
    <x v="0"/>
    <n v="10.16"/>
    <n v="11.06"/>
    <n v="2.21"/>
    <n v="9.4"/>
  </r>
  <r>
    <x v="10"/>
    <x v="5"/>
    <x v="30"/>
    <x v="3"/>
    <x v="1"/>
    <x v="0"/>
    <n v="0.01"/>
    <n v="0.01"/>
    <n v="0"/>
    <n v="0.01"/>
  </r>
  <r>
    <x v="10"/>
    <x v="5"/>
    <x v="30"/>
    <x v="4"/>
    <x v="4"/>
    <x v="0"/>
    <n v="70.84"/>
    <n v="77.11"/>
    <n v="9.65"/>
    <n v="64.98"/>
  </r>
  <r>
    <x v="10"/>
    <x v="5"/>
    <x v="30"/>
    <x v="4"/>
    <x v="1"/>
    <x v="0"/>
    <n v="8.3800000000000008"/>
    <n v="9.1300000000000008"/>
    <n v="0.44"/>
    <n v="7.74"/>
  </r>
  <r>
    <x v="10"/>
    <x v="5"/>
    <x v="30"/>
    <x v="0"/>
    <x v="0"/>
    <x v="0"/>
    <n v="5.81"/>
    <n v="6.33"/>
    <n v="3.56"/>
    <n v="5.28"/>
  </r>
  <r>
    <x v="10"/>
    <x v="5"/>
    <x v="30"/>
    <x v="0"/>
    <x v="4"/>
    <x v="0"/>
    <n v="19.239999999999998"/>
    <n v="20.95"/>
    <n v="6.16"/>
    <n v="17.63"/>
  </r>
  <r>
    <x v="10"/>
    <x v="5"/>
    <x v="30"/>
    <x v="2"/>
    <x v="3"/>
    <x v="0"/>
    <n v="0.08"/>
    <n v="0.08"/>
    <n v="0.03"/>
    <n v="0.08"/>
  </r>
  <r>
    <x v="10"/>
    <x v="5"/>
    <x v="30"/>
    <x v="1"/>
    <x v="4"/>
    <x v="0"/>
    <n v="292.92"/>
    <n v="318.86"/>
    <n v="78.430000000000007"/>
    <n v="267.12"/>
  </r>
  <r>
    <x v="10"/>
    <x v="5"/>
    <x v="30"/>
    <x v="2"/>
    <x v="3"/>
    <x v="1"/>
    <n v="0.23"/>
    <n v="0.25"/>
    <n v="0"/>
    <n v="0.21"/>
  </r>
  <r>
    <x v="10"/>
    <x v="5"/>
    <x v="30"/>
    <x v="1"/>
    <x v="1"/>
    <x v="0"/>
    <n v="40.99"/>
    <n v="44.62"/>
    <n v="3.45"/>
    <n v="37.4"/>
  </r>
  <r>
    <x v="10"/>
    <x v="5"/>
    <x v="30"/>
    <x v="1"/>
    <x v="0"/>
    <x v="0"/>
    <n v="15.68"/>
    <n v="17.07"/>
    <n v="10.91"/>
    <n v="14.48"/>
  </r>
  <r>
    <x v="10"/>
    <x v="5"/>
    <x v="30"/>
    <x v="2"/>
    <x v="3"/>
    <x v="2"/>
    <n v="0.14000000000000001"/>
    <n v="0.15"/>
    <n v="0"/>
    <n v="0.16"/>
  </r>
  <r>
    <x v="10"/>
    <x v="5"/>
    <x v="30"/>
    <x v="4"/>
    <x v="1"/>
    <x v="2"/>
    <n v="0.36"/>
    <n v="0.4"/>
    <n v="0.02"/>
    <n v="0.42"/>
  </r>
  <r>
    <x v="10"/>
    <x v="5"/>
    <x v="30"/>
    <x v="1"/>
    <x v="2"/>
    <x v="1"/>
    <n v="1.27"/>
    <n v="1.38"/>
    <n v="0.01"/>
    <n v="1.17"/>
  </r>
  <r>
    <x v="10"/>
    <x v="5"/>
    <x v="30"/>
    <x v="4"/>
    <x v="4"/>
    <x v="2"/>
    <n v="0.4"/>
    <n v="0.43"/>
    <n v="0.03"/>
    <n v="0.46"/>
  </r>
  <r>
    <x v="10"/>
    <x v="5"/>
    <x v="30"/>
    <x v="2"/>
    <x v="4"/>
    <x v="0"/>
    <n v="9.3000000000000007"/>
    <n v="10.119999999999999"/>
    <n v="1.67"/>
    <n v="8.67"/>
  </r>
  <r>
    <x v="10"/>
    <x v="5"/>
    <x v="30"/>
    <x v="4"/>
    <x v="2"/>
    <x v="2"/>
    <n v="0.28999999999999998"/>
    <n v="0.32"/>
    <n v="0.01"/>
    <n v="0.34"/>
  </r>
  <r>
    <x v="10"/>
    <x v="5"/>
    <x v="30"/>
    <x v="1"/>
    <x v="4"/>
    <x v="2"/>
    <n v="0.01"/>
    <n v="0.01"/>
    <n v="0"/>
    <n v="0.01"/>
  </r>
  <r>
    <x v="10"/>
    <x v="5"/>
    <x v="30"/>
    <x v="2"/>
    <x v="3"/>
    <x v="3"/>
    <n v="2.0299999999999998"/>
    <n v="2.21"/>
    <n v="0"/>
    <n v="2.0299999999999998"/>
  </r>
  <r>
    <x v="10"/>
    <x v="5"/>
    <x v="30"/>
    <x v="4"/>
    <x v="0"/>
    <x v="1"/>
    <n v="0.02"/>
    <n v="0.02"/>
    <n v="0"/>
    <n v="0.02"/>
  </r>
  <r>
    <x v="10"/>
    <x v="5"/>
    <x v="30"/>
    <x v="4"/>
    <x v="4"/>
    <x v="1"/>
    <n v="1.17"/>
    <n v="1.27"/>
    <n v="0.02"/>
    <n v="1.07"/>
  </r>
  <r>
    <x v="10"/>
    <x v="5"/>
    <x v="30"/>
    <x v="4"/>
    <x v="1"/>
    <x v="1"/>
    <n v="0.84"/>
    <n v="0.91"/>
    <n v="0.01"/>
    <n v="0.77"/>
  </r>
  <r>
    <x v="10"/>
    <x v="5"/>
    <x v="30"/>
    <x v="0"/>
    <x v="0"/>
    <x v="1"/>
    <n v="1.1399999999999999"/>
    <n v="1.25"/>
    <n v="0.02"/>
    <n v="1.04"/>
  </r>
  <r>
    <x v="10"/>
    <x v="5"/>
    <x v="30"/>
    <x v="0"/>
    <x v="4"/>
    <x v="1"/>
    <n v="0.09"/>
    <n v="0.09"/>
    <n v="0.01"/>
    <n v="0.08"/>
  </r>
  <r>
    <x v="10"/>
    <x v="5"/>
    <x v="30"/>
    <x v="1"/>
    <x v="0"/>
    <x v="1"/>
    <n v="0.55000000000000004"/>
    <n v="0.6"/>
    <n v="0.02"/>
    <n v="0.54"/>
  </r>
  <r>
    <x v="10"/>
    <x v="5"/>
    <x v="30"/>
    <x v="1"/>
    <x v="4"/>
    <x v="1"/>
    <n v="0.22"/>
    <n v="0.24"/>
    <n v="0.01"/>
    <n v="0.21"/>
  </r>
  <r>
    <x v="10"/>
    <x v="5"/>
    <x v="30"/>
    <x v="1"/>
    <x v="1"/>
    <x v="1"/>
    <n v="0.35"/>
    <n v="0.38"/>
    <n v="0"/>
    <n v="0.33"/>
  </r>
  <r>
    <x v="10"/>
    <x v="6"/>
    <x v="31"/>
    <x v="1"/>
    <x v="0"/>
    <x v="1"/>
    <n v="0.37"/>
    <n v="0.37"/>
    <n v="0.01"/>
    <n v="0.32"/>
  </r>
  <r>
    <x v="10"/>
    <x v="6"/>
    <x v="31"/>
    <x v="2"/>
    <x v="4"/>
    <x v="0"/>
    <n v="22.03"/>
    <n v="22.03"/>
    <n v="5.18"/>
    <n v="20.13"/>
  </r>
  <r>
    <x v="10"/>
    <x v="6"/>
    <x v="31"/>
    <x v="2"/>
    <x v="0"/>
    <x v="0"/>
    <n v="6.04"/>
    <n v="6.04"/>
    <n v="3.39"/>
    <n v="5.75"/>
  </r>
  <r>
    <x v="10"/>
    <x v="6"/>
    <x v="31"/>
    <x v="1"/>
    <x v="2"/>
    <x v="0"/>
    <n v="1.8"/>
    <n v="1.8"/>
    <n v="0.02"/>
    <n v="1.52"/>
  </r>
  <r>
    <x v="10"/>
    <x v="6"/>
    <x v="31"/>
    <x v="1"/>
    <x v="1"/>
    <x v="0"/>
    <n v="24.19"/>
    <n v="24.19"/>
    <n v="1.52"/>
    <n v="21.13"/>
  </r>
  <r>
    <x v="10"/>
    <x v="6"/>
    <x v="31"/>
    <x v="1"/>
    <x v="4"/>
    <x v="0"/>
    <n v="191.52"/>
    <n v="191.52"/>
    <n v="45.14"/>
    <n v="175.07"/>
  </r>
  <r>
    <x v="10"/>
    <x v="6"/>
    <x v="31"/>
    <x v="0"/>
    <x v="4"/>
    <x v="0"/>
    <n v="23.12"/>
    <n v="23.12"/>
    <n v="4.7300000000000004"/>
    <n v="20.82"/>
  </r>
  <r>
    <x v="10"/>
    <x v="6"/>
    <x v="31"/>
    <x v="4"/>
    <x v="1"/>
    <x v="0"/>
    <n v="4.0999999999999996"/>
    <n v="4.0999999999999996"/>
    <n v="0.43"/>
    <n v="3.5"/>
  </r>
  <r>
    <x v="10"/>
    <x v="6"/>
    <x v="31"/>
    <x v="4"/>
    <x v="4"/>
    <x v="0"/>
    <n v="39.67"/>
    <n v="39.67"/>
    <n v="10.48"/>
    <n v="35.049999999999997"/>
  </r>
  <r>
    <x v="10"/>
    <x v="6"/>
    <x v="31"/>
    <x v="3"/>
    <x v="4"/>
    <x v="0"/>
    <n v="7.85"/>
    <n v="7.85"/>
    <n v="2.16"/>
    <n v="7.16"/>
  </r>
  <r>
    <x v="10"/>
    <x v="6"/>
    <x v="31"/>
    <x v="1"/>
    <x v="2"/>
    <x v="1"/>
    <n v="11.27"/>
    <n v="11.27"/>
    <n v="0.04"/>
    <n v="9.73"/>
  </r>
  <r>
    <x v="10"/>
    <x v="6"/>
    <x v="31"/>
    <x v="2"/>
    <x v="3"/>
    <x v="0"/>
    <n v="4.8600000000000003"/>
    <n v="4.8600000000000003"/>
    <n v="0.04"/>
    <n v="4.8600000000000003"/>
  </r>
  <r>
    <x v="10"/>
    <x v="6"/>
    <x v="31"/>
    <x v="1"/>
    <x v="4"/>
    <x v="1"/>
    <n v="0.57999999999999996"/>
    <n v="0.57999999999999996"/>
    <n v="0.02"/>
    <n v="0.51"/>
  </r>
  <r>
    <x v="10"/>
    <x v="6"/>
    <x v="31"/>
    <x v="1"/>
    <x v="0"/>
    <x v="0"/>
    <n v="11.78"/>
    <n v="11.78"/>
    <n v="6.16"/>
    <n v="10.44"/>
  </r>
  <r>
    <x v="10"/>
    <x v="6"/>
    <x v="31"/>
    <x v="0"/>
    <x v="4"/>
    <x v="1"/>
    <n v="0.2"/>
    <n v="0.2"/>
    <n v="0.02"/>
    <n v="0.16"/>
  </r>
  <r>
    <x v="10"/>
    <x v="6"/>
    <x v="31"/>
    <x v="0"/>
    <x v="0"/>
    <x v="1"/>
    <n v="1.28"/>
    <n v="1.28"/>
    <n v="0.03"/>
    <n v="1.02"/>
  </r>
  <r>
    <x v="10"/>
    <x v="6"/>
    <x v="31"/>
    <x v="4"/>
    <x v="1"/>
    <x v="1"/>
    <n v="0.05"/>
    <n v="0.05"/>
    <n v="0"/>
    <n v="0.05"/>
  </r>
  <r>
    <x v="10"/>
    <x v="6"/>
    <x v="31"/>
    <x v="4"/>
    <x v="0"/>
    <x v="1"/>
    <n v="0.12"/>
    <n v="0.12"/>
    <n v="0.01"/>
    <n v="0.11"/>
  </r>
  <r>
    <x v="10"/>
    <x v="6"/>
    <x v="31"/>
    <x v="2"/>
    <x v="3"/>
    <x v="3"/>
    <n v="10.68"/>
    <n v="10.68"/>
    <n v="0.01"/>
    <n v="8.84"/>
  </r>
  <r>
    <x v="10"/>
    <x v="6"/>
    <x v="31"/>
    <x v="2"/>
    <x v="3"/>
    <x v="2"/>
    <n v="0.3"/>
    <n v="0.3"/>
    <n v="0"/>
    <n v="0.28999999999999998"/>
  </r>
  <r>
    <x v="10"/>
    <x v="6"/>
    <x v="31"/>
    <x v="1"/>
    <x v="1"/>
    <x v="2"/>
    <n v="0.37"/>
    <n v="0.37"/>
    <n v="0.01"/>
    <n v="0.32"/>
  </r>
  <r>
    <x v="10"/>
    <x v="6"/>
    <x v="31"/>
    <x v="4"/>
    <x v="2"/>
    <x v="2"/>
    <n v="7.0000000000000007E-2"/>
    <n v="7.0000000000000007E-2"/>
    <n v="0"/>
    <n v="0.06"/>
  </r>
  <r>
    <x v="10"/>
    <x v="6"/>
    <x v="31"/>
    <x v="4"/>
    <x v="1"/>
    <x v="2"/>
    <n v="0.34"/>
    <n v="0.34"/>
    <n v="0.04"/>
    <n v="0.28000000000000003"/>
  </r>
  <r>
    <x v="10"/>
    <x v="6"/>
    <x v="31"/>
    <x v="4"/>
    <x v="4"/>
    <x v="2"/>
    <n v="0.21"/>
    <n v="0.21"/>
    <n v="0.02"/>
    <n v="0.17"/>
  </r>
  <r>
    <x v="10"/>
    <x v="6"/>
    <x v="31"/>
    <x v="1"/>
    <x v="1"/>
    <x v="1"/>
    <n v="4.6399999999999997"/>
    <n v="4.6399999999999997"/>
    <n v="0.03"/>
    <n v="3.98"/>
  </r>
  <r>
    <x v="10"/>
    <x v="6"/>
    <x v="31"/>
    <x v="0"/>
    <x v="0"/>
    <x v="0"/>
    <n v="1.74"/>
    <n v="1.74"/>
    <n v="0.93"/>
    <n v="1.54"/>
  </r>
  <r>
    <x v="10"/>
    <x v="9"/>
    <x v="32"/>
    <x v="2"/>
    <x v="0"/>
    <x v="0"/>
    <n v="1.02"/>
    <n v="1.82"/>
    <n v="0.69"/>
    <n v="0.96"/>
  </r>
  <r>
    <x v="10"/>
    <x v="9"/>
    <x v="32"/>
    <x v="2"/>
    <x v="4"/>
    <x v="0"/>
    <n v="2.17"/>
    <n v="3.86"/>
    <n v="0.36"/>
    <n v="2.02"/>
  </r>
  <r>
    <x v="10"/>
    <x v="9"/>
    <x v="32"/>
    <x v="2"/>
    <x v="3"/>
    <x v="0"/>
    <n v="0.09"/>
    <n v="0.16"/>
    <n v="0.06"/>
    <n v="0.09"/>
  </r>
  <r>
    <x v="10"/>
    <x v="9"/>
    <x v="32"/>
    <x v="2"/>
    <x v="3"/>
    <x v="3"/>
    <n v="0.95"/>
    <n v="1.68"/>
    <n v="0"/>
    <n v="0.95"/>
  </r>
  <r>
    <x v="10"/>
    <x v="9"/>
    <x v="32"/>
    <x v="2"/>
    <x v="3"/>
    <x v="2"/>
    <n v="0.03"/>
    <n v="0.05"/>
    <n v="0"/>
    <n v="0.04"/>
  </r>
  <r>
    <x v="10"/>
    <x v="9"/>
    <x v="32"/>
    <x v="1"/>
    <x v="1"/>
    <x v="0"/>
    <n v="10.19"/>
    <n v="18.11"/>
    <n v="0.8"/>
    <n v="9.3000000000000007"/>
  </r>
  <r>
    <x v="10"/>
    <x v="9"/>
    <x v="32"/>
    <x v="4"/>
    <x v="2"/>
    <x v="2"/>
    <n v="0.08"/>
    <n v="0.14000000000000001"/>
    <n v="0"/>
    <n v="0.09"/>
  </r>
  <r>
    <x v="10"/>
    <x v="9"/>
    <x v="32"/>
    <x v="1"/>
    <x v="4"/>
    <x v="2"/>
    <n v="0"/>
    <n v="0"/>
    <n v="0"/>
    <n v="0"/>
  </r>
  <r>
    <x v="10"/>
    <x v="9"/>
    <x v="32"/>
    <x v="4"/>
    <x v="4"/>
    <x v="2"/>
    <n v="0.1"/>
    <n v="0.18"/>
    <n v="0.01"/>
    <n v="0.11"/>
  </r>
  <r>
    <x v="10"/>
    <x v="9"/>
    <x v="32"/>
    <x v="0"/>
    <x v="4"/>
    <x v="1"/>
    <n v="0.01"/>
    <n v="0.02"/>
    <n v="0"/>
    <n v="0.01"/>
  </r>
  <r>
    <x v="10"/>
    <x v="9"/>
    <x v="32"/>
    <x v="0"/>
    <x v="0"/>
    <x v="1"/>
    <n v="0.21"/>
    <n v="0.38"/>
    <n v="0"/>
    <n v="0.2"/>
  </r>
  <r>
    <x v="10"/>
    <x v="9"/>
    <x v="32"/>
    <x v="4"/>
    <x v="1"/>
    <x v="1"/>
    <n v="0.17"/>
    <n v="0.3"/>
    <n v="0"/>
    <n v="0.15"/>
  </r>
  <r>
    <x v="10"/>
    <x v="9"/>
    <x v="32"/>
    <x v="4"/>
    <x v="0"/>
    <x v="1"/>
    <n v="0"/>
    <n v="0"/>
    <n v="0"/>
    <n v="0"/>
  </r>
  <r>
    <x v="10"/>
    <x v="9"/>
    <x v="32"/>
    <x v="4"/>
    <x v="4"/>
    <x v="1"/>
    <n v="0.22"/>
    <n v="0.39"/>
    <n v="0"/>
    <n v="0.2"/>
  </r>
  <r>
    <x v="10"/>
    <x v="9"/>
    <x v="32"/>
    <x v="4"/>
    <x v="1"/>
    <x v="0"/>
    <n v="1.94"/>
    <n v="3.44"/>
    <n v="0.1"/>
    <n v="1.79"/>
  </r>
  <r>
    <x v="10"/>
    <x v="9"/>
    <x v="32"/>
    <x v="3"/>
    <x v="0"/>
    <x v="0"/>
    <n v="1.19"/>
    <n v="2.12"/>
    <n v="0.28999999999999998"/>
    <n v="1.1599999999999999"/>
  </r>
  <r>
    <x v="10"/>
    <x v="9"/>
    <x v="32"/>
    <x v="4"/>
    <x v="1"/>
    <x v="2"/>
    <n v="0.1"/>
    <n v="0.17"/>
    <n v="0.01"/>
    <n v="0.11"/>
  </r>
  <r>
    <x v="10"/>
    <x v="9"/>
    <x v="32"/>
    <x v="1"/>
    <x v="4"/>
    <x v="0"/>
    <n v="73.349999999999994"/>
    <n v="130.38"/>
    <n v="18.88"/>
    <n v="66.89"/>
  </r>
  <r>
    <x v="10"/>
    <x v="9"/>
    <x v="32"/>
    <x v="0"/>
    <x v="4"/>
    <x v="0"/>
    <n v="5.33"/>
    <n v="9.4700000000000006"/>
    <n v="1.59"/>
    <n v="4.88"/>
  </r>
  <r>
    <x v="10"/>
    <x v="9"/>
    <x v="32"/>
    <x v="4"/>
    <x v="4"/>
    <x v="0"/>
    <n v="17.5"/>
    <n v="31.1"/>
    <n v="2.14"/>
    <n v="16.05"/>
  </r>
  <r>
    <x v="10"/>
    <x v="9"/>
    <x v="32"/>
    <x v="3"/>
    <x v="4"/>
    <x v="0"/>
    <n v="3.57"/>
    <n v="6.34"/>
    <n v="0.86"/>
    <n v="3.3"/>
  </r>
  <r>
    <x v="10"/>
    <x v="9"/>
    <x v="32"/>
    <x v="2"/>
    <x v="3"/>
    <x v="1"/>
    <n v="0.02"/>
    <n v="0.04"/>
    <n v="0"/>
    <n v="0.02"/>
  </r>
  <r>
    <x v="10"/>
    <x v="9"/>
    <x v="32"/>
    <x v="1"/>
    <x v="2"/>
    <x v="1"/>
    <n v="0.26"/>
    <n v="0.46"/>
    <n v="0"/>
    <n v="0.24"/>
  </r>
  <r>
    <x v="10"/>
    <x v="9"/>
    <x v="32"/>
    <x v="1"/>
    <x v="1"/>
    <x v="1"/>
    <n v="7.0000000000000007E-2"/>
    <n v="0.12"/>
    <n v="0"/>
    <n v="0.06"/>
  </r>
  <r>
    <x v="10"/>
    <x v="9"/>
    <x v="32"/>
    <x v="0"/>
    <x v="0"/>
    <x v="0"/>
    <n v="1.1100000000000001"/>
    <n v="1.97"/>
    <n v="0.63"/>
    <n v="1.01"/>
  </r>
  <r>
    <x v="10"/>
    <x v="9"/>
    <x v="32"/>
    <x v="1"/>
    <x v="4"/>
    <x v="1"/>
    <n v="0.04"/>
    <n v="7.0000000000000007E-2"/>
    <n v="0"/>
    <n v="0.04"/>
  </r>
  <r>
    <x v="10"/>
    <x v="9"/>
    <x v="32"/>
    <x v="1"/>
    <x v="0"/>
    <x v="1"/>
    <n v="0.1"/>
    <n v="0.19"/>
    <n v="0"/>
    <n v="0.1"/>
  </r>
  <r>
    <x v="10"/>
    <x v="9"/>
    <x v="32"/>
    <x v="1"/>
    <x v="0"/>
    <x v="0"/>
    <n v="3.9"/>
    <n v="6.94"/>
    <n v="2.5299999999999998"/>
    <n v="3.6"/>
  </r>
  <r>
    <x v="10"/>
    <x v="9"/>
    <x v="32"/>
    <x v="3"/>
    <x v="1"/>
    <x v="0"/>
    <n v="0"/>
    <n v="0"/>
    <n v="0"/>
    <n v="0"/>
  </r>
  <r>
    <x v="10"/>
    <x v="0"/>
    <x v="33"/>
    <x v="4"/>
    <x v="1"/>
    <x v="1"/>
    <n v="0.03"/>
    <n v="0.03"/>
    <n v="0"/>
    <n v="0.03"/>
  </r>
  <r>
    <x v="10"/>
    <x v="0"/>
    <x v="33"/>
    <x v="4"/>
    <x v="1"/>
    <x v="2"/>
    <n v="0.05"/>
    <n v="0.05"/>
    <n v="0"/>
    <n v="0.05"/>
  </r>
  <r>
    <x v="10"/>
    <x v="0"/>
    <x v="33"/>
    <x v="1"/>
    <x v="2"/>
    <x v="1"/>
    <n v="2.38"/>
    <n v="2.38"/>
    <n v="0.01"/>
    <n v="2.27"/>
  </r>
  <r>
    <x v="10"/>
    <x v="0"/>
    <x v="33"/>
    <x v="1"/>
    <x v="1"/>
    <x v="1"/>
    <n v="0.89"/>
    <n v="0.89"/>
    <n v="0.03"/>
    <n v="0.86"/>
  </r>
  <r>
    <x v="10"/>
    <x v="0"/>
    <x v="33"/>
    <x v="1"/>
    <x v="4"/>
    <x v="1"/>
    <n v="0.03"/>
    <n v="0.03"/>
    <n v="0"/>
    <n v="0.03"/>
  </r>
  <r>
    <x v="10"/>
    <x v="0"/>
    <x v="33"/>
    <x v="4"/>
    <x v="4"/>
    <x v="2"/>
    <n v="0.08"/>
    <n v="0.08"/>
    <n v="0"/>
    <n v="0.08"/>
  </r>
  <r>
    <x v="10"/>
    <x v="0"/>
    <x v="33"/>
    <x v="2"/>
    <x v="3"/>
    <x v="1"/>
    <n v="0.02"/>
    <n v="0.02"/>
    <n v="0"/>
    <n v="0.02"/>
  </r>
  <r>
    <x v="10"/>
    <x v="0"/>
    <x v="33"/>
    <x v="4"/>
    <x v="2"/>
    <x v="2"/>
    <n v="0.32"/>
    <n v="0.32"/>
    <n v="0.01"/>
    <n v="0.31"/>
  </r>
  <r>
    <x v="10"/>
    <x v="0"/>
    <x v="33"/>
    <x v="1"/>
    <x v="4"/>
    <x v="2"/>
    <n v="7.0000000000000007E-2"/>
    <n v="7.0000000000000007E-2"/>
    <n v="0"/>
    <n v="0.06"/>
  </r>
  <r>
    <x v="10"/>
    <x v="0"/>
    <x v="33"/>
    <x v="2"/>
    <x v="3"/>
    <x v="3"/>
    <n v="7.05"/>
    <n v="7.05"/>
    <n v="0"/>
    <n v="6.52"/>
  </r>
  <r>
    <x v="10"/>
    <x v="0"/>
    <x v="33"/>
    <x v="3"/>
    <x v="0"/>
    <x v="0"/>
    <n v="0.37"/>
    <n v="0.37"/>
    <n v="0.28999999999999998"/>
    <n v="0.37"/>
  </r>
  <r>
    <x v="10"/>
    <x v="0"/>
    <x v="33"/>
    <x v="4"/>
    <x v="4"/>
    <x v="1"/>
    <n v="7.0000000000000007E-2"/>
    <n v="7.0000000000000007E-2"/>
    <n v="0.01"/>
    <n v="7.0000000000000007E-2"/>
  </r>
  <r>
    <x v="10"/>
    <x v="0"/>
    <x v="33"/>
    <x v="1"/>
    <x v="0"/>
    <x v="0"/>
    <n v="5.67"/>
    <n v="5.67"/>
    <n v="3.24"/>
    <n v="5.42"/>
  </r>
  <r>
    <x v="10"/>
    <x v="0"/>
    <x v="33"/>
    <x v="0"/>
    <x v="0"/>
    <x v="1"/>
    <n v="0.77"/>
    <n v="0.77"/>
    <n v="0.02"/>
    <n v="0.73"/>
  </r>
  <r>
    <x v="10"/>
    <x v="0"/>
    <x v="33"/>
    <x v="0"/>
    <x v="4"/>
    <x v="1"/>
    <n v="0.14000000000000001"/>
    <n v="0.14000000000000001"/>
    <n v="0.01"/>
    <n v="0.13"/>
  </r>
  <r>
    <x v="10"/>
    <x v="0"/>
    <x v="33"/>
    <x v="4"/>
    <x v="0"/>
    <x v="1"/>
    <n v="0.28000000000000003"/>
    <n v="0.28000000000000003"/>
    <n v="0.02"/>
    <n v="0.26"/>
  </r>
  <r>
    <x v="10"/>
    <x v="0"/>
    <x v="33"/>
    <x v="1"/>
    <x v="2"/>
    <x v="0"/>
    <n v="2.0499999999999998"/>
    <n v="2.0499999999999998"/>
    <n v="0.03"/>
    <n v="1.99"/>
  </r>
  <r>
    <x v="10"/>
    <x v="0"/>
    <x v="33"/>
    <x v="1"/>
    <x v="0"/>
    <x v="1"/>
    <n v="0.04"/>
    <n v="0.04"/>
    <n v="0"/>
    <n v="0.04"/>
  </r>
  <r>
    <x v="10"/>
    <x v="0"/>
    <x v="33"/>
    <x v="0"/>
    <x v="0"/>
    <x v="0"/>
    <n v="3.21"/>
    <n v="3.21"/>
    <n v="2.4700000000000002"/>
    <n v="3"/>
  </r>
  <r>
    <x v="10"/>
    <x v="0"/>
    <x v="33"/>
    <x v="2"/>
    <x v="0"/>
    <x v="0"/>
    <n v="9.3000000000000007"/>
    <n v="9.3000000000000007"/>
    <n v="6.05"/>
    <n v="8.8800000000000008"/>
  </r>
  <r>
    <x v="10"/>
    <x v="0"/>
    <x v="33"/>
    <x v="3"/>
    <x v="4"/>
    <x v="0"/>
    <n v="1.35"/>
    <n v="1.35"/>
    <n v="0.52"/>
    <n v="1.32"/>
  </r>
  <r>
    <x v="10"/>
    <x v="0"/>
    <x v="33"/>
    <x v="1"/>
    <x v="1"/>
    <x v="0"/>
    <n v="14.1"/>
    <n v="14.1"/>
    <n v="1.43"/>
    <n v="13.44"/>
  </r>
  <r>
    <x v="10"/>
    <x v="0"/>
    <x v="33"/>
    <x v="1"/>
    <x v="4"/>
    <x v="0"/>
    <n v="130.29"/>
    <n v="130.29"/>
    <n v="37.18"/>
    <n v="124.6"/>
  </r>
  <r>
    <x v="10"/>
    <x v="0"/>
    <x v="33"/>
    <x v="0"/>
    <x v="4"/>
    <x v="0"/>
    <n v="14.45"/>
    <n v="14.45"/>
    <n v="2.97"/>
    <n v="13.85"/>
  </r>
  <r>
    <x v="10"/>
    <x v="0"/>
    <x v="33"/>
    <x v="4"/>
    <x v="1"/>
    <x v="0"/>
    <n v="16.89"/>
    <n v="16.89"/>
    <n v="1.87"/>
    <n v="15.95"/>
  </r>
  <r>
    <x v="10"/>
    <x v="0"/>
    <x v="33"/>
    <x v="4"/>
    <x v="4"/>
    <x v="0"/>
    <n v="31.82"/>
    <n v="31.82"/>
    <n v="7.16"/>
    <n v="30.11"/>
  </r>
  <r>
    <x v="10"/>
    <x v="0"/>
    <x v="33"/>
    <x v="4"/>
    <x v="0"/>
    <x v="0"/>
    <n v="0.86"/>
    <n v="0.86"/>
    <n v="0.1"/>
    <n v="0.81"/>
  </r>
  <r>
    <x v="10"/>
    <x v="0"/>
    <x v="33"/>
    <x v="3"/>
    <x v="1"/>
    <x v="0"/>
    <n v="0.02"/>
    <n v="0.02"/>
    <n v="0"/>
    <n v="0.02"/>
  </r>
  <r>
    <x v="10"/>
    <x v="0"/>
    <x v="33"/>
    <x v="2"/>
    <x v="4"/>
    <x v="0"/>
    <n v="9.0299999999999994"/>
    <n v="9.0299999999999994"/>
    <n v="2.39"/>
    <n v="8.7200000000000006"/>
  </r>
  <r>
    <x v="10"/>
    <x v="7"/>
    <x v="34"/>
    <x v="3"/>
    <x v="0"/>
    <x v="0"/>
    <n v="5.25"/>
    <n v="5.48"/>
    <n v="1.06"/>
    <n v="5.18"/>
  </r>
  <r>
    <x v="10"/>
    <x v="7"/>
    <x v="34"/>
    <x v="2"/>
    <x v="3"/>
    <x v="0"/>
    <n v="4.59"/>
    <n v="4.79"/>
    <n v="0.03"/>
    <n v="4.59"/>
  </r>
  <r>
    <x v="10"/>
    <x v="7"/>
    <x v="34"/>
    <x v="0"/>
    <x v="0"/>
    <x v="0"/>
    <n v="11.62"/>
    <n v="12.14"/>
    <n v="5.15"/>
    <n v="10.58"/>
  </r>
  <r>
    <x v="10"/>
    <x v="7"/>
    <x v="34"/>
    <x v="3"/>
    <x v="4"/>
    <x v="0"/>
    <n v="17.420000000000002"/>
    <n v="18.190000000000001"/>
    <n v="4.3"/>
    <n v="16.47"/>
  </r>
  <r>
    <x v="10"/>
    <x v="7"/>
    <x v="34"/>
    <x v="3"/>
    <x v="1"/>
    <x v="0"/>
    <n v="0.19"/>
    <n v="0.2"/>
    <n v="0.01"/>
    <n v="0.19"/>
  </r>
  <r>
    <x v="10"/>
    <x v="7"/>
    <x v="34"/>
    <x v="4"/>
    <x v="4"/>
    <x v="0"/>
    <n v="89.22"/>
    <n v="93.17"/>
    <n v="15"/>
    <n v="83.52"/>
  </r>
  <r>
    <x v="10"/>
    <x v="7"/>
    <x v="34"/>
    <x v="4"/>
    <x v="1"/>
    <x v="0"/>
    <n v="18.440000000000001"/>
    <n v="19.260000000000002"/>
    <n v="1.01"/>
    <n v="17.3"/>
  </r>
  <r>
    <x v="10"/>
    <x v="7"/>
    <x v="34"/>
    <x v="0"/>
    <x v="4"/>
    <x v="0"/>
    <n v="47.69"/>
    <n v="49.81"/>
    <n v="11.84"/>
    <n v="44.56"/>
  </r>
  <r>
    <x v="10"/>
    <x v="7"/>
    <x v="34"/>
    <x v="1"/>
    <x v="0"/>
    <x v="0"/>
    <n v="11.58"/>
    <n v="12.09"/>
    <n v="7.78"/>
    <n v="10.99"/>
  </r>
  <r>
    <x v="10"/>
    <x v="7"/>
    <x v="34"/>
    <x v="1"/>
    <x v="4"/>
    <x v="0"/>
    <n v="229.27"/>
    <n v="239.42"/>
    <n v="43.11"/>
    <n v="213.78"/>
  </r>
  <r>
    <x v="10"/>
    <x v="7"/>
    <x v="34"/>
    <x v="1"/>
    <x v="1"/>
    <x v="0"/>
    <n v="41.84"/>
    <n v="43.69"/>
    <n v="2.04"/>
    <n v="38.83"/>
  </r>
  <r>
    <x v="10"/>
    <x v="7"/>
    <x v="34"/>
    <x v="1"/>
    <x v="2"/>
    <x v="0"/>
    <n v="3.39"/>
    <n v="3.54"/>
    <n v="0.03"/>
    <n v="3.11"/>
  </r>
  <r>
    <x v="10"/>
    <x v="7"/>
    <x v="34"/>
    <x v="2"/>
    <x v="4"/>
    <x v="0"/>
    <n v="12.2"/>
    <n v="12.75"/>
    <n v="2.59"/>
    <n v="11.77"/>
  </r>
  <r>
    <x v="10"/>
    <x v="7"/>
    <x v="34"/>
    <x v="1"/>
    <x v="1"/>
    <x v="1"/>
    <n v="5.44"/>
    <n v="5.69"/>
    <n v="0.05"/>
    <n v="5.0999999999999996"/>
  </r>
  <r>
    <x v="10"/>
    <x v="7"/>
    <x v="34"/>
    <x v="1"/>
    <x v="2"/>
    <x v="1"/>
    <n v="6.48"/>
    <n v="6.76"/>
    <n v="0.03"/>
    <n v="6.02"/>
  </r>
  <r>
    <x v="10"/>
    <x v="7"/>
    <x v="34"/>
    <x v="2"/>
    <x v="0"/>
    <x v="0"/>
    <n v="8.3000000000000007"/>
    <n v="8.67"/>
    <n v="5.92"/>
    <n v="8"/>
  </r>
  <r>
    <x v="10"/>
    <x v="7"/>
    <x v="34"/>
    <x v="2"/>
    <x v="3"/>
    <x v="2"/>
    <n v="5.15"/>
    <n v="5.38"/>
    <n v="0"/>
    <n v="5"/>
  </r>
  <r>
    <x v="10"/>
    <x v="7"/>
    <x v="34"/>
    <x v="2"/>
    <x v="3"/>
    <x v="1"/>
    <n v="0.56999999999999995"/>
    <n v="0.59"/>
    <n v="0.01"/>
    <n v="0.52"/>
  </r>
  <r>
    <x v="10"/>
    <x v="7"/>
    <x v="34"/>
    <x v="4"/>
    <x v="1"/>
    <x v="2"/>
    <n v="0.93"/>
    <n v="0.98"/>
    <n v="0.01"/>
    <n v="0.88"/>
  </r>
  <r>
    <x v="10"/>
    <x v="7"/>
    <x v="34"/>
    <x v="1"/>
    <x v="4"/>
    <x v="1"/>
    <n v="0.15"/>
    <n v="0.16"/>
    <n v="0.01"/>
    <n v="0.15"/>
  </r>
  <r>
    <x v="10"/>
    <x v="7"/>
    <x v="34"/>
    <x v="1"/>
    <x v="4"/>
    <x v="2"/>
    <n v="7.0000000000000007E-2"/>
    <n v="7.0000000000000007E-2"/>
    <n v="0.02"/>
    <n v="0.06"/>
  </r>
  <r>
    <x v="10"/>
    <x v="7"/>
    <x v="34"/>
    <x v="4"/>
    <x v="4"/>
    <x v="2"/>
    <n v="0.98"/>
    <n v="1.03"/>
    <n v="0.03"/>
    <n v="0.94"/>
  </r>
  <r>
    <x v="10"/>
    <x v="7"/>
    <x v="34"/>
    <x v="2"/>
    <x v="3"/>
    <x v="3"/>
    <n v="7.57"/>
    <n v="7.91"/>
    <n v="0.01"/>
    <n v="7.57"/>
  </r>
  <r>
    <x v="10"/>
    <x v="7"/>
    <x v="34"/>
    <x v="4"/>
    <x v="0"/>
    <x v="1"/>
    <n v="0.02"/>
    <n v="0.02"/>
    <n v="0"/>
    <n v="0.02"/>
  </r>
  <r>
    <x v="10"/>
    <x v="7"/>
    <x v="34"/>
    <x v="4"/>
    <x v="4"/>
    <x v="1"/>
    <n v="1.2"/>
    <n v="1.25"/>
    <n v="0.02"/>
    <n v="1.1000000000000001"/>
  </r>
  <r>
    <x v="10"/>
    <x v="7"/>
    <x v="34"/>
    <x v="4"/>
    <x v="1"/>
    <x v="1"/>
    <n v="1.25"/>
    <n v="1.3"/>
    <n v="0.01"/>
    <n v="1.1499999999999999"/>
  </r>
  <r>
    <x v="10"/>
    <x v="7"/>
    <x v="34"/>
    <x v="0"/>
    <x v="0"/>
    <x v="1"/>
    <n v="1.24"/>
    <n v="1.3"/>
    <n v="0.03"/>
    <n v="1.1399999999999999"/>
  </r>
  <r>
    <x v="10"/>
    <x v="7"/>
    <x v="34"/>
    <x v="0"/>
    <x v="4"/>
    <x v="1"/>
    <n v="0.2"/>
    <n v="0.21"/>
    <n v="0.02"/>
    <n v="0.18"/>
  </r>
  <r>
    <x v="10"/>
    <x v="7"/>
    <x v="34"/>
    <x v="1"/>
    <x v="0"/>
    <x v="1"/>
    <n v="0.52"/>
    <n v="0.55000000000000004"/>
    <n v="0.02"/>
    <n v="0.5"/>
  </r>
  <r>
    <x v="10"/>
    <x v="7"/>
    <x v="34"/>
    <x v="4"/>
    <x v="2"/>
    <x v="2"/>
    <n v="0.73"/>
    <n v="0.76"/>
    <n v="0"/>
    <n v="0.69"/>
  </r>
  <r>
    <x v="10"/>
    <x v="10"/>
    <x v="35"/>
    <x v="2"/>
    <x v="3"/>
    <x v="3"/>
    <n v="3.73"/>
    <n v="3.9"/>
    <n v="0"/>
    <n v="3.73"/>
  </r>
  <r>
    <x v="10"/>
    <x v="10"/>
    <x v="35"/>
    <x v="4"/>
    <x v="0"/>
    <x v="1"/>
    <n v="0.01"/>
    <n v="0.01"/>
    <n v="0"/>
    <n v="0"/>
  </r>
  <r>
    <x v="10"/>
    <x v="10"/>
    <x v="35"/>
    <x v="4"/>
    <x v="4"/>
    <x v="0"/>
    <n v="29.07"/>
    <n v="30.36"/>
    <n v="4.8899999999999997"/>
    <n v="27.22"/>
  </r>
  <r>
    <x v="10"/>
    <x v="10"/>
    <x v="35"/>
    <x v="4"/>
    <x v="1"/>
    <x v="0"/>
    <n v="6"/>
    <n v="6.27"/>
    <n v="0.33"/>
    <n v="5.63"/>
  </r>
  <r>
    <x v="10"/>
    <x v="10"/>
    <x v="35"/>
    <x v="0"/>
    <x v="0"/>
    <x v="0"/>
    <n v="3.78"/>
    <n v="3.95"/>
    <n v="1.68"/>
    <n v="3.44"/>
  </r>
  <r>
    <x v="10"/>
    <x v="10"/>
    <x v="35"/>
    <x v="2"/>
    <x v="3"/>
    <x v="2"/>
    <n v="1.34"/>
    <n v="1.4"/>
    <n v="0"/>
    <n v="1.3"/>
  </r>
  <r>
    <x v="10"/>
    <x v="10"/>
    <x v="35"/>
    <x v="0"/>
    <x v="4"/>
    <x v="0"/>
    <n v="15.52"/>
    <n v="16.21"/>
    <n v="3.85"/>
    <n v="14.5"/>
  </r>
  <r>
    <x v="10"/>
    <x v="10"/>
    <x v="35"/>
    <x v="1"/>
    <x v="4"/>
    <x v="0"/>
    <n v="74.709999999999994"/>
    <n v="78.010000000000005"/>
    <n v="14.05"/>
    <n v="69.66"/>
  </r>
  <r>
    <x v="10"/>
    <x v="10"/>
    <x v="35"/>
    <x v="1"/>
    <x v="2"/>
    <x v="0"/>
    <n v="1.1100000000000001"/>
    <n v="1.1499999999999999"/>
    <n v="0.01"/>
    <n v="1.01"/>
  </r>
  <r>
    <x v="10"/>
    <x v="10"/>
    <x v="35"/>
    <x v="2"/>
    <x v="0"/>
    <x v="0"/>
    <n v="2.96"/>
    <n v="3.09"/>
    <n v="2.11"/>
    <n v="2.86"/>
  </r>
  <r>
    <x v="10"/>
    <x v="10"/>
    <x v="35"/>
    <x v="1"/>
    <x v="4"/>
    <x v="2"/>
    <n v="0.02"/>
    <n v="0.02"/>
    <n v="0"/>
    <n v="0.02"/>
  </r>
  <r>
    <x v="10"/>
    <x v="10"/>
    <x v="35"/>
    <x v="2"/>
    <x v="3"/>
    <x v="0"/>
    <n v="5.68"/>
    <n v="5.93"/>
    <n v="0.03"/>
    <n v="5.68"/>
  </r>
  <r>
    <x v="10"/>
    <x v="10"/>
    <x v="35"/>
    <x v="1"/>
    <x v="0"/>
    <x v="0"/>
    <n v="3.77"/>
    <n v="3.94"/>
    <n v="2.54"/>
    <n v="3.58"/>
  </r>
  <r>
    <x v="10"/>
    <x v="10"/>
    <x v="35"/>
    <x v="4"/>
    <x v="4"/>
    <x v="1"/>
    <n v="0.28999999999999998"/>
    <n v="0.3"/>
    <n v="0.01"/>
    <n v="0.27"/>
  </r>
  <r>
    <x v="10"/>
    <x v="10"/>
    <x v="35"/>
    <x v="2"/>
    <x v="4"/>
    <x v="0"/>
    <n v="4.3600000000000003"/>
    <n v="4.55"/>
    <n v="0.92"/>
    <n v="4.2"/>
  </r>
  <r>
    <x v="10"/>
    <x v="10"/>
    <x v="35"/>
    <x v="1"/>
    <x v="2"/>
    <x v="1"/>
    <n v="1.55"/>
    <n v="1.62"/>
    <n v="0.01"/>
    <n v="1.45"/>
  </r>
  <r>
    <x v="10"/>
    <x v="10"/>
    <x v="35"/>
    <x v="1"/>
    <x v="1"/>
    <x v="0"/>
    <n v="13.62"/>
    <n v="14.23"/>
    <n v="0.66"/>
    <n v="12.64"/>
  </r>
  <r>
    <x v="10"/>
    <x v="10"/>
    <x v="35"/>
    <x v="3"/>
    <x v="4"/>
    <x v="0"/>
    <n v="5.66"/>
    <n v="5.91"/>
    <n v="1.39"/>
    <n v="5.35"/>
  </r>
  <r>
    <x v="10"/>
    <x v="10"/>
    <x v="35"/>
    <x v="4"/>
    <x v="2"/>
    <x v="2"/>
    <n v="0.2"/>
    <n v="0.21"/>
    <n v="0"/>
    <n v="0.18"/>
  </r>
  <r>
    <x v="10"/>
    <x v="10"/>
    <x v="35"/>
    <x v="2"/>
    <x v="3"/>
    <x v="1"/>
    <n v="0.14000000000000001"/>
    <n v="0.14000000000000001"/>
    <n v="0"/>
    <n v="0.12"/>
  </r>
  <r>
    <x v="10"/>
    <x v="10"/>
    <x v="35"/>
    <x v="3"/>
    <x v="0"/>
    <x v="0"/>
    <n v="1.7"/>
    <n v="1.78"/>
    <n v="0.34"/>
    <n v="1.68"/>
  </r>
  <r>
    <x v="10"/>
    <x v="10"/>
    <x v="35"/>
    <x v="1"/>
    <x v="1"/>
    <x v="1"/>
    <n v="1.31"/>
    <n v="1.37"/>
    <n v="0.01"/>
    <n v="1.23"/>
  </r>
  <r>
    <x v="10"/>
    <x v="10"/>
    <x v="35"/>
    <x v="1"/>
    <x v="4"/>
    <x v="1"/>
    <n v="0.04"/>
    <n v="0.04"/>
    <n v="0"/>
    <n v="0.04"/>
  </r>
  <r>
    <x v="10"/>
    <x v="10"/>
    <x v="35"/>
    <x v="1"/>
    <x v="0"/>
    <x v="1"/>
    <n v="0.13"/>
    <n v="0.13"/>
    <n v="0.01"/>
    <n v="0.12"/>
  </r>
  <r>
    <x v="10"/>
    <x v="10"/>
    <x v="35"/>
    <x v="0"/>
    <x v="4"/>
    <x v="1"/>
    <n v="0.05"/>
    <n v="0.05"/>
    <n v="0"/>
    <n v="0.04"/>
  </r>
  <r>
    <x v="10"/>
    <x v="10"/>
    <x v="35"/>
    <x v="0"/>
    <x v="0"/>
    <x v="1"/>
    <n v="0.3"/>
    <n v="0.31"/>
    <n v="0.01"/>
    <n v="0.28000000000000003"/>
  </r>
  <r>
    <x v="10"/>
    <x v="10"/>
    <x v="35"/>
    <x v="4"/>
    <x v="1"/>
    <x v="1"/>
    <n v="0.3"/>
    <n v="0.31"/>
    <n v="0"/>
    <n v="0.27"/>
  </r>
  <r>
    <x v="10"/>
    <x v="10"/>
    <x v="35"/>
    <x v="4"/>
    <x v="4"/>
    <x v="2"/>
    <n v="0.26"/>
    <n v="0.27"/>
    <n v="0.01"/>
    <n v="0.25"/>
  </r>
  <r>
    <x v="10"/>
    <x v="10"/>
    <x v="35"/>
    <x v="4"/>
    <x v="1"/>
    <x v="2"/>
    <n v="0.24"/>
    <n v="0.26"/>
    <n v="0"/>
    <n v="0.23"/>
  </r>
  <r>
    <x v="10"/>
    <x v="10"/>
    <x v="35"/>
    <x v="3"/>
    <x v="1"/>
    <x v="0"/>
    <n v="0.06"/>
    <n v="0.06"/>
    <n v="0"/>
    <n v="0.06"/>
  </r>
  <r>
    <x v="10"/>
    <x v="2"/>
    <x v="36"/>
    <x v="1"/>
    <x v="4"/>
    <x v="1"/>
    <n v="0.11"/>
    <n v="0.12"/>
    <n v="0"/>
    <n v="0.1"/>
  </r>
  <r>
    <x v="10"/>
    <x v="2"/>
    <x v="36"/>
    <x v="1"/>
    <x v="0"/>
    <x v="1"/>
    <n v="0.39"/>
    <n v="0.42"/>
    <n v="0.01"/>
    <n v="0.38"/>
  </r>
  <r>
    <x v="10"/>
    <x v="2"/>
    <x v="36"/>
    <x v="0"/>
    <x v="4"/>
    <x v="1"/>
    <n v="0.05"/>
    <n v="0.06"/>
    <n v="0"/>
    <n v="0.05"/>
  </r>
  <r>
    <x v="10"/>
    <x v="2"/>
    <x v="36"/>
    <x v="0"/>
    <x v="0"/>
    <x v="1"/>
    <n v="0.39"/>
    <n v="0.42"/>
    <n v="0.01"/>
    <n v="0.34"/>
  </r>
  <r>
    <x v="10"/>
    <x v="2"/>
    <x v="36"/>
    <x v="4"/>
    <x v="1"/>
    <x v="1"/>
    <n v="0.11"/>
    <n v="0.12"/>
    <n v="0"/>
    <n v="0.1"/>
  </r>
  <r>
    <x v="10"/>
    <x v="2"/>
    <x v="36"/>
    <x v="4"/>
    <x v="4"/>
    <x v="1"/>
    <n v="0.27"/>
    <n v="0.28999999999999998"/>
    <n v="0"/>
    <n v="0.24"/>
  </r>
  <r>
    <x v="10"/>
    <x v="2"/>
    <x v="36"/>
    <x v="4"/>
    <x v="0"/>
    <x v="1"/>
    <n v="0.03"/>
    <n v="0.04"/>
    <n v="0"/>
    <n v="0.03"/>
  </r>
  <r>
    <x v="10"/>
    <x v="2"/>
    <x v="36"/>
    <x v="2"/>
    <x v="3"/>
    <x v="3"/>
    <n v="4.57"/>
    <n v="4.97"/>
    <n v="0"/>
    <n v="4.57"/>
  </r>
  <r>
    <x v="10"/>
    <x v="2"/>
    <x v="36"/>
    <x v="2"/>
    <x v="3"/>
    <x v="2"/>
    <n v="0.16"/>
    <n v="0.17"/>
    <n v="0"/>
    <n v="0.14000000000000001"/>
  </r>
  <r>
    <x v="10"/>
    <x v="2"/>
    <x v="36"/>
    <x v="1"/>
    <x v="1"/>
    <x v="2"/>
    <n v="0.06"/>
    <n v="0.06"/>
    <n v="0"/>
    <n v="0.05"/>
  </r>
  <r>
    <x v="10"/>
    <x v="2"/>
    <x v="36"/>
    <x v="4"/>
    <x v="4"/>
    <x v="2"/>
    <n v="0.15"/>
    <n v="0.17"/>
    <n v="0"/>
    <n v="0.13"/>
  </r>
  <r>
    <x v="10"/>
    <x v="2"/>
    <x v="36"/>
    <x v="1"/>
    <x v="1"/>
    <x v="1"/>
    <n v="1.34"/>
    <n v="1.46"/>
    <n v="0"/>
    <n v="1.25"/>
  </r>
  <r>
    <x v="10"/>
    <x v="2"/>
    <x v="36"/>
    <x v="4"/>
    <x v="2"/>
    <x v="2"/>
    <n v="0.12"/>
    <n v="0.13"/>
    <n v="0"/>
    <n v="0.11"/>
  </r>
  <r>
    <x v="10"/>
    <x v="2"/>
    <x v="36"/>
    <x v="0"/>
    <x v="4"/>
    <x v="0"/>
    <n v="2.7"/>
    <n v="2.94"/>
    <n v="0.56000000000000005"/>
    <n v="2.5299999999999998"/>
  </r>
  <r>
    <x v="10"/>
    <x v="2"/>
    <x v="36"/>
    <x v="1"/>
    <x v="4"/>
    <x v="2"/>
    <n v="0.08"/>
    <n v="0.09"/>
    <n v="0"/>
    <n v="7.0000000000000007E-2"/>
  </r>
  <r>
    <x v="10"/>
    <x v="2"/>
    <x v="36"/>
    <x v="4"/>
    <x v="1"/>
    <x v="2"/>
    <n v="7.0000000000000007E-2"/>
    <n v="0.08"/>
    <n v="0"/>
    <n v="0.06"/>
  </r>
  <r>
    <x v="10"/>
    <x v="2"/>
    <x v="36"/>
    <x v="1"/>
    <x v="0"/>
    <x v="0"/>
    <n v="1.69"/>
    <n v="1.84"/>
    <n v="0.73"/>
    <n v="1.6"/>
  </r>
  <r>
    <x v="10"/>
    <x v="2"/>
    <x v="36"/>
    <x v="2"/>
    <x v="3"/>
    <x v="0"/>
    <n v="13.81"/>
    <n v="15.03"/>
    <n v="0.11"/>
    <n v="13.81"/>
  </r>
  <r>
    <x v="10"/>
    <x v="2"/>
    <x v="36"/>
    <x v="2"/>
    <x v="4"/>
    <x v="0"/>
    <n v="2.77"/>
    <n v="3.01"/>
    <n v="0.28999999999999998"/>
    <n v="2.62"/>
  </r>
  <r>
    <x v="10"/>
    <x v="2"/>
    <x v="36"/>
    <x v="2"/>
    <x v="0"/>
    <x v="0"/>
    <n v="1.33"/>
    <n v="1.45"/>
    <n v="0.48"/>
    <n v="1.26"/>
  </r>
  <r>
    <x v="10"/>
    <x v="2"/>
    <x v="36"/>
    <x v="1"/>
    <x v="2"/>
    <x v="0"/>
    <n v="0.65"/>
    <n v="0.71"/>
    <n v="0"/>
    <n v="0.6"/>
  </r>
  <r>
    <x v="10"/>
    <x v="2"/>
    <x v="36"/>
    <x v="4"/>
    <x v="1"/>
    <x v="0"/>
    <n v="1.21"/>
    <n v="1.32"/>
    <n v="0.06"/>
    <n v="1.1399999999999999"/>
  </r>
  <r>
    <x v="10"/>
    <x v="2"/>
    <x v="36"/>
    <x v="1"/>
    <x v="4"/>
    <x v="0"/>
    <n v="23.51"/>
    <n v="25.59"/>
    <n v="3.44"/>
    <n v="21.99"/>
  </r>
  <r>
    <x v="10"/>
    <x v="2"/>
    <x v="36"/>
    <x v="1"/>
    <x v="2"/>
    <x v="1"/>
    <n v="1.75"/>
    <n v="1.9"/>
    <n v="0"/>
    <n v="1.61"/>
  </r>
  <r>
    <x v="10"/>
    <x v="2"/>
    <x v="36"/>
    <x v="0"/>
    <x v="0"/>
    <x v="0"/>
    <n v="0.78"/>
    <n v="0.84"/>
    <n v="0.32"/>
    <n v="0.72"/>
  </r>
  <r>
    <x v="10"/>
    <x v="2"/>
    <x v="36"/>
    <x v="4"/>
    <x v="4"/>
    <x v="0"/>
    <n v="9.8699999999999992"/>
    <n v="10.75"/>
    <n v="0.94"/>
    <n v="9.31"/>
  </r>
  <r>
    <x v="10"/>
    <x v="2"/>
    <x v="36"/>
    <x v="3"/>
    <x v="1"/>
    <x v="0"/>
    <n v="0.08"/>
    <n v="0.09"/>
    <n v="0.01"/>
    <n v="0.08"/>
  </r>
  <r>
    <x v="10"/>
    <x v="2"/>
    <x v="36"/>
    <x v="3"/>
    <x v="4"/>
    <x v="0"/>
    <n v="2.3199999999999998"/>
    <n v="2.5299999999999998"/>
    <n v="0.5"/>
    <n v="2.2200000000000002"/>
  </r>
  <r>
    <x v="10"/>
    <x v="2"/>
    <x v="36"/>
    <x v="3"/>
    <x v="0"/>
    <x v="0"/>
    <n v="0.57999999999999996"/>
    <n v="0.64"/>
    <n v="0.18"/>
    <n v="0.57999999999999996"/>
  </r>
  <r>
    <x v="10"/>
    <x v="2"/>
    <x v="36"/>
    <x v="2"/>
    <x v="3"/>
    <x v="1"/>
    <n v="0.21"/>
    <n v="0.23"/>
    <n v="0"/>
    <n v="0.19"/>
  </r>
  <r>
    <x v="10"/>
    <x v="2"/>
    <x v="36"/>
    <x v="1"/>
    <x v="1"/>
    <x v="0"/>
    <n v="3.4"/>
    <n v="3.71"/>
    <n v="0.18"/>
    <n v="3.2"/>
  </r>
  <r>
    <x v="10"/>
    <x v="9"/>
    <x v="37"/>
    <x v="3"/>
    <x v="0"/>
    <x v="0"/>
    <n v="2.46"/>
    <n v="4.38"/>
    <n v="0.59"/>
    <n v="2.46"/>
  </r>
  <r>
    <x v="10"/>
    <x v="9"/>
    <x v="37"/>
    <x v="1"/>
    <x v="1"/>
    <x v="0"/>
    <n v="38.33"/>
    <n v="68.12"/>
    <n v="2.37"/>
    <n v="36.14"/>
  </r>
  <r>
    <x v="10"/>
    <x v="9"/>
    <x v="37"/>
    <x v="2"/>
    <x v="3"/>
    <x v="1"/>
    <n v="0.69"/>
    <n v="1.23"/>
    <n v="0.01"/>
    <n v="0.64"/>
  </r>
  <r>
    <x v="10"/>
    <x v="9"/>
    <x v="37"/>
    <x v="3"/>
    <x v="4"/>
    <x v="0"/>
    <n v="23.21"/>
    <n v="41.25"/>
    <n v="5.5"/>
    <n v="22.26"/>
  </r>
  <r>
    <x v="10"/>
    <x v="9"/>
    <x v="37"/>
    <x v="4"/>
    <x v="4"/>
    <x v="0"/>
    <n v="192.15"/>
    <n v="341.53"/>
    <n v="23.57"/>
    <n v="181.01"/>
  </r>
  <r>
    <x v="10"/>
    <x v="9"/>
    <x v="37"/>
    <x v="0"/>
    <x v="0"/>
    <x v="0"/>
    <n v="8.17"/>
    <n v="14.52"/>
    <n v="4.95"/>
    <n v="7.57"/>
  </r>
  <r>
    <x v="10"/>
    <x v="9"/>
    <x v="37"/>
    <x v="0"/>
    <x v="4"/>
    <x v="0"/>
    <n v="51.11"/>
    <n v="90.84"/>
    <n v="15.26"/>
    <n v="47.67"/>
  </r>
  <r>
    <x v="10"/>
    <x v="9"/>
    <x v="37"/>
    <x v="1"/>
    <x v="1"/>
    <x v="1"/>
    <n v="5.75"/>
    <n v="10.23"/>
    <n v="0.05"/>
    <n v="5.32"/>
  </r>
  <r>
    <x v="10"/>
    <x v="9"/>
    <x v="37"/>
    <x v="1"/>
    <x v="4"/>
    <x v="0"/>
    <n v="304.8"/>
    <n v="541.73"/>
    <n v="61.71"/>
    <n v="290.89999999999998"/>
  </r>
  <r>
    <x v="10"/>
    <x v="9"/>
    <x v="37"/>
    <x v="3"/>
    <x v="1"/>
    <x v="0"/>
    <n v="0.02"/>
    <n v="0.03"/>
    <n v="0"/>
    <n v="0.02"/>
  </r>
  <r>
    <x v="10"/>
    <x v="9"/>
    <x v="37"/>
    <x v="1"/>
    <x v="2"/>
    <x v="0"/>
    <n v="5.2"/>
    <n v="9.25"/>
    <n v="7.0000000000000007E-2"/>
    <n v="4.78"/>
  </r>
  <r>
    <x v="10"/>
    <x v="9"/>
    <x v="37"/>
    <x v="2"/>
    <x v="0"/>
    <x v="0"/>
    <n v="8.15"/>
    <n v="14.49"/>
    <n v="6.43"/>
    <n v="7.79"/>
  </r>
  <r>
    <x v="10"/>
    <x v="9"/>
    <x v="37"/>
    <x v="2"/>
    <x v="4"/>
    <x v="0"/>
    <n v="7.72"/>
    <n v="13.72"/>
    <n v="1.54"/>
    <n v="7.35"/>
  </r>
  <r>
    <x v="10"/>
    <x v="9"/>
    <x v="37"/>
    <x v="2"/>
    <x v="3"/>
    <x v="0"/>
    <n v="1.57"/>
    <n v="2.78"/>
    <n v="0.02"/>
    <n v="1.57"/>
  </r>
  <r>
    <x v="10"/>
    <x v="9"/>
    <x v="37"/>
    <x v="4"/>
    <x v="4"/>
    <x v="2"/>
    <n v="0.04"/>
    <n v="0.08"/>
    <n v="0"/>
    <n v="0.03"/>
  </r>
  <r>
    <x v="10"/>
    <x v="9"/>
    <x v="37"/>
    <x v="1"/>
    <x v="2"/>
    <x v="1"/>
    <n v="3.64"/>
    <n v="6.46"/>
    <n v="0.01"/>
    <n v="3.36"/>
  </r>
  <r>
    <x v="10"/>
    <x v="9"/>
    <x v="37"/>
    <x v="1"/>
    <x v="0"/>
    <x v="0"/>
    <n v="43.41"/>
    <n v="77.150000000000006"/>
    <n v="17.420000000000002"/>
    <n v="43.47"/>
  </r>
  <r>
    <x v="10"/>
    <x v="9"/>
    <x v="37"/>
    <x v="4"/>
    <x v="4"/>
    <x v="1"/>
    <n v="7.17"/>
    <n v="12.74"/>
    <n v="0.09"/>
    <n v="6.61"/>
  </r>
  <r>
    <x v="10"/>
    <x v="9"/>
    <x v="37"/>
    <x v="1"/>
    <x v="4"/>
    <x v="2"/>
    <n v="0.02"/>
    <n v="0.03"/>
    <n v="0"/>
    <n v="0.01"/>
  </r>
  <r>
    <x v="10"/>
    <x v="9"/>
    <x v="37"/>
    <x v="2"/>
    <x v="3"/>
    <x v="2"/>
    <n v="1.83"/>
    <n v="3.25"/>
    <n v="0"/>
    <n v="1.34"/>
  </r>
  <r>
    <x v="10"/>
    <x v="9"/>
    <x v="37"/>
    <x v="2"/>
    <x v="3"/>
    <x v="3"/>
    <n v="3.84"/>
    <n v="6.82"/>
    <n v="0"/>
    <n v="3.84"/>
  </r>
  <r>
    <x v="10"/>
    <x v="9"/>
    <x v="37"/>
    <x v="4"/>
    <x v="1"/>
    <x v="0"/>
    <n v="15.53"/>
    <n v="27.61"/>
    <n v="1.1000000000000001"/>
    <n v="14.73"/>
  </r>
  <r>
    <x v="10"/>
    <x v="9"/>
    <x v="37"/>
    <x v="4"/>
    <x v="0"/>
    <x v="1"/>
    <n v="7.0000000000000007E-2"/>
    <n v="0.13"/>
    <n v="0.01"/>
    <n v="7.0000000000000007E-2"/>
  </r>
  <r>
    <x v="10"/>
    <x v="9"/>
    <x v="37"/>
    <x v="1"/>
    <x v="4"/>
    <x v="1"/>
    <n v="0.99"/>
    <n v="1.76"/>
    <n v="0.02"/>
    <n v="0.99"/>
  </r>
  <r>
    <x v="10"/>
    <x v="9"/>
    <x v="37"/>
    <x v="0"/>
    <x v="4"/>
    <x v="1"/>
    <n v="0.68"/>
    <n v="1.2"/>
    <n v="0.08"/>
    <n v="0.62"/>
  </r>
  <r>
    <x v="10"/>
    <x v="9"/>
    <x v="37"/>
    <x v="1"/>
    <x v="0"/>
    <x v="1"/>
    <n v="0.57999999999999996"/>
    <n v="1.03"/>
    <n v="0.02"/>
    <n v="0.54"/>
  </r>
  <r>
    <x v="10"/>
    <x v="9"/>
    <x v="37"/>
    <x v="0"/>
    <x v="0"/>
    <x v="1"/>
    <n v="7.16"/>
    <n v="12.73"/>
    <n v="0.12"/>
    <n v="6.59"/>
  </r>
  <r>
    <x v="10"/>
    <x v="9"/>
    <x v="37"/>
    <x v="4"/>
    <x v="1"/>
    <x v="1"/>
    <n v="3.83"/>
    <n v="6.8"/>
    <n v="0.02"/>
    <n v="3.53"/>
  </r>
  <r>
    <x v="10"/>
    <x v="7"/>
    <x v="38"/>
    <x v="1"/>
    <x v="1"/>
    <x v="1"/>
    <n v="0.89"/>
    <n v="0.88"/>
    <n v="0.01"/>
    <n v="0.83"/>
  </r>
  <r>
    <x v="10"/>
    <x v="7"/>
    <x v="38"/>
    <x v="1"/>
    <x v="2"/>
    <x v="1"/>
    <n v="1.05"/>
    <n v="1.05"/>
    <n v="0"/>
    <n v="0.98"/>
  </r>
  <r>
    <x v="10"/>
    <x v="7"/>
    <x v="38"/>
    <x v="2"/>
    <x v="3"/>
    <x v="1"/>
    <n v="0.1"/>
    <n v="0.1"/>
    <n v="0"/>
    <n v="0.09"/>
  </r>
  <r>
    <x v="10"/>
    <x v="7"/>
    <x v="38"/>
    <x v="3"/>
    <x v="0"/>
    <x v="0"/>
    <n v="0.7"/>
    <n v="0.7"/>
    <n v="0.15"/>
    <n v="0.7"/>
  </r>
  <r>
    <x v="10"/>
    <x v="7"/>
    <x v="38"/>
    <x v="3"/>
    <x v="4"/>
    <x v="0"/>
    <n v="2.34"/>
    <n v="2.34"/>
    <n v="0.61"/>
    <n v="2.21"/>
  </r>
  <r>
    <x v="10"/>
    <x v="7"/>
    <x v="38"/>
    <x v="3"/>
    <x v="1"/>
    <x v="0"/>
    <n v="0.03"/>
    <n v="0.03"/>
    <n v="0"/>
    <n v="0.03"/>
  </r>
  <r>
    <x v="10"/>
    <x v="7"/>
    <x v="38"/>
    <x v="4"/>
    <x v="4"/>
    <x v="0"/>
    <n v="11.69"/>
    <n v="11.69"/>
    <n v="2.0699999999999998"/>
    <n v="10.94"/>
  </r>
  <r>
    <x v="10"/>
    <x v="7"/>
    <x v="38"/>
    <x v="1"/>
    <x v="0"/>
    <x v="0"/>
    <n v="1.52"/>
    <n v="1.52"/>
    <n v="1.07"/>
    <n v="1.44"/>
  </r>
  <r>
    <x v="10"/>
    <x v="7"/>
    <x v="38"/>
    <x v="2"/>
    <x v="3"/>
    <x v="0"/>
    <n v="5.29"/>
    <n v="5.28"/>
    <n v="0.03"/>
    <n v="5.29"/>
  </r>
  <r>
    <x v="10"/>
    <x v="7"/>
    <x v="38"/>
    <x v="0"/>
    <x v="0"/>
    <x v="0"/>
    <n v="1.48"/>
    <n v="1.48"/>
    <n v="0.69"/>
    <n v="1.35"/>
  </r>
  <r>
    <x v="10"/>
    <x v="7"/>
    <x v="38"/>
    <x v="0"/>
    <x v="4"/>
    <x v="0"/>
    <n v="6.07"/>
    <n v="6.07"/>
    <n v="1.58"/>
    <n v="5.67"/>
  </r>
  <r>
    <x v="10"/>
    <x v="7"/>
    <x v="38"/>
    <x v="4"/>
    <x v="2"/>
    <x v="2"/>
    <n v="0.12"/>
    <n v="0.12"/>
    <n v="0"/>
    <n v="0.11"/>
  </r>
  <r>
    <x v="10"/>
    <x v="7"/>
    <x v="38"/>
    <x v="2"/>
    <x v="4"/>
    <x v="0"/>
    <n v="2"/>
    <n v="2"/>
    <n v="0.45"/>
    <n v="1.93"/>
  </r>
  <r>
    <x v="10"/>
    <x v="7"/>
    <x v="38"/>
    <x v="2"/>
    <x v="0"/>
    <x v="0"/>
    <n v="1.36"/>
    <n v="1.36"/>
    <n v="1.02"/>
    <n v="1.31"/>
  </r>
  <r>
    <x v="10"/>
    <x v="7"/>
    <x v="38"/>
    <x v="1"/>
    <x v="2"/>
    <x v="0"/>
    <n v="0.45"/>
    <n v="0.45"/>
    <n v="0"/>
    <n v="0.41"/>
  </r>
  <r>
    <x v="10"/>
    <x v="7"/>
    <x v="38"/>
    <x v="1"/>
    <x v="1"/>
    <x v="0"/>
    <n v="5.51"/>
    <n v="5.51"/>
    <n v="0.28000000000000003"/>
    <n v="5.1100000000000003"/>
  </r>
  <r>
    <x v="10"/>
    <x v="7"/>
    <x v="38"/>
    <x v="1"/>
    <x v="4"/>
    <x v="0"/>
    <n v="30.04"/>
    <n v="30.03"/>
    <n v="5.94"/>
    <n v="28.01"/>
  </r>
  <r>
    <x v="10"/>
    <x v="7"/>
    <x v="38"/>
    <x v="1"/>
    <x v="4"/>
    <x v="1"/>
    <n v="0.02"/>
    <n v="0.02"/>
    <n v="0"/>
    <n v="0.02"/>
  </r>
  <r>
    <x v="10"/>
    <x v="7"/>
    <x v="38"/>
    <x v="4"/>
    <x v="1"/>
    <x v="0"/>
    <n v="2.4300000000000002"/>
    <n v="2.4300000000000002"/>
    <n v="0.14000000000000001"/>
    <n v="2.2799999999999998"/>
  </r>
  <r>
    <x v="10"/>
    <x v="7"/>
    <x v="38"/>
    <x v="4"/>
    <x v="1"/>
    <x v="2"/>
    <n v="0.15"/>
    <n v="0.15"/>
    <n v="0"/>
    <n v="0.14000000000000001"/>
  </r>
  <r>
    <x v="10"/>
    <x v="7"/>
    <x v="38"/>
    <x v="2"/>
    <x v="3"/>
    <x v="2"/>
    <n v="0.79"/>
    <n v="0.79"/>
    <n v="0"/>
    <n v="0.76"/>
  </r>
  <r>
    <x v="10"/>
    <x v="7"/>
    <x v="38"/>
    <x v="1"/>
    <x v="0"/>
    <x v="1"/>
    <n v="0.08"/>
    <n v="0.08"/>
    <n v="0"/>
    <n v="0.08"/>
  </r>
  <r>
    <x v="10"/>
    <x v="7"/>
    <x v="38"/>
    <x v="4"/>
    <x v="4"/>
    <x v="2"/>
    <n v="0.15"/>
    <n v="0.15"/>
    <n v="0"/>
    <n v="0.15"/>
  </r>
  <r>
    <x v="10"/>
    <x v="7"/>
    <x v="38"/>
    <x v="1"/>
    <x v="4"/>
    <x v="2"/>
    <n v="0.01"/>
    <n v="0.01"/>
    <n v="0"/>
    <n v="0.01"/>
  </r>
  <r>
    <x v="10"/>
    <x v="7"/>
    <x v="38"/>
    <x v="2"/>
    <x v="3"/>
    <x v="3"/>
    <n v="0.75"/>
    <n v="0.75"/>
    <n v="0"/>
    <n v="0.75"/>
  </r>
  <r>
    <x v="10"/>
    <x v="7"/>
    <x v="38"/>
    <x v="4"/>
    <x v="0"/>
    <x v="1"/>
    <n v="0"/>
    <n v="0"/>
    <n v="0"/>
    <n v="0"/>
  </r>
  <r>
    <x v="10"/>
    <x v="7"/>
    <x v="38"/>
    <x v="4"/>
    <x v="4"/>
    <x v="1"/>
    <n v="0.19"/>
    <n v="0.19"/>
    <n v="0"/>
    <n v="0.18"/>
  </r>
  <r>
    <x v="10"/>
    <x v="7"/>
    <x v="38"/>
    <x v="4"/>
    <x v="1"/>
    <x v="1"/>
    <n v="0.2"/>
    <n v="0.2"/>
    <n v="0"/>
    <n v="0.18"/>
  </r>
  <r>
    <x v="10"/>
    <x v="7"/>
    <x v="38"/>
    <x v="0"/>
    <x v="0"/>
    <x v="1"/>
    <n v="0.2"/>
    <n v="0.2"/>
    <n v="0.01"/>
    <n v="0.19"/>
  </r>
  <r>
    <x v="10"/>
    <x v="7"/>
    <x v="38"/>
    <x v="0"/>
    <x v="4"/>
    <x v="1"/>
    <n v="0.04"/>
    <n v="0.04"/>
    <n v="0"/>
    <n v="0.03"/>
  </r>
  <r>
    <x v="10"/>
    <x v="1"/>
    <x v="39"/>
    <x v="1"/>
    <x v="1"/>
    <x v="0"/>
    <n v="33.57"/>
    <n v="35.46"/>
    <n v="1.54"/>
    <n v="29.34"/>
  </r>
  <r>
    <x v="10"/>
    <x v="1"/>
    <x v="39"/>
    <x v="0"/>
    <x v="0"/>
    <x v="0"/>
    <n v="1.85"/>
    <n v="1.96"/>
    <n v="1.02"/>
    <n v="1.65"/>
  </r>
  <r>
    <x v="10"/>
    <x v="1"/>
    <x v="39"/>
    <x v="3"/>
    <x v="0"/>
    <x v="0"/>
    <n v="4.54"/>
    <n v="4.8"/>
    <n v="1.55"/>
    <n v="4.54"/>
  </r>
  <r>
    <x v="10"/>
    <x v="1"/>
    <x v="39"/>
    <x v="3"/>
    <x v="4"/>
    <x v="0"/>
    <n v="48.86"/>
    <n v="51.61"/>
    <n v="9"/>
    <n v="46.01"/>
  </r>
  <r>
    <x v="10"/>
    <x v="1"/>
    <x v="39"/>
    <x v="3"/>
    <x v="1"/>
    <x v="0"/>
    <n v="0.24"/>
    <n v="0.25"/>
    <n v="0.02"/>
    <n v="0.24"/>
  </r>
  <r>
    <x v="10"/>
    <x v="1"/>
    <x v="39"/>
    <x v="4"/>
    <x v="4"/>
    <x v="0"/>
    <n v="60.19"/>
    <n v="63.58"/>
    <n v="8.84"/>
    <n v="53.4"/>
  </r>
  <r>
    <x v="10"/>
    <x v="1"/>
    <x v="39"/>
    <x v="4"/>
    <x v="1"/>
    <x v="0"/>
    <n v="4.25"/>
    <n v="4.49"/>
    <n v="0.18"/>
    <n v="3.79"/>
  </r>
  <r>
    <x v="10"/>
    <x v="1"/>
    <x v="39"/>
    <x v="2"/>
    <x v="3"/>
    <x v="1"/>
    <n v="2.59"/>
    <n v="2.74"/>
    <n v="0"/>
    <n v="2.31"/>
  </r>
  <r>
    <x v="10"/>
    <x v="1"/>
    <x v="39"/>
    <x v="0"/>
    <x v="4"/>
    <x v="0"/>
    <n v="23.42"/>
    <n v="24.74"/>
    <n v="2.02"/>
    <n v="20.85"/>
  </r>
  <r>
    <x v="10"/>
    <x v="1"/>
    <x v="39"/>
    <x v="1"/>
    <x v="0"/>
    <x v="0"/>
    <n v="8.73"/>
    <n v="9.23"/>
    <n v="4.8899999999999997"/>
    <n v="8.1999999999999993"/>
  </r>
  <r>
    <x v="10"/>
    <x v="1"/>
    <x v="39"/>
    <x v="2"/>
    <x v="3"/>
    <x v="0"/>
    <n v="0.25"/>
    <n v="0.27"/>
    <n v="0"/>
    <n v="0.25"/>
  </r>
  <r>
    <x v="10"/>
    <x v="1"/>
    <x v="39"/>
    <x v="2"/>
    <x v="4"/>
    <x v="0"/>
    <n v="2.74"/>
    <n v="2.89"/>
    <n v="0.6"/>
    <n v="2.46"/>
  </r>
  <r>
    <x v="10"/>
    <x v="1"/>
    <x v="39"/>
    <x v="1"/>
    <x v="2"/>
    <x v="0"/>
    <n v="10.74"/>
    <n v="11.35"/>
    <n v="0.06"/>
    <n v="8.99"/>
  </r>
  <r>
    <x v="10"/>
    <x v="1"/>
    <x v="39"/>
    <x v="1"/>
    <x v="4"/>
    <x v="0"/>
    <n v="197.58"/>
    <n v="208.7"/>
    <n v="32.75"/>
    <n v="173.26"/>
  </r>
  <r>
    <x v="10"/>
    <x v="1"/>
    <x v="39"/>
    <x v="1"/>
    <x v="1"/>
    <x v="1"/>
    <n v="2.92"/>
    <n v="3.09"/>
    <n v="0.04"/>
    <n v="2.46"/>
  </r>
  <r>
    <x v="10"/>
    <x v="1"/>
    <x v="39"/>
    <x v="1"/>
    <x v="4"/>
    <x v="1"/>
    <n v="0.45"/>
    <n v="0.47"/>
    <n v="0.02"/>
    <n v="0.37"/>
  </r>
  <r>
    <x v="10"/>
    <x v="1"/>
    <x v="39"/>
    <x v="2"/>
    <x v="0"/>
    <x v="0"/>
    <n v="3.51"/>
    <n v="3.71"/>
    <n v="2.67"/>
    <n v="3.22"/>
  </r>
  <r>
    <x v="10"/>
    <x v="1"/>
    <x v="39"/>
    <x v="1"/>
    <x v="1"/>
    <x v="2"/>
    <n v="0.26"/>
    <n v="0.28000000000000003"/>
    <n v="0.01"/>
    <n v="0.26"/>
  </r>
  <r>
    <x v="10"/>
    <x v="1"/>
    <x v="39"/>
    <x v="4"/>
    <x v="1"/>
    <x v="2"/>
    <n v="0.05"/>
    <n v="0.05"/>
    <n v="0.01"/>
    <n v="0.04"/>
  </r>
  <r>
    <x v="10"/>
    <x v="1"/>
    <x v="39"/>
    <x v="2"/>
    <x v="3"/>
    <x v="2"/>
    <n v="0.47"/>
    <n v="0.5"/>
    <n v="0"/>
    <n v="0.47"/>
  </r>
  <r>
    <x v="10"/>
    <x v="1"/>
    <x v="39"/>
    <x v="2"/>
    <x v="3"/>
    <x v="3"/>
    <n v="2.31"/>
    <n v="2.44"/>
    <n v="0"/>
    <n v="2.1"/>
  </r>
  <r>
    <x v="10"/>
    <x v="1"/>
    <x v="39"/>
    <x v="4"/>
    <x v="0"/>
    <x v="1"/>
    <n v="0.12"/>
    <n v="0.13"/>
    <n v="0.02"/>
    <n v="0.1"/>
  </r>
  <r>
    <x v="10"/>
    <x v="1"/>
    <x v="39"/>
    <x v="4"/>
    <x v="4"/>
    <x v="1"/>
    <n v="0.21"/>
    <n v="0.22"/>
    <n v="0.01"/>
    <n v="0.17"/>
  </r>
  <r>
    <x v="10"/>
    <x v="1"/>
    <x v="39"/>
    <x v="0"/>
    <x v="0"/>
    <x v="1"/>
    <n v="0.47"/>
    <n v="0.49"/>
    <n v="0.02"/>
    <n v="0.39"/>
  </r>
  <r>
    <x v="10"/>
    <x v="1"/>
    <x v="39"/>
    <x v="1"/>
    <x v="2"/>
    <x v="1"/>
    <n v="2.4900000000000002"/>
    <n v="2.63"/>
    <n v="0.02"/>
    <n v="2.08"/>
  </r>
  <r>
    <x v="10"/>
    <x v="1"/>
    <x v="39"/>
    <x v="0"/>
    <x v="4"/>
    <x v="1"/>
    <n v="7.0000000000000007E-2"/>
    <n v="7.0000000000000007E-2"/>
    <n v="0.01"/>
    <n v="0.06"/>
  </r>
  <r>
    <x v="10"/>
    <x v="1"/>
    <x v="39"/>
    <x v="1"/>
    <x v="0"/>
    <x v="1"/>
    <n v="0.5"/>
    <n v="0.53"/>
    <n v="0.03"/>
    <n v="0.43"/>
  </r>
  <r>
    <x v="10"/>
    <x v="1"/>
    <x v="39"/>
    <x v="4"/>
    <x v="1"/>
    <x v="1"/>
    <n v="0.15"/>
    <n v="0.16"/>
    <n v="0.01"/>
    <n v="0.12"/>
  </r>
  <r>
    <x v="10"/>
    <x v="1"/>
    <x v="39"/>
    <x v="4"/>
    <x v="4"/>
    <x v="2"/>
    <n v="0.08"/>
    <n v="0.09"/>
    <n v="0.01"/>
    <n v="7.0000000000000007E-2"/>
  </r>
  <r>
    <x v="10"/>
    <x v="10"/>
    <x v="40"/>
    <x v="4"/>
    <x v="1"/>
    <x v="0"/>
    <n v="6.99"/>
    <n v="8.85"/>
    <n v="0.35"/>
    <n v="6.65"/>
  </r>
  <r>
    <x v="10"/>
    <x v="10"/>
    <x v="40"/>
    <x v="1"/>
    <x v="0"/>
    <x v="1"/>
    <n v="1.08"/>
    <n v="1.36"/>
    <n v="0.04"/>
    <n v="1.06"/>
  </r>
  <r>
    <x v="10"/>
    <x v="10"/>
    <x v="40"/>
    <x v="1"/>
    <x v="4"/>
    <x v="1"/>
    <n v="0.14000000000000001"/>
    <n v="0.18"/>
    <n v="0.01"/>
    <n v="0.14000000000000001"/>
  </r>
  <r>
    <x v="10"/>
    <x v="10"/>
    <x v="40"/>
    <x v="1"/>
    <x v="1"/>
    <x v="1"/>
    <n v="1.85"/>
    <n v="2.33"/>
    <n v="0.02"/>
    <n v="1.72"/>
  </r>
  <r>
    <x v="10"/>
    <x v="10"/>
    <x v="40"/>
    <x v="1"/>
    <x v="2"/>
    <x v="1"/>
    <n v="3.84"/>
    <n v="4.8600000000000003"/>
    <n v="0.01"/>
    <n v="3.56"/>
  </r>
  <r>
    <x v="10"/>
    <x v="10"/>
    <x v="40"/>
    <x v="2"/>
    <x v="3"/>
    <x v="1"/>
    <n v="0.66"/>
    <n v="0.84"/>
    <n v="0.01"/>
    <n v="0.61"/>
  </r>
  <r>
    <x v="10"/>
    <x v="10"/>
    <x v="40"/>
    <x v="3"/>
    <x v="0"/>
    <x v="0"/>
    <n v="3.32"/>
    <n v="4.1900000000000004"/>
    <n v="0.56999999999999995"/>
    <n v="3.29"/>
  </r>
  <r>
    <x v="10"/>
    <x v="10"/>
    <x v="40"/>
    <x v="3"/>
    <x v="1"/>
    <x v="0"/>
    <n v="0.05"/>
    <n v="7.0000000000000007E-2"/>
    <n v="0.01"/>
    <n v="0.05"/>
  </r>
  <r>
    <x v="10"/>
    <x v="10"/>
    <x v="40"/>
    <x v="0"/>
    <x v="4"/>
    <x v="1"/>
    <n v="0.12"/>
    <n v="0.15"/>
    <n v="0.02"/>
    <n v="0.11"/>
  </r>
  <r>
    <x v="10"/>
    <x v="10"/>
    <x v="40"/>
    <x v="1"/>
    <x v="4"/>
    <x v="2"/>
    <n v="0.18"/>
    <n v="0.23"/>
    <n v="0"/>
    <n v="0.1"/>
  </r>
  <r>
    <x v="10"/>
    <x v="10"/>
    <x v="40"/>
    <x v="3"/>
    <x v="4"/>
    <x v="0"/>
    <n v="3.36"/>
    <n v="4.25"/>
    <n v="0.97"/>
    <n v="3.27"/>
  </r>
  <r>
    <x v="10"/>
    <x v="10"/>
    <x v="40"/>
    <x v="0"/>
    <x v="0"/>
    <x v="1"/>
    <n v="1.18"/>
    <n v="1.49"/>
    <n v="0.03"/>
    <n v="1.08"/>
  </r>
  <r>
    <x v="10"/>
    <x v="10"/>
    <x v="40"/>
    <x v="4"/>
    <x v="1"/>
    <x v="1"/>
    <n v="0.52"/>
    <n v="0.66"/>
    <n v="0"/>
    <n v="0.48"/>
  </r>
  <r>
    <x v="10"/>
    <x v="10"/>
    <x v="40"/>
    <x v="4"/>
    <x v="4"/>
    <x v="1"/>
    <n v="1.51"/>
    <n v="1.91"/>
    <n v="0.03"/>
    <n v="1.39"/>
  </r>
  <r>
    <x v="10"/>
    <x v="10"/>
    <x v="40"/>
    <x v="4"/>
    <x v="0"/>
    <x v="1"/>
    <n v="0.02"/>
    <n v="0.02"/>
    <n v="0"/>
    <n v="0.02"/>
  </r>
  <r>
    <x v="10"/>
    <x v="10"/>
    <x v="40"/>
    <x v="0"/>
    <x v="4"/>
    <x v="0"/>
    <n v="12.32"/>
    <n v="15.59"/>
    <n v="2.87"/>
    <n v="11.44"/>
  </r>
  <r>
    <x v="10"/>
    <x v="10"/>
    <x v="40"/>
    <x v="2"/>
    <x v="3"/>
    <x v="2"/>
    <n v="5.99"/>
    <n v="7.57"/>
    <n v="0"/>
    <n v="3.49"/>
  </r>
  <r>
    <x v="10"/>
    <x v="10"/>
    <x v="40"/>
    <x v="0"/>
    <x v="0"/>
    <x v="0"/>
    <n v="3.27"/>
    <n v="4.1399999999999997"/>
    <n v="1.42"/>
    <n v="2.99"/>
  </r>
  <r>
    <x v="10"/>
    <x v="10"/>
    <x v="40"/>
    <x v="4"/>
    <x v="2"/>
    <x v="2"/>
    <n v="0.42"/>
    <n v="0.52"/>
    <n v="0"/>
    <n v="0.23"/>
  </r>
  <r>
    <x v="10"/>
    <x v="10"/>
    <x v="40"/>
    <x v="4"/>
    <x v="1"/>
    <x v="2"/>
    <n v="0.13"/>
    <n v="0.16"/>
    <n v="0"/>
    <n v="7.0000000000000007E-2"/>
  </r>
  <r>
    <x v="10"/>
    <x v="10"/>
    <x v="40"/>
    <x v="4"/>
    <x v="4"/>
    <x v="2"/>
    <n v="0.04"/>
    <n v="0.05"/>
    <n v="0"/>
    <n v="0.02"/>
  </r>
  <r>
    <x v="10"/>
    <x v="10"/>
    <x v="40"/>
    <x v="2"/>
    <x v="3"/>
    <x v="3"/>
    <n v="14.45"/>
    <n v="18.28"/>
    <n v="0.01"/>
    <n v="14.45"/>
  </r>
  <r>
    <x v="10"/>
    <x v="10"/>
    <x v="40"/>
    <x v="1"/>
    <x v="4"/>
    <x v="0"/>
    <n v="125.52"/>
    <n v="158.74"/>
    <n v="26.09"/>
    <n v="117.76"/>
  </r>
  <r>
    <x v="10"/>
    <x v="10"/>
    <x v="40"/>
    <x v="2"/>
    <x v="3"/>
    <x v="0"/>
    <n v="0.12"/>
    <n v="0.15"/>
    <n v="0.03"/>
    <n v="0.12"/>
  </r>
  <r>
    <x v="10"/>
    <x v="10"/>
    <x v="40"/>
    <x v="2"/>
    <x v="4"/>
    <x v="0"/>
    <n v="1.99"/>
    <n v="2.52"/>
    <n v="0.51"/>
    <n v="1.96"/>
  </r>
  <r>
    <x v="10"/>
    <x v="10"/>
    <x v="40"/>
    <x v="2"/>
    <x v="0"/>
    <x v="0"/>
    <n v="1.2"/>
    <n v="1.52"/>
    <n v="1.19"/>
    <n v="1.17"/>
  </r>
  <r>
    <x v="10"/>
    <x v="10"/>
    <x v="40"/>
    <x v="4"/>
    <x v="4"/>
    <x v="0"/>
    <n v="35.17"/>
    <n v="44.48"/>
    <n v="5.18"/>
    <n v="33.54"/>
  </r>
  <r>
    <x v="10"/>
    <x v="10"/>
    <x v="40"/>
    <x v="1"/>
    <x v="1"/>
    <x v="0"/>
    <n v="11.19"/>
    <n v="14.16"/>
    <n v="1.31"/>
    <n v="10.49"/>
  </r>
  <r>
    <x v="10"/>
    <x v="10"/>
    <x v="40"/>
    <x v="1"/>
    <x v="0"/>
    <x v="0"/>
    <n v="7.65"/>
    <n v="9.67"/>
    <n v="5.0199999999999996"/>
    <n v="7.24"/>
  </r>
  <r>
    <x v="10"/>
    <x v="10"/>
    <x v="40"/>
    <x v="1"/>
    <x v="2"/>
    <x v="0"/>
    <n v="1.93"/>
    <n v="2.44"/>
    <n v="0.01"/>
    <n v="1.79"/>
  </r>
  <r>
    <x v="10"/>
    <x v="1"/>
    <x v="41"/>
    <x v="1"/>
    <x v="1"/>
    <x v="2"/>
    <n v="0.66"/>
    <n v="0.64"/>
    <n v="0.02"/>
    <n v="0.56999999999999995"/>
  </r>
  <r>
    <x v="10"/>
    <x v="1"/>
    <x v="41"/>
    <x v="3"/>
    <x v="1"/>
    <x v="0"/>
    <n v="2.68"/>
    <n v="2.61"/>
    <n v="0.19"/>
    <n v="2.68"/>
  </r>
  <r>
    <x v="10"/>
    <x v="1"/>
    <x v="41"/>
    <x v="1"/>
    <x v="4"/>
    <x v="0"/>
    <n v="332.45"/>
    <n v="323.93"/>
    <n v="73.97"/>
    <n v="303.52"/>
  </r>
  <r>
    <x v="10"/>
    <x v="1"/>
    <x v="41"/>
    <x v="4"/>
    <x v="1"/>
    <x v="0"/>
    <n v="40.590000000000003"/>
    <n v="39.549999999999997"/>
    <n v="1.62"/>
    <n v="39.85"/>
  </r>
  <r>
    <x v="10"/>
    <x v="1"/>
    <x v="41"/>
    <x v="0"/>
    <x v="0"/>
    <x v="0"/>
    <n v="0.32"/>
    <n v="0.31"/>
    <n v="0.18"/>
    <n v="0.3"/>
  </r>
  <r>
    <x v="10"/>
    <x v="1"/>
    <x v="41"/>
    <x v="0"/>
    <x v="4"/>
    <x v="0"/>
    <n v="31.29"/>
    <n v="30.49"/>
    <n v="6.83"/>
    <n v="27.8"/>
  </r>
  <r>
    <x v="10"/>
    <x v="1"/>
    <x v="41"/>
    <x v="3"/>
    <x v="4"/>
    <x v="0"/>
    <n v="65.59"/>
    <n v="63.91"/>
    <n v="9.76"/>
    <n v="63.16"/>
  </r>
  <r>
    <x v="10"/>
    <x v="1"/>
    <x v="41"/>
    <x v="1"/>
    <x v="0"/>
    <x v="0"/>
    <n v="41.13"/>
    <n v="40.08"/>
    <n v="19.36"/>
    <n v="36.28"/>
  </r>
  <r>
    <x v="10"/>
    <x v="1"/>
    <x v="41"/>
    <x v="4"/>
    <x v="1"/>
    <x v="2"/>
    <n v="3.1"/>
    <n v="3.02"/>
    <n v="0.17"/>
    <n v="2.66"/>
  </r>
  <r>
    <x v="10"/>
    <x v="1"/>
    <x v="41"/>
    <x v="4"/>
    <x v="4"/>
    <x v="0"/>
    <n v="101.68"/>
    <n v="99.08"/>
    <n v="12.14"/>
    <n v="92.35"/>
  </r>
  <r>
    <x v="10"/>
    <x v="1"/>
    <x v="41"/>
    <x v="2"/>
    <x v="3"/>
    <x v="2"/>
    <n v="19.5"/>
    <n v="19"/>
    <n v="0.05"/>
    <n v="19.3"/>
  </r>
  <r>
    <x v="10"/>
    <x v="1"/>
    <x v="41"/>
    <x v="2"/>
    <x v="3"/>
    <x v="3"/>
    <n v="12.4"/>
    <n v="12.09"/>
    <n v="0.01"/>
    <n v="12.4"/>
  </r>
  <r>
    <x v="10"/>
    <x v="1"/>
    <x v="41"/>
    <x v="4"/>
    <x v="0"/>
    <x v="1"/>
    <n v="0.44"/>
    <n v="0.43"/>
    <n v="0.06"/>
    <n v="0.38"/>
  </r>
  <r>
    <x v="10"/>
    <x v="1"/>
    <x v="41"/>
    <x v="4"/>
    <x v="4"/>
    <x v="1"/>
    <n v="0.57999999999999996"/>
    <n v="0.56999999999999995"/>
    <n v="0.03"/>
    <n v="0.49"/>
  </r>
  <r>
    <x v="10"/>
    <x v="1"/>
    <x v="41"/>
    <x v="2"/>
    <x v="4"/>
    <x v="0"/>
    <n v="26.43"/>
    <n v="25.75"/>
    <n v="5.43"/>
    <n v="23.62"/>
  </r>
  <r>
    <x v="10"/>
    <x v="1"/>
    <x v="41"/>
    <x v="1"/>
    <x v="1"/>
    <x v="0"/>
    <n v="56.99"/>
    <n v="55.53"/>
    <n v="2.5299999999999998"/>
    <n v="51.01"/>
  </r>
  <r>
    <x v="10"/>
    <x v="1"/>
    <x v="41"/>
    <x v="1"/>
    <x v="2"/>
    <x v="0"/>
    <n v="22.72"/>
    <n v="22.14"/>
    <n v="0.13"/>
    <n v="19.82"/>
  </r>
  <r>
    <x v="10"/>
    <x v="1"/>
    <x v="41"/>
    <x v="4"/>
    <x v="4"/>
    <x v="2"/>
    <n v="0.35"/>
    <n v="0.34"/>
    <n v="0.05"/>
    <n v="0.3"/>
  </r>
  <r>
    <x v="10"/>
    <x v="1"/>
    <x v="41"/>
    <x v="2"/>
    <x v="0"/>
    <x v="0"/>
    <n v="8.51"/>
    <n v="8.2899999999999991"/>
    <n v="4.8099999999999996"/>
    <n v="8.0500000000000007"/>
  </r>
  <r>
    <x v="10"/>
    <x v="1"/>
    <x v="41"/>
    <x v="4"/>
    <x v="1"/>
    <x v="1"/>
    <n v="0.61"/>
    <n v="0.6"/>
    <n v="0.04"/>
    <n v="0.52"/>
  </r>
  <r>
    <x v="10"/>
    <x v="1"/>
    <x v="41"/>
    <x v="2"/>
    <x v="3"/>
    <x v="0"/>
    <n v="2.19"/>
    <n v="2.14"/>
    <n v="0.01"/>
    <n v="2.19"/>
  </r>
  <r>
    <x v="10"/>
    <x v="1"/>
    <x v="41"/>
    <x v="2"/>
    <x v="3"/>
    <x v="1"/>
    <n v="1.25"/>
    <n v="1.22"/>
    <n v="0.01"/>
    <n v="1.1000000000000001"/>
  </r>
  <r>
    <x v="10"/>
    <x v="1"/>
    <x v="41"/>
    <x v="0"/>
    <x v="0"/>
    <x v="1"/>
    <n v="2.17"/>
    <n v="2.11"/>
    <n v="0.11"/>
    <n v="1.83"/>
  </r>
  <r>
    <x v="10"/>
    <x v="1"/>
    <x v="41"/>
    <x v="1"/>
    <x v="1"/>
    <x v="1"/>
    <n v="9.75"/>
    <n v="9.5"/>
    <n v="0.17"/>
    <n v="8.27"/>
  </r>
  <r>
    <x v="10"/>
    <x v="1"/>
    <x v="41"/>
    <x v="1"/>
    <x v="4"/>
    <x v="1"/>
    <n v="1.98"/>
    <n v="1.93"/>
    <n v="0.06"/>
    <n v="1.72"/>
  </r>
  <r>
    <x v="10"/>
    <x v="1"/>
    <x v="41"/>
    <x v="1"/>
    <x v="0"/>
    <x v="1"/>
    <n v="1.78"/>
    <n v="1.73"/>
    <n v="0.09"/>
    <n v="1.56"/>
  </r>
  <r>
    <x v="10"/>
    <x v="1"/>
    <x v="41"/>
    <x v="0"/>
    <x v="4"/>
    <x v="1"/>
    <n v="1.74"/>
    <n v="1.69"/>
    <n v="0.03"/>
    <n v="1.47"/>
  </r>
  <r>
    <x v="10"/>
    <x v="1"/>
    <x v="41"/>
    <x v="1"/>
    <x v="2"/>
    <x v="1"/>
    <n v="19.649999999999999"/>
    <n v="19.14"/>
    <n v="0.12"/>
    <n v="16.64"/>
  </r>
  <r>
    <x v="10"/>
    <x v="2"/>
    <x v="42"/>
    <x v="3"/>
    <x v="0"/>
    <x v="0"/>
    <n v="6"/>
    <n v="6.53"/>
    <n v="0.96"/>
    <n v="5.96"/>
  </r>
  <r>
    <x v="10"/>
    <x v="2"/>
    <x v="42"/>
    <x v="3"/>
    <x v="4"/>
    <x v="0"/>
    <n v="30.21"/>
    <n v="32.880000000000003"/>
    <n v="5.73"/>
    <n v="28.89"/>
  </r>
  <r>
    <x v="10"/>
    <x v="2"/>
    <x v="42"/>
    <x v="3"/>
    <x v="1"/>
    <x v="0"/>
    <n v="0.31"/>
    <n v="0.34"/>
    <n v="0.03"/>
    <n v="0.31"/>
  </r>
  <r>
    <x v="10"/>
    <x v="2"/>
    <x v="42"/>
    <x v="4"/>
    <x v="4"/>
    <x v="0"/>
    <n v="72.66"/>
    <n v="79.099999999999994"/>
    <n v="7.7"/>
    <n v="69.12"/>
  </r>
  <r>
    <x v="10"/>
    <x v="2"/>
    <x v="42"/>
    <x v="4"/>
    <x v="1"/>
    <x v="0"/>
    <n v="17.32"/>
    <n v="18.850000000000001"/>
    <n v="0.86"/>
    <n v="16.47"/>
  </r>
  <r>
    <x v="10"/>
    <x v="2"/>
    <x v="42"/>
    <x v="0"/>
    <x v="0"/>
    <x v="0"/>
    <n v="11.16"/>
    <n v="12.15"/>
    <n v="5.21"/>
    <n v="10.34"/>
  </r>
  <r>
    <x v="10"/>
    <x v="2"/>
    <x v="42"/>
    <x v="0"/>
    <x v="4"/>
    <x v="0"/>
    <n v="41.97"/>
    <n v="45.69"/>
    <n v="9"/>
    <n v="39.22"/>
  </r>
  <r>
    <x v="10"/>
    <x v="2"/>
    <x v="42"/>
    <x v="1"/>
    <x v="2"/>
    <x v="0"/>
    <n v="8.27"/>
    <n v="9.01"/>
    <n v="7.0000000000000007E-2"/>
    <n v="7.49"/>
  </r>
  <r>
    <x v="10"/>
    <x v="2"/>
    <x v="42"/>
    <x v="4"/>
    <x v="4"/>
    <x v="2"/>
    <n v="0.15"/>
    <n v="0.16"/>
    <n v="0"/>
    <n v="0.15"/>
  </r>
  <r>
    <x v="10"/>
    <x v="2"/>
    <x v="42"/>
    <x v="2"/>
    <x v="0"/>
    <x v="0"/>
    <n v="12.01"/>
    <n v="13.08"/>
    <n v="3.2"/>
    <n v="11.44"/>
  </r>
  <r>
    <x v="10"/>
    <x v="2"/>
    <x v="42"/>
    <x v="2"/>
    <x v="3"/>
    <x v="1"/>
    <n v="2.8"/>
    <n v="3.05"/>
    <n v="0"/>
    <n v="2.61"/>
  </r>
  <r>
    <x v="10"/>
    <x v="2"/>
    <x v="42"/>
    <x v="2"/>
    <x v="4"/>
    <x v="0"/>
    <n v="8.2899999999999991"/>
    <n v="9.02"/>
    <n v="1.1599999999999999"/>
    <n v="7.95"/>
  </r>
  <r>
    <x v="10"/>
    <x v="2"/>
    <x v="42"/>
    <x v="1"/>
    <x v="4"/>
    <x v="0"/>
    <n v="272.73"/>
    <n v="296.89"/>
    <n v="39.47"/>
    <n v="255.19"/>
  </r>
  <r>
    <x v="10"/>
    <x v="2"/>
    <x v="42"/>
    <x v="4"/>
    <x v="4"/>
    <x v="1"/>
    <n v="0.15"/>
    <n v="0.16"/>
    <n v="0"/>
    <n v="0.14000000000000001"/>
  </r>
  <r>
    <x v="10"/>
    <x v="2"/>
    <x v="42"/>
    <x v="1"/>
    <x v="1"/>
    <x v="0"/>
    <n v="38.86"/>
    <n v="42.3"/>
    <n v="1.78"/>
    <n v="36.43"/>
  </r>
  <r>
    <x v="10"/>
    <x v="2"/>
    <x v="42"/>
    <x v="2"/>
    <x v="3"/>
    <x v="0"/>
    <n v="3.6"/>
    <n v="3.92"/>
    <n v="0.03"/>
    <n v="3.6"/>
  </r>
  <r>
    <x v="10"/>
    <x v="2"/>
    <x v="42"/>
    <x v="4"/>
    <x v="1"/>
    <x v="2"/>
    <n v="0.05"/>
    <n v="0.05"/>
    <n v="0"/>
    <n v="0.05"/>
  </r>
  <r>
    <x v="10"/>
    <x v="2"/>
    <x v="42"/>
    <x v="1"/>
    <x v="4"/>
    <x v="2"/>
    <n v="0.01"/>
    <n v="0.01"/>
    <n v="0"/>
    <n v="0.01"/>
  </r>
  <r>
    <x v="10"/>
    <x v="2"/>
    <x v="42"/>
    <x v="2"/>
    <x v="3"/>
    <x v="2"/>
    <n v="1.75"/>
    <n v="1.9"/>
    <n v="0.01"/>
    <n v="1.66"/>
  </r>
  <r>
    <x v="10"/>
    <x v="2"/>
    <x v="42"/>
    <x v="4"/>
    <x v="2"/>
    <x v="2"/>
    <n v="0.16"/>
    <n v="0.17"/>
    <n v="0"/>
    <n v="0.15"/>
  </r>
  <r>
    <x v="10"/>
    <x v="2"/>
    <x v="42"/>
    <x v="4"/>
    <x v="0"/>
    <x v="1"/>
    <n v="0.02"/>
    <n v="0.02"/>
    <n v="0"/>
    <n v="0.01"/>
  </r>
  <r>
    <x v="10"/>
    <x v="2"/>
    <x v="42"/>
    <x v="1"/>
    <x v="2"/>
    <x v="1"/>
    <n v="1.85"/>
    <n v="2.0099999999999998"/>
    <n v="0.01"/>
    <n v="1.78"/>
  </r>
  <r>
    <x v="10"/>
    <x v="2"/>
    <x v="42"/>
    <x v="4"/>
    <x v="1"/>
    <x v="1"/>
    <n v="0.17"/>
    <n v="0.18"/>
    <n v="0"/>
    <n v="0.16"/>
  </r>
  <r>
    <x v="10"/>
    <x v="2"/>
    <x v="42"/>
    <x v="0"/>
    <x v="0"/>
    <x v="1"/>
    <n v="0.56000000000000005"/>
    <n v="0.61"/>
    <n v="0.02"/>
    <n v="0.52"/>
  </r>
  <r>
    <x v="10"/>
    <x v="2"/>
    <x v="42"/>
    <x v="0"/>
    <x v="4"/>
    <x v="1"/>
    <n v="0.43"/>
    <n v="0.47"/>
    <n v="0.01"/>
    <n v="0.4"/>
  </r>
  <r>
    <x v="10"/>
    <x v="2"/>
    <x v="42"/>
    <x v="1"/>
    <x v="0"/>
    <x v="1"/>
    <n v="0.39"/>
    <n v="0.42"/>
    <n v="0.02"/>
    <n v="0.39"/>
  </r>
  <r>
    <x v="10"/>
    <x v="2"/>
    <x v="42"/>
    <x v="1"/>
    <x v="4"/>
    <x v="1"/>
    <n v="0.53"/>
    <n v="0.57999999999999996"/>
    <n v="0.01"/>
    <n v="0.53"/>
  </r>
  <r>
    <x v="10"/>
    <x v="2"/>
    <x v="42"/>
    <x v="1"/>
    <x v="1"/>
    <x v="1"/>
    <n v="0.79"/>
    <n v="0.86"/>
    <n v="0.01"/>
    <n v="0.77"/>
  </r>
  <r>
    <x v="10"/>
    <x v="2"/>
    <x v="42"/>
    <x v="2"/>
    <x v="3"/>
    <x v="3"/>
    <n v="50.89"/>
    <n v="55.39"/>
    <n v="0.03"/>
    <n v="50.88"/>
  </r>
  <r>
    <x v="10"/>
    <x v="2"/>
    <x v="42"/>
    <x v="1"/>
    <x v="0"/>
    <x v="0"/>
    <n v="17.739999999999998"/>
    <n v="19.309999999999999"/>
    <n v="7.87"/>
    <n v="16.850000000000001"/>
  </r>
  <r>
    <x v="10"/>
    <x v="2"/>
    <x v="43"/>
    <x v="2"/>
    <x v="4"/>
    <x v="0"/>
    <n v="8.1999999999999993"/>
    <n v="10.130000000000001"/>
    <n v="0.99"/>
    <n v="8.01"/>
  </r>
  <r>
    <x v="10"/>
    <x v="2"/>
    <x v="43"/>
    <x v="4"/>
    <x v="4"/>
    <x v="0"/>
    <n v="66.569999999999993"/>
    <n v="82.26"/>
    <n v="6.69"/>
    <n v="62.62"/>
  </r>
  <r>
    <x v="10"/>
    <x v="2"/>
    <x v="43"/>
    <x v="4"/>
    <x v="1"/>
    <x v="0"/>
    <n v="7.39"/>
    <n v="9.1300000000000008"/>
    <n v="0.35"/>
    <n v="6.97"/>
  </r>
  <r>
    <x v="10"/>
    <x v="2"/>
    <x v="43"/>
    <x v="0"/>
    <x v="0"/>
    <x v="0"/>
    <n v="3.57"/>
    <n v="4.42"/>
    <n v="1.71"/>
    <n v="3.31"/>
  </r>
  <r>
    <x v="10"/>
    <x v="2"/>
    <x v="43"/>
    <x v="0"/>
    <x v="4"/>
    <x v="0"/>
    <n v="23.13"/>
    <n v="28.58"/>
    <n v="4.78"/>
    <n v="21.83"/>
  </r>
  <r>
    <x v="10"/>
    <x v="2"/>
    <x v="43"/>
    <x v="1"/>
    <x v="0"/>
    <x v="0"/>
    <n v="8.94"/>
    <n v="11.04"/>
    <n v="4.67"/>
    <n v="8.5299999999999994"/>
  </r>
  <r>
    <x v="10"/>
    <x v="2"/>
    <x v="43"/>
    <x v="3"/>
    <x v="1"/>
    <x v="0"/>
    <n v="0.43"/>
    <n v="0.54"/>
    <n v="0.04"/>
    <n v="0.43"/>
  </r>
  <r>
    <x v="10"/>
    <x v="2"/>
    <x v="43"/>
    <x v="2"/>
    <x v="0"/>
    <x v="0"/>
    <n v="7.48"/>
    <n v="9.24"/>
    <n v="2.56"/>
    <n v="7.13"/>
  </r>
  <r>
    <x v="10"/>
    <x v="2"/>
    <x v="43"/>
    <x v="1"/>
    <x v="4"/>
    <x v="0"/>
    <n v="158.08000000000001"/>
    <n v="195.34"/>
    <n v="25.72"/>
    <n v="148.47999999999999"/>
  </r>
  <r>
    <x v="10"/>
    <x v="2"/>
    <x v="43"/>
    <x v="2"/>
    <x v="3"/>
    <x v="0"/>
    <n v="4.1900000000000004"/>
    <n v="5.18"/>
    <n v="0.04"/>
    <n v="4.1900000000000004"/>
  </r>
  <r>
    <x v="10"/>
    <x v="2"/>
    <x v="43"/>
    <x v="4"/>
    <x v="4"/>
    <x v="2"/>
    <n v="0.57999999999999996"/>
    <n v="0.72"/>
    <n v="0.01"/>
    <n v="0.57999999999999996"/>
  </r>
  <r>
    <x v="10"/>
    <x v="2"/>
    <x v="43"/>
    <x v="4"/>
    <x v="1"/>
    <x v="2"/>
    <n v="0.19"/>
    <n v="0.23"/>
    <n v="0"/>
    <n v="0.19"/>
  </r>
  <r>
    <x v="10"/>
    <x v="2"/>
    <x v="43"/>
    <x v="4"/>
    <x v="2"/>
    <x v="2"/>
    <n v="0.21"/>
    <n v="0.26"/>
    <n v="0"/>
    <n v="0.21"/>
  </r>
  <r>
    <x v="10"/>
    <x v="2"/>
    <x v="43"/>
    <x v="1"/>
    <x v="4"/>
    <x v="2"/>
    <n v="1.97"/>
    <n v="2.4300000000000002"/>
    <n v="0"/>
    <n v="1.95"/>
  </r>
  <r>
    <x v="10"/>
    <x v="2"/>
    <x v="43"/>
    <x v="1"/>
    <x v="1"/>
    <x v="0"/>
    <n v="21.77"/>
    <n v="26.9"/>
    <n v="1.08"/>
    <n v="20.62"/>
  </r>
  <r>
    <x v="10"/>
    <x v="2"/>
    <x v="43"/>
    <x v="4"/>
    <x v="0"/>
    <x v="1"/>
    <n v="0"/>
    <n v="0"/>
    <n v="0"/>
    <n v="0"/>
  </r>
  <r>
    <x v="10"/>
    <x v="2"/>
    <x v="43"/>
    <x v="2"/>
    <x v="3"/>
    <x v="2"/>
    <n v="0.05"/>
    <n v="0.06"/>
    <n v="0"/>
    <n v="0.06"/>
  </r>
  <r>
    <x v="10"/>
    <x v="2"/>
    <x v="43"/>
    <x v="1"/>
    <x v="2"/>
    <x v="0"/>
    <n v="0.38"/>
    <n v="0.47"/>
    <n v="0.01"/>
    <n v="0.34"/>
  </r>
  <r>
    <x v="10"/>
    <x v="2"/>
    <x v="43"/>
    <x v="2"/>
    <x v="3"/>
    <x v="3"/>
    <n v="23.73"/>
    <n v="29.33"/>
    <n v="0.02"/>
    <n v="23.73"/>
  </r>
  <r>
    <x v="10"/>
    <x v="2"/>
    <x v="43"/>
    <x v="3"/>
    <x v="4"/>
    <x v="0"/>
    <n v="8.49"/>
    <n v="10.5"/>
    <n v="2.2599999999999998"/>
    <n v="8.2200000000000006"/>
  </r>
  <r>
    <x v="10"/>
    <x v="2"/>
    <x v="43"/>
    <x v="4"/>
    <x v="4"/>
    <x v="1"/>
    <n v="0.15"/>
    <n v="0.18"/>
    <n v="0"/>
    <n v="0.13"/>
  </r>
  <r>
    <x v="10"/>
    <x v="2"/>
    <x v="43"/>
    <x v="4"/>
    <x v="1"/>
    <x v="1"/>
    <n v="0.09"/>
    <n v="0.11"/>
    <n v="0"/>
    <n v="0.08"/>
  </r>
  <r>
    <x v="10"/>
    <x v="2"/>
    <x v="43"/>
    <x v="0"/>
    <x v="0"/>
    <x v="1"/>
    <n v="0.47"/>
    <n v="0.59"/>
    <n v="0.02"/>
    <n v="0.42"/>
  </r>
  <r>
    <x v="10"/>
    <x v="2"/>
    <x v="43"/>
    <x v="0"/>
    <x v="4"/>
    <x v="1"/>
    <n v="0.35"/>
    <n v="0.43"/>
    <n v="0.01"/>
    <n v="0.31"/>
  </r>
  <r>
    <x v="10"/>
    <x v="2"/>
    <x v="43"/>
    <x v="1"/>
    <x v="0"/>
    <x v="1"/>
    <n v="0.47"/>
    <n v="0.57999999999999996"/>
    <n v="0.03"/>
    <n v="0.45"/>
  </r>
  <r>
    <x v="10"/>
    <x v="2"/>
    <x v="43"/>
    <x v="3"/>
    <x v="0"/>
    <x v="0"/>
    <n v="5"/>
    <n v="6.18"/>
    <n v="1.03"/>
    <n v="4.99"/>
  </r>
  <r>
    <x v="10"/>
    <x v="2"/>
    <x v="43"/>
    <x v="1"/>
    <x v="4"/>
    <x v="1"/>
    <n v="0.09"/>
    <n v="0.11"/>
    <n v="0.01"/>
    <n v="0.09"/>
  </r>
  <r>
    <x v="10"/>
    <x v="2"/>
    <x v="43"/>
    <x v="1"/>
    <x v="1"/>
    <x v="1"/>
    <n v="0.69"/>
    <n v="0.85"/>
    <n v="0.01"/>
    <n v="0.65"/>
  </r>
  <r>
    <x v="10"/>
    <x v="2"/>
    <x v="43"/>
    <x v="1"/>
    <x v="2"/>
    <x v="1"/>
    <n v="0.71"/>
    <n v="0.87"/>
    <n v="0"/>
    <n v="0.65"/>
  </r>
  <r>
    <x v="10"/>
    <x v="2"/>
    <x v="43"/>
    <x v="2"/>
    <x v="3"/>
    <x v="1"/>
    <n v="0.22"/>
    <n v="0.27"/>
    <n v="0"/>
    <n v="0.19"/>
  </r>
  <r>
    <x v="10"/>
    <x v="2"/>
    <x v="44"/>
    <x v="2"/>
    <x v="3"/>
    <x v="2"/>
    <n v="0.36"/>
    <n v="0.37"/>
    <n v="0"/>
    <n v="0.31"/>
  </r>
  <r>
    <x v="10"/>
    <x v="2"/>
    <x v="44"/>
    <x v="1"/>
    <x v="1"/>
    <x v="1"/>
    <n v="1.85"/>
    <n v="1.92"/>
    <n v="0.01"/>
    <n v="1.55"/>
  </r>
  <r>
    <x v="10"/>
    <x v="2"/>
    <x v="44"/>
    <x v="1"/>
    <x v="4"/>
    <x v="1"/>
    <n v="0.16"/>
    <n v="0.17"/>
    <n v="0.01"/>
    <n v="0.15"/>
  </r>
  <r>
    <x v="10"/>
    <x v="2"/>
    <x v="44"/>
    <x v="1"/>
    <x v="0"/>
    <x v="1"/>
    <n v="0.6"/>
    <n v="0.62"/>
    <n v="0.04"/>
    <n v="0.53"/>
  </r>
  <r>
    <x v="10"/>
    <x v="2"/>
    <x v="44"/>
    <x v="0"/>
    <x v="4"/>
    <x v="1"/>
    <n v="2.2999999999999998"/>
    <n v="2.38"/>
    <n v="0.05"/>
    <n v="1.85"/>
  </r>
  <r>
    <x v="10"/>
    <x v="2"/>
    <x v="44"/>
    <x v="0"/>
    <x v="0"/>
    <x v="1"/>
    <n v="1.1100000000000001"/>
    <n v="1.1499999999999999"/>
    <n v="0.05"/>
    <n v="0.9"/>
  </r>
  <r>
    <x v="10"/>
    <x v="2"/>
    <x v="44"/>
    <x v="4"/>
    <x v="1"/>
    <x v="1"/>
    <n v="0.26"/>
    <n v="0.27"/>
    <n v="0"/>
    <n v="0.21"/>
  </r>
  <r>
    <x v="10"/>
    <x v="2"/>
    <x v="44"/>
    <x v="4"/>
    <x v="4"/>
    <x v="1"/>
    <n v="0.27"/>
    <n v="0.28000000000000003"/>
    <n v="0.01"/>
    <n v="0.22"/>
  </r>
  <r>
    <x v="10"/>
    <x v="2"/>
    <x v="44"/>
    <x v="4"/>
    <x v="1"/>
    <x v="2"/>
    <n v="0.18"/>
    <n v="0.18"/>
    <n v="0"/>
    <n v="0.16"/>
  </r>
  <r>
    <x v="10"/>
    <x v="2"/>
    <x v="44"/>
    <x v="2"/>
    <x v="3"/>
    <x v="3"/>
    <n v="23.66"/>
    <n v="24.52"/>
    <n v="0.01"/>
    <n v="23.66"/>
  </r>
  <r>
    <x v="10"/>
    <x v="2"/>
    <x v="44"/>
    <x v="1"/>
    <x v="2"/>
    <x v="1"/>
    <n v="4.72"/>
    <n v="4.8899999999999997"/>
    <n v="0.03"/>
    <n v="3.99"/>
  </r>
  <r>
    <x v="10"/>
    <x v="2"/>
    <x v="44"/>
    <x v="1"/>
    <x v="4"/>
    <x v="2"/>
    <n v="14.2"/>
    <n v="14.72"/>
    <n v="0.13"/>
    <n v="12.51"/>
  </r>
  <r>
    <x v="10"/>
    <x v="2"/>
    <x v="44"/>
    <x v="4"/>
    <x v="2"/>
    <x v="2"/>
    <n v="0.1"/>
    <n v="0.1"/>
    <n v="0"/>
    <n v="0.08"/>
  </r>
  <r>
    <x v="10"/>
    <x v="2"/>
    <x v="44"/>
    <x v="4"/>
    <x v="4"/>
    <x v="2"/>
    <n v="0.4"/>
    <n v="0.42"/>
    <n v="0.01"/>
    <n v="0.36"/>
  </r>
  <r>
    <x v="10"/>
    <x v="2"/>
    <x v="44"/>
    <x v="3"/>
    <x v="1"/>
    <x v="0"/>
    <n v="0.36"/>
    <n v="0.38"/>
    <n v="0.03"/>
    <n v="0.36"/>
  </r>
  <r>
    <x v="10"/>
    <x v="2"/>
    <x v="44"/>
    <x v="4"/>
    <x v="0"/>
    <x v="1"/>
    <n v="0.05"/>
    <n v="0.05"/>
    <n v="0"/>
    <n v="0.04"/>
  </r>
  <r>
    <x v="10"/>
    <x v="2"/>
    <x v="44"/>
    <x v="1"/>
    <x v="4"/>
    <x v="0"/>
    <n v="135.38999999999999"/>
    <n v="140.33000000000001"/>
    <n v="23.1"/>
    <n v="127.68"/>
  </r>
  <r>
    <x v="10"/>
    <x v="2"/>
    <x v="44"/>
    <x v="3"/>
    <x v="0"/>
    <x v="0"/>
    <n v="3.49"/>
    <n v="3.62"/>
    <n v="0.74"/>
    <n v="3.49"/>
  </r>
  <r>
    <x v="10"/>
    <x v="2"/>
    <x v="44"/>
    <x v="2"/>
    <x v="4"/>
    <x v="0"/>
    <n v="4.6500000000000004"/>
    <n v="4.82"/>
    <n v="0.66"/>
    <n v="4.53"/>
  </r>
  <r>
    <x v="10"/>
    <x v="2"/>
    <x v="44"/>
    <x v="2"/>
    <x v="0"/>
    <x v="0"/>
    <n v="3.39"/>
    <n v="3.51"/>
    <n v="1.61"/>
    <n v="3.27"/>
  </r>
  <r>
    <x v="10"/>
    <x v="2"/>
    <x v="44"/>
    <x v="2"/>
    <x v="3"/>
    <x v="1"/>
    <n v="2.77"/>
    <n v="2.87"/>
    <n v="0"/>
    <n v="2.25"/>
  </r>
  <r>
    <x v="10"/>
    <x v="2"/>
    <x v="44"/>
    <x v="1"/>
    <x v="1"/>
    <x v="0"/>
    <n v="23.74"/>
    <n v="24.61"/>
    <n v="1.2"/>
    <n v="22.55"/>
  </r>
  <r>
    <x v="10"/>
    <x v="2"/>
    <x v="44"/>
    <x v="2"/>
    <x v="3"/>
    <x v="0"/>
    <n v="5.59"/>
    <n v="5.8"/>
    <n v="0.04"/>
    <n v="5.59"/>
  </r>
  <r>
    <x v="10"/>
    <x v="2"/>
    <x v="44"/>
    <x v="1"/>
    <x v="0"/>
    <x v="0"/>
    <n v="9.14"/>
    <n v="9.48"/>
    <n v="4.18"/>
    <n v="8.7200000000000006"/>
  </r>
  <r>
    <x v="10"/>
    <x v="2"/>
    <x v="44"/>
    <x v="0"/>
    <x v="4"/>
    <x v="0"/>
    <n v="22.82"/>
    <n v="23.65"/>
    <n v="5.27"/>
    <n v="21.56"/>
  </r>
  <r>
    <x v="10"/>
    <x v="2"/>
    <x v="44"/>
    <x v="0"/>
    <x v="0"/>
    <x v="0"/>
    <n v="5.38"/>
    <n v="5.57"/>
    <n v="2.5"/>
    <n v="5.01"/>
  </r>
  <r>
    <x v="10"/>
    <x v="2"/>
    <x v="44"/>
    <x v="4"/>
    <x v="1"/>
    <x v="0"/>
    <n v="8.26"/>
    <n v="8.56"/>
    <n v="0.47"/>
    <n v="7.94"/>
  </r>
  <r>
    <x v="10"/>
    <x v="2"/>
    <x v="44"/>
    <x v="4"/>
    <x v="4"/>
    <x v="0"/>
    <n v="60.16"/>
    <n v="62.35"/>
    <n v="5.93"/>
    <n v="57.41"/>
  </r>
  <r>
    <x v="10"/>
    <x v="2"/>
    <x v="44"/>
    <x v="3"/>
    <x v="4"/>
    <x v="0"/>
    <n v="5.38"/>
    <n v="5.58"/>
    <n v="1.29"/>
    <n v="5.23"/>
  </r>
  <r>
    <x v="10"/>
    <x v="2"/>
    <x v="44"/>
    <x v="1"/>
    <x v="2"/>
    <x v="0"/>
    <n v="1.43"/>
    <n v="1.49"/>
    <n v="0.03"/>
    <n v="1.31"/>
  </r>
  <r>
    <x v="10"/>
    <x v="4"/>
    <x v="45"/>
    <x v="2"/>
    <x v="4"/>
    <x v="0"/>
    <n v="16.25"/>
    <n v="16.100000000000001"/>
    <n v="5.49"/>
    <n v="14.79"/>
  </r>
  <r>
    <x v="10"/>
    <x v="4"/>
    <x v="45"/>
    <x v="2"/>
    <x v="0"/>
    <x v="0"/>
    <n v="15.95"/>
    <n v="15.81"/>
    <n v="7.97"/>
    <n v="14.95"/>
  </r>
  <r>
    <x v="10"/>
    <x v="4"/>
    <x v="45"/>
    <x v="1"/>
    <x v="2"/>
    <x v="0"/>
    <n v="17.02"/>
    <n v="16.87"/>
    <n v="0.12"/>
    <n v="14.51"/>
  </r>
  <r>
    <x v="10"/>
    <x v="4"/>
    <x v="45"/>
    <x v="1"/>
    <x v="1"/>
    <x v="0"/>
    <n v="42.33"/>
    <n v="41.94"/>
    <n v="2.8"/>
    <n v="36.9"/>
  </r>
  <r>
    <x v="10"/>
    <x v="4"/>
    <x v="45"/>
    <x v="4"/>
    <x v="4"/>
    <x v="1"/>
    <n v="0.2"/>
    <n v="0.19"/>
    <n v="0.02"/>
    <n v="0.17"/>
  </r>
  <r>
    <x v="10"/>
    <x v="4"/>
    <x v="45"/>
    <x v="1"/>
    <x v="1"/>
    <x v="1"/>
    <n v="13.09"/>
    <n v="12.97"/>
    <n v="0.08"/>
    <n v="11.2"/>
  </r>
  <r>
    <x v="10"/>
    <x v="4"/>
    <x v="45"/>
    <x v="1"/>
    <x v="4"/>
    <x v="2"/>
    <n v="0.02"/>
    <n v="0.02"/>
    <n v="0.01"/>
    <n v="0.01"/>
  </r>
  <r>
    <x v="10"/>
    <x v="4"/>
    <x v="45"/>
    <x v="1"/>
    <x v="1"/>
    <x v="2"/>
    <n v="0.17"/>
    <n v="0.17"/>
    <n v="0.02"/>
    <n v="0.16"/>
  </r>
  <r>
    <x v="10"/>
    <x v="4"/>
    <x v="45"/>
    <x v="1"/>
    <x v="2"/>
    <x v="2"/>
    <n v="7.0000000000000007E-2"/>
    <n v="7.0000000000000007E-2"/>
    <n v="0"/>
    <n v="0.06"/>
  </r>
  <r>
    <x v="10"/>
    <x v="4"/>
    <x v="45"/>
    <x v="1"/>
    <x v="3"/>
    <x v="2"/>
    <n v="5.36"/>
    <n v="5.31"/>
    <n v="0.01"/>
    <n v="4.7"/>
  </r>
  <r>
    <x v="10"/>
    <x v="4"/>
    <x v="45"/>
    <x v="2"/>
    <x v="3"/>
    <x v="2"/>
    <n v="0"/>
    <n v="0"/>
    <n v="0"/>
    <n v="0"/>
  </r>
  <r>
    <x v="10"/>
    <x v="4"/>
    <x v="45"/>
    <x v="2"/>
    <x v="3"/>
    <x v="3"/>
    <n v="4.5199999999999996"/>
    <n v="4.4800000000000004"/>
    <n v="0.01"/>
    <n v="4.5199999999999996"/>
  </r>
  <r>
    <x v="10"/>
    <x v="4"/>
    <x v="45"/>
    <x v="4"/>
    <x v="0"/>
    <x v="1"/>
    <n v="0.04"/>
    <n v="0.04"/>
    <n v="0.01"/>
    <n v="0.04"/>
  </r>
  <r>
    <x v="10"/>
    <x v="4"/>
    <x v="45"/>
    <x v="4"/>
    <x v="1"/>
    <x v="1"/>
    <n v="0.09"/>
    <n v="0.09"/>
    <n v="0.01"/>
    <n v="0.08"/>
  </r>
  <r>
    <x v="10"/>
    <x v="4"/>
    <x v="45"/>
    <x v="1"/>
    <x v="0"/>
    <x v="1"/>
    <n v="0.16"/>
    <n v="0.16"/>
    <n v="0.09"/>
    <n v="0.14000000000000001"/>
  </r>
  <r>
    <x v="10"/>
    <x v="4"/>
    <x v="45"/>
    <x v="1"/>
    <x v="4"/>
    <x v="1"/>
    <n v="0.06"/>
    <n v="0.06"/>
    <n v="0.02"/>
    <n v="0.06"/>
  </r>
  <r>
    <x v="10"/>
    <x v="4"/>
    <x v="45"/>
    <x v="1"/>
    <x v="0"/>
    <x v="0"/>
    <n v="14.45"/>
    <n v="14.32"/>
    <n v="9.0399999999999991"/>
    <n v="12.79"/>
  </r>
  <r>
    <x v="10"/>
    <x v="4"/>
    <x v="45"/>
    <x v="1"/>
    <x v="2"/>
    <x v="1"/>
    <n v="3.51"/>
    <n v="3.48"/>
    <n v="0.06"/>
    <n v="3.16"/>
  </r>
  <r>
    <x v="10"/>
    <x v="4"/>
    <x v="45"/>
    <x v="2"/>
    <x v="3"/>
    <x v="1"/>
    <n v="0"/>
    <n v="0"/>
    <n v="0.02"/>
    <n v="0"/>
  </r>
  <r>
    <x v="10"/>
    <x v="4"/>
    <x v="45"/>
    <x v="3"/>
    <x v="0"/>
    <x v="0"/>
    <n v="1.06"/>
    <n v="1.05"/>
    <n v="0.92"/>
    <n v="0.97"/>
  </r>
  <r>
    <x v="10"/>
    <x v="4"/>
    <x v="45"/>
    <x v="3"/>
    <x v="4"/>
    <x v="0"/>
    <n v="11.86"/>
    <n v="11.75"/>
    <n v="6.05"/>
    <n v="10.99"/>
  </r>
  <r>
    <x v="10"/>
    <x v="4"/>
    <x v="45"/>
    <x v="3"/>
    <x v="1"/>
    <x v="0"/>
    <n v="0.34"/>
    <n v="0.34"/>
    <n v="0.04"/>
    <n v="0.34"/>
  </r>
  <r>
    <x v="10"/>
    <x v="4"/>
    <x v="45"/>
    <x v="4"/>
    <x v="4"/>
    <x v="0"/>
    <n v="19.13"/>
    <n v="18.95"/>
    <n v="2.69"/>
    <n v="16.62"/>
  </r>
  <r>
    <x v="10"/>
    <x v="4"/>
    <x v="45"/>
    <x v="4"/>
    <x v="1"/>
    <x v="0"/>
    <n v="5.85"/>
    <n v="5.8"/>
    <n v="0.39"/>
    <n v="5.14"/>
  </r>
  <r>
    <x v="10"/>
    <x v="4"/>
    <x v="45"/>
    <x v="0"/>
    <x v="0"/>
    <x v="0"/>
    <n v="0.92"/>
    <n v="0.91"/>
    <n v="0.51"/>
    <n v="0.8"/>
  </r>
  <r>
    <x v="10"/>
    <x v="4"/>
    <x v="45"/>
    <x v="0"/>
    <x v="4"/>
    <x v="0"/>
    <n v="6.89"/>
    <n v="6.83"/>
    <n v="2.14"/>
    <n v="6.09"/>
  </r>
  <r>
    <x v="10"/>
    <x v="4"/>
    <x v="45"/>
    <x v="1"/>
    <x v="4"/>
    <x v="0"/>
    <n v="167.71"/>
    <n v="166.18"/>
    <n v="42.33"/>
    <n v="148.97999999999999"/>
  </r>
  <r>
    <x v="10"/>
    <x v="6"/>
    <x v="46"/>
    <x v="2"/>
    <x v="4"/>
    <x v="1"/>
    <n v="0.26"/>
    <n v="0.27"/>
    <n v="0"/>
    <n v="0.26"/>
  </r>
  <r>
    <x v="10"/>
    <x v="6"/>
    <x v="46"/>
    <x v="2"/>
    <x v="3"/>
    <x v="1"/>
    <n v="1.21"/>
    <n v="1.26"/>
    <n v="0"/>
    <n v="1.21"/>
  </r>
  <r>
    <x v="10"/>
    <x v="6"/>
    <x v="46"/>
    <x v="3"/>
    <x v="4"/>
    <x v="0"/>
    <n v="2.2000000000000002"/>
    <n v="2.2799999999999998"/>
    <n v="0.61"/>
    <n v="2.13"/>
  </r>
  <r>
    <x v="10"/>
    <x v="6"/>
    <x v="46"/>
    <x v="4"/>
    <x v="4"/>
    <x v="0"/>
    <n v="20.440000000000001"/>
    <n v="21.22"/>
    <n v="3.89"/>
    <n v="17.399999999999999"/>
  </r>
  <r>
    <x v="10"/>
    <x v="6"/>
    <x v="46"/>
    <x v="4"/>
    <x v="1"/>
    <x v="0"/>
    <n v="0.74"/>
    <n v="0.77"/>
    <n v="7.0000000000000007E-2"/>
    <n v="0.61"/>
  </r>
  <r>
    <x v="10"/>
    <x v="6"/>
    <x v="46"/>
    <x v="0"/>
    <x v="0"/>
    <x v="0"/>
    <n v="4.95"/>
    <n v="5.14"/>
    <n v="2.2400000000000002"/>
    <n v="4.21"/>
  </r>
  <r>
    <x v="10"/>
    <x v="6"/>
    <x v="46"/>
    <x v="0"/>
    <x v="4"/>
    <x v="0"/>
    <n v="16.5"/>
    <n v="17.13"/>
    <n v="3.51"/>
    <n v="14.14"/>
  </r>
  <r>
    <x v="10"/>
    <x v="6"/>
    <x v="46"/>
    <x v="1"/>
    <x v="0"/>
    <x v="0"/>
    <n v="7.23"/>
    <n v="7.51"/>
    <n v="3.35"/>
    <n v="6.22"/>
  </r>
  <r>
    <x v="10"/>
    <x v="6"/>
    <x v="46"/>
    <x v="1"/>
    <x v="4"/>
    <x v="0"/>
    <n v="118.54"/>
    <n v="123.05"/>
    <n v="23.4"/>
    <n v="104.74"/>
  </r>
  <r>
    <x v="10"/>
    <x v="6"/>
    <x v="46"/>
    <x v="1"/>
    <x v="2"/>
    <x v="1"/>
    <n v="0.33"/>
    <n v="0.34"/>
    <n v="0.04"/>
    <n v="0.28000000000000003"/>
  </r>
  <r>
    <x v="10"/>
    <x v="6"/>
    <x v="46"/>
    <x v="2"/>
    <x v="0"/>
    <x v="0"/>
    <n v="1.95"/>
    <n v="2.02"/>
    <n v="0.93"/>
    <n v="1.85"/>
  </r>
  <r>
    <x v="10"/>
    <x v="6"/>
    <x v="46"/>
    <x v="4"/>
    <x v="0"/>
    <x v="1"/>
    <n v="0.2"/>
    <n v="0.21"/>
    <n v="0.01"/>
    <n v="0.18"/>
  </r>
  <r>
    <x v="10"/>
    <x v="6"/>
    <x v="46"/>
    <x v="2"/>
    <x v="3"/>
    <x v="0"/>
    <n v="1.68"/>
    <n v="1.74"/>
    <n v="0.02"/>
    <n v="1.68"/>
  </r>
  <r>
    <x v="10"/>
    <x v="6"/>
    <x v="46"/>
    <x v="1"/>
    <x v="1"/>
    <x v="0"/>
    <n v="19.170000000000002"/>
    <n v="19.899999999999999"/>
    <n v="1.01"/>
    <n v="16.57"/>
  </r>
  <r>
    <x v="10"/>
    <x v="6"/>
    <x v="46"/>
    <x v="1"/>
    <x v="1"/>
    <x v="1"/>
    <n v="1.1100000000000001"/>
    <n v="1.1499999999999999"/>
    <n v="0.03"/>
    <n v="0.97"/>
  </r>
  <r>
    <x v="10"/>
    <x v="6"/>
    <x v="46"/>
    <x v="1"/>
    <x v="4"/>
    <x v="1"/>
    <n v="0.45"/>
    <n v="0.46"/>
    <n v="0.01"/>
    <n v="0.38"/>
  </r>
  <r>
    <x v="10"/>
    <x v="6"/>
    <x v="46"/>
    <x v="1"/>
    <x v="0"/>
    <x v="1"/>
    <n v="0.46"/>
    <n v="0.48"/>
    <n v="0.01"/>
    <n v="0.4"/>
  </r>
  <r>
    <x v="10"/>
    <x v="6"/>
    <x v="46"/>
    <x v="0"/>
    <x v="4"/>
    <x v="1"/>
    <n v="0.42"/>
    <n v="0.44"/>
    <n v="0.04"/>
    <n v="0.37"/>
  </r>
  <r>
    <x v="10"/>
    <x v="6"/>
    <x v="46"/>
    <x v="0"/>
    <x v="0"/>
    <x v="1"/>
    <n v="2.04"/>
    <n v="2.12"/>
    <n v="0.04"/>
    <n v="1.78"/>
  </r>
  <r>
    <x v="10"/>
    <x v="6"/>
    <x v="46"/>
    <x v="4"/>
    <x v="4"/>
    <x v="1"/>
    <n v="0.17"/>
    <n v="0.18"/>
    <n v="0.01"/>
    <n v="0.15"/>
  </r>
  <r>
    <x v="10"/>
    <x v="6"/>
    <x v="46"/>
    <x v="2"/>
    <x v="3"/>
    <x v="3"/>
    <n v="1.06"/>
    <n v="1.1000000000000001"/>
    <n v="0"/>
    <n v="0.96"/>
  </r>
  <r>
    <x v="10"/>
    <x v="6"/>
    <x v="46"/>
    <x v="2"/>
    <x v="3"/>
    <x v="2"/>
    <n v="3.48"/>
    <n v="3.61"/>
    <n v="0.01"/>
    <n v="2.78"/>
  </r>
  <r>
    <x v="10"/>
    <x v="6"/>
    <x v="46"/>
    <x v="1"/>
    <x v="1"/>
    <x v="2"/>
    <n v="0.74"/>
    <n v="0.77"/>
    <n v="0.01"/>
    <n v="0.59"/>
  </r>
  <r>
    <x v="10"/>
    <x v="6"/>
    <x v="46"/>
    <x v="1"/>
    <x v="4"/>
    <x v="2"/>
    <n v="0.02"/>
    <n v="0.02"/>
    <n v="0"/>
    <n v="0.01"/>
  </r>
  <r>
    <x v="10"/>
    <x v="6"/>
    <x v="46"/>
    <x v="4"/>
    <x v="1"/>
    <x v="2"/>
    <n v="7.0000000000000007E-2"/>
    <n v="7.0000000000000007E-2"/>
    <n v="0"/>
    <n v="0.05"/>
  </r>
  <r>
    <x v="10"/>
    <x v="6"/>
    <x v="46"/>
    <x v="4"/>
    <x v="4"/>
    <x v="2"/>
    <n v="0.03"/>
    <n v="0.03"/>
    <n v="0"/>
    <n v="0.02"/>
  </r>
  <r>
    <x v="10"/>
    <x v="6"/>
    <x v="46"/>
    <x v="1"/>
    <x v="2"/>
    <x v="0"/>
    <n v="5.5"/>
    <n v="5.71"/>
    <n v="0.04"/>
    <n v="4.57"/>
  </r>
  <r>
    <x v="10"/>
    <x v="6"/>
    <x v="46"/>
    <x v="4"/>
    <x v="1"/>
    <x v="1"/>
    <n v="0.13"/>
    <n v="0.13"/>
    <n v="0"/>
    <n v="0.11"/>
  </r>
  <r>
    <x v="10"/>
    <x v="6"/>
    <x v="46"/>
    <x v="2"/>
    <x v="4"/>
    <x v="0"/>
    <n v="6.23"/>
    <n v="6.47"/>
    <n v="1.41"/>
    <n v="5.57"/>
  </r>
  <r>
    <x v="10"/>
    <x v="7"/>
    <x v="47"/>
    <x v="1"/>
    <x v="4"/>
    <x v="0"/>
    <n v="66.459999999999994"/>
    <n v="131.52000000000001"/>
    <n v="15.25"/>
    <n v="60.34"/>
  </r>
  <r>
    <x v="10"/>
    <x v="7"/>
    <x v="47"/>
    <x v="2"/>
    <x v="3"/>
    <x v="1"/>
    <n v="0.06"/>
    <n v="0.11"/>
    <n v="0"/>
    <n v="0.05"/>
  </r>
  <r>
    <x v="10"/>
    <x v="7"/>
    <x v="47"/>
    <x v="3"/>
    <x v="0"/>
    <x v="0"/>
    <n v="0.22"/>
    <n v="0.43"/>
    <n v="0.15"/>
    <n v="0.21"/>
  </r>
  <r>
    <x v="10"/>
    <x v="7"/>
    <x v="47"/>
    <x v="3"/>
    <x v="4"/>
    <x v="0"/>
    <n v="7.2"/>
    <n v="14.26"/>
    <n v="1.56"/>
    <n v="6.61"/>
  </r>
  <r>
    <x v="10"/>
    <x v="7"/>
    <x v="47"/>
    <x v="3"/>
    <x v="1"/>
    <x v="0"/>
    <n v="0.01"/>
    <n v="0.02"/>
    <n v="0"/>
    <n v="0.01"/>
  </r>
  <r>
    <x v="10"/>
    <x v="7"/>
    <x v="47"/>
    <x v="4"/>
    <x v="4"/>
    <x v="0"/>
    <n v="22.45"/>
    <n v="44.42"/>
    <n v="3.99"/>
    <n v="20.46"/>
  </r>
  <r>
    <x v="10"/>
    <x v="7"/>
    <x v="47"/>
    <x v="1"/>
    <x v="2"/>
    <x v="1"/>
    <n v="0.2"/>
    <n v="0.4"/>
    <n v="0"/>
    <n v="0.18"/>
  </r>
  <r>
    <x v="10"/>
    <x v="7"/>
    <x v="47"/>
    <x v="1"/>
    <x v="0"/>
    <x v="0"/>
    <n v="8.2200000000000006"/>
    <n v="16.27"/>
    <n v="4.45"/>
    <n v="7.58"/>
  </r>
  <r>
    <x v="10"/>
    <x v="7"/>
    <x v="47"/>
    <x v="4"/>
    <x v="1"/>
    <x v="0"/>
    <n v="3.27"/>
    <n v="6.47"/>
    <n v="0.25"/>
    <n v="2.99"/>
  </r>
  <r>
    <x v="10"/>
    <x v="7"/>
    <x v="47"/>
    <x v="1"/>
    <x v="1"/>
    <x v="0"/>
    <n v="8.5"/>
    <n v="16.829999999999998"/>
    <n v="0.6"/>
    <n v="7.65"/>
  </r>
  <r>
    <x v="10"/>
    <x v="7"/>
    <x v="47"/>
    <x v="1"/>
    <x v="2"/>
    <x v="0"/>
    <n v="2.79"/>
    <n v="5.51"/>
    <n v="0.04"/>
    <n v="2.56"/>
  </r>
  <r>
    <x v="10"/>
    <x v="7"/>
    <x v="47"/>
    <x v="2"/>
    <x v="0"/>
    <x v="0"/>
    <n v="2.41"/>
    <n v="4.7699999999999996"/>
    <n v="2.72"/>
    <n v="2.25"/>
  </r>
  <r>
    <x v="10"/>
    <x v="7"/>
    <x v="47"/>
    <x v="2"/>
    <x v="4"/>
    <x v="0"/>
    <n v="3.65"/>
    <n v="7.23"/>
    <n v="1.34"/>
    <n v="3.4"/>
  </r>
  <r>
    <x v="10"/>
    <x v="7"/>
    <x v="47"/>
    <x v="2"/>
    <x v="3"/>
    <x v="0"/>
    <n v="0.1"/>
    <n v="0.2"/>
    <n v="0.04"/>
    <n v="0.1"/>
  </r>
  <r>
    <x v="10"/>
    <x v="7"/>
    <x v="47"/>
    <x v="0"/>
    <x v="0"/>
    <x v="0"/>
    <n v="2.14"/>
    <n v="4.24"/>
    <n v="1.88"/>
    <n v="1.91"/>
  </r>
  <r>
    <x v="10"/>
    <x v="7"/>
    <x v="47"/>
    <x v="4"/>
    <x v="1"/>
    <x v="2"/>
    <n v="0"/>
    <n v="0.01"/>
    <n v="0"/>
    <n v="0"/>
  </r>
  <r>
    <x v="10"/>
    <x v="7"/>
    <x v="47"/>
    <x v="0"/>
    <x v="4"/>
    <x v="0"/>
    <n v="10.89"/>
    <n v="21.55"/>
    <n v="3.87"/>
    <n v="9.89"/>
  </r>
  <r>
    <x v="10"/>
    <x v="7"/>
    <x v="47"/>
    <x v="4"/>
    <x v="4"/>
    <x v="2"/>
    <n v="0.13"/>
    <n v="0.26"/>
    <n v="0"/>
    <n v="0.08"/>
  </r>
  <r>
    <x v="10"/>
    <x v="7"/>
    <x v="47"/>
    <x v="1"/>
    <x v="1"/>
    <x v="1"/>
    <n v="0.46"/>
    <n v="0.92"/>
    <n v="0.01"/>
    <n v="0.43"/>
  </r>
  <r>
    <x v="10"/>
    <x v="7"/>
    <x v="47"/>
    <x v="1"/>
    <x v="4"/>
    <x v="2"/>
    <n v="0.19"/>
    <n v="0.38"/>
    <n v="0"/>
    <n v="0.11"/>
  </r>
  <r>
    <x v="10"/>
    <x v="7"/>
    <x v="47"/>
    <x v="1"/>
    <x v="1"/>
    <x v="2"/>
    <n v="0"/>
    <n v="0.01"/>
    <n v="0"/>
    <n v="0"/>
  </r>
  <r>
    <x v="10"/>
    <x v="7"/>
    <x v="47"/>
    <x v="2"/>
    <x v="3"/>
    <x v="2"/>
    <n v="0.05"/>
    <n v="0.09"/>
    <n v="0"/>
    <n v="0.03"/>
  </r>
  <r>
    <x v="10"/>
    <x v="7"/>
    <x v="47"/>
    <x v="2"/>
    <x v="3"/>
    <x v="3"/>
    <n v="7.93"/>
    <n v="15.69"/>
    <n v="0.01"/>
    <n v="7.93"/>
  </r>
  <r>
    <x v="10"/>
    <x v="7"/>
    <x v="47"/>
    <x v="4"/>
    <x v="0"/>
    <x v="1"/>
    <n v="0"/>
    <n v="0"/>
    <n v="0"/>
    <n v="0"/>
  </r>
  <r>
    <x v="10"/>
    <x v="7"/>
    <x v="47"/>
    <x v="4"/>
    <x v="4"/>
    <x v="1"/>
    <n v="0.05"/>
    <n v="0.1"/>
    <n v="0"/>
    <n v="0.05"/>
  </r>
  <r>
    <x v="10"/>
    <x v="7"/>
    <x v="47"/>
    <x v="4"/>
    <x v="1"/>
    <x v="1"/>
    <n v="7.0000000000000007E-2"/>
    <n v="0.15"/>
    <n v="0"/>
    <n v="7.0000000000000007E-2"/>
  </r>
  <r>
    <x v="10"/>
    <x v="7"/>
    <x v="47"/>
    <x v="0"/>
    <x v="0"/>
    <x v="1"/>
    <n v="0.13"/>
    <n v="0.25"/>
    <n v="0"/>
    <n v="0.11"/>
  </r>
  <r>
    <x v="10"/>
    <x v="7"/>
    <x v="47"/>
    <x v="0"/>
    <x v="4"/>
    <x v="1"/>
    <n v="0.01"/>
    <n v="0.02"/>
    <n v="0"/>
    <n v="0.01"/>
  </r>
  <r>
    <x v="10"/>
    <x v="7"/>
    <x v="47"/>
    <x v="1"/>
    <x v="0"/>
    <x v="1"/>
    <n v="0.02"/>
    <n v="0.05"/>
    <n v="0"/>
    <n v="0.02"/>
  </r>
  <r>
    <x v="10"/>
    <x v="7"/>
    <x v="47"/>
    <x v="1"/>
    <x v="4"/>
    <x v="1"/>
    <n v="0.03"/>
    <n v="7.0000000000000007E-2"/>
    <n v="0"/>
    <n v="0.03"/>
  </r>
  <r>
    <x v="10"/>
    <x v="2"/>
    <x v="48"/>
    <x v="2"/>
    <x v="0"/>
    <x v="0"/>
    <n v="15.68"/>
    <n v="17.739999999999998"/>
    <n v="6.97"/>
    <n v="15"/>
  </r>
  <r>
    <x v="10"/>
    <x v="2"/>
    <x v="48"/>
    <x v="3"/>
    <x v="4"/>
    <x v="0"/>
    <n v="128.26"/>
    <n v="145.09"/>
    <n v="23.81"/>
    <n v="122.3"/>
  </r>
  <r>
    <x v="10"/>
    <x v="2"/>
    <x v="48"/>
    <x v="3"/>
    <x v="1"/>
    <x v="0"/>
    <n v="6.59"/>
    <n v="7.45"/>
    <n v="0.46"/>
    <n v="6.42"/>
  </r>
  <r>
    <x v="10"/>
    <x v="2"/>
    <x v="48"/>
    <x v="4"/>
    <x v="4"/>
    <x v="0"/>
    <n v="313.98"/>
    <n v="355.18"/>
    <n v="30.47"/>
    <n v="296.31"/>
  </r>
  <r>
    <x v="10"/>
    <x v="2"/>
    <x v="48"/>
    <x v="4"/>
    <x v="1"/>
    <x v="0"/>
    <n v="63.18"/>
    <n v="71.47"/>
    <n v="2.94"/>
    <n v="59.84"/>
  </r>
  <r>
    <x v="10"/>
    <x v="2"/>
    <x v="48"/>
    <x v="0"/>
    <x v="0"/>
    <x v="0"/>
    <n v="8.7200000000000006"/>
    <n v="9.86"/>
    <n v="4.68"/>
    <n v="8.01"/>
  </r>
  <r>
    <x v="10"/>
    <x v="2"/>
    <x v="48"/>
    <x v="0"/>
    <x v="4"/>
    <x v="0"/>
    <n v="41.02"/>
    <n v="46.41"/>
    <n v="10.7"/>
    <n v="38.409999999999997"/>
  </r>
  <r>
    <x v="10"/>
    <x v="2"/>
    <x v="48"/>
    <x v="1"/>
    <x v="0"/>
    <x v="0"/>
    <n v="41.65"/>
    <n v="47.12"/>
    <n v="21.78"/>
    <n v="39.21"/>
  </r>
  <r>
    <x v="10"/>
    <x v="2"/>
    <x v="48"/>
    <x v="1"/>
    <x v="4"/>
    <x v="0"/>
    <n v="681.42"/>
    <n v="770.81"/>
    <n v="110.02"/>
    <n v="637.86"/>
  </r>
  <r>
    <x v="10"/>
    <x v="2"/>
    <x v="48"/>
    <x v="2"/>
    <x v="3"/>
    <x v="0"/>
    <n v="1.89"/>
    <n v="2.14"/>
    <n v="0.02"/>
    <n v="1.89"/>
  </r>
  <r>
    <x v="10"/>
    <x v="2"/>
    <x v="48"/>
    <x v="1"/>
    <x v="2"/>
    <x v="0"/>
    <n v="37.520000000000003"/>
    <n v="42.44"/>
    <n v="0.35"/>
    <n v="34.11"/>
  </r>
  <r>
    <x v="10"/>
    <x v="2"/>
    <x v="48"/>
    <x v="3"/>
    <x v="0"/>
    <x v="0"/>
    <n v="18.899999999999999"/>
    <n v="21.38"/>
    <n v="9.89"/>
    <n v="18.63"/>
  </r>
  <r>
    <x v="10"/>
    <x v="2"/>
    <x v="48"/>
    <x v="2"/>
    <x v="4"/>
    <x v="0"/>
    <n v="20.149999999999999"/>
    <n v="22.8"/>
    <n v="2.17"/>
    <n v="18.97"/>
  </r>
  <r>
    <x v="10"/>
    <x v="2"/>
    <x v="48"/>
    <x v="1"/>
    <x v="4"/>
    <x v="2"/>
    <n v="0.79"/>
    <n v="0.89"/>
    <n v="0.03"/>
    <n v="0.64"/>
  </r>
  <r>
    <x v="10"/>
    <x v="2"/>
    <x v="48"/>
    <x v="1"/>
    <x v="1"/>
    <x v="1"/>
    <n v="3.37"/>
    <n v="3.81"/>
    <n v="0.11"/>
    <n v="3.21"/>
  </r>
  <r>
    <x v="10"/>
    <x v="2"/>
    <x v="48"/>
    <x v="1"/>
    <x v="1"/>
    <x v="0"/>
    <n v="105.42"/>
    <n v="119.24"/>
    <n v="6.62"/>
    <n v="98.82"/>
  </r>
  <r>
    <x v="10"/>
    <x v="2"/>
    <x v="48"/>
    <x v="4"/>
    <x v="2"/>
    <x v="2"/>
    <n v="0.09"/>
    <n v="0.1"/>
    <n v="0"/>
    <n v="7.0000000000000007E-2"/>
  </r>
  <r>
    <x v="10"/>
    <x v="2"/>
    <x v="48"/>
    <x v="2"/>
    <x v="3"/>
    <x v="1"/>
    <n v="7.12"/>
    <n v="8.06"/>
    <n v="0.02"/>
    <n v="6.48"/>
  </r>
  <r>
    <x v="10"/>
    <x v="2"/>
    <x v="48"/>
    <x v="4"/>
    <x v="1"/>
    <x v="2"/>
    <n v="0.1"/>
    <n v="0.12"/>
    <n v="0.01"/>
    <n v="0.08"/>
  </r>
  <r>
    <x v="10"/>
    <x v="2"/>
    <x v="48"/>
    <x v="4"/>
    <x v="4"/>
    <x v="2"/>
    <n v="0.27"/>
    <n v="0.31"/>
    <n v="0.04"/>
    <n v="0.23"/>
  </r>
  <r>
    <x v="10"/>
    <x v="2"/>
    <x v="48"/>
    <x v="1"/>
    <x v="1"/>
    <x v="2"/>
    <n v="0"/>
    <n v="0"/>
    <n v="0"/>
    <n v="0"/>
  </r>
  <r>
    <x v="10"/>
    <x v="2"/>
    <x v="48"/>
    <x v="2"/>
    <x v="3"/>
    <x v="2"/>
    <n v="0.86"/>
    <n v="0.97"/>
    <n v="0"/>
    <n v="0.69"/>
  </r>
  <r>
    <x v="10"/>
    <x v="2"/>
    <x v="48"/>
    <x v="2"/>
    <x v="3"/>
    <x v="3"/>
    <n v="113.32"/>
    <n v="128.18"/>
    <n v="7.0000000000000007E-2"/>
    <n v="113.31"/>
  </r>
  <r>
    <x v="10"/>
    <x v="2"/>
    <x v="48"/>
    <x v="4"/>
    <x v="0"/>
    <x v="1"/>
    <n v="0.51"/>
    <n v="0.57999999999999996"/>
    <n v="0.1"/>
    <n v="0.46"/>
  </r>
  <r>
    <x v="10"/>
    <x v="2"/>
    <x v="48"/>
    <x v="4"/>
    <x v="1"/>
    <x v="1"/>
    <n v="0.41"/>
    <n v="0.46"/>
    <n v="0.03"/>
    <n v="0.39"/>
  </r>
  <r>
    <x v="10"/>
    <x v="2"/>
    <x v="48"/>
    <x v="0"/>
    <x v="0"/>
    <x v="1"/>
    <n v="4.37"/>
    <n v="4.9400000000000004"/>
    <n v="0.31"/>
    <n v="3.94"/>
  </r>
  <r>
    <x v="10"/>
    <x v="2"/>
    <x v="48"/>
    <x v="0"/>
    <x v="4"/>
    <x v="1"/>
    <n v="4.25"/>
    <n v="4.8"/>
    <n v="0.15"/>
    <n v="3.83"/>
  </r>
  <r>
    <x v="10"/>
    <x v="2"/>
    <x v="48"/>
    <x v="1"/>
    <x v="0"/>
    <x v="1"/>
    <n v="2.42"/>
    <n v="2.74"/>
    <n v="0.38"/>
    <n v="2.34"/>
  </r>
  <r>
    <x v="10"/>
    <x v="2"/>
    <x v="48"/>
    <x v="1"/>
    <x v="4"/>
    <x v="1"/>
    <n v="1.81"/>
    <n v="2.0499999999999998"/>
    <n v="0.24"/>
    <n v="1.8"/>
  </r>
  <r>
    <x v="10"/>
    <x v="2"/>
    <x v="48"/>
    <x v="4"/>
    <x v="4"/>
    <x v="1"/>
    <n v="3.2"/>
    <n v="3.62"/>
    <n v="0.13"/>
    <n v="2.91"/>
  </r>
  <r>
    <x v="10"/>
    <x v="2"/>
    <x v="48"/>
    <x v="1"/>
    <x v="2"/>
    <x v="1"/>
    <n v="12.56"/>
    <n v="14.21"/>
    <n v="0.16"/>
    <n v="11.8"/>
  </r>
  <r>
    <x v="10"/>
    <x v="3"/>
    <x v="49"/>
    <x v="1"/>
    <x v="2"/>
    <x v="0"/>
    <n v="537.74"/>
    <n v="537.74"/>
    <n v="3.72"/>
    <n v="494.44"/>
  </r>
  <r>
    <x v="10"/>
    <x v="3"/>
    <x v="49"/>
    <x v="0"/>
    <x v="0"/>
    <x v="0"/>
    <n v="14.36"/>
    <n v="14.36"/>
    <n v="3.74"/>
    <n v="13.4"/>
  </r>
  <r>
    <x v="10"/>
    <x v="3"/>
    <x v="49"/>
    <x v="2"/>
    <x v="3"/>
    <x v="1"/>
    <n v="34.57"/>
    <n v="34.57"/>
    <n v="7.0000000000000007E-2"/>
    <n v="31.92"/>
  </r>
  <r>
    <x v="10"/>
    <x v="3"/>
    <x v="49"/>
    <x v="3"/>
    <x v="0"/>
    <x v="0"/>
    <n v="543.88"/>
    <n v="543.88"/>
    <n v="346.1"/>
    <n v="534.16"/>
  </r>
  <r>
    <x v="10"/>
    <x v="3"/>
    <x v="49"/>
    <x v="3"/>
    <x v="4"/>
    <x v="0"/>
    <n v="6633.62"/>
    <n v="6633.62"/>
    <n v="2287.9499999999998"/>
    <n v="6525.36"/>
  </r>
  <r>
    <x v="10"/>
    <x v="3"/>
    <x v="49"/>
    <x v="3"/>
    <x v="1"/>
    <x v="0"/>
    <n v="245.48"/>
    <n v="245.48"/>
    <n v="24.67"/>
    <n v="245.48"/>
  </r>
  <r>
    <x v="10"/>
    <x v="3"/>
    <x v="49"/>
    <x v="4"/>
    <x v="0"/>
    <x v="0"/>
    <n v="2.09"/>
    <n v="2.09"/>
    <n v="1.24"/>
    <n v="1.89"/>
  </r>
  <r>
    <x v="10"/>
    <x v="3"/>
    <x v="49"/>
    <x v="4"/>
    <x v="4"/>
    <x v="0"/>
    <n v="2075.6"/>
    <n v="2075.6"/>
    <n v="226.63"/>
    <n v="1961.97"/>
  </r>
  <r>
    <x v="10"/>
    <x v="3"/>
    <x v="49"/>
    <x v="1"/>
    <x v="4"/>
    <x v="0"/>
    <n v="8055.95"/>
    <n v="8055.95"/>
    <n v="1659.75"/>
    <n v="7713.98"/>
  </r>
  <r>
    <x v="10"/>
    <x v="3"/>
    <x v="49"/>
    <x v="4"/>
    <x v="3"/>
    <x v="0"/>
    <n v="103.14"/>
    <n v="103.14"/>
    <n v="1.71"/>
    <n v="103.14"/>
  </r>
  <r>
    <x v="10"/>
    <x v="3"/>
    <x v="49"/>
    <x v="1"/>
    <x v="1"/>
    <x v="1"/>
    <n v="42.62"/>
    <n v="42.62"/>
    <n v="0.88"/>
    <n v="38.49"/>
  </r>
  <r>
    <x v="10"/>
    <x v="3"/>
    <x v="49"/>
    <x v="0"/>
    <x v="4"/>
    <x v="0"/>
    <n v="326.93"/>
    <n v="326.93"/>
    <n v="140.22999999999999"/>
    <n v="317.95"/>
  </r>
  <r>
    <x v="10"/>
    <x v="3"/>
    <x v="49"/>
    <x v="1"/>
    <x v="0"/>
    <x v="0"/>
    <n v="447.57"/>
    <n v="447.57"/>
    <n v="241.6"/>
    <n v="433.06"/>
  </r>
  <r>
    <x v="10"/>
    <x v="3"/>
    <x v="49"/>
    <x v="1"/>
    <x v="1"/>
    <x v="0"/>
    <n v="855.42"/>
    <n v="855.42"/>
    <n v="75.180000000000007"/>
    <n v="810.94"/>
  </r>
  <r>
    <x v="10"/>
    <x v="3"/>
    <x v="49"/>
    <x v="2"/>
    <x v="0"/>
    <x v="0"/>
    <n v="176.74"/>
    <n v="176.74"/>
    <n v="106.63"/>
    <n v="170.89"/>
  </r>
  <r>
    <x v="10"/>
    <x v="3"/>
    <x v="49"/>
    <x v="2"/>
    <x v="4"/>
    <x v="0"/>
    <n v="321.74"/>
    <n v="321.74"/>
    <n v="97.04"/>
    <n v="317.3"/>
  </r>
  <r>
    <x v="10"/>
    <x v="3"/>
    <x v="49"/>
    <x v="2"/>
    <x v="2"/>
    <x v="0"/>
    <n v="0.98"/>
    <n v="0.98"/>
    <n v="0.12"/>
    <n v="0.97"/>
  </r>
  <r>
    <x v="10"/>
    <x v="3"/>
    <x v="49"/>
    <x v="4"/>
    <x v="1"/>
    <x v="0"/>
    <n v="385.38"/>
    <n v="385.38"/>
    <n v="20.82"/>
    <n v="366.34"/>
  </r>
  <r>
    <x v="10"/>
    <x v="3"/>
    <x v="49"/>
    <x v="4"/>
    <x v="0"/>
    <x v="1"/>
    <n v="5.75"/>
    <n v="5.75"/>
    <n v="1.22"/>
    <n v="5.18"/>
  </r>
  <r>
    <x v="10"/>
    <x v="3"/>
    <x v="49"/>
    <x v="4"/>
    <x v="1"/>
    <x v="2"/>
    <n v="5.35"/>
    <n v="5.35"/>
    <n v="0.06"/>
    <n v="4.78"/>
  </r>
  <r>
    <x v="10"/>
    <x v="3"/>
    <x v="49"/>
    <x v="4"/>
    <x v="2"/>
    <x v="2"/>
    <n v="8.51"/>
    <n v="8.51"/>
    <n v="7.0000000000000007E-2"/>
    <n v="7.62"/>
  </r>
  <r>
    <x v="10"/>
    <x v="3"/>
    <x v="49"/>
    <x v="1"/>
    <x v="4"/>
    <x v="2"/>
    <n v="2.09"/>
    <n v="2.09"/>
    <n v="0.11"/>
    <n v="1.87"/>
  </r>
  <r>
    <x v="10"/>
    <x v="3"/>
    <x v="49"/>
    <x v="1"/>
    <x v="1"/>
    <x v="2"/>
    <n v="0.5"/>
    <n v="0.5"/>
    <n v="0.03"/>
    <n v="0.46"/>
  </r>
  <r>
    <x v="10"/>
    <x v="3"/>
    <x v="49"/>
    <x v="1"/>
    <x v="2"/>
    <x v="2"/>
    <n v="0.08"/>
    <n v="0.08"/>
    <n v="0"/>
    <n v="7.0000000000000007E-2"/>
  </r>
  <r>
    <x v="10"/>
    <x v="3"/>
    <x v="49"/>
    <x v="2"/>
    <x v="1"/>
    <x v="2"/>
    <n v="1.67"/>
    <n v="1.67"/>
    <n v="0"/>
    <n v="1.58"/>
  </r>
  <r>
    <x v="10"/>
    <x v="3"/>
    <x v="49"/>
    <x v="2"/>
    <x v="4"/>
    <x v="1"/>
    <n v="0.32"/>
    <n v="0.32"/>
    <n v="0"/>
    <n v="0.3"/>
  </r>
  <r>
    <x v="10"/>
    <x v="3"/>
    <x v="49"/>
    <x v="2"/>
    <x v="3"/>
    <x v="3"/>
    <n v="1462.65"/>
    <n v="1462.65"/>
    <n v="0.47"/>
    <n v="1446.71"/>
  </r>
  <r>
    <x v="10"/>
    <x v="3"/>
    <x v="49"/>
    <x v="1"/>
    <x v="2"/>
    <x v="1"/>
    <n v="125.65"/>
    <n v="125.65"/>
    <n v="0.72"/>
    <n v="113.78"/>
  </r>
  <r>
    <x v="10"/>
    <x v="3"/>
    <x v="49"/>
    <x v="4"/>
    <x v="4"/>
    <x v="1"/>
    <n v="19.38"/>
    <n v="19.38"/>
    <n v="1.56"/>
    <n v="17.47"/>
  </r>
  <r>
    <x v="10"/>
    <x v="3"/>
    <x v="49"/>
    <x v="4"/>
    <x v="1"/>
    <x v="1"/>
    <n v="4.1399999999999997"/>
    <n v="4.1399999999999997"/>
    <n v="0.32"/>
    <n v="3.77"/>
  </r>
  <r>
    <x v="10"/>
    <x v="3"/>
    <x v="49"/>
    <x v="0"/>
    <x v="0"/>
    <x v="1"/>
    <n v="14.68"/>
    <n v="14.68"/>
    <n v="0.68"/>
    <n v="13.44"/>
  </r>
  <r>
    <x v="10"/>
    <x v="3"/>
    <x v="49"/>
    <x v="0"/>
    <x v="4"/>
    <x v="1"/>
    <n v="3.32"/>
    <n v="3.32"/>
    <n v="0.14000000000000001"/>
    <n v="3.04"/>
  </r>
  <r>
    <x v="10"/>
    <x v="3"/>
    <x v="49"/>
    <x v="1"/>
    <x v="0"/>
    <x v="1"/>
    <n v="17.78"/>
    <n v="17.78"/>
    <n v="1.22"/>
    <n v="15.84"/>
  </r>
  <r>
    <x v="10"/>
    <x v="3"/>
    <x v="49"/>
    <x v="1"/>
    <x v="4"/>
    <x v="1"/>
    <n v="5.88"/>
    <n v="5.88"/>
    <n v="0.28999999999999998"/>
    <n v="5.22"/>
  </r>
  <r>
    <x v="10"/>
    <x v="3"/>
    <x v="49"/>
    <x v="4"/>
    <x v="4"/>
    <x v="2"/>
    <n v="11.68"/>
    <n v="11.68"/>
    <n v="0.4"/>
    <n v="10.49"/>
  </r>
  <r>
    <x v="10"/>
    <x v="3"/>
    <x v="49"/>
    <x v="2"/>
    <x v="3"/>
    <x v="2"/>
    <n v="102.02"/>
    <n v="102.02"/>
    <n v="0.12"/>
    <n v="93.2"/>
  </r>
  <r>
    <x v="11"/>
    <x v="0"/>
    <x v="0"/>
    <x v="2"/>
    <x v="3"/>
    <x v="2"/>
    <n v="0"/>
    <n v="0"/>
    <n v="0"/>
    <n v="0"/>
  </r>
  <r>
    <x v="11"/>
    <x v="0"/>
    <x v="0"/>
    <x v="1"/>
    <x v="1"/>
    <x v="1"/>
    <n v="2.16"/>
    <n v="7.5"/>
    <n v="7.0000000000000007E-2"/>
    <n v="1.94"/>
  </r>
  <r>
    <x v="11"/>
    <x v="0"/>
    <x v="0"/>
    <x v="1"/>
    <x v="4"/>
    <x v="1"/>
    <n v="0.12"/>
    <n v="0.41"/>
    <n v="0.01"/>
    <n v="0.11"/>
  </r>
  <r>
    <x v="11"/>
    <x v="0"/>
    <x v="0"/>
    <x v="1"/>
    <x v="0"/>
    <x v="1"/>
    <n v="0.05"/>
    <n v="0.16"/>
    <n v="0"/>
    <n v="0.04"/>
  </r>
  <r>
    <x v="11"/>
    <x v="0"/>
    <x v="0"/>
    <x v="0"/>
    <x v="4"/>
    <x v="1"/>
    <n v="0.03"/>
    <n v="0.1"/>
    <n v="0.01"/>
    <n v="0.03"/>
  </r>
  <r>
    <x v="11"/>
    <x v="0"/>
    <x v="0"/>
    <x v="0"/>
    <x v="0"/>
    <x v="1"/>
    <n v="0.71"/>
    <n v="2.4500000000000002"/>
    <n v="0.02"/>
    <n v="0.63"/>
  </r>
  <r>
    <x v="11"/>
    <x v="0"/>
    <x v="0"/>
    <x v="4"/>
    <x v="1"/>
    <x v="1"/>
    <n v="0.02"/>
    <n v="7.0000000000000007E-2"/>
    <n v="0"/>
    <n v="0.02"/>
  </r>
  <r>
    <x v="11"/>
    <x v="0"/>
    <x v="0"/>
    <x v="4"/>
    <x v="4"/>
    <x v="1"/>
    <n v="0.09"/>
    <n v="0.32"/>
    <n v="0.01"/>
    <n v="0.08"/>
  </r>
  <r>
    <x v="11"/>
    <x v="0"/>
    <x v="0"/>
    <x v="1"/>
    <x v="4"/>
    <x v="2"/>
    <n v="0.11"/>
    <n v="0.38"/>
    <n v="0.01"/>
    <n v="0.1"/>
  </r>
  <r>
    <x v="11"/>
    <x v="0"/>
    <x v="0"/>
    <x v="2"/>
    <x v="3"/>
    <x v="3"/>
    <n v="5"/>
    <n v="17.38"/>
    <n v="0"/>
    <n v="4.5"/>
  </r>
  <r>
    <x v="11"/>
    <x v="0"/>
    <x v="0"/>
    <x v="1"/>
    <x v="1"/>
    <x v="2"/>
    <n v="0"/>
    <n v="0"/>
    <n v="0"/>
    <n v="0"/>
  </r>
  <r>
    <x v="11"/>
    <x v="0"/>
    <x v="0"/>
    <x v="1"/>
    <x v="2"/>
    <x v="1"/>
    <n v="3.8"/>
    <n v="13.22"/>
    <n v="0.02"/>
    <n v="3.42"/>
  </r>
  <r>
    <x v="11"/>
    <x v="0"/>
    <x v="0"/>
    <x v="4"/>
    <x v="2"/>
    <x v="2"/>
    <n v="0"/>
    <n v="0.02"/>
    <n v="0"/>
    <n v="0"/>
  </r>
  <r>
    <x v="11"/>
    <x v="0"/>
    <x v="0"/>
    <x v="1"/>
    <x v="0"/>
    <x v="0"/>
    <n v="1.56"/>
    <n v="5.44"/>
    <n v="0.84"/>
    <n v="1.41"/>
  </r>
  <r>
    <x v="11"/>
    <x v="0"/>
    <x v="0"/>
    <x v="4"/>
    <x v="0"/>
    <x v="1"/>
    <n v="0.36"/>
    <n v="1.23"/>
    <n v="0.03"/>
    <n v="0.32"/>
  </r>
  <r>
    <x v="11"/>
    <x v="0"/>
    <x v="0"/>
    <x v="3"/>
    <x v="4"/>
    <x v="0"/>
    <n v="5.22"/>
    <n v="18.14"/>
    <n v="1.78"/>
    <n v="4.7"/>
  </r>
  <r>
    <x v="11"/>
    <x v="0"/>
    <x v="0"/>
    <x v="3"/>
    <x v="1"/>
    <x v="0"/>
    <n v="0"/>
    <n v="0.01"/>
    <n v="0"/>
    <n v="0"/>
  </r>
  <r>
    <x v="11"/>
    <x v="0"/>
    <x v="0"/>
    <x v="4"/>
    <x v="0"/>
    <x v="0"/>
    <n v="0.1"/>
    <n v="0.36"/>
    <n v="0.04"/>
    <n v="0.09"/>
  </r>
  <r>
    <x v="11"/>
    <x v="0"/>
    <x v="0"/>
    <x v="4"/>
    <x v="4"/>
    <x v="0"/>
    <n v="3.96"/>
    <n v="13.76"/>
    <n v="2.17"/>
    <n v="3.56"/>
  </r>
  <r>
    <x v="11"/>
    <x v="0"/>
    <x v="0"/>
    <x v="4"/>
    <x v="1"/>
    <x v="0"/>
    <n v="3.12"/>
    <n v="10.84"/>
    <n v="0.36"/>
    <n v="2.81"/>
  </r>
  <r>
    <x v="11"/>
    <x v="0"/>
    <x v="0"/>
    <x v="4"/>
    <x v="3"/>
    <x v="0"/>
    <n v="1.32"/>
    <n v="4.5999999999999996"/>
    <n v="0.12"/>
    <n v="1.19"/>
  </r>
  <r>
    <x v="11"/>
    <x v="0"/>
    <x v="0"/>
    <x v="0"/>
    <x v="4"/>
    <x v="0"/>
    <n v="2.37"/>
    <n v="8.25"/>
    <n v="1.02"/>
    <n v="2.14"/>
  </r>
  <r>
    <x v="11"/>
    <x v="0"/>
    <x v="0"/>
    <x v="4"/>
    <x v="1"/>
    <x v="2"/>
    <n v="0.01"/>
    <n v="0.05"/>
    <n v="0"/>
    <n v="0.01"/>
  </r>
  <r>
    <x v="11"/>
    <x v="0"/>
    <x v="0"/>
    <x v="1"/>
    <x v="4"/>
    <x v="0"/>
    <n v="27.07"/>
    <n v="94.11"/>
    <n v="6.78"/>
    <n v="24.36"/>
  </r>
  <r>
    <x v="11"/>
    <x v="0"/>
    <x v="0"/>
    <x v="1"/>
    <x v="1"/>
    <x v="0"/>
    <n v="3.84"/>
    <n v="13.37"/>
    <n v="0.4"/>
    <n v="3.46"/>
  </r>
  <r>
    <x v="11"/>
    <x v="0"/>
    <x v="0"/>
    <x v="1"/>
    <x v="2"/>
    <x v="0"/>
    <n v="3.84"/>
    <n v="13.37"/>
    <n v="0.06"/>
    <n v="3.46"/>
  </r>
  <r>
    <x v="11"/>
    <x v="0"/>
    <x v="0"/>
    <x v="2"/>
    <x v="0"/>
    <x v="0"/>
    <n v="0.86"/>
    <n v="2.98"/>
    <n v="1.21"/>
    <n v="0.77"/>
  </r>
  <r>
    <x v="11"/>
    <x v="0"/>
    <x v="0"/>
    <x v="2"/>
    <x v="4"/>
    <x v="0"/>
    <n v="0.76"/>
    <n v="2.63"/>
    <n v="0.35"/>
    <n v="0.68"/>
  </r>
  <r>
    <x v="11"/>
    <x v="0"/>
    <x v="0"/>
    <x v="4"/>
    <x v="4"/>
    <x v="2"/>
    <n v="0.01"/>
    <n v="0.04"/>
    <n v="0"/>
    <n v="0.01"/>
  </r>
  <r>
    <x v="11"/>
    <x v="0"/>
    <x v="0"/>
    <x v="0"/>
    <x v="0"/>
    <x v="0"/>
    <n v="0.36"/>
    <n v="1.24"/>
    <n v="0.82"/>
    <n v="0.32"/>
  </r>
  <r>
    <x v="11"/>
    <x v="1"/>
    <x v="1"/>
    <x v="0"/>
    <x v="0"/>
    <x v="0"/>
    <n v="9.5500000000000007"/>
    <n v="11.59"/>
    <n v="5.18"/>
    <n v="8.6"/>
  </r>
  <r>
    <x v="11"/>
    <x v="1"/>
    <x v="1"/>
    <x v="4"/>
    <x v="1"/>
    <x v="2"/>
    <n v="0.16"/>
    <n v="0.19"/>
    <n v="0.01"/>
    <n v="0.14000000000000001"/>
  </r>
  <r>
    <x v="11"/>
    <x v="1"/>
    <x v="1"/>
    <x v="4"/>
    <x v="4"/>
    <x v="2"/>
    <n v="0.04"/>
    <n v="0.04"/>
    <n v="0.01"/>
    <n v="0.03"/>
  </r>
  <r>
    <x v="11"/>
    <x v="1"/>
    <x v="1"/>
    <x v="2"/>
    <x v="3"/>
    <x v="0"/>
    <n v="16.420000000000002"/>
    <n v="19.920000000000002"/>
    <n v="0.13"/>
    <n v="14.78"/>
  </r>
  <r>
    <x v="11"/>
    <x v="1"/>
    <x v="1"/>
    <x v="2"/>
    <x v="4"/>
    <x v="0"/>
    <n v="30.41"/>
    <n v="36.9"/>
    <n v="8.23"/>
    <n v="27.37"/>
  </r>
  <r>
    <x v="11"/>
    <x v="1"/>
    <x v="1"/>
    <x v="2"/>
    <x v="0"/>
    <x v="0"/>
    <n v="8.73"/>
    <n v="10.6"/>
    <n v="5.58"/>
    <n v="7.86"/>
  </r>
  <r>
    <x v="11"/>
    <x v="1"/>
    <x v="1"/>
    <x v="1"/>
    <x v="2"/>
    <x v="0"/>
    <n v="36.93"/>
    <n v="44.81"/>
    <n v="0.22"/>
    <n v="33.24"/>
  </r>
  <r>
    <x v="11"/>
    <x v="1"/>
    <x v="1"/>
    <x v="1"/>
    <x v="1"/>
    <x v="0"/>
    <n v="39.18"/>
    <n v="47.55"/>
    <n v="2.5099999999999998"/>
    <n v="35.270000000000003"/>
  </r>
  <r>
    <x v="11"/>
    <x v="1"/>
    <x v="1"/>
    <x v="1"/>
    <x v="4"/>
    <x v="0"/>
    <n v="270.58999999999997"/>
    <n v="328.33"/>
    <n v="42.28"/>
    <n v="243.53"/>
  </r>
  <r>
    <x v="11"/>
    <x v="1"/>
    <x v="1"/>
    <x v="0"/>
    <x v="4"/>
    <x v="0"/>
    <n v="11.65"/>
    <n v="14.13"/>
    <n v="2.8"/>
    <n v="10.48"/>
  </r>
  <r>
    <x v="11"/>
    <x v="1"/>
    <x v="1"/>
    <x v="4"/>
    <x v="1"/>
    <x v="0"/>
    <n v="52.65"/>
    <n v="63.88"/>
    <n v="2.21"/>
    <n v="47.38"/>
  </r>
  <r>
    <x v="11"/>
    <x v="1"/>
    <x v="1"/>
    <x v="4"/>
    <x v="4"/>
    <x v="0"/>
    <n v="118.41"/>
    <n v="143.68"/>
    <n v="14.75"/>
    <n v="106.57"/>
  </r>
  <r>
    <x v="11"/>
    <x v="1"/>
    <x v="1"/>
    <x v="3"/>
    <x v="4"/>
    <x v="0"/>
    <n v="89.76"/>
    <n v="108.92"/>
    <n v="15.55"/>
    <n v="80.790000000000006"/>
  </r>
  <r>
    <x v="11"/>
    <x v="1"/>
    <x v="1"/>
    <x v="3"/>
    <x v="0"/>
    <x v="0"/>
    <n v="5.0999999999999996"/>
    <n v="6.19"/>
    <n v="1.67"/>
    <n v="4.59"/>
  </r>
  <r>
    <x v="11"/>
    <x v="1"/>
    <x v="1"/>
    <x v="2"/>
    <x v="3"/>
    <x v="1"/>
    <n v="1.81"/>
    <n v="2.2000000000000002"/>
    <n v="0.01"/>
    <n v="1.63"/>
  </r>
  <r>
    <x v="11"/>
    <x v="1"/>
    <x v="1"/>
    <x v="4"/>
    <x v="1"/>
    <x v="1"/>
    <n v="1.01"/>
    <n v="1.23"/>
    <n v="7.0000000000000007E-2"/>
    <n v="0.91"/>
  </r>
  <r>
    <x v="11"/>
    <x v="1"/>
    <x v="1"/>
    <x v="1"/>
    <x v="1"/>
    <x v="2"/>
    <n v="0.3"/>
    <n v="0.36"/>
    <n v="0"/>
    <n v="0.27"/>
  </r>
  <r>
    <x v="11"/>
    <x v="1"/>
    <x v="1"/>
    <x v="1"/>
    <x v="0"/>
    <x v="0"/>
    <n v="6.29"/>
    <n v="7.64"/>
    <n v="4.38"/>
    <n v="5.67"/>
  </r>
  <r>
    <x v="11"/>
    <x v="1"/>
    <x v="1"/>
    <x v="2"/>
    <x v="4"/>
    <x v="1"/>
    <n v="0.83"/>
    <n v="1.01"/>
    <n v="0.01"/>
    <n v="0.75"/>
  </r>
  <r>
    <x v="11"/>
    <x v="1"/>
    <x v="1"/>
    <x v="2"/>
    <x v="3"/>
    <x v="3"/>
    <n v="23.89"/>
    <n v="28.99"/>
    <n v="0.01"/>
    <n v="21.5"/>
  </r>
  <r>
    <x v="11"/>
    <x v="1"/>
    <x v="1"/>
    <x v="1"/>
    <x v="4"/>
    <x v="2"/>
    <n v="7.0000000000000007E-2"/>
    <n v="0.09"/>
    <n v="0"/>
    <n v="7.0000000000000007E-2"/>
  </r>
  <r>
    <x v="11"/>
    <x v="1"/>
    <x v="1"/>
    <x v="4"/>
    <x v="4"/>
    <x v="1"/>
    <n v="1.32"/>
    <n v="1.61"/>
    <n v="0.08"/>
    <n v="1.19"/>
  </r>
  <r>
    <x v="11"/>
    <x v="1"/>
    <x v="1"/>
    <x v="2"/>
    <x v="3"/>
    <x v="2"/>
    <n v="0.03"/>
    <n v="0.03"/>
    <n v="0"/>
    <n v="0.03"/>
  </r>
  <r>
    <x v="11"/>
    <x v="1"/>
    <x v="1"/>
    <x v="0"/>
    <x v="0"/>
    <x v="1"/>
    <n v="0.6"/>
    <n v="0.73"/>
    <n v="0.03"/>
    <n v="0.54"/>
  </r>
  <r>
    <x v="11"/>
    <x v="1"/>
    <x v="1"/>
    <x v="0"/>
    <x v="4"/>
    <x v="1"/>
    <n v="1.38"/>
    <n v="1.67"/>
    <n v="0.03"/>
    <n v="1.24"/>
  </r>
  <r>
    <x v="11"/>
    <x v="1"/>
    <x v="1"/>
    <x v="1"/>
    <x v="0"/>
    <x v="1"/>
    <n v="2.09"/>
    <n v="2.54"/>
    <n v="0.11"/>
    <n v="1.89"/>
  </r>
  <r>
    <x v="11"/>
    <x v="1"/>
    <x v="1"/>
    <x v="1"/>
    <x v="4"/>
    <x v="1"/>
    <n v="0.35"/>
    <n v="0.42"/>
    <n v="0.01"/>
    <n v="0.31"/>
  </r>
  <r>
    <x v="11"/>
    <x v="1"/>
    <x v="1"/>
    <x v="1"/>
    <x v="1"/>
    <x v="1"/>
    <n v="0.5"/>
    <n v="0.6"/>
    <n v="0.01"/>
    <n v="0.45"/>
  </r>
  <r>
    <x v="11"/>
    <x v="1"/>
    <x v="1"/>
    <x v="1"/>
    <x v="2"/>
    <x v="1"/>
    <n v="23.57"/>
    <n v="28.6"/>
    <n v="0.15"/>
    <n v="21.21"/>
  </r>
  <r>
    <x v="11"/>
    <x v="1"/>
    <x v="1"/>
    <x v="4"/>
    <x v="0"/>
    <x v="1"/>
    <n v="0.36"/>
    <n v="0.44"/>
    <n v="0.06"/>
    <n v="0.33"/>
  </r>
  <r>
    <x v="11"/>
    <x v="2"/>
    <x v="2"/>
    <x v="3"/>
    <x v="0"/>
    <x v="0"/>
    <n v="1.97"/>
    <n v="2.15"/>
    <n v="0.37"/>
    <n v="1.77"/>
  </r>
  <r>
    <x v="11"/>
    <x v="2"/>
    <x v="2"/>
    <x v="2"/>
    <x v="3"/>
    <x v="1"/>
    <n v="0"/>
    <n v="0"/>
    <n v="0"/>
    <n v="0"/>
  </r>
  <r>
    <x v="11"/>
    <x v="2"/>
    <x v="2"/>
    <x v="4"/>
    <x v="1"/>
    <x v="0"/>
    <n v="5.71"/>
    <n v="6.22"/>
    <n v="0.28999999999999998"/>
    <n v="5.14"/>
  </r>
  <r>
    <x v="11"/>
    <x v="2"/>
    <x v="2"/>
    <x v="1"/>
    <x v="2"/>
    <x v="0"/>
    <n v="2.69"/>
    <n v="2.92"/>
    <n v="0.06"/>
    <n v="2.42"/>
  </r>
  <r>
    <x v="11"/>
    <x v="2"/>
    <x v="2"/>
    <x v="3"/>
    <x v="4"/>
    <x v="0"/>
    <n v="6.51"/>
    <n v="7.08"/>
    <n v="1.33"/>
    <n v="5.85"/>
  </r>
  <r>
    <x v="11"/>
    <x v="2"/>
    <x v="2"/>
    <x v="4"/>
    <x v="4"/>
    <x v="0"/>
    <n v="40.54"/>
    <n v="44.13"/>
    <n v="4.13"/>
    <n v="36.49"/>
  </r>
  <r>
    <x v="11"/>
    <x v="2"/>
    <x v="2"/>
    <x v="0"/>
    <x v="0"/>
    <x v="0"/>
    <n v="1.55"/>
    <n v="1.68"/>
    <n v="0.64"/>
    <n v="1.39"/>
  </r>
  <r>
    <x v="11"/>
    <x v="2"/>
    <x v="2"/>
    <x v="0"/>
    <x v="4"/>
    <x v="0"/>
    <n v="26.57"/>
    <n v="28.92"/>
    <n v="5.61"/>
    <n v="23.91"/>
  </r>
  <r>
    <x v="11"/>
    <x v="2"/>
    <x v="2"/>
    <x v="1"/>
    <x v="0"/>
    <x v="0"/>
    <n v="4.8099999999999996"/>
    <n v="5.24"/>
    <n v="2.08"/>
    <n v="4.33"/>
  </r>
  <r>
    <x v="11"/>
    <x v="2"/>
    <x v="2"/>
    <x v="1"/>
    <x v="4"/>
    <x v="0"/>
    <n v="134.84"/>
    <n v="146.78"/>
    <n v="18.899999999999999"/>
    <n v="121.36"/>
  </r>
  <r>
    <x v="11"/>
    <x v="2"/>
    <x v="2"/>
    <x v="2"/>
    <x v="3"/>
    <x v="0"/>
    <n v="8.85"/>
    <n v="9.6300000000000008"/>
    <n v="7.0000000000000007E-2"/>
    <n v="7.96"/>
  </r>
  <r>
    <x v="11"/>
    <x v="2"/>
    <x v="2"/>
    <x v="2"/>
    <x v="0"/>
    <x v="0"/>
    <n v="2.94"/>
    <n v="3.2"/>
    <n v="1.02"/>
    <n v="2.65"/>
  </r>
  <r>
    <x v="11"/>
    <x v="2"/>
    <x v="2"/>
    <x v="1"/>
    <x v="1"/>
    <x v="1"/>
    <n v="0.31"/>
    <n v="0.34"/>
    <n v="0"/>
    <n v="0.28000000000000003"/>
  </r>
  <r>
    <x v="11"/>
    <x v="2"/>
    <x v="2"/>
    <x v="1"/>
    <x v="4"/>
    <x v="1"/>
    <n v="0.03"/>
    <n v="0.03"/>
    <n v="0"/>
    <n v="0.03"/>
  </r>
  <r>
    <x v="11"/>
    <x v="2"/>
    <x v="2"/>
    <x v="2"/>
    <x v="4"/>
    <x v="0"/>
    <n v="5.83"/>
    <n v="6.35"/>
    <n v="0.62"/>
    <n v="5.25"/>
  </r>
  <r>
    <x v="11"/>
    <x v="2"/>
    <x v="2"/>
    <x v="1"/>
    <x v="4"/>
    <x v="2"/>
    <n v="0.12"/>
    <n v="0.13"/>
    <n v="0"/>
    <n v="0.1"/>
  </r>
  <r>
    <x v="11"/>
    <x v="2"/>
    <x v="2"/>
    <x v="1"/>
    <x v="2"/>
    <x v="1"/>
    <n v="0.62"/>
    <n v="0.67"/>
    <n v="0"/>
    <n v="0.56000000000000005"/>
  </r>
  <r>
    <x v="11"/>
    <x v="2"/>
    <x v="2"/>
    <x v="4"/>
    <x v="4"/>
    <x v="2"/>
    <n v="0.1"/>
    <n v="0.11"/>
    <n v="0.01"/>
    <n v="0.09"/>
  </r>
  <r>
    <x v="11"/>
    <x v="2"/>
    <x v="2"/>
    <x v="4"/>
    <x v="2"/>
    <x v="2"/>
    <n v="0"/>
    <n v="0"/>
    <n v="0"/>
    <n v="0"/>
  </r>
  <r>
    <x v="11"/>
    <x v="2"/>
    <x v="2"/>
    <x v="2"/>
    <x v="3"/>
    <x v="3"/>
    <n v="6.19"/>
    <n v="6.74"/>
    <n v="0"/>
    <n v="5.57"/>
  </r>
  <r>
    <x v="11"/>
    <x v="2"/>
    <x v="2"/>
    <x v="4"/>
    <x v="0"/>
    <x v="1"/>
    <n v="0"/>
    <n v="0"/>
    <n v="0"/>
    <n v="0"/>
  </r>
  <r>
    <x v="11"/>
    <x v="2"/>
    <x v="2"/>
    <x v="4"/>
    <x v="4"/>
    <x v="1"/>
    <n v="0.05"/>
    <n v="0.05"/>
    <n v="0"/>
    <n v="0.04"/>
  </r>
  <r>
    <x v="11"/>
    <x v="2"/>
    <x v="2"/>
    <x v="0"/>
    <x v="0"/>
    <x v="1"/>
    <n v="0.21"/>
    <n v="0.23"/>
    <n v="0.01"/>
    <n v="0.19"/>
  </r>
  <r>
    <x v="11"/>
    <x v="2"/>
    <x v="2"/>
    <x v="0"/>
    <x v="4"/>
    <x v="1"/>
    <n v="0.01"/>
    <n v="0.01"/>
    <n v="0"/>
    <n v="0.01"/>
  </r>
  <r>
    <x v="11"/>
    <x v="2"/>
    <x v="2"/>
    <x v="1"/>
    <x v="1"/>
    <x v="0"/>
    <n v="11.32"/>
    <n v="12.33"/>
    <n v="0.61"/>
    <n v="10.19"/>
  </r>
  <r>
    <x v="11"/>
    <x v="2"/>
    <x v="2"/>
    <x v="1"/>
    <x v="0"/>
    <x v="1"/>
    <n v="0.34"/>
    <n v="0.38"/>
    <n v="0.02"/>
    <n v="0.31"/>
  </r>
  <r>
    <x v="11"/>
    <x v="2"/>
    <x v="2"/>
    <x v="4"/>
    <x v="1"/>
    <x v="2"/>
    <n v="0.03"/>
    <n v="0.03"/>
    <n v="0"/>
    <n v="0.03"/>
  </r>
  <r>
    <x v="11"/>
    <x v="2"/>
    <x v="3"/>
    <x v="4"/>
    <x v="4"/>
    <x v="2"/>
    <n v="0.76"/>
    <n v="0.82"/>
    <n v="0.01"/>
    <n v="0.68"/>
  </r>
  <r>
    <x v="11"/>
    <x v="2"/>
    <x v="3"/>
    <x v="2"/>
    <x v="3"/>
    <x v="3"/>
    <n v="18.88"/>
    <n v="20.56"/>
    <n v="0.01"/>
    <n v="16.989999999999998"/>
  </r>
  <r>
    <x v="11"/>
    <x v="2"/>
    <x v="3"/>
    <x v="1"/>
    <x v="0"/>
    <x v="1"/>
    <n v="0.43"/>
    <n v="0.47"/>
    <n v="0.02"/>
    <n v="0.39"/>
  </r>
  <r>
    <x v="11"/>
    <x v="2"/>
    <x v="3"/>
    <x v="0"/>
    <x v="4"/>
    <x v="1"/>
    <n v="0.04"/>
    <n v="0.05"/>
    <n v="0"/>
    <n v="0.04"/>
  </r>
  <r>
    <x v="11"/>
    <x v="2"/>
    <x v="3"/>
    <x v="0"/>
    <x v="0"/>
    <x v="1"/>
    <n v="0.33"/>
    <n v="0.36"/>
    <n v="0.01"/>
    <n v="0.3"/>
  </r>
  <r>
    <x v="11"/>
    <x v="2"/>
    <x v="3"/>
    <x v="4"/>
    <x v="4"/>
    <x v="1"/>
    <n v="7.0000000000000007E-2"/>
    <n v="0.08"/>
    <n v="0"/>
    <n v="7.0000000000000007E-2"/>
  </r>
  <r>
    <x v="11"/>
    <x v="2"/>
    <x v="3"/>
    <x v="4"/>
    <x v="0"/>
    <x v="1"/>
    <n v="0.01"/>
    <n v="0.01"/>
    <n v="0"/>
    <n v="0.01"/>
  </r>
  <r>
    <x v="11"/>
    <x v="2"/>
    <x v="3"/>
    <x v="2"/>
    <x v="2"/>
    <x v="3"/>
    <n v="0"/>
    <n v="0"/>
    <n v="0"/>
    <n v="0"/>
  </r>
  <r>
    <x v="11"/>
    <x v="2"/>
    <x v="3"/>
    <x v="2"/>
    <x v="3"/>
    <x v="2"/>
    <n v="0.72"/>
    <n v="0.78"/>
    <n v="0"/>
    <n v="0.65"/>
  </r>
  <r>
    <x v="11"/>
    <x v="2"/>
    <x v="3"/>
    <x v="1"/>
    <x v="1"/>
    <x v="2"/>
    <n v="0.01"/>
    <n v="0.01"/>
    <n v="0"/>
    <n v="0.01"/>
  </r>
  <r>
    <x v="11"/>
    <x v="2"/>
    <x v="3"/>
    <x v="1"/>
    <x v="4"/>
    <x v="2"/>
    <n v="0.14000000000000001"/>
    <n v="0.15"/>
    <n v="0.01"/>
    <n v="0.13"/>
  </r>
  <r>
    <x v="11"/>
    <x v="2"/>
    <x v="3"/>
    <x v="1"/>
    <x v="4"/>
    <x v="1"/>
    <n v="0.05"/>
    <n v="0.06"/>
    <n v="0"/>
    <n v="0.05"/>
  </r>
  <r>
    <x v="11"/>
    <x v="2"/>
    <x v="3"/>
    <x v="4"/>
    <x v="1"/>
    <x v="2"/>
    <n v="0.19"/>
    <n v="0.2"/>
    <n v="0"/>
    <n v="0.17"/>
  </r>
  <r>
    <x v="11"/>
    <x v="2"/>
    <x v="3"/>
    <x v="4"/>
    <x v="4"/>
    <x v="0"/>
    <n v="39.26"/>
    <n v="42.74"/>
    <n v="3.89"/>
    <n v="35.33"/>
  </r>
  <r>
    <x v="11"/>
    <x v="2"/>
    <x v="3"/>
    <x v="4"/>
    <x v="2"/>
    <x v="2"/>
    <n v="0.13"/>
    <n v="0.14000000000000001"/>
    <n v="0"/>
    <n v="0.12"/>
  </r>
  <r>
    <x v="11"/>
    <x v="2"/>
    <x v="3"/>
    <x v="1"/>
    <x v="4"/>
    <x v="0"/>
    <n v="102.49"/>
    <n v="111.57"/>
    <n v="14.37"/>
    <n v="92.25"/>
  </r>
  <r>
    <x v="11"/>
    <x v="2"/>
    <x v="3"/>
    <x v="2"/>
    <x v="3"/>
    <x v="0"/>
    <n v="7.02"/>
    <n v="7.64"/>
    <n v="0.06"/>
    <n v="6.31"/>
  </r>
  <r>
    <x v="11"/>
    <x v="2"/>
    <x v="3"/>
    <x v="2"/>
    <x v="4"/>
    <x v="0"/>
    <n v="4.58"/>
    <n v="4.9800000000000004"/>
    <n v="0.44"/>
    <n v="4.12"/>
  </r>
  <r>
    <x v="11"/>
    <x v="2"/>
    <x v="3"/>
    <x v="2"/>
    <x v="0"/>
    <x v="0"/>
    <n v="5.22"/>
    <n v="5.68"/>
    <n v="2.02"/>
    <n v="4.6900000000000004"/>
  </r>
  <r>
    <x v="11"/>
    <x v="2"/>
    <x v="3"/>
    <x v="3"/>
    <x v="0"/>
    <x v="0"/>
    <n v="2.4700000000000002"/>
    <n v="2.69"/>
    <n v="0.47"/>
    <n v="2.23"/>
  </r>
  <r>
    <x v="11"/>
    <x v="2"/>
    <x v="3"/>
    <x v="1"/>
    <x v="1"/>
    <x v="0"/>
    <n v="13.59"/>
    <n v="14.8"/>
    <n v="0.61"/>
    <n v="12.23"/>
  </r>
  <r>
    <x v="11"/>
    <x v="2"/>
    <x v="3"/>
    <x v="1"/>
    <x v="1"/>
    <x v="1"/>
    <n v="0.88"/>
    <n v="0.96"/>
    <n v="0.01"/>
    <n v="0.79"/>
  </r>
  <r>
    <x v="11"/>
    <x v="2"/>
    <x v="3"/>
    <x v="1"/>
    <x v="0"/>
    <x v="0"/>
    <n v="7.97"/>
    <n v="8.68"/>
    <n v="3.06"/>
    <n v="7.18"/>
  </r>
  <r>
    <x v="11"/>
    <x v="2"/>
    <x v="3"/>
    <x v="0"/>
    <x v="4"/>
    <x v="0"/>
    <n v="10.1"/>
    <n v="10.99"/>
    <n v="2.0699999999999998"/>
    <n v="9.09"/>
  </r>
  <r>
    <x v="11"/>
    <x v="2"/>
    <x v="3"/>
    <x v="0"/>
    <x v="0"/>
    <x v="0"/>
    <n v="3.28"/>
    <n v="3.57"/>
    <n v="1.37"/>
    <n v="2.95"/>
  </r>
  <r>
    <x v="11"/>
    <x v="2"/>
    <x v="3"/>
    <x v="4"/>
    <x v="1"/>
    <x v="0"/>
    <n v="4.05"/>
    <n v="4.41"/>
    <n v="0.22"/>
    <n v="3.64"/>
  </r>
  <r>
    <x v="11"/>
    <x v="2"/>
    <x v="3"/>
    <x v="3"/>
    <x v="4"/>
    <x v="0"/>
    <n v="5.48"/>
    <n v="5.96"/>
    <n v="1.19"/>
    <n v="4.93"/>
  </r>
  <r>
    <x v="11"/>
    <x v="2"/>
    <x v="3"/>
    <x v="2"/>
    <x v="3"/>
    <x v="1"/>
    <n v="0.01"/>
    <n v="0.01"/>
    <n v="0"/>
    <n v="0.01"/>
  </r>
  <r>
    <x v="11"/>
    <x v="2"/>
    <x v="3"/>
    <x v="1"/>
    <x v="2"/>
    <x v="1"/>
    <n v="0.72"/>
    <n v="0.78"/>
    <n v="0"/>
    <n v="0.65"/>
  </r>
  <r>
    <x v="11"/>
    <x v="2"/>
    <x v="3"/>
    <x v="1"/>
    <x v="2"/>
    <x v="0"/>
    <n v="6.8"/>
    <n v="7.4"/>
    <n v="0.02"/>
    <n v="6.12"/>
  </r>
  <r>
    <x v="11"/>
    <x v="0"/>
    <x v="4"/>
    <x v="0"/>
    <x v="0"/>
    <x v="1"/>
    <n v="4.95"/>
    <n v="7.36"/>
    <n v="0.12"/>
    <n v="4.45"/>
  </r>
  <r>
    <x v="11"/>
    <x v="0"/>
    <x v="4"/>
    <x v="1"/>
    <x v="2"/>
    <x v="0"/>
    <n v="23.73"/>
    <n v="35.32"/>
    <n v="0.46"/>
    <n v="21.35"/>
  </r>
  <r>
    <x v="11"/>
    <x v="0"/>
    <x v="4"/>
    <x v="2"/>
    <x v="0"/>
    <x v="0"/>
    <n v="13.48"/>
    <n v="20.07"/>
    <n v="16.809999999999999"/>
    <n v="12.14"/>
  </r>
  <r>
    <x v="11"/>
    <x v="0"/>
    <x v="4"/>
    <x v="2"/>
    <x v="4"/>
    <x v="0"/>
    <n v="32.71"/>
    <n v="48.69"/>
    <n v="12.46"/>
    <n v="29.44"/>
  </r>
  <r>
    <x v="11"/>
    <x v="0"/>
    <x v="4"/>
    <x v="2"/>
    <x v="3"/>
    <x v="0"/>
    <n v="0.14000000000000001"/>
    <n v="0.21"/>
    <n v="0.01"/>
    <n v="0.13"/>
  </r>
  <r>
    <x v="11"/>
    <x v="0"/>
    <x v="4"/>
    <x v="4"/>
    <x v="0"/>
    <x v="1"/>
    <n v="1.52"/>
    <n v="2.27"/>
    <n v="0.09"/>
    <n v="1.37"/>
  </r>
  <r>
    <x v="11"/>
    <x v="0"/>
    <x v="4"/>
    <x v="1"/>
    <x v="0"/>
    <x v="1"/>
    <n v="0.95"/>
    <n v="1.41"/>
    <n v="0.05"/>
    <n v="0.85"/>
  </r>
  <r>
    <x v="11"/>
    <x v="0"/>
    <x v="4"/>
    <x v="4"/>
    <x v="4"/>
    <x v="2"/>
    <n v="0.04"/>
    <n v="0.05"/>
    <n v="0"/>
    <n v="0.03"/>
  </r>
  <r>
    <x v="11"/>
    <x v="0"/>
    <x v="4"/>
    <x v="4"/>
    <x v="1"/>
    <x v="2"/>
    <n v="0.03"/>
    <n v="0.05"/>
    <n v="0"/>
    <n v="0.03"/>
  </r>
  <r>
    <x v="11"/>
    <x v="0"/>
    <x v="4"/>
    <x v="4"/>
    <x v="2"/>
    <x v="2"/>
    <n v="0.03"/>
    <n v="0.04"/>
    <n v="0"/>
    <n v="0.02"/>
  </r>
  <r>
    <x v="11"/>
    <x v="0"/>
    <x v="4"/>
    <x v="1"/>
    <x v="4"/>
    <x v="2"/>
    <n v="0.04"/>
    <n v="0.06"/>
    <n v="0"/>
    <n v="0.03"/>
  </r>
  <r>
    <x v="11"/>
    <x v="0"/>
    <x v="4"/>
    <x v="1"/>
    <x v="1"/>
    <x v="0"/>
    <n v="52.6"/>
    <n v="78.290000000000006"/>
    <n v="4.5"/>
    <n v="47.34"/>
  </r>
  <r>
    <x v="11"/>
    <x v="0"/>
    <x v="4"/>
    <x v="2"/>
    <x v="3"/>
    <x v="3"/>
    <n v="138.49"/>
    <n v="206.13"/>
    <n v="0.06"/>
    <n v="124.64"/>
  </r>
  <r>
    <x v="11"/>
    <x v="0"/>
    <x v="4"/>
    <x v="4"/>
    <x v="4"/>
    <x v="1"/>
    <n v="0.21"/>
    <n v="0.31"/>
    <n v="0.02"/>
    <n v="0.19"/>
  </r>
  <r>
    <x v="11"/>
    <x v="0"/>
    <x v="4"/>
    <x v="4"/>
    <x v="1"/>
    <x v="1"/>
    <n v="0.11"/>
    <n v="0.17"/>
    <n v="0.01"/>
    <n v="0.1"/>
  </r>
  <r>
    <x v="11"/>
    <x v="0"/>
    <x v="4"/>
    <x v="0"/>
    <x v="4"/>
    <x v="1"/>
    <n v="0.01"/>
    <n v="0.01"/>
    <n v="0"/>
    <n v="0.01"/>
  </r>
  <r>
    <x v="11"/>
    <x v="0"/>
    <x v="4"/>
    <x v="1"/>
    <x v="4"/>
    <x v="1"/>
    <n v="0.31"/>
    <n v="0.46"/>
    <n v="0.01"/>
    <n v="0.28000000000000003"/>
  </r>
  <r>
    <x v="11"/>
    <x v="0"/>
    <x v="4"/>
    <x v="1"/>
    <x v="1"/>
    <x v="1"/>
    <n v="1.93"/>
    <n v="2.87"/>
    <n v="0.06"/>
    <n v="1.73"/>
  </r>
  <r>
    <x v="11"/>
    <x v="0"/>
    <x v="4"/>
    <x v="4"/>
    <x v="1"/>
    <x v="0"/>
    <n v="11.62"/>
    <n v="17.29"/>
    <n v="0.91"/>
    <n v="10.46"/>
  </r>
  <r>
    <x v="11"/>
    <x v="0"/>
    <x v="4"/>
    <x v="2"/>
    <x v="3"/>
    <x v="2"/>
    <n v="0.47"/>
    <n v="0.71"/>
    <n v="0"/>
    <n v="0.43"/>
  </r>
  <r>
    <x v="11"/>
    <x v="0"/>
    <x v="4"/>
    <x v="1"/>
    <x v="4"/>
    <x v="0"/>
    <n v="213.72"/>
    <n v="318.11"/>
    <n v="66.61"/>
    <n v="192.34"/>
  </r>
  <r>
    <x v="11"/>
    <x v="0"/>
    <x v="4"/>
    <x v="1"/>
    <x v="2"/>
    <x v="1"/>
    <n v="20.97"/>
    <n v="31.21"/>
    <n v="0.08"/>
    <n v="18.87"/>
  </r>
  <r>
    <x v="11"/>
    <x v="0"/>
    <x v="4"/>
    <x v="1"/>
    <x v="0"/>
    <x v="0"/>
    <n v="24.12"/>
    <n v="35.9"/>
    <n v="15.79"/>
    <n v="21.7"/>
  </r>
  <r>
    <x v="11"/>
    <x v="0"/>
    <x v="4"/>
    <x v="0"/>
    <x v="0"/>
    <x v="0"/>
    <n v="5.52"/>
    <n v="8.2100000000000009"/>
    <n v="3.4"/>
    <n v="4.97"/>
  </r>
  <r>
    <x v="11"/>
    <x v="0"/>
    <x v="4"/>
    <x v="4"/>
    <x v="4"/>
    <x v="0"/>
    <n v="72.48"/>
    <n v="107.88"/>
    <n v="11.04"/>
    <n v="65.23"/>
  </r>
  <r>
    <x v="11"/>
    <x v="0"/>
    <x v="4"/>
    <x v="4"/>
    <x v="0"/>
    <x v="0"/>
    <n v="0.42"/>
    <n v="0.62"/>
    <n v="7.0000000000000007E-2"/>
    <n v="0.37"/>
  </r>
  <r>
    <x v="11"/>
    <x v="0"/>
    <x v="4"/>
    <x v="3"/>
    <x v="1"/>
    <x v="0"/>
    <n v="0.1"/>
    <n v="0.15"/>
    <n v="0.02"/>
    <n v="0.09"/>
  </r>
  <r>
    <x v="11"/>
    <x v="0"/>
    <x v="4"/>
    <x v="3"/>
    <x v="4"/>
    <x v="0"/>
    <n v="8.91"/>
    <n v="13.27"/>
    <n v="2.21"/>
    <n v="8.02"/>
  </r>
  <r>
    <x v="11"/>
    <x v="0"/>
    <x v="4"/>
    <x v="3"/>
    <x v="0"/>
    <x v="0"/>
    <n v="3.86"/>
    <n v="5.74"/>
    <n v="2.4"/>
    <n v="3.47"/>
  </r>
  <r>
    <x v="11"/>
    <x v="0"/>
    <x v="4"/>
    <x v="2"/>
    <x v="3"/>
    <x v="1"/>
    <n v="4.12"/>
    <n v="6.14"/>
    <n v="0"/>
    <n v="3.71"/>
  </r>
  <r>
    <x v="11"/>
    <x v="0"/>
    <x v="4"/>
    <x v="0"/>
    <x v="4"/>
    <x v="0"/>
    <n v="40.049999999999997"/>
    <n v="59.62"/>
    <n v="7.33"/>
    <n v="36.049999999999997"/>
  </r>
  <r>
    <x v="11"/>
    <x v="3"/>
    <x v="5"/>
    <x v="4"/>
    <x v="1"/>
    <x v="2"/>
    <n v="0.24"/>
    <n v="0.28000000000000003"/>
    <n v="0.01"/>
    <n v="0.21"/>
  </r>
  <r>
    <x v="11"/>
    <x v="3"/>
    <x v="5"/>
    <x v="4"/>
    <x v="0"/>
    <x v="0"/>
    <n v="0.69"/>
    <n v="0.83"/>
    <n v="0.72"/>
    <n v="0.62"/>
  </r>
  <r>
    <x v="11"/>
    <x v="3"/>
    <x v="5"/>
    <x v="0"/>
    <x v="4"/>
    <x v="0"/>
    <n v="37.57"/>
    <n v="45.34"/>
    <n v="23.15"/>
    <n v="33.82"/>
  </r>
  <r>
    <x v="11"/>
    <x v="3"/>
    <x v="5"/>
    <x v="4"/>
    <x v="4"/>
    <x v="0"/>
    <n v="189.86"/>
    <n v="229.08"/>
    <n v="28.16"/>
    <n v="170.87"/>
  </r>
  <r>
    <x v="11"/>
    <x v="3"/>
    <x v="5"/>
    <x v="4"/>
    <x v="1"/>
    <x v="0"/>
    <n v="32.43"/>
    <n v="39.130000000000003"/>
    <n v="0.51"/>
    <n v="29.19"/>
  </r>
  <r>
    <x v="11"/>
    <x v="3"/>
    <x v="5"/>
    <x v="0"/>
    <x v="0"/>
    <x v="0"/>
    <n v="3.89"/>
    <n v="4.7"/>
    <n v="0.63"/>
    <n v="3.5"/>
  </r>
  <r>
    <x v="11"/>
    <x v="3"/>
    <x v="5"/>
    <x v="1"/>
    <x v="0"/>
    <x v="0"/>
    <n v="46.51"/>
    <n v="56.12"/>
    <n v="34.340000000000003"/>
    <n v="41.86"/>
  </r>
  <r>
    <x v="11"/>
    <x v="3"/>
    <x v="5"/>
    <x v="1"/>
    <x v="4"/>
    <x v="0"/>
    <n v="512.51"/>
    <n v="618.39"/>
    <n v="153.19999999999999"/>
    <n v="461.26"/>
  </r>
  <r>
    <x v="11"/>
    <x v="3"/>
    <x v="5"/>
    <x v="2"/>
    <x v="0"/>
    <x v="0"/>
    <n v="27.13"/>
    <n v="32.74"/>
    <n v="21.87"/>
    <n v="24.42"/>
  </r>
  <r>
    <x v="11"/>
    <x v="3"/>
    <x v="5"/>
    <x v="2"/>
    <x v="4"/>
    <x v="0"/>
    <n v="50.25"/>
    <n v="60.63"/>
    <n v="15.92"/>
    <n v="45.22"/>
  </r>
  <r>
    <x v="11"/>
    <x v="3"/>
    <x v="5"/>
    <x v="4"/>
    <x v="2"/>
    <x v="2"/>
    <n v="0.18"/>
    <n v="0.22"/>
    <n v="0"/>
    <n v="0.16"/>
  </r>
  <r>
    <x v="11"/>
    <x v="3"/>
    <x v="5"/>
    <x v="4"/>
    <x v="0"/>
    <x v="1"/>
    <n v="0.78"/>
    <n v="0.94"/>
    <n v="0.05"/>
    <n v="0.7"/>
  </r>
  <r>
    <x v="11"/>
    <x v="3"/>
    <x v="5"/>
    <x v="2"/>
    <x v="3"/>
    <x v="2"/>
    <n v="2.5299999999999998"/>
    <n v="3.05"/>
    <n v="0"/>
    <n v="2.2799999999999998"/>
  </r>
  <r>
    <x v="11"/>
    <x v="3"/>
    <x v="5"/>
    <x v="3"/>
    <x v="4"/>
    <x v="0"/>
    <n v="136.04"/>
    <n v="164.14"/>
    <n v="41.88"/>
    <n v="122.43"/>
  </r>
  <r>
    <x v="11"/>
    <x v="3"/>
    <x v="5"/>
    <x v="3"/>
    <x v="0"/>
    <x v="0"/>
    <n v="58.7"/>
    <n v="70.819999999999993"/>
    <n v="56.09"/>
    <n v="52.83"/>
  </r>
  <r>
    <x v="11"/>
    <x v="3"/>
    <x v="5"/>
    <x v="2"/>
    <x v="3"/>
    <x v="1"/>
    <n v="0.71"/>
    <n v="0.85"/>
    <n v="0"/>
    <n v="0.64"/>
  </r>
  <r>
    <x v="11"/>
    <x v="3"/>
    <x v="5"/>
    <x v="2"/>
    <x v="4"/>
    <x v="1"/>
    <n v="0.08"/>
    <n v="0.09"/>
    <n v="0"/>
    <n v="7.0000000000000007E-2"/>
  </r>
  <r>
    <x v="11"/>
    <x v="3"/>
    <x v="5"/>
    <x v="1"/>
    <x v="2"/>
    <x v="1"/>
    <n v="4.8899999999999997"/>
    <n v="5.9"/>
    <n v="0.03"/>
    <n v="4.4000000000000004"/>
  </r>
  <r>
    <x v="11"/>
    <x v="3"/>
    <x v="5"/>
    <x v="1"/>
    <x v="1"/>
    <x v="1"/>
    <n v="0.93"/>
    <n v="1.1200000000000001"/>
    <n v="0.02"/>
    <n v="0.84"/>
  </r>
  <r>
    <x v="11"/>
    <x v="3"/>
    <x v="5"/>
    <x v="1"/>
    <x v="4"/>
    <x v="1"/>
    <n v="0.54"/>
    <n v="0.65"/>
    <n v="0.05"/>
    <n v="0.49"/>
  </r>
  <r>
    <x v="11"/>
    <x v="3"/>
    <x v="5"/>
    <x v="1"/>
    <x v="0"/>
    <x v="1"/>
    <n v="0.63"/>
    <n v="0.76"/>
    <n v="7.0000000000000007E-2"/>
    <n v="0.56999999999999995"/>
  </r>
  <r>
    <x v="11"/>
    <x v="3"/>
    <x v="5"/>
    <x v="0"/>
    <x v="4"/>
    <x v="1"/>
    <n v="1.77"/>
    <n v="2.14"/>
    <n v="0.16"/>
    <n v="1.59"/>
  </r>
  <r>
    <x v="11"/>
    <x v="3"/>
    <x v="5"/>
    <x v="0"/>
    <x v="0"/>
    <x v="1"/>
    <n v="2.96"/>
    <n v="3.58"/>
    <n v="0.18"/>
    <n v="2.67"/>
  </r>
  <r>
    <x v="11"/>
    <x v="3"/>
    <x v="5"/>
    <x v="4"/>
    <x v="4"/>
    <x v="2"/>
    <n v="0.47"/>
    <n v="0.56000000000000005"/>
    <n v="0.02"/>
    <n v="0.42"/>
  </r>
  <r>
    <x v="11"/>
    <x v="3"/>
    <x v="5"/>
    <x v="4"/>
    <x v="4"/>
    <x v="1"/>
    <n v="0.11"/>
    <n v="0.14000000000000001"/>
    <n v="0.02"/>
    <n v="0.1"/>
  </r>
  <r>
    <x v="11"/>
    <x v="3"/>
    <x v="5"/>
    <x v="2"/>
    <x v="3"/>
    <x v="3"/>
    <n v="61.84"/>
    <n v="74.62"/>
    <n v="0.02"/>
    <n v="55.66"/>
  </r>
  <r>
    <x v="11"/>
    <x v="3"/>
    <x v="5"/>
    <x v="4"/>
    <x v="1"/>
    <x v="1"/>
    <n v="0.12"/>
    <n v="0.14000000000000001"/>
    <n v="0.02"/>
    <n v="0.11"/>
  </r>
  <r>
    <x v="11"/>
    <x v="0"/>
    <x v="6"/>
    <x v="3"/>
    <x v="0"/>
    <x v="0"/>
    <n v="2.52"/>
    <n v="3.07"/>
    <n v="1.37"/>
    <n v="2.2599999999999998"/>
  </r>
  <r>
    <x v="11"/>
    <x v="0"/>
    <x v="6"/>
    <x v="3"/>
    <x v="4"/>
    <x v="0"/>
    <n v="5.3"/>
    <n v="6.47"/>
    <n v="1.33"/>
    <n v="4.7699999999999996"/>
  </r>
  <r>
    <x v="11"/>
    <x v="0"/>
    <x v="6"/>
    <x v="4"/>
    <x v="4"/>
    <x v="2"/>
    <n v="0.11"/>
    <n v="0.14000000000000001"/>
    <n v="0"/>
    <n v="0.1"/>
  </r>
  <r>
    <x v="11"/>
    <x v="0"/>
    <x v="6"/>
    <x v="4"/>
    <x v="1"/>
    <x v="2"/>
    <n v="0.34"/>
    <n v="0.42"/>
    <n v="0.01"/>
    <n v="0.31"/>
  </r>
  <r>
    <x v="11"/>
    <x v="0"/>
    <x v="6"/>
    <x v="4"/>
    <x v="2"/>
    <x v="2"/>
    <n v="0.44"/>
    <n v="0.54"/>
    <n v="0.01"/>
    <n v="0.4"/>
  </r>
  <r>
    <x v="11"/>
    <x v="0"/>
    <x v="6"/>
    <x v="1"/>
    <x v="4"/>
    <x v="2"/>
    <n v="0.09"/>
    <n v="0.11"/>
    <n v="0"/>
    <n v="0.08"/>
  </r>
  <r>
    <x v="11"/>
    <x v="0"/>
    <x v="6"/>
    <x v="2"/>
    <x v="3"/>
    <x v="3"/>
    <n v="2.82"/>
    <n v="3.45"/>
    <n v="0"/>
    <n v="2.54"/>
  </r>
  <r>
    <x v="11"/>
    <x v="0"/>
    <x v="6"/>
    <x v="4"/>
    <x v="0"/>
    <x v="1"/>
    <n v="0.66"/>
    <n v="0.81"/>
    <n v="0.04"/>
    <n v="0.59"/>
  </r>
  <r>
    <x v="11"/>
    <x v="0"/>
    <x v="6"/>
    <x v="4"/>
    <x v="4"/>
    <x v="1"/>
    <n v="0.12"/>
    <n v="0.15"/>
    <n v="0.01"/>
    <n v="0.11"/>
  </r>
  <r>
    <x v="11"/>
    <x v="0"/>
    <x v="6"/>
    <x v="4"/>
    <x v="1"/>
    <x v="1"/>
    <n v="0.03"/>
    <n v="0.04"/>
    <n v="0"/>
    <n v="0.03"/>
  </r>
  <r>
    <x v="11"/>
    <x v="0"/>
    <x v="6"/>
    <x v="0"/>
    <x v="0"/>
    <x v="1"/>
    <n v="1.42"/>
    <n v="1.74"/>
    <n v="0.03"/>
    <n v="1.28"/>
  </r>
  <r>
    <x v="11"/>
    <x v="0"/>
    <x v="6"/>
    <x v="1"/>
    <x v="4"/>
    <x v="1"/>
    <n v="0.47"/>
    <n v="0.57999999999999996"/>
    <n v="0.02"/>
    <n v="0.43"/>
  </r>
  <r>
    <x v="11"/>
    <x v="0"/>
    <x v="6"/>
    <x v="1"/>
    <x v="0"/>
    <x v="1"/>
    <n v="0.16"/>
    <n v="0.19"/>
    <n v="0.01"/>
    <n v="0.14000000000000001"/>
  </r>
  <r>
    <x v="11"/>
    <x v="0"/>
    <x v="6"/>
    <x v="3"/>
    <x v="1"/>
    <x v="0"/>
    <n v="0.03"/>
    <n v="0.03"/>
    <n v="0"/>
    <n v="0.03"/>
  </r>
  <r>
    <x v="11"/>
    <x v="0"/>
    <x v="6"/>
    <x v="1"/>
    <x v="2"/>
    <x v="1"/>
    <n v="12.02"/>
    <n v="14.69"/>
    <n v="0.05"/>
    <n v="10.82"/>
  </r>
  <r>
    <x v="11"/>
    <x v="0"/>
    <x v="6"/>
    <x v="2"/>
    <x v="4"/>
    <x v="0"/>
    <n v="2.77"/>
    <n v="3.38"/>
    <n v="0.42"/>
    <n v="2.4900000000000002"/>
  </r>
  <r>
    <x v="11"/>
    <x v="0"/>
    <x v="6"/>
    <x v="4"/>
    <x v="0"/>
    <x v="0"/>
    <n v="0.11"/>
    <n v="0.14000000000000001"/>
    <n v="0.02"/>
    <n v="0.1"/>
  </r>
  <r>
    <x v="11"/>
    <x v="0"/>
    <x v="6"/>
    <x v="4"/>
    <x v="4"/>
    <x v="0"/>
    <n v="9.48"/>
    <n v="11.58"/>
    <n v="1.61"/>
    <n v="8.5299999999999994"/>
  </r>
  <r>
    <x v="11"/>
    <x v="0"/>
    <x v="6"/>
    <x v="4"/>
    <x v="1"/>
    <x v="0"/>
    <n v="2.74"/>
    <n v="3.35"/>
    <n v="0.17"/>
    <n v="2.46"/>
  </r>
  <r>
    <x v="11"/>
    <x v="0"/>
    <x v="6"/>
    <x v="4"/>
    <x v="3"/>
    <x v="0"/>
    <n v="40.74"/>
    <n v="49.77"/>
    <n v="0.05"/>
    <n v="36.67"/>
  </r>
  <r>
    <x v="11"/>
    <x v="0"/>
    <x v="6"/>
    <x v="0"/>
    <x v="0"/>
    <x v="0"/>
    <n v="1.1100000000000001"/>
    <n v="1.35"/>
    <n v="0.95"/>
    <n v="1"/>
  </r>
  <r>
    <x v="11"/>
    <x v="0"/>
    <x v="6"/>
    <x v="0"/>
    <x v="4"/>
    <x v="0"/>
    <n v="3.56"/>
    <n v="4.3499999999999996"/>
    <n v="0.76"/>
    <n v="3.21"/>
  </r>
  <r>
    <x v="11"/>
    <x v="0"/>
    <x v="6"/>
    <x v="1"/>
    <x v="0"/>
    <x v="0"/>
    <n v="1.97"/>
    <n v="2.41"/>
    <n v="1.07"/>
    <n v="1.77"/>
  </r>
  <r>
    <x v="11"/>
    <x v="0"/>
    <x v="6"/>
    <x v="1"/>
    <x v="4"/>
    <x v="0"/>
    <n v="43.18"/>
    <n v="52.75"/>
    <n v="9.7200000000000006"/>
    <n v="38.86"/>
  </r>
  <r>
    <x v="11"/>
    <x v="0"/>
    <x v="6"/>
    <x v="1"/>
    <x v="1"/>
    <x v="0"/>
    <n v="4.8099999999999996"/>
    <n v="5.88"/>
    <n v="0.56999999999999995"/>
    <n v="4.33"/>
  </r>
  <r>
    <x v="11"/>
    <x v="0"/>
    <x v="6"/>
    <x v="1"/>
    <x v="2"/>
    <x v="0"/>
    <n v="6.82"/>
    <n v="8.33"/>
    <n v="0.09"/>
    <n v="6.14"/>
  </r>
  <r>
    <x v="11"/>
    <x v="0"/>
    <x v="6"/>
    <x v="2"/>
    <x v="0"/>
    <x v="0"/>
    <n v="2.58"/>
    <n v="3.15"/>
    <n v="1.78"/>
    <n v="2.3199999999999998"/>
  </r>
  <r>
    <x v="11"/>
    <x v="0"/>
    <x v="6"/>
    <x v="1"/>
    <x v="1"/>
    <x v="1"/>
    <n v="5.25"/>
    <n v="6.41"/>
    <n v="0.17"/>
    <n v="4.72"/>
  </r>
  <r>
    <x v="11"/>
    <x v="0"/>
    <x v="6"/>
    <x v="0"/>
    <x v="4"/>
    <x v="1"/>
    <n v="0.15"/>
    <n v="0.18"/>
    <n v="0.02"/>
    <n v="0.14000000000000001"/>
  </r>
  <r>
    <x v="11"/>
    <x v="4"/>
    <x v="7"/>
    <x v="0"/>
    <x v="0"/>
    <x v="0"/>
    <n v="83.12"/>
    <n v="86.86"/>
    <n v="52.1"/>
    <n v="74.81"/>
  </r>
  <r>
    <x v="11"/>
    <x v="4"/>
    <x v="7"/>
    <x v="2"/>
    <x v="3"/>
    <x v="1"/>
    <n v="34.4"/>
    <n v="35.950000000000003"/>
    <n v="0.06"/>
    <n v="30.96"/>
  </r>
  <r>
    <x v="11"/>
    <x v="4"/>
    <x v="7"/>
    <x v="3"/>
    <x v="0"/>
    <x v="0"/>
    <n v="132.51"/>
    <n v="138.47999999999999"/>
    <n v="81.06"/>
    <n v="119.26"/>
  </r>
  <r>
    <x v="11"/>
    <x v="4"/>
    <x v="7"/>
    <x v="3"/>
    <x v="4"/>
    <x v="0"/>
    <n v="1999.18"/>
    <n v="2089.2199999999998"/>
    <n v="545.67999999999995"/>
    <n v="1799.27"/>
  </r>
  <r>
    <x v="11"/>
    <x v="4"/>
    <x v="7"/>
    <x v="3"/>
    <x v="1"/>
    <x v="0"/>
    <n v="34.54"/>
    <n v="36.090000000000003"/>
    <n v="4.1500000000000004"/>
    <n v="31.08"/>
  </r>
  <r>
    <x v="11"/>
    <x v="4"/>
    <x v="7"/>
    <x v="4"/>
    <x v="4"/>
    <x v="0"/>
    <n v="705.45"/>
    <n v="737.22"/>
    <n v="193.41"/>
    <n v="634.9"/>
  </r>
  <r>
    <x v="11"/>
    <x v="4"/>
    <x v="7"/>
    <x v="2"/>
    <x v="0"/>
    <x v="0"/>
    <n v="194.19"/>
    <n v="202.93"/>
    <n v="232.45"/>
    <n v="174.77"/>
  </r>
  <r>
    <x v="11"/>
    <x v="4"/>
    <x v="7"/>
    <x v="4"/>
    <x v="3"/>
    <x v="0"/>
    <n v="272.44"/>
    <n v="284.70999999999998"/>
    <n v="3.79"/>
    <n v="245.2"/>
  </r>
  <r>
    <x v="11"/>
    <x v="4"/>
    <x v="7"/>
    <x v="1"/>
    <x v="4"/>
    <x v="1"/>
    <n v="13.73"/>
    <n v="14.34"/>
    <n v="1.05"/>
    <n v="12.35"/>
  </r>
  <r>
    <x v="11"/>
    <x v="4"/>
    <x v="7"/>
    <x v="0"/>
    <x v="4"/>
    <x v="0"/>
    <n v="388.97"/>
    <n v="406.48"/>
    <n v="121.34"/>
    <n v="350.07"/>
  </r>
  <r>
    <x v="11"/>
    <x v="4"/>
    <x v="7"/>
    <x v="0"/>
    <x v="2"/>
    <x v="0"/>
    <n v="10.76"/>
    <n v="11.24"/>
    <n v="0.16"/>
    <n v="9.68"/>
  </r>
  <r>
    <x v="11"/>
    <x v="4"/>
    <x v="7"/>
    <x v="1"/>
    <x v="0"/>
    <x v="0"/>
    <n v="92.15"/>
    <n v="96.3"/>
    <n v="77.77"/>
    <n v="82.94"/>
  </r>
  <r>
    <x v="11"/>
    <x v="4"/>
    <x v="7"/>
    <x v="1"/>
    <x v="4"/>
    <x v="0"/>
    <n v="6652.32"/>
    <n v="6951.93"/>
    <n v="1846.07"/>
    <n v="5987.09"/>
  </r>
  <r>
    <x v="11"/>
    <x v="4"/>
    <x v="7"/>
    <x v="1"/>
    <x v="1"/>
    <x v="0"/>
    <n v="2880.39"/>
    <n v="3010.12"/>
    <n v="306.58"/>
    <n v="2592.35"/>
  </r>
  <r>
    <x v="11"/>
    <x v="4"/>
    <x v="7"/>
    <x v="4"/>
    <x v="1"/>
    <x v="0"/>
    <n v="120.58"/>
    <n v="126.01"/>
    <n v="13.41"/>
    <n v="108.52"/>
  </r>
  <r>
    <x v="11"/>
    <x v="4"/>
    <x v="7"/>
    <x v="4"/>
    <x v="0"/>
    <x v="1"/>
    <n v="0.23"/>
    <n v="0.24"/>
    <n v="0.06"/>
    <n v="0.21"/>
  </r>
  <r>
    <x v="11"/>
    <x v="4"/>
    <x v="7"/>
    <x v="4"/>
    <x v="4"/>
    <x v="2"/>
    <n v="0.52"/>
    <n v="0.54"/>
    <n v="0.16"/>
    <n v="0.46"/>
  </r>
  <r>
    <x v="11"/>
    <x v="4"/>
    <x v="7"/>
    <x v="4"/>
    <x v="1"/>
    <x v="2"/>
    <n v="29.17"/>
    <n v="30.49"/>
    <n v="0.7"/>
    <n v="26.26"/>
  </r>
  <r>
    <x v="11"/>
    <x v="4"/>
    <x v="7"/>
    <x v="4"/>
    <x v="2"/>
    <x v="2"/>
    <n v="14.27"/>
    <n v="14.91"/>
    <n v="0.21"/>
    <n v="12.84"/>
  </r>
  <r>
    <x v="11"/>
    <x v="4"/>
    <x v="7"/>
    <x v="1"/>
    <x v="4"/>
    <x v="2"/>
    <n v="2.61"/>
    <n v="2.73"/>
    <n v="0.18"/>
    <n v="2.35"/>
  </r>
  <r>
    <x v="11"/>
    <x v="4"/>
    <x v="7"/>
    <x v="1"/>
    <x v="1"/>
    <x v="2"/>
    <n v="1.93"/>
    <n v="2.02"/>
    <n v="0.01"/>
    <n v="1.74"/>
  </r>
  <r>
    <x v="11"/>
    <x v="4"/>
    <x v="7"/>
    <x v="1"/>
    <x v="2"/>
    <x v="1"/>
    <n v="281.81"/>
    <n v="294.51"/>
    <n v="0.63"/>
    <n v="253.63"/>
  </r>
  <r>
    <x v="11"/>
    <x v="4"/>
    <x v="7"/>
    <x v="2"/>
    <x v="3"/>
    <x v="3"/>
    <n v="109.91"/>
    <n v="114.86"/>
    <n v="0.09"/>
    <n v="98.92"/>
  </r>
  <r>
    <x v="11"/>
    <x v="4"/>
    <x v="7"/>
    <x v="1"/>
    <x v="1"/>
    <x v="1"/>
    <n v="142.12"/>
    <n v="148.52000000000001"/>
    <n v="0.91"/>
    <n v="127.91"/>
  </r>
  <r>
    <x v="11"/>
    <x v="4"/>
    <x v="7"/>
    <x v="4"/>
    <x v="4"/>
    <x v="1"/>
    <n v="11.52"/>
    <n v="12.04"/>
    <n v="1.3"/>
    <n v="10.37"/>
  </r>
  <r>
    <x v="11"/>
    <x v="4"/>
    <x v="7"/>
    <x v="4"/>
    <x v="1"/>
    <x v="1"/>
    <n v="4.09"/>
    <n v="4.2699999999999996"/>
    <n v="0.11"/>
    <n v="3.68"/>
  </r>
  <r>
    <x v="11"/>
    <x v="4"/>
    <x v="7"/>
    <x v="0"/>
    <x v="0"/>
    <x v="1"/>
    <n v="25.69"/>
    <n v="26.84"/>
    <n v="1.85"/>
    <n v="23.12"/>
  </r>
  <r>
    <x v="11"/>
    <x v="4"/>
    <x v="7"/>
    <x v="0"/>
    <x v="4"/>
    <x v="1"/>
    <n v="118.68"/>
    <n v="124.03"/>
    <n v="1.28"/>
    <n v="106.82"/>
  </r>
  <r>
    <x v="11"/>
    <x v="4"/>
    <x v="7"/>
    <x v="1"/>
    <x v="0"/>
    <x v="1"/>
    <n v="15.34"/>
    <n v="16.03"/>
    <n v="1.54"/>
    <n v="13.8"/>
  </r>
  <r>
    <x v="11"/>
    <x v="4"/>
    <x v="7"/>
    <x v="2"/>
    <x v="4"/>
    <x v="0"/>
    <n v="246.07"/>
    <n v="257.16000000000003"/>
    <n v="74.78"/>
    <n v="221.47"/>
  </r>
  <r>
    <x v="11"/>
    <x v="4"/>
    <x v="7"/>
    <x v="2"/>
    <x v="3"/>
    <x v="2"/>
    <n v="76.58"/>
    <n v="80.02"/>
    <n v="0.12"/>
    <n v="68.92"/>
  </r>
  <r>
    <x v="11"/>
    <x v="4"/>
    <x v="7"/>
    <x v="1"/>
    <x v="2"/>
    <x v="0"/>
    <n v="365.33"/>
    <n v="381.78"/>
    <n v="9.8000000000000007"/>
    <n v="328.79"/>
  </r>
  <r>
    <x v="11"/>
    <x v="0"/>
    <x v="8"/>
    <x v="1"/>
    <x v="2"/>
    <x v="1"/>
    <n v="4.63"/>
    <n v="7.07"/>
    <n v="0.02"/>
    <n v="4.16"/>
  </r>
  <r>
    <x v="11"/>
    <x v="0"/>
    <x v="8"/>
    <x v="2"/>
    <x v="0"/>
    <x v="0"/>
    <n v="2.09"/>
    <n v="3.19"/>
    <n v="1.66"/>
    <n v="1.88"/>
  </r>
  <r>
    <x v="11"/>
    <x v="0"/>
    <x v="8"/>
    <x v="1"/>
    <x v="2"/>
    <x v="0"/>
    <n v="5.31"/>
    <n v="8.1199999999999992"/>
    <n v="0.1"/>
    <n v="4.78"/>
  </r>
  <r>
    <x v="11"/>
    <x v="0"/>
    <x v="8"/>
    <x v="1"/>
    <x v="1"/>
    <x v="0"/>
    <n v="7.83"/>
    <n v="11.97"/>
    <n v="0.59"/>
    <n v="7.05"/>
  </r>
  <r>
    <x v="11"/>
    <x v="0"/>
    <x v="8"/>
    <x v="1"/>
    <x v="4"/>
    <x v="0"/>
    <n v="28.28"/>
    <n v="43.23"/>
    <n v="9.9700000000000006"/>
    <n v="25.45"/>
  </r>
  <r>
    <x v="11"/>
    <x v="0"/>
    <x v="8"/>
    <x v="1"/>
    <x v="0"/>
    <x v="0"/>
    <n v="3.06"/>
    <n v="4.68"/>
    <n v="1.62"/>
    <n v="2.76"/>
  </r>
  <r>
    <x v="11"/>
    <x v="0"/>
    <x v="8"/>
    <x v="0"/>
    <x v="4"/>
    <x v="0"/>
    <n v="4.09"/>
    <n v="6.26"/>
    <n v="1.26"/>
    <n v="3.68"/>
  </r>
  <r>
    <x v="11"/>
    <x v="0"/>
    <x v="8"/>
    <x v="0"/>
    <x v="0"/>
    <x v="0"/>
    <n v="2.1"/>
    <n v="3.22"/>
    <n v="1.96"/>
    <n v="1.89"/>
  </r>
  <r>
    <x v="11"/>
    <x v="0"/>
    <x v="8"/>
    <x v="4"/>
    <x v="1"/>
    <x v="0"/>
    <n v="4.37"/>
    <n v="6.69"/>
    <n v="0.35"/>
    <n v="3.94"/>
  </r>
  <r>
    <x v="11"/>
    <x v="0"/>
    <x v="8"/>
    <x v="4"/>
    <x v="4"/>
    <x v="0"/>
    <n v="7.83"/>
    <n v="11.97"/>
    <n v="2.21"/>
    <n v="7.05"/>
  </r>
  <r>
    <x v="11"/>
    <x v="0"/>
    <x v="8"/>
    <x v="4"/>
    <x v="0"/>
    <x v="0"/>
    <n v="0.17"/>
    <n v="0.25"/>
    <n v="0.03"/>
    <n v="0.15"/>
  </r>
  <r>
    <x v="11"/>
    <x v="0"/>
    <x v="8"/>
    <x v="3"/>
    <x v="1"/>
    <x v="0"/>
    <n v="0.03"/>
    <n v="0.04"/>
    <n v="0"/>
    <n v="0.02"/>
  </r>
  <r>
    <x v="11"/>
    <x v="0"/>
    <x v="8"/>
    <x v="2"/>
    <x v="4"/>
    <x v="0"/>
    <n v="0.81"/>
    <n v="1.24"/>
    <n v="0.26"/>
    <n v="0.73"/>
  </r>
  <r>
    <x v="11"/>
    <x v="0"/>
    <x v="8"/>
    <x v="2"/>
    <x v="3"/>
    <x v="1"/>
    <n v="0"/>
    <n v="0"/>
    <n v="0"/>
    <n v="0"/>
  </r>
  <r>
    <x v="11"/>
    <x v="0"/>
    <x v="8"/>
    <x v="1"/>
    <x v="1"/>
    <x v="1"/>
    <n v="0.94"/>
    <n v="1.44"/>
    <n v="0.03"/>
    <n v="0.85"/>
  </r>
  <r>
    <x v="11"/>
    <x v="0"/>
    <x v="8"/>
    <x v="1"/>
    <x v="4"/>
    <x v="1"/>
    <n v="0.08"/>
    <n v="0.12"/>
    <n v="0"/>
    <n v="7.0000000000000007E-2"/>
  </r>
  <r>
    <x v="11"/>
    <x v="0"/>
    <x v="8"/>
    <x v="1"/>
    <x v="0"/>
    <x v="1"/>
    <n v="0.05"/>
    <n v="0.08"/>
    <n v="0"/>
    <n v="0.05"/>
  </r>
  <r>
    <x v="11"/>
    <x v="0"/>
    <x v="8"/>
    <x v="0"/>
    <x v="4"/>
    <x v="1"/>
    <n v="0.06"/>
    <n v="0.08"/>
    <n v="0.01"/>
    <n v="0.05"/>
  </r>
  <r>
    <x v="11"/>
    <x v="0"/>
    <x v="8"/>
    <x v="0"/>
    <x v="0"/>
    <x v="1"/>
    <n v="0.45"/>
    <n v="0.69"/>
    <n v="0.01"/>
    <n v="0.41"/>
  </r>
  <r>
    <x v="11"/>
    <x v="0"/>
    <x v="8"/>
    <x v="4"/>
    <x v="1"/>
    <x v="1"/>
    <n v="0.02"/>
    <n v="0.03"/>
    <n v="0"/>
    <n v="0.02"/>
  </r>
  <r>
    <x v="11"/>
    <x v="0"/>
    <x v="8"/>
    <x v="4"/>
    <x v="4"/>
    <x v="1"/>
    <n v="0.09"/>
    <n v="0.13"/>
    <n v="0"/>
    <n v="0.08"/>
  </r>
  <r>
    <x v="11"/>
    <x v="0"/>
    <x v="8"/>
    <x v="4"/>
    <x v="0"/>
    <x v="1"/>
    <n v="0.25"/>
    <n v="0.38"/>
    <n v="0.02"/>
    <n v="0.22"/>
  </r>
  <r>
    <x v="11"/>
    <x v="0"/>
    <x v="8"/>
    <x v="2"/>
    <x v="3"/>
    <x v="3"/>
    <n v="1.43"/>
    <n v="2.1800000000000002"/>
    <n v="0"/>
    <n v="1.29"/>
  </r>
  <r>
    <x v="11"/>
    <x v="0"/>
    <x v="8"/>
    <x v="4"/>
    <x v="1"/>
    <x v="2"/>
    <n v="0.56999999999999995"/>
    <n v="0.87"/>
    <n v="0.02"/>
    <n v="0.51"/>
  </r>
  <r>
    <x v="11"/>
    <x v="0"/>
    <x v="8"/>
    <x v="4"/>
    <x v="4"/>
    <x v="2"/>
    <n v="0.08"/>
    <n v="0.13"/>
    <n v="0"/>
    <n v="7.0000000000000007E-2"/>
  </r>
  <r>
    <x v="11"/>
    <x v="0"/>
    <x v="8"/>
    <x v="3"/>
    <x v="4"/>
    <x v="0"/>
    <n v="7.28"/>
    <n v="11.13"/>
    <n v="2.62"/>
    <n v="6.55"/>
  </r>
  <r>
    <x v="11"/>
    <x v="5"/>
    <x v="9"/>
    <x v="2"/>
    <x v="4"/>
    <x v="0"/>
    <n v="2.48"/>
    <n v="2.64"/>
    <n v="0.56000000000000005"/>
    <n v="2.23"/>
  </r>
  <r>
    <x v="11"/>
    <x v="5"/>
    <x v="9"/>
    <x v="4"/>
    <x v="1"/>
    <x v="2"/>
    <n v="0.22"/>
    <n v="0.24"/>
    <n v="0"/>
    <n v="0.2"/>
  </r>
  <r>
    <x v="11"/>
    <x v="5"/>
    <x v="9"/>
    <x v="2"/>
    <x v="3"/>
    <x v="0"/>
    <n v="5.36"/>
    <n v="5.7"/>
    <n v="0.05"/>
    <n v="4.82"/>
  </r>
  <r>
    <x v="11"/>
    <x v="5"/>
    <x v="9"/>
    <x v="2"/>
    <x v="0"/>
    <x v="0"/>
    <n v="1.88"/>
    <n v="2"/>
    <n v="1.75"/>
    <n v="1.69"/>
  </r>
  <r>
    <x v="11"/>
    <x v="5"/>
    <x v="9"/>
    <x v="1"/>
    <x v="1"/>
    <x v="0"/>
    <n v="12.32"/>
    <n v="13.11"/>
    <n v="0.67"/>
    <n v="11.09"/>
  </r>
  <r>
    <x v="11"/>
    <x v="5"/>
    <x v="9"/>
    <x v="1"/>
    <x v="4"/>
    <x v="0"/>
    <n v="73.62"/>
    <n v="78.349999999999994"/>
    <n v="17.16"/>
    <n v="66.260000000000005"/>
  </r>
  <r>
    <x v="11"/>
    <x v="5"/>
    <x v="9"/>
    <x v="1"/>
    <x v="0"/>
    <x v="0"/>
    <n v="4.6100000000000003"/>
    <n v="4.9000000000000004"/>
    <n v="2.69"/>
    <n v="4.1500000000000004"/>
  </r>
  <r>
    <x v="11"/>
    <x v="5"/>
    <x v="9"/>
    <x v="0"/>
    <x v="4"/>
    <x v="0"/>
    <n v="4.51"/>
    <n v="4.8"/>
    <n v="1.37"/>
    <n v="4.0599999999999996"/>
  </r>
  <r>
    <x v="11"/>
    <x v="5"/>
    <x v="9"/>
    <x v="0"/>
    <x v="0"/>
    <x v="0"/>
    <n v="1.24"/>
    <n v="1.32"/>
    <n v="0.84"/>
    <n v="1.1100000000000001"/>
  </r>
  <r>
    <x v="11"/>
    <x v="5"/>
    <x v="9"/>
    <x v="4"/>
    <x v="1"/>
    <x v="0"/>
    <n v="2.4500000000000002"/>
    <n v="2.61"/>
    <n v="0.13"/>
    <n v="2.21"/>
  </r>
  <r>
    <x v="11"/>
    <x v="5"/>
    <x v="9"/>
    <x v="4"/>
    <x v="4"/>
    <x v="0"/>
    <n v="20.63"/>
    <n v="21.95"/>
    <n v="2.78"/>
    <n v="18.559999999999999"/>
  </r>
  <r>
    <x v="11"/>
    <x v="5"/>
    <x v="9"/>
    <x v="3"/>
    <x v="1"/>
    <x v="0"/>
    <n v="0"/>
    <n v="0"/>
    <n v="0"/>
    <n v="0"/>
  </r>
  <r>
    <x v="11"/>
    <x v="5"/>
    <x v="9"/>
    <x v="3"/>
    <x v="4"/>
    <x v="0"/>
    <n v="1.94"/>
    <n v="2.0699999999999998"/>
    <n v="0.73"/>
    <n v="1.75"/>
  </r>
  <r>
    <x v="11"/>
    <x v="5"/>
    <x v="9"/>
    <x v="3"/>
    <x v="0"/>
    <x v="0"/>
    <n v="1.59"/>
    <n v="1.69"/>
    <n v="0.39"/>
    <n v="1.43"/>
  </r>
  <r>
    <x v="11"/>
    <x v="5"/>
    <x v="9"/>
    <x v="2"/>
    <x v="3"/>
    <x v="1"/>
    <n v="0.22"/>
    <n v="0.24"/>
    <n v="0"/>
    <n v="0.2"/>
  </r>
  <r>
    <x v="11"/>
    <x v="5"/>
    <x v="9"/>
    <x v="4"/>
    <x v="0"/>
    <x v="1"/>
    <n v="0.02"/>
    <n v="0.02"/>
    <n v="0"/>
    <n v="0.01"/>
  </r>
  <r>
    <x v="11"/>
    <x v="5"/>
    <x v="9"/>
    <x v="1"/>
    <x v="2"/>
    <x v="1"/>
    <n v="1.4"/>
    <n v="1.49"/>
    <n v="0.01"/>
    <n v="1.26"/>
  </r>
  <r>
    <x v="11"/>
    <x v="5"/>
    <x v="9"/>
    <x v="4"/>
    <x v="4"/>
    <x v="2"/>
    <n v="0.21"/>
    <n v="0.22"/>
    <n v="0"/>
    <n v="0.19"/>
  </r>
  <r>
    <x v="11"/>
    <x v="5"/>
    <x v="9"/>
    <x v="4"/>
    <x v="2"/>
    <x v="2"/>
    <n v="0.19"/>
    <n v="0.2"/>
    <n v="0"/>
    <n v="0.17"/>
  </r>
  <r>
    <x v="11"/>
    <x v="5"/>
    <x v="9"/>
    <x v="2"/>
    <x v="3"/>
    <x v="2"/>
    <n v="0.04"/>
    <n v="0.05"/>
    <n v="0"/>
    <n v="0.04"/>
  </r>
  <r>
    <x v="11"/>
    <x v="5"/>
    <x v="9"/>
    <x v="4"/>
    <x v="4"/>
    <x v="1"/>
    <n v="1.24"/>
    <n v="1.32"/>
    <n v="0.02"/>
    <n v="1.1200000000000001"/>
  </r>
  <r>
    <x v="11"/>
    <x v="5"/>
    <x v="9"/>
    <x v="4"/>
    <x v="1"/>
    <x v="1"/>
    <n v="0.46"/>
    <n v="0.49"/>
    <n v="0"/>
    <n v="0.42"/>
  </r>
  <r>
    <x v="11"/>
    <x v="5"/>
    <x v="9"/>
    <x v="0"/>
    <x v="0"/>
    <x v="1"/>
    <n v="0.67"/>
    <n v="0.72"/>
    <n v="0.01"/>
    <n v="0.6"/>
  </r>
  <r>
    <x v="11"/>
    <x v="5"/>
    <x v="9"/>
    <x v="0"/>
    <x v="4"/>
    <x v="1"/>
    <n v="0.06"/>
    <n v="7.0000000000000007E-2"/>
    <n v="0"/>
    <n v="0.06"/>
  </r>
  <r>
    <x v="11"/>
    <x v="5"/>
    <x v="9"/>
    <x v="1"/>
    <x v="0"/>
    <x v="1"/>
    <n v="0.78"/>
    <n v="0.83"/>
    <n v="0.02"/>
    <n v="0.7"/>
  </r>
  <r>
    <x v="11"/>
    <x v="5"/>
    <x v="9"/>
    <x v="1"/>
    <x v="4"/>
    <x v="1"/>
    <n v="0.14000000000000001"/>
    <n v="0.15"/>
    <n v="0"/>
    <n v="0.13"/>
  </r>
  <r>
    <x v="11"/>
    <x v="5"/>
    <x v="9"/>
    <x v="1"/>
    <x v="1"/>
    <x v="1"/>
    <n v="2.39"/>
    <n v="2.5499999999999998"/>
    <n v="0.02"/>
    <n v="2.15"/>
  </r>
  <r>
    <x v="11"/>
    <x v="5"/>
    <x v="9"/>
    <x v="1"/>
    <x v="4"/>
    <x v="2"/>
    <n v="0"/>
    <n v="0"/>
    <n v="0"/>
    <n v="0"/>
  </r>
  <r>
    <x v="11"/>
    <x v="2"/>
    <x v="10"/>
    <x v="2"/>
    <x v="3"/>
    <x v="0"/>
    <n v="6.03"/>
    <n v="6.55"/>
    <n v="0.05"/>
    <n v="5.43"/>
  </r>
  <r>
    <x v="11"/>
    <x v="2"/>
    <x v="10"/>
    <x v="0"/>
    <x v="0"/>
    <x v="1"/>
    <n v="0.18"/>
    <n v="0.2"/>
    <n v="0"/>
    <n v="0.17"/>
  </r>
  <r>
    <x v="11"/>
    <x v="2"/>
    <x v="10"/>
    <x v="1"/>
    <x v="4"/>
    <x v="1"/>
    <n v="0.03"/>
    <n v="0.03"/>
    <n v="0"/>
    <n v="0.02"/>
  </r>
  <r>
    <x v="11"/>
    <x v="2"/>
    <x v="10"/>
    <x v="1"/>
    <x v="0"/>
    <x v="1"/>
    <n v="0.21"/>
    <n v="0.23"/>
    <n v="0.01"/>
    <n v="0.19"/>
  </r>
  <r>
    <x v="11"/>
    <x v="2"/>
    <x v="10"/>
    <x v="0"/>
    <x v="4"/>
    <x v="1"/>
    <n v="0.03"/>
    <n v="0.03"/>
    <n v="0"/>
    <n v="0.02"/>
  </r>
  <r>
    <x v="11"/>
    <x v="2"/>
    <x v="10"/>
    <x v="4"/>
    <x v="1"/>
    <x v="1"/>
    <n v="0.06"/>
    <n v="7.0000000000000007E-2"/>
    <n v="0"/>
    <n v="0.05"/>
  </r>
  <r>
    <x v="11"/>
    <x v="2"/>
    <x v="10"/>
    <x v="4"/>
    <x v="4"/>
    <x v="1"/>
    <n v="0.04"/>
    <n v="0.04"/>
    <n v="0"/>
    <n v="0.04"/>
  </r>
  <r>
    <x v="11"/>
    <x v="2"/>
    <x v="10"/>
    <x v="4"/>
    <x v="0"/>
    <x v="1"/>
    <n v="0"/>
    <n v="0"/>
    <n v="0"/>
    <n v="0"/>
  </r>
  <r>
    <x v="11"/>
    <x v="2"/>
    <x v="10"/>
    <x v="2"/>
    <x v="3"/>
    <x v="3"/>
    <n v="19.64"/>
    <n v="21.34"/>
    <n v="0.02"/>
    <n v="17.68"/>
  </r>
  <r>
    <x v="11"/>
    <x v="2"/>
    <x v="10"/>
    <x v="1"/>
    <x v="1"/>
    <x v="1"/>
    <n v="0.31"/>
    <n v="0.34"/>
    <n v="0"/>
    <n v="0.28000000000000003"/>
  </r>
  <r>
    <x v="11"/>
    <x v="2"/>
    <x v="10"/>
    <x v="1"/>
    <x v="4"/>
    <x v="2"/>
    <n v="0.1"/>
    <n v="0.11"/>
    <n v="0"/>
    <n v="0.09"/>
  </r>
  <r>
    <x v="11"/>
    <x v="2"/>
    <x v="10"/>
    <x v="4"/>
    <x v="1"/>
    <x v="0"/>
    <n v="4.8"/>
    <n v="5.22"/>
    <n v="0.24"/>
    <n v="4.32"/>
  </r>
  <r>
    <x v="11"/>
    <x v="2"/>
    <x v="10"/>
    <x v="2"/>
    <x v="3"/>
    <x v="2"/>
    <n v="0.75"/>
    <n v="0.81"/>
    <n v="0"/>
    <n v="0.67"/>
  </r>
  <r>
    <x v="11"/>
    <x v="2"/>
    <x v="10"/>
    <x v="1"/>
    <x v="0"/>
    <x v="0"/>
    <n v="4.71"/>
    <n v="5.12"/>
    <n v="2.36"/>
    <n v="4.24"/>
  </r>
  <r>
    <x v="11"/>
    <x v="2"/>
    <x v="10"/>
    <x v="2"/>
    <x v="0"/>
    <x v="0"/>
    <n v="5.0999999999999996"/>
    <n v="5.54"/>
    <n v="1.48"/>
    <n v="4.59"/>
  </r>
  <r>
    <x v="11"/>
    <x v="2"/>
    <x v="10"/>
    <x v="3"/>
    <x v="4"/>
    <x v="0"/>
    <n v="7.73"/>
    <n v="8.39"/>
    <n v="1.73"/>
    <n v="6.95"/>
  </r>
  <r>
    <x v="11"/>
    <x v="2"/>
    <x v="10"/>
    <x v="1"/>
    <x v="4"/>
    <x v="0"/>
    <n v="74.819999999999993"/>
    <n v="81.27"/>
    <n v="11.6"/>
    <n v="67.34"/>
  </r>
  <r>
    <x v="11"/>
    <x v="2"/>
    <x v="10"/>
    <x v="1"/>
    <x v="2"/>
    <x v="1"/>
    <n v="0.4"/>
    <n v="0.43"/>
    <n v="0"/>
    <n v="0.36"/>
  </r>
  <r>
    <x v="11"/>
    <x v="2"/>
    <x v="10"/>
    <x v="0"/>
    <x v="4"/>
    <x v="0"/>
    <n v="9.76"/>
    <n v="10.6"/>
    <n v="2.15"/>
    <n v="8.7799999999999994"/>
  </r>
  <r>
    <x v="11"/>
    <x v="2"/>
    <x v="10"/>
    <x v="0"/>
    <x v="0"/>
    <x v="0"/>
    <n v="3.37"/>
    <n v="3.66"/>
    <n v="1.29"/>
    <n v="3.03"/>
  </r>
  <r>
    <x v="11"/>
    <x v="2"/>
    <x v="10"/>
    <x v="4"/>
    <x v="4"/>
    <x v="0"/>
    <n v="47.16"/>
    <n v="51.22"/>
    <n v="4.4000000000000004"/>
    <n v="42.44"/>
  </r>
  <r>
    <x v="11"/>
    <x v="2"/>
    <x v="10"/>
    <x v="1"/>
    <x v="1"/>
    <x v="0"/>
    <n v="13.1"/>
    <n v="14.23"/>
    <n v="0.65"/>
    <n v="11.79"/>
  </r>
  <r>
    <x v="11"/>
    <x v="2"/>
    <x v="10"/>
    <x v="3"/>
    <x v="0"/>
    <x v="0"/>
    <n v="2.15"/>
    <n v="2.34"/>
    <n v="0.4"/>
    <n v="1.94"/>
  </r>
  <r>
    <x v="11"/>
    <x v="2"/>
    <x v="10"/>
    <x v="2"/>
    <x v="3"/>
    <x v="1"/>
    <n v="0"/>
    <n v="0"/>
    <n v="0"/>
    <n v="0"/>
  </r>
  <r>
    <x v="11"/>
    <x v="2"/>
    <x v="10"/>
    <x v="2"/>
    <x v="4"/>
    <x v="0"/>
    <n v="2.76"/>
    <n v="3"/>
    <n v="0.5"/>
    <n v="2.48"/>
  </r>
  <r>
    <x v="11"/>
    <x v="2"/>
    <x v="11"/>
    <x v="1"/>
    <x v="4"/>
    <x v="2"/>
    <n v="0.64"/>
    <n v="0.7"/>
    <n v="0.01"/>
    <n v="0.57999999999999996"/>
  </r>
  <r>
    <x v="11"/>
    <x v="2"/>
    <x v="11"/>
    <x v="0"/>
    <x v="0"/>
    <x v="0"/>
    <n v="3.71"/>
    <n v="4.04"/>
    <n v="1.69"/>
    <n v="3.34"/>
  </r>
  <r>
    <x v="11"/>
    <x v="2"/>
    <x v="11"/>
    <x v="4"/>
    <x v="4"/>
    <x v="2"/>
    <n v="0.45"/>
    <n v="0.49"/>
    <n v="0.01"/>
    <n v="0.41"/>
  </r>
  <r>
    <x v="11"/>
    <x v="2"/>
    <x v="11"/>
    <x v="4"/>
    <x v="2"/>
    <x v="2"/>
    <n v="7.0000000000000007E-2"/>
    <n v="0.08"/>
    <n v="0"/>
    <n v="7.0000000000000007E-2"/>
  </r>
  <r>
    <x v="11"/>
    <x v="2"/>
    <x v="11"/>
    <x v="4"/>
    <x v="1"/>
    <x v="0"/>
    <n v="7.07"/>
    <n v="7.7"/>
    <n v="0.31"/>
    <n v="6.36"/>
  </r>
  <r>
    <x v="11"/>
    <x v="2"/>
    <x v="11"/>
    <x v="2"/>
    <x v="3"/>
    <x v="0"/>
    <n v="11.31"/>
    <n v="12.31"/>
    <n v="0.09"/>
    <n v="10.18"/>
  </r>
  <r>
    <x v="11"/>
    <x v="2"/>
    <x v="11"/>
    <x v="2"/>
    <x v="4"/>
    <x v="0"/>
    <n v="5.36"/>
    <n v="5.83"/>
    <n v="0.67"/>
    <n v="4.82"/>
  </r>
  <r>
    <x v="11"/>
    <x v="2"/>
    <x v="11"/>
    <x v="2"/>
    <x v="0"/>
    <x v="0"/>
    <n v="7.56"/>
    <n v="8.23"/>
    <n v="1.65"/>
    <n v="6.81"/>
  </r>
  <r>
    <x v="11"/>
    <x v="2"/>
    <x v="11"/>
    <x v="1"/>
    <x v="1"/>
    <x v="0"/>
    <n v="16.559999999999999"/>
    <n v="18.03"/>
    <n v="0.8"/>
    <n v="14.91"/>
  </r>
  <r>
    <x v="11"/>
    <x v="2"/>
    <x v="11"/>
    <x v="1"/>
    <x v="4"/>
    <x v="0"/>
    <n v="111.15"/>
    <n v="121"/>
    <n v="18.079999999999998"/>
    <n v="100.04"/>
  </r>
  <r>
    <x v="11"/>
    <x v="2"/>
    <x v="11"/>
    <x v="1"/>
    <x v="0"/>
    <x v="0"/>
    <n v="5.77"/>
    <n v="6.28"/>
    <n v="2.72"/>
    <n v="5.19"/>
  </r>
  <r>
    <x v="11"/>
    <x v="2"/>
    <x v="11"/>
    <x v="4"/>
    <x v="4"/>
    <x v="0"/>
    <n v="62.68"/>
    <n v="68.239999999999995"/>
    <n v="6.4"/>
    <n v="56.41"/>
  </r>
  <r>
    <x v="11"/>
    <x v="2"/>
    <x v="11"/>
    <x v="0"/>
    <x v="4"/>
    <x v="0"/>
    <n v="13.4"/>
    <n v="14.59"/>
    <n v="3.1"/>
    <n v="12.06"/>
  </r>
  <r>
    <x v="11"/>
    <x v="2"/>
    <x v="11"/>
    <x v="2"/>
    <x v="3"/>
    <x v="3"/>
    <n v="2.7"/>
    <n v="2.94"/>
    <n v="0"/>
    <n v="2.4300000000000002"/>
  </r>
  <r>
    <x v="11"/>
    <x v="2"/>
    <x v="11"/>
    <x v="3"/>
    <x v="4"/>
    <x v="0"/>
    <n v="7.81"/>
    <n v="8.5"/>
    <n v="1.88"/>
    <n v="7.03"/>
  </r>
  <r>
    <x v="11"/>
    <x v="2"/>
    <x v="11"/>
    <x v="4"/>
    <x v="1"/>
    <x v="1"/>
    <n v="0.03"/>
    <n v="0.03"/>
    <n v="0"/>
    <n v="0.03"/>
  </r>
  <r>
    <x v="11"/>
    <x v="2"/>
    <x v="11"/>
    <x v="4"/>
    <x v="4"/>
    <x v="1"/>
    <n v="0.04"/>
    <n v="0.05"/>
    <n v="0"/>
    <n v="0.04"/>
  </r>
  <r>
    <x v="11"/>
    <x v="2"/>
    <x v="11"/>
    <x v="3"/>
    <x v="0"/>
    <x v="0"/>
    <n v="2.08"/>
    <n v="2.27"/>
    <n v="0.4"/>
    <n v="1.87"/>
  </r>
  <r>
    <x v="11"/>
    <x v="2"/>
    <x v="11"/>
    <x v="0"/>
    <x v="0"/>
    <x v="1"/>
    <n v="0.15"/>
    <n v="0.16"/>
    <n v="0"/>
    <n v="0.13"/>
  </r>
  <r>
    <x v="11"/>
    <x v="2"/>
    <x v="11"/>
    <x v="0"/>
    <x v="4"/>
    <x v="1"/>
    <n v="0.02"/>
    <n v="0.02"/>
    <n v="0"/>
    <n v="0.02"/>
  </r>
  <r>
    <x v="11"/>
    <x v="2"/>
    <x v="11"/>
    <x v="1"/>
    <x v="0"/>
    <x v="1"/>
    <n v="0.16"/>
    <n v="0.18"/>
    <n v="0.01"/>
    <n v="0.15"/>
  </r>
  <r>
    <x v="11"/>
    <x v="2"/>
    <x v="11"/>
    <x v="1"/>
    <x v="4"/>
    <x v="1"/>
    <n v="0.05"/>
    <n v="0.05"/>
    <n v="0"/>
    <n v="0.04"/>
  </r>
  <r>
    <x v="11"/>
    <x v="2"/>
    <x v="11"/>
    <x v="1"/>
    <x v="1"/>
    <x v="1"/>
    <n v="0.2"/>
    <n v="0.21"/>
    <n v="0"/>
    <n v="0.18"/>
  </r>
  <r>
    <x v="11"/>
    <x v="2"/>
    <x v="11"/>
    <x v="1"/>
    <x v="2"/>
    <x v="1"/>
    <n v="0.09"/>
    <n v="0.09"/>
    <n v="0"/>
    <n v="0.08"/>
  </r>
  <r>
    <x v="11"/>
    <x v="2"/>
    <x v="11"/>
    <x v="2"/>
    <x v="3"/>
    <x v="1"/>
    <n v="0"/>
    <n v="0"/>
    <n v="0"/>
    <n v="0"/>
  </r>
  <r>
    <x v="11"/>
    <x v="2"/>
    <x v="11"/>
    <x v="4"/>
    <x v="0"/>
    <x v="1"/>
    <n v="0"/>
    <n v="0.01"/>
    <n v="0"/>
    <n v="0"/>
  </r>
  <r>
    <x v="11"/>
    <x v="2"/>
    <x v="12"/>
    <x v="2"/>
    <x v="3"/>
    <x v="2"/>
    <n v="0.46"/>
    <n v="0.5"/>
    <n v="0"/>
    <n v="0.42"/>
  </r>
  <r>
    <x v="11"/>
    <x v="2"/>
    <x v="12"/>
    <x v="4"/>
    <x v="4"/>
    <x v="2"/>
    <n v="0.72"/>
    <n v="0.78"/>
    <n v="0.02"/>
    <n v="0.64"/>
  </r>
  <r>
    <x v="11"/>
    <x v="2"/>
    <x v="12"/>
    <x v="4"/>
    <x v="1"/>
    <x v="2"/>
    <n v="0.17"/>
    <n v="0.18"/>
    <n v="0"/>
    <n v="0.15"/>
  </r>
  <r>
    <x v="11"/>
    <x v="2"/>
    <x v="12"/>
    <x v="4"/>
    <x v="2"/>
    <x v="2"/>
    <n v="0.26"/>
    <n v="0.28999999999999998"/>
    <n v="0"/>
    <n v="0.24"/>
  </r>
  <r>
    <x v="11"/>
    <x v="2"/>
    <x v="12"/>
    <x v="1"/>
    <x v="4"/>
    <x v="2"/>
    <n v="0.16"/>
    <n v="0.18"/>
    <n v="0.01"/>
    <n v="0.15"/>
  </r>
  <r>
    <x v="11"/>
    <x v="2"/>
    <x v="12"/>
    <x v="2"/>
    <x v="0"/>
    <x v="0"/>
    <n v="2.5099999999999998"/>
    <n v="2.73"/>
    <n v="12.95"/>
    <n v="2.2599999999999998"/>
  </r>
  <r>
    <x v="11"/>
    <x v="2"/>
    <x v="12"/>
    <x v="2"/>
    <x v="3"/>
    <x v="3"/>
    <n v="91.72"/>
    <n v="99.85"/>
    <n v="0.05"/>
    <n v="82.55"/>
  </r>
  <r>
    <x v="11"/>
    <x v="2"/>
    <x v="12"/>
    <x v="1"/>
    <x v="4"/>
    <x v="1"/>
    <n v="5.44"/>
    <n v="5.92"/>
    <n v="0.06"/>
    <n v="4.9000000000000004"/>
  </r>
  <r>
    <x v="11"/>
    <x v="2"/>
    <x v="12"/>
    <x v="4"/>
    <x v="1"/>
    <x v="0"/>
    <n v="23.31"/>
    <n v="25.38"/>
    <n v="1.22"/>
    <n v="20.98"/>
  </r>
  <r>
    <x v="11"/>
    <x v="2"/>
    <x v="12"/>
    <x v="4"/>
    <x v="4"/>
    <x v="0"/>
    <n v="192.17"/>
    <n v="209.19"/>
    <n v="18.61"/>
    <n v="172.95"/>
  </r>
  <r>
    <x v="11"/>
    <x v="2"/>
    <x v="12"/>
    <x v="3"/>
    <x v="4"/>
    <x v="0"/>
    <n v="118.38"/>
    <n v="128.87"/>
    <n v="34.979999999999997"/>
    <n v="106.54"/>
  </r>
  <r>
    <x v="11"/>
    <x v="2"/>
    <x v="12"/>
    <x v="2"/>
    <x v="3"/>
    <x v="0"/>
    <n v="3.33"/>
    <n v="3.62"/>
    <n v="0.03"/>
    <n v="2.99"/>
  </r>
  <r>
    <x v="11"/>
    <x v="2"/>
    <x v="12"/>
    <x v="2"/>
    <x v="3"/>
    <x v="1"/>
    <n v="0.03"/>
    <n v="0.04"/>
    <n v="0"/>
    <n v="0.03"/>
  </r>
  <r>
    <x v="11"/>
    <x v="2"/>
    <x v="12"/>
    <x v="0"/>
    <x v="0"/>
    <x v="0"/>
    <n v="14.92"/>
    <n v="16.239999999999998"/>
    <n v="6.43"/>
    <n v="13.43"/>
  </r>
  <r>
    <x v="11"/>
    <x v="2"/>
    <x v="12"/>
    <x v="1"/>
    <x v="1"/>
    <x v="1"/>
    <n v="3.67"/>
    <n v="3.99"/>
    <n v="0.05"/>
    <n v="3.3"/>
  </r>
  <r>
    <x v="11"/>
    <x v="2"/>
    <x v="12"/>
    <x v="3"/>
    <x v="1"/>
    <x v="0"/>
    <n v="2.0499999999999998"/>
    <n v="2.2400000000000002"/>
    <n v="0.17"/>
    <n v="1.85"/>
  </r>
  <r>
    <x v="11"/>
    <x v="2"/>
    <x v="12"/>
    <x v="1"/>
    <x v="0"/>
    <x v="1"/>
    <n v="3.76"/>
    <n v="4.09"/>
    <n v="0.16"/>
    <n v="3.38"/>
  </r>
  <r>
    <x v="11"/>
    <x v="2"/>
    <x v="12"/>
    <x v="0"/>
    <x v="4"/>
    <x v="1"/>
    <n v="0.5"/>
    <n v="0.54"/>
    <n v="0.06"/>
    <n v="0.45"/>
  </r>
  <r>
    <x v="11"/>
    <x v="2"/>
    <x v="12"/>
    <x v="0"/>
    <x v="0"/>
    <x v="1"/>
    <n v="4.1900000000000004"/>
    <n v="4.5599999999999996"/>
    <n v="0.11"/>
    <n v="3.77"/>
  </r>
  <r>
    <x v="11"/>
    <x v="2"/>
    <x v="12"/>
    <x v="4"/>
    <x v="1"/>
    <x v="1"/>
    <n v="0.97"/>
    <n v="1.06"/>
    <n v="0.01"/>
    <n v="0.88"/>
  </r>
  <r>
    <x v="11"/>
    <x v="2"/>
    <x v="12"/>
    <x v="4"/>
    <x v="4"/>
    <x v="1"/>
    <n v="0.73"/>
    <n v="0.8"/>
    <n v="0.01"/>
    <n v="0.66"/>
  </r>
  <r>
    <x v="11"/>
    <x v="2"/>
    <x v="12"/>
    <x v="4"/>
    <x v="0"/>
    <x v="1"/>
    <n v="7.0000000000000007E-2"/>
    <n v="0.08"/>
    <n v="0.01"/>
    <n v="7.0000000000000007E-2"/>
  </r>
  <r>
    <x v="11"/>
    <x v="2"/>
    <x v="12"/>
    <x v="1"/>
    <x v="2"/>
    <x v="1"/>
    <n v="12.89"/>
    <n v="14.03"/>
    <n v="0.06"/>
    <n v="11.6"/>
  </r>
  <r>
    <x v="11"/>
    <x v="2"/>
    <x v="12"/>
    <x v="2"/>
    <x v="4"/>
    <x v="0"/>
    <n v="30.01"/>
    <n v="32.67"/>
    <n v="3.24"/>
    <n v="27.01"/>
  </r>
  <r>
    <x v="11"/>
    <x v="2"/>
    <x v="12"/>
    <x v="1"/>
    <x v="0"/>
    <x v="0"/>
    <n v="39.090000000000003"/>
    <n v="42.56"/>
    <n v="20.39"/>
    <n v="35.18"/>
  </r>
  <r>
    <x v="11"/>
    <x v="2"/>
    <x v="12"/>
    <x v="1"/>
    <x v="4"/>
    <x v="0"/>
    <n v="618.22"/>
    <n v="672.98"/>
    <n v="77.84"/>
    <n v="556.4"/>
  </r>
  <r>
    <x v="11"/>
    <x v="2"/>
    <x v="12"/>
    <x v="1"/>
    <x v="1"/>
    <x v="0"/>
    <n v="66.099999999999994"/>
    <n v="71.95"/>
    <n v="3.08"/>
    <n v="59.49"/>
  </r>
  <r>
    <x v="11"/>
    <x v="2"/>
    <x v="12"/>
    <x v="1"/>
    <x v="2"/>
    <x v="0"/>
    <n v="8.19"/>
    <n v="8.92"/>
    <n v="0.16"/>
    <n v="7.38"/>
  </r>
  <r>
    <x v="11"/>
    <x v="2"/>
    <x v="12"/>
    <x v="3"/>
    <x v="0"/>
    <x v="0"/>
    <n v="28.46"/>
    <n v="30.98"/>
    <n v="10.58"/>
    <n v="25.61"/>
  </r>
  <r>
    <x v="11"/>
    <x v="2"/>
    <x v="12"/>
    <x v="0"/>
    <x v="4"/>
    <x v="0"/>
    <n v="73.7"/>
    <n v="80.23"/>
    <n v="14.6"/>
    <n v="66.33"/>
  </r>
  <r>
    <x v="11"/>
    <x v="2"/>
    <x v="13"/>
    <x v="0"/>
    <x v="0"/>
    <x v="1"/>
    <n v="4.3"/>
    <n v="4.68"/>
    <n v="0.11"/>
    <n v="3.87"/>
  </r>
  <r>
    <x v="11"/>
    <x v="2"/>
    <x v="13"/>
    <x v="0"/>
    <x v="4"/>
    <x v="1"/>
    <n v="0.54"/>
    <n v="0.59"/>
    <n v="0.06"/>
    <n v="0.48"/>
  </r>
  <r>
    <x v="11"/>
    <x v="2"/>
    <x v="13"/>
    <x v="1"/>
    <x v="0"/>
    <x v="1"/>
    <n v="3.18"/>
    <n v="3.46"/>
    <n v="0.17"/>
    <n v="2.86"/>
  </r>
  <r>
    <x v="11"/>
    <x v="2"/>
    <x v="13"/>
    <x v="1"/>
    <x v="4"/>
    <x v="1"/>
    <n v="0.57999999999999996"/>
    <n v="0.63"/>
    <n v="0.03"/>
    <n v="0.52"/>
  </r>
  <r>
    <x v="11"/>
    <x v="2"/>
    <x v="13"/>
    <x v="4"/>
    <x v="1"/>
    <x v="1"/>
    <n v="1.86"/>
    <n v="2.0299999999999998"/>
    <n v="0.01"/>
    <n v="1.68"/>
  </r>
  <r>
    <x v="11"/>
    <x v="2"/>
    <x v="13"/>
    <x v="1"/>
    <x v="2"/>
    <x v="1"/>
    <n v="7.44"/>
    <n v="8.1"/>
    <n v="0.06"/>
    <n v="6.69"/>
  </r>
  <r>
    <x v="11"/>
    <x v="2"/>
    <x v="13"/>
    <x v="1"/>
    <x v="4"/>
    <x v="2"/>
    <n v="0.81"/>
    <n v="0.89"/>
    <n v="0.05"/>
    <n v="0.73"/>
  </r>
  <r>
    <x v="11"/>
    <x v="2"/>
    <x v="13"/>
    <x v="2"/>
    <x v="3"/>
    <x v="1"/>
    <n v="6.36"/>
    <n v="6.93"/>
    <n v="0.01"/>
    <n v="5.73"/>
  </r>
  <r>
    <x v="11"/>
    <x v="2"/>
    <x v="13"/>
    <x v="3"/>
    <x v="0"/>
    <x v="0"/>
    <n v="0.1"/>
    <n v="0.11"/>
    <n v="2.2999999999999998"/>
    <n v="0.09"/>
  </r>
  <r>
    <x v="11"/>
    <x v="2"/>
    <x v="13"/>
    <x v="1"/>
    <x v="1"/>
    <x v="1"/>
    <n v="4.43"/>
    <n v="4.82"/>
    <n v="0.08"/>
    <n v="3.98"/>
  </r>
  <r>
    <x v="11"/>
    <x v="2"/>
    <x v="13"/>
    <x v="2"/>
    <x v="2"/>
    <x v="3"/>
    <n v="0.02"/>
    <n v="0.02"/>
    <n v="0"/>
    <n v="0.01"/>
  </r>
  <r>
    <x v="11"/>
    <x v="2"/>
    <x v="13"/>
    <x v="2"/>
    <x v="1"/>
    <x v="3"/>
    <n v="27.6"/>
    <n v="30.04"/>
    <n v="0.02"/>
    <n v="24.84"/>
  </r>
  <r>
    <x v="11"/>
    <x v="2"/>
    <x v="13"/>
    <x v="2"/>
    <x v="3"/>
    <x v="2"/>
    <n v="0.61"/>
    <n v="0.66"/>
    <n v="0"/>
    <n v="0.55000000000000004"/>
  </r>
  <r>
    <x v="11"/>
    <x v="2"/>
    <x v="13"/>
    <x v="4"/>
    <x v="2"/>
    <x v="2"/>
    <n v="0.01"/>
    <n v="0.01"/>
    <n v="0"/>
    <n v="0.01"/>
  </r>
  <r>
    <x v="11"/>
    <x v="2"/>
    <x v="13"/>
    <x v="4"/>
    <x v="1"/>
    <x v="2"/>
    <n v="1.21"/>
    <n v="1.31"/>
    <n v="0.01"/>
    <n v="1.08"/>
  </r>
  <r>
    <x v="11"/>
    <x v="2"/>
    <x v="13"/>
    <x v="4"/>
    <x v="4"/>
    <x v="2"/>
    <n v="1.77"/>
    <n v="1.93"/>
    <n v="0.03"/>
    <n v="1.6"/>
  </r>
  <r>
    <x v="11"/>
    <x v="2"/>
    <x v="13"/>
    <x v="3"/>
    <x v="4"/>
    <x v="0"/>
    <n v="231.3"/>
    <n v="251.79"/>
    <n v="72.430000000000007"/>
    <n v="208.17"/>
  </r>
  <r>
    <x v="11"/>
    <x v="2"/>
    <x v="13"/>
    <x v="4"/>
    <x v="4"/>
    <x v="1"/>
    <n v="1.62"/>
    <n v="1.76"/>
    <n v="0.03"/>
    <n v="1.45"/>
  </r>
  <r>
    <x v="11"/>
    <x v="2"/>
    <x v="13"/>
    <x v="4"/>
    <x v="0"/>
    <x v="1"/>
    <n v="0.19"/>
    <n v="0.21"/>
    <n v="0.02"/>
    <n v="0.17"/>
  </r>
  <r>
    <x v="11"/>
    <x v="2"/>
    <x v="13"/>
    <x v="2"/>
    <x v="4"/>
    <x v="3"/>
    <n v="0"/>
    <n v="0"/>
    <n v="0"/>
    <n v="0"/>
  </r>
  <r>
    <x v="11"/>
    <x v="2"/>
    <x v="13"/>
    <x v="1"/>
    <x v="4"/>
    <x v="0"/>
    <n v="886.77"/>
    <n v="965.33"/>
    <n v="136.78"/>
    <n v="798.1"/>
  </r>
  <r>
    <x v="11"/>
    <x v="2"/>
    <x v="13"/>
    <x v="2"/>
    <x v="3"/>
    <x v="3"/>
    <n v="254.46"/>
    <n v="277"/>
    <n v="0.14000000000000001"/>
    <n v="229.01"/>
  </r>
  <r>
    <x v="11"/>
    <x v="2"/>
    <x v="13"/>
    <x v="2"/>
    <x v="2"/>
    <x v="0"/>
    <n v="7.0000000000000007E-2"/>
    <n v="0.08"/>
    <n v="0.01"/>
    <n v="7.0000000000000007E-2"/>
  </r>
  <r>
    <x v="11"/>
    <x v="2"/>
    <x v="13"/>
    <x v="2"/>
    <x v="0"/>
    <x v="0"/>
    <n v="42.75"/>
    <n v="46.53"/>
    <n v="18.309999999999999"/>
    <n v="38.47"/>
  </r>
  <r>
    <x v="11"/>
    <x v="2"/>
    <x v="13"/>
    <x v="2"/>
    <x v="4"/>
    <x v="0"/>
    <n v="61.33"/>
    <n v="66.760000000000005"/>
    <n v="6.2"/>
    <n v="55.19"/>
  </r>
  <r>
    <x v="11"/>
    <x v="2"/>
    <x v="13"/>
    <x v="3"/>
    <x v="1"/>
    <x v="0"/>
    <n v="4.78"/>
    <n v="5.21"/>
    <n v="1.25"/>
    <n v="4.3099999999999996"/>
  </r>
  <r>
    <x v="11"/>
    <x v="2"/>
    <x v="13"/>
    <x v="1"/>
    <x v="1"/>
    <x v="0"/>
    <n v="83.82"/>
    <n v="91.24"/>
    <n v="3.5"/>
    <n v="75.44"/>
  </r>
  <r>
    <x v="11"/>
    <x v="2"/>
    <x v="13"/>
    <x v="2"/>
    <x v="3"/>
    <x v="0"/>
    <n v="5.05"/>
    <n v="5.5"/>
    <n v="0.04"/>
    <n v="4.55"/>
  </r>
  <r>
    <x v="11"/>
    <x v="2"/>
    <x v="13"/>
    <x v="1"/>
    <x v="0"/>
    <x v="0"/>
    <n v="69.489999999999995"/>
    <n v="75.650000000000006"/>
    <n v="29.85"/>
    <n v="62.54"/>
  </r>
  <r>
    <x v="11"/>
    <x v="2"/>
    <x v="13"/>
    <x v="0"/>
    <x v="2"/>
    <x v="0"/>
    <n v="0.28999999999999998"/>
    <n v="0.32"/>
    <n v="0"/>
    <n v="0.27"/>
  </r>
  <r>
    <x v="11"/>
    <x v="2"/>
    <x v="13"/>
    <x v="0"/>
    <x v="4"/>
    <x v="0"/>
    <n v="129.37"/>
    <n v="140.83000000000001"/>
    <n v="29.28"/>
    <n v="116.43"/>
  </r>
  <r>
    <x v="11"/>
    <x v="2"/>
    <x v="13"/>
    <x v="0"/>
    <x v="0"/>
    <x v="0"/>
    <n v="37.65"/>
    <n v="40.98"/>
    <n v="13.11"/>
    <n v="33.880000000000003"/>
  </r>
  <r>
    <x v="11"/>
    <x v="2"/>
    <x v="13"/>
    <x v="4"/>
    <x v="1"/>
    <x v="0"/>
    <n v="43.36"/>
    <n v="47.2"/>
    <n v="1.94"/>
    <n v="39.020000000000003"/>
  </r>
  <r>
    <x v="11"/>
    <x v="2"/>
    <x v="13"/>
    <x v="4"/>
    <x v="4"/>
    <x v="0"/>
    <n v="326.45999999999998"/>
    <n v="355.38"/>
    <n v="31.36"/>
    <n v="293.82"/>
  </r>
  <r>
    <x v="11"/>
    <x v="2"/>
    <x v="13"/>
    <x v="1"/>
    <x v="2"/>
    <x v="0"/>
    <n v="31.56"/>
    <n v="34.36"/>
    <n v="0.41"/>
    <n v="28.41"/>
  </r>
  <r>
    <x v="11"/>
    <x v="2"/>
    <x v="14"/>
    <x v="1"/>
    <x v="1"/>
    <x v="1"/>
    <n v="0.45"/>
    <n v="0.49"/>
    <n v="0"/>
    <n v="0.41"/>
  </r>
  <r>
    <x v="11"/>
    <x v="2"/>
    <x v="14"/>
    <x v="1"/>
    <x v="0"/>
    <x v="1"/>
    <n v="0.03"/>
    <n v="0.04"/>
    <n v="0"/>
    <n v="0.03"/>
  </r>
  <r>
    <x v="11"/>
    <x v="2"/>
    <x v="14"/>
    <x v="0"/>
    <x v="0"/>
    <x v="1"/>
    <n v="0.11"/>
    <n v="0.12"/>
    <n v="0"/>
    <n v="0.1"/>
  </r>
  <r>
    <x v="11"/>
    <x v="2"/>
    <x v="14"/>
    <x v="2"/>
    <x v="3"/>
    <x v="3"/>
    <n v="0.62"/>
    <n v="0.68"/>
    <n v="0"/>
    <n v="0.56000000000000005"/>
  </r>
  <r>
    <x v="11"/>
    <x v="2"/>
    <x v="14"/>
    <x v="2"/>
    <x v="3"/>
    <x v="2"/>
    <n v="0.39"/>
    <n v="0.42"/>
    <n v="0"/>
    <n v="0.35"/>
  </r>
  <r>
    <x v="11"/>
    <x v="2"/>
    <x v="14"/>
    <x v="4"/>
    <x v="4"/>
    <x v="2"/>
    <n v="0.02"/>
    <n v="0.02"/>
    <n v="0"/>
    <n v="0.02"/>
  </r>
  <r>
    <x v="11"/>
    <x v="2"/>
    <x v="14"/>
    <x v="0"/>
    <x v="0"/>
    <x v="0"/>
    <n v="0.94"/>
    <n v="1.03"/>
    <n v="0.42"/>
    <n v="0.85"/>
  </r>
  <r>
    <x v="11"/>
    <x v="2"/>
    <x v="14"/>
    <x v="1"/>
    <x v="4"/>
    <x v="2"/>
    <n v="0.53"/>
    <n v="0.56999999999999995"/>
    <n v="0.01"/>
    <n v="0.47"/>
  </r>
  <r>
    <x v="11"/>
    <x v="2"/>
    <x v="14"/>
    <x v="1"/>
    <x v="2"/>
    <x v="1"/>
    <n v="0.19"/>
    <n v="0.2"/>
    <n v="0"/>
    <n v="0.17"/>
  </r>
  <r>
    <x v="11"/>
    <x v="2"/>
    <x v="14"/>
    <x v="2"/>
    <x v="3"/>
    <x v="1"/>
    <n v="0"/>
    <n v="0"/>
    <n v="0"/>
    <n v="0"/>
  </r>
  <r>
    <x v="11"/>
    <x v="2"/>
    <x v="14"/>
    <x v="3"/>
    <x v="0"/>
    <x v="0"/>
    <n v="1.47"/>
    <n v="1.61"/>
    <n v="0.27"/>
    <n v="1.33"/>
  </r>
  <r>
    <x v="11"/>
    <x v="2"/>
    <x v="14"/>
    <x v="3"/>
    <x v="4"/>
    <x v="0"/>
    <n v="1.71"/>
    <n v="1.86"/>
    <n v="0.53"/>
    <n v="1.54"/>
  </r>
  <r>
    <x v="11"/>
    <x v="2"/>
    <x v="14"/>
    <x v="4"/>
    <x v="1"/>
    <x v="0"/>
    <n v="1.38"/>
    <n v="1.51"/>
    <n v="0.08"/>
    <n v="1.25"/>
  </r>
  <r>
    <x v="11"/>
    <x v="2"/>
    <x v="14"/>
    <x v="0"/>
    <x v="4"/>
    <x v="1"/>
    <n v="0.02"/>
    <n v="0.02"/>
    <n v="0"/>
    <n v="0.01"/>
  </r>
  <r>
    <x v="11"/>
    <x v="2"/>
    <x v="14"/>
    <x v="0"/>
    <x v="4"/>
    <x v="0"/>
    <n v="6.29"/>
    <n v="6.84"/>
    <n v="1.34"/>
    <n v="5.66"/>
  </r>
  <r>
    <x v="11"/>
    <x v="2"/>
    <x v="14"/>
    <x v="1"/>
    <x v="0"/>
    <x v="0"/>
    <n v="2.95"/>
    <n v="3.21"/>
    <n v="1.57"/>
    <n v="2.65"/>
  </r>
  <r>
    <x v="11"/>
    <x v="2"/>
    <x v="14"/>
    <x v="1"/>
    <x v="4"/>
    <x v="0"/>
    <n v="33.49"/>
    <n v="36.46"/>
    <n v="5.92"/>
    <n v="30.14"/>
  </r>
  <r>
    <x v="11"/>
    <x v="2"/>
    <x v="14"/>
    <x v="1"/>
    <x v="1"/>
    <x v="0"/>
    <n v="3.77"/>
    <n v="4.1100000000000003"/>
    <n v="0.3"/>
    <n v="3.39"/>
  </r>
  <r>
    <x v="11"/>
    <x v="2"/>
    <x v="14"/>
    <x v="2"/>
    <x v="0"/>
    <x v="0"/>
    <n v="1.83"/>
    <n v="2"/>
    <n v="0.83"/>
    <n v="1.65"/>
  </r>
  <r>
    <x v="11"/>
    <x v="2"/>
    <x v="14"/>
    <x v="2"/>
    <x v="4"/>
    <x v="0"/>
    <n v="5.03"/>
    <n v="5.48"/>
    <n v="0.65"/>
    <n v="4.53"/>
  </r>
  <r>
    <x v="11"/>
    <x v="2"/>
    <x v="14"/>
    <x v="2"/>
    <x v="3"/>
    <x v="0"/>
    <n v="26.39"/>
    <n v="28.73"/>
    <n v="0.21"/>
    <n v="23.76"/>
  </r>
  <r>
    <x v="11"/>
    <x v="2"/>
    <x v="14"/>
    <x v="4"/>
    <x v="4"/>
    <x v="0"/>
    <n v="4.5199999999999996"/>
    <n v="4.92"/>
    <n v="0.52"/>
    <n v="4.07"/>
  </r>
  <r>
    <x v="11"/>
    <x v="2"/>
    <x v="14"/>
    <x v="1"/>
    <x v="4"/>
    <x v="1"/>
    <n v="7.0000000000000007E-2"/>
    <n v="0.08"/>
    <n v="0"/>
    <n v="0.06"/>
  </r>
  <r>
    <x v="11"/>
    <x v="4"/>
    <x v="15"/>
    <x v="4"/>
    <x v="1"/>
    <x v="1"/>
    <n v="0.06"/>
    <n v="0.06"/>
    <n v="0.01"/>
    <n v="0.06"/>
  </r>
  <r>
    <x v="11"/>
    <x v="4"/>
    <x v="15"/>
    <x v="4"/>
    <x v="1"/>
    <x v="0"/>
    <n v="13.63"/>
    <n v="13.74"/>
    <n v="0.88"/>
    <n v="12.27"/>
  </r>
  <r>
    <x v="11"/>
    <x v="4"/>
    <x v="15"/>
    <x v="3"/>
    <x v="1"/>
    <x v="0"/>
    <n v="0.34"/>
    <n v="0.35"/>
    <n v="0.04"/>
    <n v="0.31"/>
  </r>
  <r>
    <x v="11"/>
    <x v="4"/>
    <x v="15"/>
    <x v="3"/>
    <x v="4"/>
    <x v="0"/>
    <n v="12.77"/>
    <n v="12.87"/>
    <n v="2.19"/>
    <n v="11.49"/>
  </r>
  <r>
    <x v="11"/>
    <x v="4"/>
    <x v="15"/>
    <x v="3"/>
    <x v="0"/>
    <x v="0"/>
    <n v="0.3"/>
    <n v="0.3"/>
    <n v="0.11"/>
    <n v="0.27"/>
  </r>
  <r>
    <x v="11"/>
    <x v="4"/>
    <x v="15"/>
    <x v="2"/>
    <x v="3"/>
    <x v="1"/>
    <n v="0.09"/>
    <n v="0.09"/>
    <n v="0"/>
    <n v="0.08"/>
  </r>
  <r>
    <x v="11"/>
    <x v="4"/>
    <x v="15"/>
    <x v="1"/>
    <x v="2"/>
    <x v="1"/>
    <n v="5.99"/>
    <n v="6.04"/>
    <n v="0.11"/>
    <n v="5.39"/>
  </r>
  <r>
    <x v="11"/>
    <x v="4"/>
    <x v="15"/>
    <x v="1"/>
    <x v="1"/>
    <x v="1"/>
    <n v="1.64"/>
    <n v="1.66"/>
    <n v="7.0000000000000007E-2"/>
    <n v="1.48"/>
  </r>
  <r>
    <x v="11"/>
    <x v="4"/>
    <x v="15"/>
    <x v="1"/>
    <x v="4"/>
    <x v="1"/>
    <n v="0.13"/>
    <n v="0.13"/>
    <n v="0.06"/>
    <n v="0.11"/>
  </r>
  <r>
    <x v="11"/>
    <x v="4"/>
    <x v="15"/>
    <x v="0"/>
    <x v="4"/>
    <x v="0"/>
    <n v="3.5"/>
    <n v="3.52"/>
    <n v="0.67"/>
    <n v="3.15"/>
  </r>
  <r>
    <x v="11"/>
    <x v="4"/>
    <x v="15"/>
    <x v="0"/>
    <x v="4"/>
    <x v="1"/>
    <n v="0.27"/>
    <n v="0.27"/>
    <n v="0.13"/>
    <n v="0.24"/>
  </r>
  <r>
    <x v="11"/>
    <x v="4"/>
    <x v="15"/>
    <x v="0"/>
    <x v="0"/>
    <x v="0"/>
    <n v="1.65"/>
    <n v="1.66"/>
    <n v="0.93"/>
    <n v="1.48"/>
  </r>
  <r>
    <x v="11"/>
    <x v="4"/>
    <x v="15"/>
    <x v="4"/>
    <x v="4"/>
    <x v="1"/>
    <n v="0.03"/>
    <n v="0.03"/>
    <n v="0.03"/>
    <n v="0.02"/>
  </r>
  <r>
    <x v="11"/>
    <x v="4"/>
    <x v="15"/>
    <x v="4"/>
    <x v="0"/>
    <x v="1"/>
    <n v="0.03"/>
    <n v="0.03"/>
    <n v="0.05"/>
    <n v="0.03"/>
  </r>
  <r>
    <x v="11"/>
    <x v="4"/>
    <x v="15"/>
    <x v="2"/>
    <x v="3"/>
    <x v="3"/>
    <n v="8.6999999999999993"/>
    <n v="8.77"/>
    <n v="0.01"/>
    <n v="7.83"/>
  </r>
  <r>
    <x v="11"/>
    <x v="4"/>
    <x v="15"/>
    <x v="1"/>
    <x v="1"/>
    <x v="2"/>
    <n v="0.43"/>
    <n v="0.44"/>
    <n v="0.04"/>
    <n v="0.39"/>
  </r>
  <r>
    <x v="11"/>
    <x v="4"/>
    <x v="15"/>
    <x v="1"/>
    <x v="4"/>
    <x v="2"/>
    <n v="0.03"/>
    <n v="0.04"/>
    <n v="0.02"/>
    <n v="0.03"/>
  </r>
  <r>
    <x v="11"/>
    <x v="4"/>
    <x v="15"/>
    <x v="4"/>
    <x v="2"/>
    <x v="2"/>
    <n v="0.02"/>
    <n v="0.02"/>
    <n v="0"/>
    <n v="0.01"/>
  </r>
  <r>
    <x v="11"/>
    <x v="4"/>
    <x v="15"/>
    <x v="4"/>
    <x v="1"/>
    <x v="2"/>
    <n v="0.11"/>
    <n v="0.11"/>
    <n v="0.01"/>
    <n v="0.1"/>
  </r>
  <r>
    <x v="11"/>
    <x v="4"/>
    <x v="15"/>
    <x v="4"/>
    <x v="4"/>
    <x v="2"/>
    <n v="0.04"/>
    <n v="0.04"/>
    <n v="0.02"/>
    <n v="0.04"/>
  </r>
  <r>
    <x v="11"/>
    <x v="4"/>
    <x v="15"/>
    <x v="1"/>
    <x v="0"/>
    <x v="1"/>
    <n v="0.13"/>
    <n v="0.13"/>
    <n v="0.1"/>
    <n v="0.11"/>
  </r>
  <r>
    <x v="11"/>
    <x v="4"/>
    <x v="15"/>
    <x v="2"/>
    <x v="4"/>
    <x v="0"/>
    <n v="5.42"/>
    <n v="5.47"/>
    <n v="1.8"/>
    <n v="4.88"/>
  </r>
  <r>
    <x v="11"/>
    <x v="4"/>
    <x v="15"/>
    <x v="4"/>
    <x v="4"/>
    <x v="0"/>
    <n v="23.09"/>
    <n v="23.28"/>
    <n v="3.85"/>
    <n v="20.79"/>
  </r>
  <r>
    <x v="11"/>
    <x v="4"/>
    <x v="15"/>
    <x v="1"/>
    <x v="4"/>
    <x v="0"/>
    <n v="152.09"/>
    <n v="153.33000000000001"/>
    <n v="34.99"/>
    <n v="136.88"/>
  </r>
  <r>
    <x v="11"/>
    <x v="4"/>
    <x v="15"/>
    <x v="1"/>
    <x v="1"/>
    <x v="0"/>
    <n v="26.64"/>
    <n v="26.86"/>
    <n v="2.25"/>
    <n v="23.98"/>
  </r>
  <r>
    <x v="11"/>
    <x v="4"/>
    <x v="15"/>
    <x v="1"/>
    <x v="2"/>
    <x v="0"/>
    <n v="6.02"/>
    <n v="6.07"/>
    <n v="7.0000000000000007E-2"/>
    <n v="5.42"/>
  </r>
  <r>
    <x v="11"/>
    <x v="4"/>
    <x v="15"/>
    <x v="2"/>
    <x v="0"/>
    <x v="0"/>
    <n v="4.8499999999999996"/>
    <n v="4.8899999999999997"/>
    <n v="3.31"/>
    <n v="4.37"/>
  </r>
  <r>
    <x v="11"/>
    <x v="4"/>
    <x v="15"/>
    <x v="1"/>
    <x v="0"/>
    <x v="0"/>
    <n v="10.73"/>
    <n v="10.82"/>
    <n v="7.49"/>
    <n v="9.66"/>
  </r>
  <r>
    <x v="11"/>
    <x v="5"/>
    <x v="16"/>
    <x v="1"/>
    <x v="2"/>
    <x v="0"/>
    <n v="0.2"/>
    <n v="0.23"/>
    <n v="0.01"/>
    <n v="0.18"/>
  </r>
  <r>
    <x v="11"/>
    <x v="5"/>
    <x v="16"/>
    <x v="2"/>
    <x v="0"/>
    <x v="0"/>
    <n v="1.55"/>
    <n v="1.75"/>
    <n v="1.21"/>
    <n v="1.39"/>
  </r>
  <r>
    <x v="11"/>
    <x v="5"/>
    <x v="16"/>
    <x v="2"/>
    <x v="4"/>
    <x v="0"/>
    <n v="2.33"/>
    <n v="2.64"/>
    <n v="0.43"/>
    <n v="2.1"/>
  </r>
  <r>
    <x v="11"/>
    <x v="5"/>
    <x v="16"/>
    <x v="1"/>
    <x v="1"/>
    <x v="0"/>
    <n v="7.47"/>
    <n v="8.4499999999999993"/>
    <n v="0.52"/>
    <n v="6.72"/>
  </r>
  <r>
    <x v="11"/>
    <x v="5"/>
    <x v="16"/>
    <x v="3"/>
    <x v="0"/>
    <x v="0"/>
    <n v="1.35"/>
    <n v="1.53"/>
    <n v="0.33"/>
    <n v="1.22"/>
  </r>
  <r>
    <x v="11"/>
    <x v="5"/>
    <x v="16"/>
    <x v="0"/>
    <x v="0"/>
    <x v="0"/>
    <n v="0.87"/>
    <n v="0.98"/>
    <n v="0.53"/>
    <n v="0.78"/>
  </r>
  <r>
    <x v="11"/>
    <x v="5"/>
    <x v="16"/>
    <x v="2"/>
    <x v="3"/>
    <x v="1"/>
    <n v="0.03"/>
    <n v="0.04"/>
    <n v="0"/>
    <n v="0.03"/>
  </r>
  <r>
    <x v="11"/>
    <x v="5"/>
    <x v="16"/>
    <x v="1"/>
    <x v="2"/>
    <x v="1"/>
    <n v="0.13"/>
    <n v="0.15"/>
    <n v="0"/>
    <n v="0.12"/>
  </r>
  <r>
    <x v="11"/>
    <x v="5"/>
    <x v="16"/>
    <x v="2"/>
    <x v="3"/>
    <x v="0"/>
    <n v="0.14000000000000001"/>
    <n v="0.15"/>
    <n v="0.06"/>
    <n v="0.12"/>
  </r>
  <r>
    <x v="11"/>
    <x v="5"/>
    <x v="16"/>
    <x v="1"/>
    <x v="4"/>
    <x v="0"/>
    <n v="48.95"/>
    <n v="55.4"/>
    <n v="12.08"/>
    <n v="44.06"/>
  </r>
  <r>
    <x v="11"/>
    <x v="5"/>
    <x v="16"/>
    <x v="1"/>
    <x v="0"/>
    <x v="0"/>
    <n v="2.35"/>
    <n v="2.66"/>
    <n v="1.61"/>
    <n v="2.11"/>
  </r>
  <r>
    <x v="11"/>
    <x v="5"/>
    <x v="16"/>
    <x v="0"/>
    <x v="4"/>
    <x v="0"/>
    <n v="3.35"/>
    <n v="3.79"/>
    <n v="0.96"/>
    <n v="3.02"/>
  </r>
  <r>
    <x v="11"/>
    <x v="5"/>
    <x v="16"/>
    <x v="4"/>
    <x v="1"/>
    <x v="0"/>
    <n v="1.32"/>
    <n v="1.5"/>
    <n v="7.0000000000000007E-2"/>
    <n v="1.19"/>
  </r>
  <r>
    <x v="11"/>
    <x v="5"/>
    <x v="16"/>
    <x v="4"/>
    <x v="4"/>
    <x v="0"/>
    <n v="10.98"/>
    <n v="12.43"/>
    <n v="1.65"/>
    <n v="9.89"/>
  </r>
  <r>
    <x v="11"/>
    <x v="5"/>
    <x v="16"/>
    <x v="3"/>
    <x v="1"/>
    <x v="0"/>
    <n v="0"/>
    <n v="0"/>
    <n v="0"/>
    <n v="0"/>
  </r>
  <r>
    <x v="11"/>
    <x v="5"/>
    <x v="16"/>
    <x v="3"/>
    <x v="4"/>
    <x v="0"/>
    <n v="1.2"/>
    <n v="1.36"/>
    <n v="0.43"/>
    <n v="1.08"/>
  </r>
  <r>
    <x v="11"/>
    <x v="5"/>
    <x v="16"/>
    <x v="1"/>
    <x v="1"/>
    <x v="1"/>
    <n v="0.27"/>
    <n v="0.3"/>
    <n v="0"/>
    <n v="0.24"/>
  </r>
  <r>
    <x v="11"/>
    <x v="5"/>
    <x v="16"/>
    <x v="4"/>
    <x v="1"/>
    <x v="1"/>
    <n v="0.09"/>
    <n v="0.1"/>
    <n v="0"/>
    <n v="0.08"/>
  </r>
  <r>
    <x v="11"/>
    <x v="5"/>
    <x v="16"/>
    <x v="4"/>
    <x v="0"/>
    <x v="1"/>
    <n v="0"/>
    <n v="0"/>
    <n v="0"/>
    <n v="0"/>
  </r>
  <r>
    <x v="11"/>
    <x v="5"/>
    <x v="16"/>
    <x v="1"/>
    <x v="0"/>
    <x v="1"/>
    <n v="0.14000000000000001"/>
    <n v="0.16"/>
    <n v="0"/>
    <n v="0.13"/>
  </r>
  <r>
    <x v="11"/>
    <x v="5"/>
    <x v="16"/>
    <x v="4"/>
    <x v="4"/>
    <x v="1"/>
    <n v="0.2"/>
    <n v="0.23"/>
    <n v="0"/>
    <n v="0.18"/>
  </r>
  <r>
    <x v="11"/>
    <x v="5"/>
    <x v="16"/>
    <x v="0"/>
    <x v="0"/>
    <x v="1"/>
    <n v="0.11"/>
    <n v="0.12"/>
    <n v="0"/>
    <n v="0.1"/>
  </r>
  <r>
    <x v="11"/>
    <x v="5"/>
    <x v="16"/>
    <x v="1"/>
    <x v="4"/>
    <x v="1"/>
    <n v="0.06"/>
    <n v="0.06"/>
    <n v="0"/>
    <n v="0.05"/>
  </r>
  <r>
    <x v="11"/>
    <x v="5"/>
    <x v="16"/>
    <x v="4"/>
    <x v="4"/>
    <x v="2"/>
    <n v="0.03"/>
    <n v="0.04"/>
    <n v="0"/>
    <n v="0.03"/>
  </r>
  <r>
    <x v="11"/>
    <x v="5"/>
    <x v="16"/>
    <x v="4"/>
    <x v="1"/>
    <x v="2"/>
    <n v="0.26"/>
    <n v="0.3"/>
    <n v="0"/>
    <n v="0.24"/>
  </r>
  <r>
    <x v="11"/>
    <x v="5"/>
    <x v="16"/>
    <x v="2"/>
    <x v="3"/>
    <x v="2"/>
    <n v="0.01"/>
    <n v="0.01"/>
    <n v="0"/>
    <n v="0.01"/>
  </r>
  <r>
    <x v="11"/>
    <x v="5"/>
    <x v="16"/>
    <x v="2"/>
    <x v="3"/>
    <x v="3"/>
    <n v="0.03"/>
    <n v="0.04"/>
    <n v="0"/>
    <n v="0.03"/>
  </r>
  <r>
    <x v="11"/>
    <x v="5"/>
    <x v="16"/>
    <x v="0"/>
    <x v="4"/>
    <x v="1"/>
    <n v="0.01"/>
    <n v="0.01"/>
    <n v="0"/>
    <n v="0.01"/>
  </r>
  <r>
    <x v="11"/>
    <x v="6"/>
    <x v="17"/>
    <x v="2"/>
    <x v="4"/>
    <x v="1"/>
    <n v="0.11"/>
    <n v="0.12"/>
    <n v="0"/>
    <n v="0.1"/>
  </r>
  <r>
    <x v="11"/>
    <x v="6"/>
    <x v="17"/>
    <x v="4"/>
    <x v="0"/>
    <x v="0"/>
    <n v="0.35"/>
    <n v="0.38"/>
    <n v="0.44"/>
    <n v="0.31"/>
  </r>
  <r>
    <x v="11"/>
    <x v="6"/>
    <x v="17"/>
    <x v="3"/>
    <x v="1"/>
    <x v="0"/>
    <n v="0.1"/>
    <n v="0.11"/>
    <n v="0.01"/>
    <n v="0.09"/>
  </r>
  <r>
    <x v="11"/>
    <x v="6"/>
    <x v="17"/>
    <x v="3"/>
    <x v="4"/>
    <x v="0"/>
    <n v="67.09"/>
    <n v="72.95"/>
    <n v="10.76"/>
    <n v="60.38"/>
  </r>
  <r>
    <x v="11"/>
    <x v="6"/>
    <x v="17"/>
    <x v="2"/>
    <x v="3"/>
    <x v="1"/>
    <n v="1.31"/>
    <n v="1.43"/>
    <n v="0"/>
    <n v="1.18"/>
  </r>
  <r>
    <x v="11"/>
    <x v="6"/>
    <x v="17"/>
    <x v="2"/>
    <x v="0"/>
    <x v="0"/>
    <n v="19.920000000000002"/>
    <n v="21.66"/>
    <n v="10.98"/>
    <n v="17.920000000000002"/>
  </r>
  <r>
    <x v="11"/>
    <x v="6"/>
    <x v="17"/>
    <x v="1"/>
    <x v="2"/>
    <x v="1"/>
    <n v="8.9700000000000006"/>
    <n v="9.75"/>
    <n v="0.03"/>
    <n v="8.07"/>
  </r>
  <r>
    <x v="11"/>
    <x v="6"/>
    <x v="17"/>
    <x v="1"/>
    <x v="1"/>
    <x v="1"/>
    <n v="5.22"/>
    <n v="5.68"/>
    <n v="0.05"/>
    <n v="4.7"/>
  </r>
  <r>
    <x v="11"/>
    <x v="6"/>
    <x v="17"/>
    <x v="1"/>
    <x v="4"/>
    <x v="1"/>
    <n v="1.01"/>
    <n v="1.0900000000000001"/>
    <n v="0.02"/>
    <n v="0.91"/>
  </r>
  <r>
    <x v="11"/>
    <x v="6"/>
    <x v="17"/>
    <x v="1"/>
    <x v="0"/>
    <x v="1"/>
    <n v="1.49"/>
    <n v="1.62"/>
    <n v="0.04"/>
    <n v="1.34"/>
  </r>
  <r>
    <x v="11"/>
    <x v="6"/>
    <x v="17"/>
    <x v="0"/>
    <x v="4"/>
    <x v="1"/>
    <n v="0.35"/>
    <n v="0.38"/>
    <n v="0.03"/>
    <n v="0.32"/>
  </r>
  <r>
    <x v="11"/>
    <x v="6"/>
    <x v="17"/>
    <x v="0"/>
    <x v="0"/>
    <x v="1"/>
    <n v="1.48"/>
    <n v="1.61"/>
    <n v="0.03"/>
    <n v="1.33"/>
  </r>
  <r>
    <x v="11"/>
    <x v="6"/>
    <x v="17"/>
    <x v="4"/>
    <x v="1"/>
    <x v="1"/>
    <n v="0.24"/>
    <n v="0.26"/>
    <n v="0.01"/>
    <n v="0.21"/>
  </r>
  <r>
    <x v="11"/>
    <x v="6"/>
    <x v="17"/>
    <x v="3"/>
    <x v="0"/>
    <x v="0"/>
    <n v="5.38"/>
    <n v="5.85"/>
    <n v="2.5099999999999998"/>
    <n v="4.84"/>
  </r>
  <r>
    <x v="11"/>
    <x v="6"/>
    <x v="17"/>
    <x v="1"/>
    <x v="1"/>
    <x v="0"/>
    <n v="33.03"/>
    <n v="35.909999999999997"/>
    <n v="1.93"/>
    <n v="29.72"/>
  </r>
  <r>
    <x v="11"/>
    <x v="6"/>
    <x v="17"/>
    <x v="4"/>
    <x v="4"/>
    <x v="1"/>
    <n v="1.76"/>
    <n v="1.92"/>
    <n v="0.05"/>
    <n v="1.59"/>
  </r>
  <r>
    <x v="11"/>
    <x v="6"/>
    <x v="17"/>
    <x v="4"/>
    <x v="4"/>
    <x v="0"/>
    <n v="173.58"/>
    <n v="188.74"/>
    <n v="27.07"/>
    <n v="156.22"/>
  </r>
  <r>
    <x v="11"/>
    <x v="6"/>
    <x v="17"/>
    <x v="4"/>
    <x v="1"/>
    <x v="0"/>
    <n v="13.26"/>
    <n v="14.41"/>
    <n v="0.93"/>
    <n v="11.93"/>
  </r>
  <r>
    <x v="11"/>
    <x v="6"/>
    <x v="17"/>
    <x v="0"/>
    <x v="0"/>
    <x v="0"/>
    <n v="19.54"/>
    <n v="21.25"/>
    <n v="11.39"/>
    <n v="17.59"/>
  </r>
  <r>
    <x v="11"/>
    <x v="6"/>
    <x v="17"/>
    <x v="0"/>
    <x v="4"/>
    <x v="0"/>
    <n v="79.42"/>
    <n v="86.36"/>
    <n v="18.97"/>
    <n v="71.48"/>
  </r>
  <r>
    <x v="11"/>
    <x v="6"/>
    <x v="17"/>
    <x v="1"/>
    <x v="0"/>
    <x v="0"/>
    <n v="20.63"/>
    <n v="22.43"/>
    <n v="11.36"/>
    <n v="18.559999999999999"/>
  </r>
  <r>
    <x v="11"/>
    <x v="6"/>
    <x v="17"/>
    <x v="4"/>
    <x v="0"/>
    <x v="1"/>
    <n v="1.01"/>
    <n v="1.0900000000000001"/>
    <n v="0.08"/>
    <n v="0.9"/>
  </r>
  <r>
    <x v="11"/>
    <x v="6"/>
    <x v="17"/>
    <x v="4"/>
    <x v="4"/>
    <x v="2"/>
    <n v="0.52"/>
    <n v="0.56999999999999995"/>
    <n v="0.05"/>
    <n v="0.47"/>
  </r>
  <r>
    <x v="11"/>
    <x v="6"/>
    <x v="17"/>
    <x v="2"/>
    <x v="4"/>
    <x v="0"/>
    <n v="14.69"/>
    <n v="15.98"/>
    <n v="3.82"/>
    <n v="13.22"/>
  </r>
  <r>
    <x v="11"/>
    <x v="6"/>
    <x v="17"/>
    <x v="4"/>
    <x v="1"/>
    <x v="2"/>
    <n v="0.28999999999999998"/>
    <n v="0.32"/>
    <n v="0.01"/>
    <n v="0.26"/>
  </r>
  <r>
    <x v="11"/>
    <x v="6"/>
    <x v="17"/>
    <x v="1"/>
    <x v="4"/>
    <x v="2"/>
    <n v="0.27"/>
    <n v="0.28999999999999998"/>
    <n v="0.01"/>
    <n v="0.24"/>
  </r>
  <r>
    <x v="11"/>
    <x v="6"/>
    <x v="17"/>
    <x v="1"/>
    <x v="1"/>
    <x v="2"/>
    <n v="1.99"/>
    <n v="2.17"/>
    <n v="0.03"/>
    <n v="1.79"/>
  </r>
  <r>
    <x v="11"/>
    <x v="6"/>
    <x v="17"/>
    <x v="1"/>
    <x v="2"/>
    <x v="2"/>
    <n v="0.01"/>
    <n v="0.01"/>
    <n v="0"/>
    <n v="0.01"/>
  </r>
  <r>
    <x v="11"/>
    <x v="6"/>
    <x v="17"/>
    <x v="1"/>
    <x v="3"/>
    <x v="2"/>
    <n v="0.37"/>
    <n v="0.41"/>
    <n v="0.02"/>
    <n v="0.34"/>
  </r>
  <r>
    <x v="11"/>
    <x v="6"/>
    <x v="17"/>
    <x v="1"/>
    <x v="2"/>
    <x v="0"/>
    <n v="13.93"/>
    <n v="15.15"/>
    <n v="0.17"/>
    <n v="12.54"/>
  </r>
  <r>
    <x v="11"/>
    <x v="6"/>
    <x v="17"/>
    <x v="2"/>
    <x v="3"/>
    <x v="2"/>
    <n v="2.4"/>
    <n v="2.61"/>
    <n v="0.01"/>
    <n v="2.16"/>
  </r>
  <r>
    <x v="11"/>
    <x v="6"/>
    <x v="17"/>
    <x v="1"/>
    <x v="4"/>
    <x v="0"/>
    <n v="338.61"/>
    <n v="368.2"/>
    <n v="66.22"/>
    <n v="304.75"/>
  </r>
  <r>
    <x v="11"/>
    <x v="6"/>
    <x v="18"/>
    <x v="1"/>
    <x v="1"/>
    <x v="0"/>
    <n v="18.399999999999999"/>
    <n v="23.56"/>
    <n v="1.1100000000000001"/>
    <n v="16.559999999999999"/>
  </r>
  <r>
    <x v="11"/>
    <x v="6"/>
    <x v="18"/>
    <x v="2"/>
    <x v="3"/>
    <x v="1"/>
    <n v="0.13"/>
    <n v="0.17"/>
    <n v="0"/>
    <n v="0.12"/>
  </r>
  <r>
    <x v="11"/>
    <x v="6"/>
    <x v="18"/>
    <x v="2"/>
    <x v="3"/>
    <x v="3"/>
    <n v="0.84"/>
    <n v="1.07"/>
    <n v="0"/>
    <n v="0.75"/>
  </r>
  <r>
    <x v="11"/>
    <x v="6"/>
    <x v="18"/>
    <x v="2"/>
    <x v="3"/>
    <x v="2"/>
    <n v="0.09"/>
    <n v="0.11"/>
    <n v="0.01"/>
    <n v="0.08"/>
  </r>
  <r>
    <x v="11"/>
    <x v="6"/>
    <x v="18"/>
    <x v="1"/>
    <x v="1"/>
    <x v="2"/>
    <n v="0.45"/>
    <n v="0.57999999999999996"/>
    <n v="0.01"/>
    <n v="0.41"/>
  </r>
  <r>
    <x v="11"/>
    <x v="6"/>
    <x v="18"/>
    <x v="4"/>
    <x v="1"/>
    <x v="2"/>
    <n v="0.01"/>
    <n v="0.01"/>
    <n v="0"/>
    <n v="0.01"/>
  </r>
  <r>
    <x v="11"/>
    <x v="6"/>
    <x v="18"/>
    <x v="4"/>
    <x v="4"/>
    <x v="2"/>
    <n v="0.01"/>
    <n v="0.02"/>
    <n v="0"/>
    <n v="0.01"/>
  </r>
  <r>
    <x v="11"/>
    <x v="6"/>
    <x v="18"/>
    <x v="4"/>
    <x v="4"/>
    <x v="1"/>
    <n v="0.03"/>
    <n v="0.04"/>
    <n v="0"/>
    <n v="0.03"/>
  </r>
  <r>
    <x v="11"/>
    <x v="6"/>
    <x v="18"/>
    <x v="4"/>
    <x v="1"/>
    <x v="1"/>
    <n v="0.02"/>
    <n v="0.03"/>
    <n v="0"/>
    <n v="0.02"/>
  </r>
  <r>
    <x v="11"/>
    <x v="6"/>
    <x v="18"/>
    <x v="0"/>
    <x v="0"/>
    <x v="1"/>
    <n v="1.0900000000000001"/>
    <n v="1.39"/>
    <n v="0.02"/>
    <n v="0.98"/>
  </r>
  <r>
    <x v="11"/>
    <x v="6"/>
    <x v="18"/>
    <x v="0"/>
    <x v="4"/>
    <x v="1"/>
    <n v="0.12"/>
    <n v="0.16"/>
    <n v="0.01"/>
    <n v="0.11"/>
  </r>
  <r>
    <x v="11"/>
    <x v="6"/>
    <x v="18"/>
    <x v="1"/>
    <x v="0"/>
    <x v="1"/>
    <n v="0.23"/>
    <n v="0.28999999999999998"/>
    <n v="0.01"/>
    <n v="0.21"/>
  </r>
  <r>
    <x v="11"/>
    <x v="6"/>
    <x v="18"/>
    <x v="1"/>
    <x v="4"/>
    <x v="1"/>
    <n v="0.25"/>
    <n v="0.33"/>
    <n v="0.01"/>
    <n v="0.23"/>
  </r>
  <r>
    <x v="11"/>
    <x v="6"/>
    <x v="18"/>
    <x v="1"/>
    <x v="1"/>
    <x v="1"/>
    <n v="0.88"/>
    <n v="1.1200000000000001"/>
    <n v="0.01"/>
    <n v="0.79"/>
  </r>
  <r>
    <x v="11"/>
    <x v="6"/>
    <x v="18"/>
    <x v="1"/>
    <x v="0"/>
    <x v="0"/>
    <n v="10.59"/>
    <n v="13.56"/>
    <n v="5.26"/>
    <n v="9.5299999999999994"/>
  </r>
  <r>
    <x v="11"/>
    <x v="6"/>
    <x v="18"/>
    <x v="2"/>
    <x v="4"/>
    <x v="1"/>
    <n v="0.02"/>
    <n v="0.02"/>
    <n v="0"/>
    <n v="0.02"/>
  </r>
  <r>
    <x v="11"/>
    <x v="6"/>
    <x v="18"/>
    <x v="4"/>
    <x v="0"/>
    <x v="1"/>
    <n v="0.14000000000000001"/>
    <n v="0.18"/>
    <n v="0.01"/>
    <n v="0.13"/>
  </r>
  <r>
    <x v="11"/>
    <x v="6"/>
    <x v="18"/>
    <x v="3"/>
    <x v="0"/>
    <x v="0"/>
    <n v="4.57"/>
    <n v="5.85"/>
    <n v="1.91"/>
    <n v="4.1100000000000003"/>
  </r>
  <r>
    <x v="11"/>
    <x v="6"/>
    <x v="18"/>
    <x v="2"/>
    <x v="4"/>
    <x v="0"/>
    <n v="10.86"/>
    <n v="13.9"/>
    <n v="2.91"/>
    <n v="9.77"/>
  </r>
  <r>
    <x v="11"/>
    <x v="6"/>
    <x v="18"/>
    <x v="2"/>
    <x v="0"/>
    <x v="0"/>
    <n v="5.88"/>
    <n v="7.52"/>
    <n v="3.18"/>
    <n v="5.29"/>
  </r>
  <r>
    <x v="11"/>
    <x v="6"/>
    <x v="18"/>
    <x v="1"/>
    <x v="2"/>
    <x v="0"/>
    <n v="4.3899999999999997"/>
    <n v="5.63"/>
    <n v="0.03"/>
    <n v="3.96"/>
  </r>
  <r>
    <x v="11"/>
    <x v="6"/>
    <x v="18"/>
    <x v="1"/>
    <x v="4"/>
    <x v="0"/>
    <n v="66"/>
    <n v="84.48"/>
    <n v="15.7"/>
    <n v="59.4"/>
  </r>
  <r>
    <x v="11"/>
    <x v="6"/>
    <x v="18"/>
    <x v="0"/>
    <x v="4"/>
    <x v="0"/>
    <n v="13.87"/>
    <n v="17.760000000000002"/>
    <n v="3.51"/>
    <n v="12.49"/>
  </r>
  <r>
    <x v="11"/>
    <x v="6"/>
    <x v="18"/>
    <x v="0"/>
    <x v="0"/>
    <x v="0"/>
    <n v="7.14"/>
    <n v="9.14"/>
    <n v="4.25"/>
    <n v="6.43"/>
  </r>
  <r>
    <x v="11"/>
    <x v="6"/>
    <x v="18"/>
    <x v="4"/>
    <x v="1"/>
    <x v="0"/>
    <n v="3.85"/>
    <n v="4.92"/>
    <n v="0.19"/>
    <n v="3.46"/>
  </r>
  <r>
    <x v="11"/>
    <x v="6"/>
    <x v="18"/>
    <x v="4"/>
    <x v="4"/>
    <x v="0"/>
    <n v="24.96"/>
    <n v="31.95"/>
    <n v="5.66"/>
    <n v="22.47"/>
  </r>
  <r>
    <x v="11"/>
    <x v="6"/>
    <x v="18"/>
    <x v="3"/>
    <x v="1"/>
    <x v="0"/>
    <n v="0.06"/>
    <n v="0.08"/>
    <n v="0.01"/>
    <n v="0.06"/>
  </r>
  <r>
    <x v="11"/>
    <x v="6"/>
    <x v="18"/>
    <x v="3"/>
    <x v="4"/>
    <x v="0"/>
    <n v="5.63"/>
    <n v="7.21"/>
    <n v="1.1299999999999999"/>
    <n v="5.07"/>
  </r>
  <r>
    <x v="11"/>
    <x v="6"/>
    <x v="18"/>
    <x v="1"/>
    <x v="2"/>
    <x v="1"/>
    <n v="4.26"/>
    <n v="5.45"/>
    <n v="0.02"/>
    <n v="3.83"/>
  </r>
  <r>
    <x v="11"/>
    <x v="2"/>
    <x v="19"/>
    <x v="4"/>
    <x v="1"/>
    <x v="2"/>
    <n v="0.01"/>
    <n v="0.01"/>
    <n v="0"/>
    <n v="0.01"/>
  </r>
  <r>
    <x v="11"/>
    <x v="2"/>
    <x v="19"/>
    <x v="4"/>
    <x v="4"/>
    <x v="0"/>
    <n v="26.41"/>
    <n v="28.75"/>
    <n v="2.76"/>
    <n v="23.77"/>
  </r>
  <r>
    <x v="11"/>
    <x v="2"/>
    <x v="19"/>
    <x v="4"/>
    <x v="4"/>
    <x v="2"/>
    <n v="2.48"/>
    <n v="2.69"/>
    <n v="0.01"/>
    <n v="2.23"/>
  </r>
  <r>
    <x v="11"/>
    <x v="2"/>
    <x v="19"/>
    <x v="4"/>
    <x v="2"/>
    <x v="2"/>
    <n v="0"/>
    <n v="0"/>
    <n v="0"/>
    <n v="0"/>
  </r>
  <r>
    <x v="11"/>
    <x v="2"/>
    <x v="19"/>
    <x v="0"/>
    <x v="4"/>
    <x v="1"/>
    <n v="0"/>
    <n v="0"/>
    <n v="0"/>
    <n v="0"/>
  </r>
  <r>
    <x v="11"/>
    <x v="2"/>
    <x v="19"/>
    <x v="1"/>
    <x v="0"/>
    <x v="1"/>
    <n v="0.01"/>
    <n v="0.01"/>
    <n v="0"/>
    <n v="0.01"/>
  </r>
  <r>
    <x v="11"/>
    <x v="2"/>
    <x v="19"/>
    <x v="1"/>
    <x v="4"/>
    <x v="1"/>
    <n v="0.02"/>
    <n v="0.02"/>
    <n v="0"/>
    <n v="0.01"/>
  </r>
  <r>
    <x v="11"/>
    <x v="2"/>
    <x v="19"/>
    <x v="1"/>
    <x v="1"/>
    <x v="1"/>
    <n v="0.04"/>
    <n v="0.04"/>
    <n v="0"/>
    <n v="0.03"/>
  </r>
  <r>
    <x v="11"/>
    <x v="2"/>
    <x v="19"/>
    <x v="1"/>
    <x v="2"/>
    <x v="1"/>
    <n v="0.05"/>
    <n v="0.06"/>
    <n v="0"/>
    <n v="0.05"/>
  </r>
  <r>
    <x v="11"/>
    <x v="2"/>
    <x v="19"/>
    <x v="3"/>
    <x v="0"/>
    <x v="0"/>
    <n v="21.31"/>
    <n v="23.19"/>
    <n v="4.7699999999999996"/>
    <n v="19.18"/>
  </r>
  <r>
    <x v="11"/>
    <x v="2"/>
    <x v="19"/>
    <x v="0"/>
    <x v="0"/>
    <x v="1"/>
    <n v="0.01"/>
    <n v="0.01"/>
    <n v="0"/>
    <n v="0.01"/>
  </r>
  <r>
    <x v="11"/>
    <x v="2"/>
    <x v="19"/>
    <x v="3"/>
    <x v="1"/>
    <x v="0"/>
    <n v="3.53"/>
    <n v="3.84"/>
    <n v="0.28999999999999998"/>
    <n v="3.18"/>
  </r>
  <r>
    <x v="11"/>
    <x v="2"/>
    <x v="19"/>
    <x v="2"/>
    <x v="3"/>
    <x v="0"/>
    <n v="5.56"/>
    <n v="6.05"/>
    <n v="0.04"/>
    <n v="5.01"/>
  </r>
  <r>
    <x v="11"/>
    <x v="2"/>
    <x v="19"/>
    <x v="4"/>
    <x v="1"/>
    <x v="0"/>
    <n v="7.26"/>
    <n v="7.91"/>
    <n v="0.36"/>
    <n v="6.54"/>
  </r>
  <r>
    <x v="11"/>
    <x v="2"/>
    <x v="19"/>
    <x v="0"/>
    <x v="0"/>
    <x v="0"/>
    <n v="3.21"/>
    <n v="3.49"/>
    <n v="1.8"/>
    <n v="2.89"/>
  </r>
  <r>
    <x v="11"/>
    <x v="2"/>
    <x v="19"/>
    <x v="0"/>
    <x v="4"/>
    <x v="0"/>
    <n v="39.79"/>
    <n v="43.32"/>
    <n v="7.62"/>
    <n v="35.81"/>
  </r>
  <r>
    <x v="11"/>
    <x v="2"/>
    <x v="19"/>
    <x v="1"/>
    <x v="0"/>
    <x v="0"/>
    <n v="14.83"/>
    <n v="16.14"/>
    <n v="7.35"/>
    <n v="13.35"/>
  </r>
  <r>
    <x v="11"/>
    <x v="2"/>
    <x v="19"/>
    <x v="1"/>
    <x v="4"/>
    <x v="0"/>
    <n v="187.97"/>
    <n v="204.63"/>
    <n v="26.27"/>
    <n v="169.18"/>
  </r>
  <r>
    <x v="11"/>
    <x v="2"/>
    <x v="19"/>
    <x v="1"/>
    <x v="1"/>
    <x v="0"/>
    <n v="29.03"/>
    <n v="31.6"/>
    <n v="1.04"/>
    <n v="26.12"/>
  </r>
  <r>
    <x v="11"/>
    <x v="2"/>
    <x v="19"/>
    <x v="1"/>
    <x v="2"/>
    <x v="0"/>
    <n v="0.67"/>
    <n v="0.73"/>
    <n v="0.01"/>
    <n v="0.6"/>
  </r>
  <r>
    <x v="11"/>
    <x v="2"/>
    <x v="19"/>
    <x v="2"/>
    <x v="0"/>
    <x v="0"/>
    <n v="5.98"/>
    <n v="6.51"/>
    <n v="3.28"/>
    <n v="5.38"/>
  </r>
  <r>
    <x v="11"/>
    <x v="2"/>
    <x v="19"/>
    <x v="2"/>
    <x v="4"/>
    <x v="0"/>
    <n v="12.16"/>
    <n v="13.23"/>
    <n v="2.11"/>
    <n v="10.94"/>
  </r>
  <r>
    <x v="11"/>
    <x v="2"/>
    <x v="19"/>
    <x v="3"/>
    <x v="4"/>
    <x v="0"/>
    <n v="25.58"/>
    <n v="27.85"/>
    <n v="7.59"/>
    <n v="23.03"/>
  </r>
  <r>
    <x v="11"/>
    <x v="7"/>
    <x v="20"/>
    <x v="1"/>
    <x v="4"/>
    <x v="1"/>
    <n v="0.02"/>
    <n v="0.02"/>
    <n v="0"/>
    <n v="0.01"/>
  </r>
  <r>
    <x v="11"/>
    <x v="7"/>
    <x v="20"/>
    <x v="1"/>
    <x v="0"/>
    <x v="1"/>
    <n v="0.08"/>
    <n v="7.0000000000000007E-2"/>
    <n v="0"/>
    <n v="7.0000000000000007E-2"/>
  </r>
  <r>
    <x v="11"/>
    <x v="7"/>
    <x v="20"/>
    <x v="1"/>
    <x v="1"/>
    <x v="0"/>
    <n v="31.66"/>
    <n v="29.99"/>
    <n v="1.47"/>
    <n v="28.49"/>
  </r>
  <r>
    <x v="11"/>
    <x v="7"/>
    <x v="20"/>
    <x v="1"/>
    <x v="0"/>
    <x v="0"/>
    <n v="6.65"/>
    <n v="6.3"/>
    <n v="5.25"/>
    <n v="5.98"/>
  </r>
  <r>
    <x v="11"/>
    <x v="7"/>
    <x v="20"/>
    <x v="0"/>
    <x v="4"/>
    <x v="0"/>
    <n v="6.48"/>
    <n v="6.14"/>
    <n v="2.35"/>
    <n v="5.83"/>
  </r>
  <r>
    <x v="11"/>
    <x v="7"/>
    <x v="20"/>
    <x v="0"/>
    <x v="0"/>
    <x v="0"/>
    <n v="1.6"/>
    <n v="1.51"/>
    <n v="1.05"/>
    <n v="1.44"/>
  </r>
  <r>
    <x v="11"/>
    <x v="7"/>
    <x v="20"/>
    <x v="4"/>
    <x v="1"/>
    <x v="0"/>
    <n v="15.23"/>
    <n v="14.43"/>
    <n v="0.81"/>
    <n v="13.71"/>
  </r>
  <r>
    <x v="11"/>
    <x v="7"/>
    <x v="20"/>
    <x v="4"/>
    <x v="4"/>
    <x v="0"/>
    <n v="92.04"/>
    <n v="87.21"/>
    <n v="10.94"/>
    <n v="82.83"/>
  </r>
  <r>
    <x v="11"/>
    <x v="7"/>
    <x v="20"/>
    <x v="3"/>
    <x v="1"/>
    <x v="0"/>
    <n v="0.32"/>
    <n v="0.3"/>
    <n v="0.02"/>
    <n v="0.28999999999999998"/>
  </r>
  <r>
    <x v="11"/>
    <x v="7"/>
    <x v="20"/>
    <x v="3"/>
    <x v="4"/>
    <x v="0"/>
    <n v="11.5"/>
    <n v="10.9"/>
    <n v="3.83"/>
    <n v="10.35"/>
  </r>
  <r>
    <x v="11"/>
    <x v="7"/>
    <x v="20"/>
    <x v="3"/>
    <x v="0"/>
    <x v="0"/>
    <n v="5.85"/>
    <n v="5.54"/>
    <n v="1.03"/>
    <n v="5.26"/>
  </r>
  <r>
    <x v="11"/>
    <x v="7"/>
    <x v="20"/>
    <x v="2"/>
    <x v="4"/>
    <x v="0"/>
    <n v="3.8"/>
    <n v="3.6"/>
    <n v="1.3"/>
    <n v="3.42"/>
  </r>
  <r>
    <x v="11"/>
    <x v="7"/>
    <x v="20"/>
    <x v="1"/>
    <x v="1"/>
    <x v="1"/>
    <n v="0.08"/>
    <n v="0.08"/>
    <n v="0"/>
    <n v="7.0000000000000007E-2"/>
  </r>
  <r>
    <x v="11"/>
    <x v="7"/>
    <x v="20"/>
    <x v="2"/>
    <x v="0"/>
    <x v="0"/>
    <n v="1.78"/>
    <n v="1.69"/>
    <n v="2.12"/>
    <n v="1.6"/>
  </r>
  <r>
    <x v="11"/>
    <x v="7"/>
    <x v="20"/>
    <x v="0"/>
    <x v="4"/>
    <x v="1"/>
    <n v="0.01"/>
    <n v="0.01"/>
    <n v="0"/>
    <n v="0.01"/>
  </r>
  <r>
    <x v="11"/>
    <x v="7"/>
    <x v="20"/>
    <x v="0"/>
    <x v="0"/>
    <x v="1"/>
    <n v="7.0000000000000007E-2"/>
    <n v="0.06"/>
    <n v="0"/>
    <n v="0.06"/>
  </r>
  <r>
    <x v="11"/>
    <x v="7"/>
    <x v="20"/>
    <x v="4"/>
    <x v="4"/>
    <x v="1"/>
    <n v="0.01"/>
    <n v="0.01"/>
    <n v="0"/>
    <n v="0.01"/>
  </r>
  <r>
    <x v="11"/>
    <x v="7"/>
    <x v="20"/>
    <x v="4"/>
    <x v="0"/>
    <x v="1"/>
    <n v="0"/>
    <n v="0"/>
    <n v="0"/>
    <n v="0"/>
  </r>
  <r>
    <x v="11"/>
    <x v="7"/>
    <x v="20"/>
    <x v="2"/>
    <x v="3"/>
    <x v="3"/>
    <n v="5.49"/>
    <n v="5.2"/>
    <n v="0"/>
    <n v="4.9400000000000004"/>
  </r>
  <r>
    <x v="11"/>
    <x v="7"/>
    <x v="20"/>
    <x v="2"/>
    <x v="3"/>
    <x v="2"/>
    <n v="0"/>
    <n v="0"/>
    <n v="0"/>
    <n v="0"/>
  </r>
  <r>
    <x v="11"/>
    <x v="7"/>
    <x v="20"/>
    <x v="4"/>
    <x v="1"/>
    <x v="2"/>
    <n v="0"/>
    <n v="0"/>
    <n v="0"/>
    <n v="0"/>
  </r>
  <r>
    <x v="11"/>
    <x v="7"/>
    <x v="20"/>
    <x v="4"/>
    <x v="4"/>
    <x v="2"/>
    <n v="0.01"/>
    <n v="0.01"/>
    <n v="0"/>
    <n v="0.01"/>
  </r>
  <r>
    <x v="11"/>
    <x v="7"/>
    <x v="20"/>
    <x v="1"/>
    <x v="2"/>
    <x v="1"/>
    <n v="0.06"/>
    <n v="0.06"/>
    <n v="0"/>
    <n v="0.05"/>
  </r>
  <r>
    <x v="11"/>
    <x v="7"/>
    <x v="20"/>
    <x v="2"/>
    <x v="3"/>
    <x v="1"/>
    <n v="7.0000000000000007E-2"/>
    <n v="7.0000000000000007E-2"/>
    <n v="0"/>
    <n v="0.06"/>
  </r>
  <r>
    <x v="11"/>
    <x v="7"/>
    <x v="20"/>
    <x v="2"/>
    <x v="3"/>
    <x v="0"/>
    <n v="0.32"/>
    <n v="0.3"/>
    <n v="0.06"/>
    <n v="0.28000000000000003"/>
  </r>
  <r>
    <x v="11"/>
    <x v="7"/>
    <x v="20"/>
    <x v="1"/>
    <x v="4"/>
    <x v="0"/>
    <n v="113.3"/>
    <n v="107.36"/>
    <n v="23.87"/>
    <n v="101.97"/>
  </r>
  <r>
    <x v="11"/>
    <x v="2"/>
    <x v="21"/>
    <x v="2"/>
    <x v="0"/>
    <x v="0"/>
    <n v="21.8"/>
    <n v="23.73"/>
    <n v="9.73"/>
    <n v="19.62"/>
  </r>
  <r>
    <x v="11"/>
    <x v="2"/>
    <x v="21"/>
    <x v="1"/>
    <x v="1"/>
    <x v="1"/>
    <n v="1.92"/>
    <n v="2.09"/>
    <n v="0.02"/>
    <n v="1.73"/>
  </r>
  <r>
    <x v="11"/>
    <x v="2"/>
    <x v="21"/>
    <x v="1"/>
    <x v="2"/>
    <x v="1"/>
    <n v="3.05"/>
    <n v="3.32"/>
    <n v="0.01"/>
    <n v="2.75"/>
  </r>
  <r>
    <x v="11"/>
    <x v="2"/>
    <x v="21"/>
    <x v="2"/>
    <x v="3"/>
    <x v="1"/>
    <n v="0.04"/>
    <n v="0.04"/>
    <n v="0"/>
    <n v="0.03"/>
  </r>
  <r>
    <x v="11"/>
    <x v="2"/>
    <x v="21"/>
    <x v="3"/>
    <x v="0"/>
    <x v="0"/>
    <n v="8.69"/>
    <n v="9.4600000000000009"/>
    <n v="1.63"/>
    <n v="7.82"/>
  </r>
  <r>
    <x v="11"/>
    <x v="2"/>
    <x v="21"/>
    <x v="4"/>
    <x v="0"/>
    <x v="1"/>
    <n v="0.01"/>
    <n v="0.02"/>
    <n v="0.01"/>
    <n v="0.01"/>
  </r>
  <r>
    <x v="11"/>
    <x v="2"/>
    <x v="21"/>
    <x v="3"/>
    <x v="1"/>
    <x v="0"/>
    <n v="1.22"/>
    <n v="1.33"/>
    <n v="0.1"/>
    <n v="1.1000000000000001"/>
  </r>
  <r>
    <x v="11"/>
    <x v="2"/>
    <x v="21"/>
    <x v="1"/>
    <x v="4"/>
    <x v="1"/>
    <n v="0.12"/>
    <n v="0.13"/>
    <n v="0"/>
    <n v="0.11"/>
  </r>
  <r>
    <x v="11"/>
    <x v="2"/>
    <x v="21"/>
    <x v="2"/>
    <x v="4"/>
    <x v="0"/>
    <n v="20.28"/>
    <n v="22.08"/>
    <n v="2.99"/>
    <n v="18.25"/>
  </r>
  <r>
    <x v="11"/>
    <x v="2"/>
    <x v="21"/>
    <x v="3"/>
    <x v="4"/>
    <x v="0"/>
    <n v="43.86"/>
    <n v="47.75"/>
    <n v="9.19"/>
    <n v="39.479999999999997"/>
  </r>
  <r>
    <x v="11"/>
    <x v="2"/>
    <x v="21"/>
    <x v="1"/>
    <x v="2"/>
    <x v="0"/>
    <n v="2.06"/>
    <n v="2.2400000000000002"/>
    <n v="0.03"/>
    <n v="1.85"/>
  </r>
  <r>
    <x v="11"/>
    <x v="2"/>
    <x v="21"/>
    <x v="1"/>
    <x v="1"/>
    <x v="0"/>
    <n v="48.97"/>
    <n v="53.31"/>
    <n v="2.2400000000000002"/>
    <n v="44.08"/>
  </r>
  <r>
    <x v="11"/>
    <x v="2"/>
    <x v="21"/>
    <x v="1"/>
    <x v="4"/>
    <x v="0"/>
    <n v="318.56"/>
    <n v="346.78"/>
    <n v="50.57"/>
    <n v="286.7"/>
  </r>
  <r>
    <x v="11"/>
    <x v="2"/>
    <x v="21"/>
    <x v="1"/>
    <x v="0"/>
    <x v="0"/>
    <n v="22.51"/>
    <n v="24.51"/>
    <n v="10.93"/>
    <n v="20.260000000000002"/>
  </r>
  <r>
    <x v="11"/>
    <x v="2"/>
    <x v="21"/>
    <x v="0"/>
    <x v="4"/>
    <x v="0"/>
    <n v="36.340000000000003"/>
    <n v="39.549999999999997"/>
    <n v="8.64"/>
    <n v="32.700000000000003"/>
  </r>
  <r>
    <x v="11"/>
    <x v="2"/>
    <x v="21"/>
    <x v="4"/>
    <x v="4"/>
    <x v="0"/>
    <n v="77.290000000000006"/>
    <n v="84.13"/>
    <n v="8.18"/>
    <n v="69.56"/>
  </r>
  <r>
    <x v="11"/>
    <x v="2"/>
    <x v="21"/>
    <x v="0"/>
    <x v="0"/>
    <x v="0"/>
    <n v="11.38"/>
    <n v="12.39"/>
    <n v="4.9800000000000004"/>
    <n v="10.24"/>
  </r>
  <r>
    <x v="11"/>
    <x v="2"/>
    <x v="21"/>
    <x v="4"/>
    <x v="1"/>
    <x v="0"/>
    <n v="11.79"/>
    <n v="12.84"/>
    <n v="0.66"/>
    <n v="10.61"/>
  </r>
  <r>
    <x v="11"/>
    <x v="2"/>
    <x v="21"/>
    <x v="2"/>
    <x v="3"/>
    <x v="0"/>
    <n v="6.74"/>
    <n v="7.34"/>
    <n v="0.05"/>
    <n v="6.07"/>
  </r>
  <r>
    <x v="11"/>
    <x v="2"/>
    <x v="21"/>
    <x v="2"/>
    <x v="3"/>
    <x v="3"/>
    <n v="67.540000000000006"/>
    <n v="73.53"/>
    <n v="0.04"/>
    <n v="60.79"/>
  </r>
  <r>
    <x v="11"/>
    <x v="2"/>
    <x v="21"/>
    <x v="0"/>
    <x v="4"/>
    <x v="1"/>
    <n v="0.56999999999999995"/>
    <n v="0.62"/>
    <n v="0.06"/>
    <n v="0.51"/>
  </r>
  <r>
    <x v="11"/>
    <x v="2"/>
    <x v="21"/>
    <x v="0"/>
    <x v="0"/>
    <x v="1"/>
    <n v="3.05"/>
    <n v="3.32"/>
    <n v="0.08"/>
    <n v="2.75"/>
  </r>
  <r>
    <x v="11"/>
    <x v="2"/>
    <x v="21"/>
    <x v="4"/>
    <x v="1"/>
    <x v="1"/>
    <n v="0.44"/>
    <n v="0.48"/>
    <n v="0"/>
    <n v="0.39"/>
  </r>
  <r>
    <x v="11"/>
    <x v="2"/>
    <x v="21"/>
    <x v="4"/>
    <x v="4"/>
    <x v="1"/>
    <n v="0.49"/>
    <n v="0.54"/>
    <n v="0.01"/>
    <n v="0.45"/>
  </r>
  <r>
    <x v="11"/>
    <x v="2"/>
    <x v="21"/>
    <x v="1"/>
    <x v="0"/>
    <x v="1"/>
    <n v="0.38"/>
    <n v="0.41"/>
    <n v="0.02"/>
    <n v="0.34"/>
  </r>
  <r>
    <x v="11"/>
    <x v="2"/>
    <x v="21"/>
    <x v="4"/>
    <x v="2"/>
    <x v="2"/>
    <n v="0.06"/>
    <n v="0.06"/>
    <n v="0"/>
    <n v="0.05"/>
  </r>
  <r>
    <x v="11"/>
    <x v="2"/>
    <x v="21"/>
    <x v="4"/>
    <x v="1"/>
    <x v="2"/>
    <n v="0.05"/>
    <n v="0.05"/>
    <n v="0"/>
    <n v="0.04"/>
  </r>
  <r>
    <x v="11"/>
    <x v="2"/>
    <x v="21"/>
    <x v="1"/>
    <x v="4"/>
    <x v="2"/>
    <n v="0.17"/>
    <n v="0.19"/>
    <n v="0.01"/>
    <n v="0.16"/>
  </r>
  <r>
    <x v="11"/>
    <x v="2"/>
    <x v="21"/>
    <x v="4"/>
    <x v="4"/>
    <x v="2"/>
    <n v="0.22"/>
    <n v="0.24"/>
    <n v="0"/>
    <n v="0.2"/>
  </r>
  <r>
    <x v="11"/>
    <x v="2"/>
    <x v="21"/>
    <x v="2"/>
    <x v="3"/>
    <x v="2"/>
    <n v="3.74"/>
    <n v="4.07"/>
    <n v="0"/>
    <n v="3.37"/>
  </r>
  <r>
    <x v="11"/>
    <x v="8"/>
    <x v="22"/>
    <x v="4"/>
    <x v="4"/>
    <x v="0"/>
    <n v="245.04"/>
    <n v="278.44"/>
    <n v="22.32"/>
    <n v="220.54"/>
  </r>
  <r>
    <x v="11"/>
    <x v="8"/>
    <x v="22"/>
    <x v="4"/>
    <x v="0"/>
    <x v="0"/>
    <n v="1.33"/>
    <n v="1.51"/>
    <n v="0.35"/>
    <n v="1.19"/>
  </r>
  <r>
    <x v="11"/>
    <x v="8"/>
    <x v="22"/>
    <x v="3"/>
    <x v="1"/>
    <x v="0"/>
    <n v="0.52"/>
    <n v="0.59"/>
    <n v="0.16"/>
    <n v="0.46"/>
  </r>
  <r>
    <x v="11"/>
    <x v="8"/>
    <x v="22"/>
    <x v="3"/>
    <x v="0"/>
    <x v="0"/>
    <n v="78.53"/>
    <n v="89.23"/>
    <n v="22.33"/>
    <n v="70.67"/>
  </r>
  <r>
    <x v="11"/>
    <x v="8"/>
    <x v="22"/>
    <x v="1"/>
    <x v="1"/>
    <x v="1"/>
    <n v="12.55"/>
    <n v="14.27"/>
    <n v="0.16"/>
    <n v="11.3"/>
  </r>
  <r>
    <x v="11"/>
    <x v="8"/>
    <x v="22"/>
    <x v="1"/>
    <x v="4"/>
    <x v="1"/>
    <n v="0.59"/>
    <n v="0.68"/>
    <n v="0.02"/>
    <n v="0.54"/>
  </r>
  <r>
    <x v="11"/>
    <x v="8"/>
    <x v="22"/>
    <x v="1"/>
    <x v="0"/>
    <x v="1"/>
    <n v="2.91"/>
    <n v="3.31"/>
    <n v="0.2"/>
    <n v="2.62"/>
  </r>
  <r>
    <x v="11"/>
    <x v="8"/>
    <x v="22"/>
    <x v="0"/>
    <x v="4"/>
    <x v="1"/>
    <n v="1.49"/>
    <n v="1.7"/>
    <n v="0.14000000000000001"/>
    <n v="1.34"/>
  </r>
  <r>
    <x v="11"/>
    <x v="8"/>
    <x v="22"/>
    <x v="0"/>
    <x v="0"/>
    <x v="1"/>
    <n v="28.85"/>
    <n v="32.78"/>
    <n v="0.55000000000000004"/>
    <n v="25.97"/>
  </r>
  <r>
    <x v="11"/>
    <x v="8"/>
    <x v="22"/>
    <x v="1"/>
    <x v="2"/>
    <x v="1"/>
    <n v="14.62"/>
    <n v="16.62"/>
    <n v="0.05"/>
    <n v="13.16"/>
  </r>
  <r>
    <x v="11"/>
    <x v="8"/>
    <x v="22"/>
    <x v="4"/>
    <x v="1"/>
    <x v="0"/>
    <n v="7.17"/>
    <n v="8.15"/>
    <n v="1.06"/>
    <n v="6.45"/>
  </r>
  <r>
    <x v="11"/>
    <x v="8"/>
    <x v="22"/>
    <x v="0"/>
    <x v="0"/>
    <x v="0"/>
    <n v="94.44"/>
    <n v="107.31"/>
    <n v="23.13"/>
    <n v="84.99"/>
  </r>
  <r>
    <x v="11"/>
    <x v="8"/>
    <x v="22"/>
    <x v="0"/>
    <x v="2"/>
    <x v="0"/>
    <n v="8.86"/>
    <n v="10.06"/>
    <n v="0.13"/>
    <n v="7.97"/>
  </r>
  <r>
    <x v="11"/>
    <x v="8"/>
    <x v="22"/>
    <x v="0"/>
    <x v="1"/>
    <x v="0"/>
    <n v="20.8"/>
    <n v="23.64"/>
    <n v="0.84"/>
    <n v="18.72"/>
  </r>
  <r>
    <x v="11"/>
    <x v="8"/>
    <x v="22"/>
    <x v="2"/>
    <x v="4"/>
    <x v="0"/>
    <n v="111.1"/>
    <n v="126.24"/>
    <n v="16.48"/>
    <n v="99.99"/>
  </r>
  <r>
    <x v="11"/>
    <x v="8"/>
    <x v="22"/>
    <x v="2"/>
    <x v="0"/>
    <x v="0"/>
    <n v="492.53"/>
    <n v="559.66"/>
    <n v="101.64"/>
    <n v="443.27"/>
  </r>
  <r>
    <x v="11"/>
    <x v="8"/>
    <x v="22"/>
    <x v="1"/>
    <x v="2"/>
    <x v="0"/>
    <n v="58.84"/>
    <n v="66.86"/>
    <n v="0.75"/>
    <n v="52.96"/>
  </r>
  <r>
    <x v="11"/>
    <x v="8"/>
    <x v="22"/>
    <x v="1"/>
    <x v="1"/>
    <x v="0"/>
    <n v="13.93"/>
    <n v="15.83"/>
    <n v="3.65"/>
    <n v="12.54"/>
  </r>
  <r>
    <x v="11"/>
    <x v="8"/>
    <x v="22"/>
    <x v="1"/>
    <x v="4"/>
    <x v="0"/>
    <n v="1199.95"/>
    <n v="1363.52"/>
    <n v="165.31"/>
    <n v="1079.96"/>
  </r>
  <r>
    <x v="11"/>
    <x v="8"/>
    <x v="22"/>
    <x v="1"/>
    <x v="0"/>
    <x v="0"/>
    <n v="240"/>
    <n v="272.72000000000003"/>
    <n v="70.459999999999994"/>
    <n v="216"/>
  </r>
  <r>
    <x v="11"/>
    <x v="8"/>
    <x v="22"/>
    <x v="0"/>
    <x v="3"/>
    <x v="0"/>
    <n v="44.38"/>
    <n v="50.43"/>
    <n v="0.3"/>
    <n v="39.94"/>
  </r>
  <r>
    <x v="11"/>
    <x v="8"/>
    <x v="22"/>
    <x v="2"/>
    <x v="3"/>
    <x v="1"/>
    <n v="8.4600000000000009"/>
    <n v="9.6199999999999992"/>
    <n v="0.01"/>
    <n v="7.62"/>
  </r>
  <r>
    <x v="11"/>
    <x v="8"/>
    <x v="22"/>
    <x v="4"/>
    <x v="0"/>
    <x v="1"/>
    <n v="3.34"/>
    <n v="3.79"/>
    <n v="0.18"/>
    <n v="3"/>
  </r>
  <r>
    <x v="11"/>
    <x v="8"/>
    <x v="22"/>
    <x v="0"/>
    <x v="4"/>
    <x v="0"/>
    <n v="115.98"/>
    <n v="131.79"/>
    <n v="12.32"/>
    <n v="104.38"/>
  </r>
  <r>
    <x v="11"/>
    <x v="8"/>
    <x v="22"/>
    <x v="4"/>
    <x v="1"/>
    <x v="2"/>
    <n v="0.64"/>
    <n v="0.73"/>
    <n v="0.03"/>
    <n v="0.57999999999999996"/>
  </r>
  <r>
    <x v="11"/>
    <x v="8"/>
    <x v="22"/>
    <x v="2"/>
    <x v="3"/>
    <x v="3"/>
    <n v="2.3199999999999998"/>
    <n v="2.63"/>
    <n v="0"/>
    <n v="2.08"/>
  </r>
  <r>
    <x v="11"/>
    <x v="8"/>
    <x v="22"/>
    <x v="4"/>
    <x v="4"/>
    <x v="2"/>
    <n v="0.12"/>
    <n v="0.14000000000000001"/>
    <n v="0.01"/>
    <n v="0.11"/>
  </r>
  <r>
    <x v="11"/>
    <x v="8"/>
    <x v="22"/>
    <x v="1"/>
    <x v="4"/>
    <x v="2"/>
    <n v="4.7699999999999996"/>
    <n v="5.42"/>
    <n v="0.14000000000000001"/>
    <n v="4.29"/>
  </r>
  <r>
    <x v="11"/>
    <x v="8"/>
    <x v="22"/>
    <x v="1"/>
    <x v="1"/>
    <x v="2"/>
    <n v="0.39"/>
    <n v="0.44"/>
    <n v="0.01"/>
    <n v="0.35"/>
  </r>
  <r>
    <x v="11"/>
    <x v="8"/>
    <x v="22"/>
    <x v="1"/>
    <x v="2"/>
    <x v="2"/>
    <n v="0.18"/>
    <n v="0.2"/>
    <n v="0.01"/>
    <n v="0.16"/>
  </r>
  <r>
    <x v="11"/>
    <x v="8"/>
    <x v="22"/>
    <x v="2"/>
    <x v="3"/>
    <x v="2"/>
    <n v="25.22"/>
    <n v="28.66"/>
    <n v="0.01"/>
    <n v="22.7"/>
  </r>
  <r>
    <x v="11"/>
    <x v="8"/>
    <x v="22"/>
    <x v="2"/>
    <x v="0"/>
    <x v="3"/>
    <n v="0.02"/>
    <n v="0.03"/>
    <n v="0"/>
    <n v="0.02"/>
  </r>
  <r>
    <x v="11"/>
    <x v="8"/>
    <x v="22"/>
    <x v="2"/>
    <x v="4"/>
    <x v="3"/>
    <n v="0.15"/>
    <n v="0.17"/>
    <n v="0.01"/>
    <n v="0.13"/>
  </r>
  <r>
    <x v="11"/>
    <x v="8"/>
    <x v="22"/>
    <x v="2"/>
    <x v="1"/>
    <x v="3"/>
    <n v="80.95"/>
    <n v="91.99"/>
    <n v="0.06"/>
    <n v="72.86"/>
  </r>
  <r>
    <x v="11"/>
    <x v="8"/>
    <x v="22"/>
    <x v="2"/>
    <x v="2"/>
    <x v="3"/>
    <n v="214.51"/>
    <n v="243.75"/>
    <n v="0.04"/>
    <n v="193.06"/>
  </r>
  <r>
    <x v="11"/>
    <x v="8"/>
    <x v="22"/>
    <x v="3"/>
    <x v="4"/>
    <x v="0"/>
    <n v="326.39"/>
    <n v="370.88"/>
    <n v="51.04"/>
    <n v="293.75"/>
  </r>
  <r>
    <x v="11"/>
    <x v="6"/>
    <x v="23"/>
    <x v="1"/>
    <x v="0"/>
    <x v="0"/>
    <n v="5.36"/>
    <n v="6.73"/>
    <n v="2.73"/>
    <n v="4.83"/>
  </r>
  <r>
    <x v="11"/>
    <x v="6"/>
    <x v="23"/>
    <x v="1"/>
    <x v="1"/>
    <x v="1"/>
    <n v="2.0299999999999998"/>
    <n v="2.5499999999999998"/>
    <n v="0.01"/>
    <n v="1.83"/>
  </r>
  <r>
    <x v="11"/>
    <x v="6"/>
    <x v="23"/>
    <x v="4"/>
    <x v="4"/>
    <x v="1"/>
    <n v="0.1"/>
    <n v="0.12"/>
    <n v="0"/>
    <n v="0.09"/>
  </r>
  <r>
    <x v="11"/>
    <x v="6"/>
    <x v="23"/>
    <x v="4"/>
    <x v="1"/>
    <x v="1"/>
    <n v="0.09"/>
    <n v="0.12"/>
    <n v="0"/>
    <n v="0.08"/>
  </r>
  <r>
    <x v="11"/>
    <x v="6"/>
    <x v="23"/>
    <x v="0"/>
    <x v="0"/>
    <x v="1"/>
    <n v="0.78"/>
    <n v="0.98"/>
    <n v="0.01"/>
    <n v="0.7"/>
  </r>
  <r>
    <x v="11"/>
    <x v="6"/>
    <x v="23"/>
    <x v="0"/>
    <x v="4"/>
    <x v="1"/>
    <n v="0.17"/>
    <n v="0.21"/>
    <n v="0.02"/>
    <n v="0.15"/>
  </r>
  <r>
    <x v="11"/>
    <x v="6"/>
    <x v="23"/>
    <x v="1"/>
    <x v="0"/>
    <x v="1"/>
    <n v="0.19"/>
    <n v="0.24"/>
    <n v="0"/>
    <n v="0.17"/>
  </r>
  <r>
    <x v="11"/>
    <x v="6"/>
    <x v="23"/>
    <x v="1"/>
    <x v="4"/>
    <x v="1"/>
    <n v="0.15"/>
    <n v="0.19"/>
    <n v="0"/>
    <n v="0.14000000000000001"/>
  </r>
  <r>
    <x v="11"/>
    <x v="6"/>
    <x v="23"/>
    <x v="1"/>
    <x v="2"/>
    <x v="1"/>
    <n v="2.82"/>
    <n v="3.54"/>
    <n v="0.01"/>
    <n v="2.54"/>
  </r>
  <r>
    <x v="11"/>
    <x v="6"/>
    <x v="23"/>
    <x v="2"/>
    <x v="3"/>
    <x v="1"/>
    <n v="0"/>
    <n v="0"/>
    <n v="0"/>
    <n v="0"/>
  </r>
  <r>
    <x v="11"/>
    <x v="6"/>
    <x v="23"/>
    <x v="3"/>
    <x v="4"/>
    <x v="0"/>
    <n v="18.600000000000001"/>
    <n v="23.34"/>
    <n v="3.05"/>
    <n v="16.739999999999998"/>
  </r>
  <r>
    <x v="11"/>
    <x v="6"/>
    <x v="23"/>
    <x v="4"/>
    <x v="4"/>
    <x v="0"/>
    <n v="10.95"/>
    <n v="13.74"/>
    <n v="2.16"/>
    <n v="9.85"/>
  </r>
  <r>
    <x v="11"/>
    <x v="6"/>
    <x v="23"/>
    <x v="4"/>
    <x v="1"/>
    <x v="0"/>
    <n v="3.56"/>
    <n v="4.47"/>
    <n v="0.17"/>
    <n v="3.21"/>
  </r>
  <r>
    <x v="11"/>
    <x v="6"/>
    <x v="23"/>
    <x v="4"/>
    <x v="0"/>
    <x v="1"/>
    <n v="0.2"/>
    <n v="0.25"/>
    <n v="0.01"/>
    <n v="0.18"/>
  </r>
  <r>
    <x v="11"/>
    <x v="6"/>
    <x v="23"/>
    <x v="0"/>
    <x v="4"/>
    <x v="0"/>
    <n v="5.51"/>
    <n v="6.92"/>
    <n v="1.27"/>
    <n v="4.96"/>
  </r>
  <r>
    <x v="11"/>
    <x v="6"/>
    <x v="23"/>
    <x v="4"/>
    <x v="2"/>
    <x v="2"/>
    <n v="0.02"/>
    <n v="0.02"/>
    <n v="0"/>
    <n v="0.01"/>
  </r>
  <r>
    <x v="11"/>
    <x v="6"/>
    <x v="23"/>
    <x v="0"/>
    <x v="0"/>
    <x v="0"/>
    <n v="3.41"/>
    <n v="4.28"/>
    <n v="1.88"/>
    <n v="3.07"/>
  </r>
  <r>
    <x v="11"/>
    <x v="6"/>
    <x v="23"/>
    <x v="2"/>
    <x v="3"/>
    <x v="0"/>
    <n v="7.68"/>
    <n v="9.64"/>
    <n v="0.08"/>
    <n v="6.92"/>
  </r>
  <r>
    <x v="11"/>
    <x v="6"/>
    <x v="23"/>
    <x v="1"/>
    <x v="1"/>
    <x v="0"/>
    <n v="14.04"/>
    <n v="17.62"/>
    <n v="0.73"/>
    <n v="12.63"/>
  </r>
  <r>
    <x v="11"/>
    <x v="6"/>
    <x v="23"/>
    <x v="1"/>
    <x v="2"/>
    <x v="0"/>
    <n v="3.41"/>
    <n v="4.28"/>
    <n v="0.02"/>
    <n v="3.07"/>
  </r>
  <r>
    <x v="11"/>
    <x v="6"/>
    <x v="23"/>
    <x v="2"/>
    <x v="3"/>
    <x v="3"/>
    <n v="2.69"/>
    <n v="3.37"/>
    <n v="0"/>
    <n v="2.42"/>
  </r>
  <r>
    <x v="11"/>
    <x v="6"/>
    <x v="23"/>
    <x v="2"/>
    <x v="4"/>
    <x v="0"/>
    <n v="7.94"/>
    <n v="9.9700000000000006"/>
    <n v="1.89"/>
    <n v="7.15"/>
  </r>
  <r>
    <x v="11"/>
    <x v="6"/>
    <x v="23"/>
    <x v="1"/>
    <x v="4"/>
    <x v="0"/>
    <n v="88.91"/>
    <n v="111.59"/>
    <n v="18.649999999999999"/>
    <n v="80.02"/>
  </r>
  <r>
    <x v="11"/>
    <x v="6"/>
    <x v="23"/>
    <x v="1"/>
    <x v="2"/>
    <x v="2"/>
    <n v="0"/>
    <n v="0.01"/>
    <n v="0"/>
    <n v="0"/>
  </r>
  <r>
    <x v="11"/>
    <x v="6"/>
    <x v="23"/>
    <x v="4"/>
    <x v="4"/>
    <x v="2"/>
    <n v="0"/>
    <n v="0.01"/>
    <n v="0"/>
    <n v="0"/>
  </r>
  <r>
    <x v="11"/>
    <x v="6"/>
    <x v="23"/>
    <x v="4"/>
    <x v="1"/>
    <x v="2"/>
    <n v="0.04"/>
    <n v="0.05"/>
    <n v="0"/>
    <n v="0.04"/>
  </r>
  <r>
    <x v="11"/>
    <x v="6"/>
    <x v="23"/>
    <x v="2"/>
    <x v="0"/>
    <x v="0"/>
    <n v="2.27"/>
    <n v="2.85"/>
    <n v="1.1100000000000001"/>
    <n v="2.0499999999999998"/>
  </r>
  <r>
    <x v="11"/>
    <x v="0"/>
    <x v="24"/>
    <x v="1"/>
    <x v="1"/>
    <x v="1"/>
    <n v="4.7300000000000004"/>
    <n v="7.01"/>
    <n v="0.17"/>
    <n v="4.26"/>
  </r>
  <r>
    <x v="11"/>
    <x v="0"/>
    <x v="24"/>
    <x v="1"/>
    <x v="2"/>
    <x v="1"/>
    <n v="12.37"/>
    <n v="18.32"/>
    <n v="0.06"/>
    <n v="11.13"/>
  </r>
  <r>
    <x v="11"/>
    <x v="0"/>
    <x v="24"/>
    <x v="3"/>
    <x v="0"/>
    <x v="0"/>
    <n v="9"/>
    <n v="13.33"/>
    <n v="3.11"/>
    <n v="8.1"/>
  </r>
  <r>
    <x v="11"/>
    <x v="0"/>
    <x v="24"/>
    <x v="3"/>
    <x v="4"/>
    <x v="0"/>
    <n v="12.3"/>
    <n v="18.22"/>
    <n v="3.95"/>
    <n v="11.07"/>
  </r>
  <r>
    <x v="11"/>
    <x v="0"/>
    <x v="24"/>
    <x v="3"/>
    <x v="1"/>
    <x v="0"/>
    <n v="0.02"/>
    <n v="0.03"/>
    <n v="0"/>
    <n v="0.02"/>
  </r>
  <r>
    <x v="11"/>
    <x v="0"/>
    <x v="24"/>
    <x v="4"/>
    <x v="0"/>
    <x v="0"/>
    <n v="0.43"/>
    <n v="0.63"/>
    <n v="7.0000000000000007E-2"/>
    <n v="0.38"/>
  </r>
  <r>
    <x v="11"/>
    <x v="0"/>
    <x v="24"/>
    <x v="4"/>
    <x v="4"/>
    <x v="0"/>
    <n v="23.45"/>
    <n v="34.74"/>
    <n v="5.29"/>
    <n v="21.1"/>
  </r>
  <r>
    <x v="11"/>
    <x v="0"/>
    <x v="24"/>
    <x v="2"/>
    <x v="4"/>
    <x v="0"/>
    <n v="6.46"/>
    <n v="9.58"/>
    <n v="1.71"/>
    <n v="5.82"/>
  </r>
  <r>
    <x v="11"/>
    <x v="0"/>
    <x v="24"/>
    <x v="4"/>
    <x v="4"/>
    <x v="2"/>
    <n v="0.15"/>
    <n v="0.23"/>
    <n v="0.01"/>
    <n v="0.14000000000000001"/>
  </r>
  <r>
    <x v="11"/>
    <x v="0"/>
    <x v="24"/>
    <x v="0"/>
    <x v="4"/>
    <x v="0"/>
    <n v="9.9600000000000009"/>
    <n v="14.76"/>
    <n v="3.08"/>
    <n v="8.9600000000000009"/>
  </r>
  <r>
    <x v="11"/>
    <x v="0"/>
    <x v="24"/>
    <x v="1"/>
    <x v="4"/>
    <x v="1"/>
    <n v="0.37"/>
    <n v="0.54"/>
    <n v="0.01"/>
    <n v="0.33"/>
  </r>
  <r>
    <x v="11"/>
    <x v="0"/>
    <x v="24"/>
    <x v="0"/>
    <x v="0"/>
    <x v="0"/>
    <n v="1.65"/>
    <n v="2.44"/>
    <n v="4.24"/>
    <n v="1.48"/>
  </r>
  <r>
    <x v="11"/>
    <x v="0"/>
    <x v="24"/>
    <x v="2"/>
    <x v="0"/>
    <x v="0"/>
    <n v="8.07"/>
    <n v="11.95"/>
    <n v="6.68"/>
    <n v="7.26"/>
  </r>
  <r>
    <x v="11"/>
    <x v="0"/>
    <x v="24"/>
    <x v="1"/>
    <x v="2"/>
    <x v="0"/>
    <n v="13.42"/>
    <n v="19.88"/>
    <n v="0.18"/>
    <n v="12.08"/>
  </r>
  <r>
    <x v="11"/>
    <x v="0"/>
    <x v="24"/>
    <x v="1"/>
    <x v="1"/>
    <x v="0"/>
    <n v="8.91"/>
    <n v="13.2"/>
    <n v="0.74"/>
    <n v="8.02"/>
  </r>
  <r>
    <x v="11"/>
    <x v="0"/>
    <x v="24"/>
    <x v="1"/>
    <x v="4"/>
    <x v="0"/>
    <n v="118.75"/>
    <n v="175.94"/>
    <n v="24.49"/>
    <n v="106.88"/>
  </r>
  <r>
    <x v="11"/>
    <x v="0"/>
    <x v="24"/>
    <x v="1"/>
    <x v="0"/>
    <x v="0"/>
    <n v="7.65"/>
    <n v="11.33"/>
    <n v="5.61"/>
    <n v="6.89"/>
  </r>
  <r>
    <x v="11"/>
    <x v="0"/>
    <x v="24"/>
    <x v="4"/>
    <x v="1"/>
    <x v="0"/>
    <n v="9.48"/>
    <n v="14.05"/>
    <n v="0.83"/>
    <n v="8.5299999999999994"/>
  </r>
  <r>
    <x v="11"/>
    <x v="0"/>
    <x v="24"/>
    <x v="2"/>
    <x v="3"/>
    <x v="2"/>
    <n v="1.77"/>
    <n v="2.63"/>
    <n v="0"/>
    <n v="1.6"/>
  </r>
  <r>
    <x v="11"/>
    <x v="0"/>
    <x v="24"/>
    <x v="1"/>
    <x v="0"/>
    <x v="1"/>
    <n v="0.13"/>
    <n v="0.19"/>
    <n v="0.01"/>
    <n v="0.12"/>
  </r>
  <r>
    <x v="11"/>
    <x v="0"/>
    <x v="24"/>
    <x v="4"/>
    <x v="2"/>
    <x v="2"/>
    <n v="0.15"/>
    <n v="0.22"/>
    <n v="0"/>
    <n v="0.13"/>
  </r>
  <r>
    <x v="11"/>
    <x v="0"/>
    <x v="24"/>
    <x v="1"/>
    <x v="4"/>
    <x v="2"/>
    <n v="0.54"/>
    <n v="0.79"/>
    <n v="0.03"/>
    <n v="0.48"/>
  </r>
  <r>
    <x v="11"/>
    <x v="0"/>
    <x v="24"/>
    <x v="2"/>
    <x v="3"/>
    <x v="3"/>
    <n v="15.62"/>
    <n v="23.15"/>
    <n v="0.01"/>
    <n v="14.06"/>
  </r>
  <r>
    <x v="11"/>
    <x v="0"/>
    <x v="24"/>
    <x v="4"/>
    <x v="0"/>
    <x v="1"/>
    <n v="0.87"/>
    <n v="1.3"/>
    <n v="0.06"/>
    <n v="0.79"/>
  </r>
  <r>
    <x v="11"/>
    <x v="0"/>
    <x v="24"/>
    <x v="4"/>
    <x v="4"/>
    <x v="1"/>
    <n v="0.23"/>
    <n v="0.34"/>
    <n v="0.02"/>
    <n v="0.2"/>
  </r>
  <r>
    <x v="11"/>
    <x v="0"/>
    <x v="24"/>
    <x v="4"/>
    <x v="1"/>
    <x v="1"/>
    <n v="0.06"/>
    <n v="0.09"/>
    <n v="0.01"/>
    <n v="0.06"/>
  </r>
  <r>
    <x v="11"/>
    <x v="0"/>
    <x v="24"/>
    <x v="0"/>
    <x v="0"/>
    <x v="1"/>
    <n v="1.97"/>
    <n v="2.91"/>
    <n v="0.05"/>
    <n v="1.77"/>
  </r>
  <r>
    <x v="11"/>
    <x v="0"/>
    <x v="24"/>
    <x v="0"/>
    <x v="4"/>
    <x v="1"/>
    <n v="0.15"/>
    <n v="0.23"/>
    <n v="0.02"/>
    <n v="0.14000000000000001"/>
  </r>
  <r>
    <x v="11"/>
    <x v="0"/>
    <x v="24"/>
    <x v="4"/>
    <x v="1"/>
    <x v="2"/>
    <n v="0.15"/>
    <n v="0.22"/>
    <n v="0.01"/>
    <n v="0.13"/>
  </r>
  <r>
    <x v="11"/>
    <x v="2"/>
    <x v="25"/>
    <x v="1"/>
    <x v="4"/>
    <x v="2"/>
    <n v="0.16"/>
    <n v="0.17"/>
    <n v="0"/>
    <n v="0.14000000000000001"/>
  </r>
  <r>
    <x v="11"/>
    <x v="2"/>
    <x v="25"/>
    <x v="1"/>
    <x v="0"/>
    <x v="1"/>
    <n v="0.37"/>
    <n v="0.4"/>
    <n v="0.02"/>
    <n v="0.33"/>
  </r>
  <r>
    <x v="11"/>
    <x v="2"/>
    <x v="25"/>
    <x v="1"/>
    <x v="2"/>
    <x v="1"/>
    <n v="0.61"/>
    <n v="0.66"/>
    <n v="0"/>
    <n v="0.55000000000000004"/>
  </r>
  <r>
    <x v="11"/>
    <x v="2"/>
    <x v="25"/>
    <x v="1"/>
    <x v="1"/>
    <x v="1"/>
    <n v="0.28999999999999998"/>
    <n v="0.31"/>
    <n v="0"/>
    <n v="0.26"/>
  </r>
  <r>
    <x v="11"/>
    <x v="2"/>
    <x v="25"/>
    <x v="1"/>
    <x v="4"/>
    <x v="1"/>
    <n v="0.09"/>
    <n v="0.09"/>
    <n v="0"/>
    <n v="0.08"/>
  </r>
  <r>
    <x v="11"/>
    <x v="2"/>
    <x v="25"/>
    <x v="0"/>
    <x v="4"/>
    <x v="1"/>
    <n v="0.1"/>
    <n v="0.11"/>
    <n v="0.01"/>
    <n v="0.09"/>
  </r>
  <r>
    <x v="11"/>
    <x v="2"/>
    <x v="25"/>
    <x v="4"/>
    <x v="1"/>
    <x v="1"/>
    <n v="7.0000000000000007E-2"/>
    <n v="0.08"/>
    <n v="0"/>
    <n v="0.06"/>
  </r>
  <r>
    <x v="11"/>
    <x v="2"/>
    <x v="25"/>
    <x v="4"/>
    <x v="0"/>
    <x v="1"/>
    <n v="0.01"/>
    <n v="0.01"/>
    <n v="0"/>
    <n v="0.01"/>
  </r>
  <r>
    <x v="11"/>
    <x v="2"/>
    <x v="25"/>
    <x v="2"/>
    <x v="3"/>
    <x v="1"/>
    <n v="0.02"/>
    <n v="0.02"/>
    <n v="0"/>
    <n v="0.02"/>
  </r>
  <r>
    <x v="11"/>
    <x v="2"/>
    <x v="25"/>
    <x v="2"/>
    <x v="3"/>
    <x v="2"/>
    <n v="2.38"/>
    <n v="2.59"/>
    <n v="0"/>
    <n v="2.14"/>
  </r>
  <r>
    <x v="11"/>
    <x v="2"/>
    <x v="25"/>
    <x v="0"/>
    <x v="4"/>
    <x v="0"/>
    <n v="62.41"/>
    <n v="67.94"/>
    <n v="13.03"/>
    <n v="56.17"/>
  </r>
  <r>
    <x v="11"/>
    <x v="2"/>
    <x v="25"/>
    <x v="4"/>
    <x v="4"/>
    <x v="2"/>
    <n v="7.0000000000000007E-2"/>
    <n v="7.0000000000000007E-2"/>
    <n v="0"/>
    <n v="0.06"/>
  </r>
  <r>
    <x v="11"/>
    <x v="2"/>
    <x v="25"/>
    <x v="2"/>
    <x v="3"/>
    <x v="3"/>
    <n v="25.2"/>
    <n v="27.43"/>
    <n v="0.02"/>
    <n v="22.68"/>
  </r>
  <r>
    <x v="11"/>
    <x v="2"/>
    <x v="25"/>
    <x v="3"/>
    <x v="0"/>
    <x v="0"/>
    <n v="10.73"/>
    <n v="11.68"/>
    <n v="5.96"/>
    <n v="9.66"/>
  </r>
  <r>
    <x v="11"/>
    <x v="2"/>
    <x v="25"/>
    <x v="3"/>
    <x v="4"/>
    <x v="0"/>
    <n v="66.98"/>
    <n v="72.92"/>
    <n v="13.54"/>
    <n v="60.28"/>
  </r>
  <r>
    <x v="11"/>
    <x v="2"/>
    <x v="25"/>
    <x v="3"/>
    <x v="1"/>
    <x v="0"/>
    <n v="1.51"/>
    <n v="1.65"/>
    <n v="0.13"/>
    <n v="1.36"/>
  </r>
  <r>
    <x v="11"/>
    <x v="2"/>
    <x v="25"/>
    <x v="4"/>
    <x v="4"/>
    <x v="0"/>
    <n v="114.59"/>
    <n v="124.74"/>
    <n v="11.93"/>
    <n v="103.13"/>
  </r>
  <r>
    <x v="11"/>
    <x v="2"/>
    <x v="25"/>
    <x v="0"/>
    <x v="0"/>
    <x v="0"/>
    <n v="9.5399999999999991"/>
    <n v="10.38"/>
    <n v="4.49"/>
    <n v="8.58"/>
  </r>
  <r>
    <x v="11"/>
    <x v="2"/>
    <x v="25"/>
    <x v="4"/>
    <x v="4"/>
    <x v="1"/>
    <n v="0.1"/>
    <n v="0.1"/>
    <n v="0"/>
    <n v="0.09"/>
  </r>
  <r>
    <x v="11"/>
    <x v="2"/>
    <x v="25"/>
    <x v="2"/>
    <x v="3"/>
    <x v="0"/>
    <n v="7.57"/>
    <n v="8.24"/>
    <n v="0.06"/>
    <n v="6.81"/>
  </r>
  <r>
    <x v="11"/>
    <x v="2"/>
    <x v="25"/>
    <x v="2"/>
    <x v="4"/>
    <x v="0"/>
    <n v="16.87"/>
    <n v="18.36"/>
    <n v="2.69"/>
    <n v="15.18"/>
  </r>
  <r>
    <x v="11"/>
    <x v="2"/>
    <x v="25"/>
    <x v="2"/>
    <x v="0"/>
    <x v="0"/>
    <n v="14.56"/>
    <n v="15.85"/>
    <n v="5.01"/>
    <n v="13.11"/>
  </r>
  <r>
    <x v="11"/>
    <x v="2"/>
    <x v="25"/>
    <x v="1"/>
    <x v="2"/>
    <x v="0"/>
    <n v="2.97"/>
    <n v="3.23"/>
    <n v="0.06"/>
    <n v="2.67"/>
  </r>
  <r>
    <x v="11"/>
    <x v="2"/>
    <x v="25"/>
    <x v="1"/>
    <x v="1"/>
    <x v="0"/>
    <n v="53.08"/>
    <n v="57.78"/>
    <n v="2.14"/>
    <n v="47.77"/>
  </r>
  <r>
    <x v="11"/>
    <x v="2"/>
    <x v="25"/>
    <x v="1"/>
    <x v="4"/>
    <x v="0"/>
    <n v="381.55"/>
    <n v="415.35"/>
    <n v="58.17"/>
    <n v="343.39"/>
  </r>
  <r>
    <x v="11"/>
    <x v="2"/>
    <x v="25"/>
    <x v="1"/>
    <x v="0"/>
    <x v="0"/>
    <n v="29.74"/>
    <n v="32.380000000000003"/>
    <n v="14.6"/>
    <n v="26.77"/>
  </r>
  <r>
    <x v="11"/>
    <x v="2"/>
    <x v="25"/>
    <x v="4"/>
    <x v="1"/>
    <x v="0"/>
    <n v="20.87"/>
    <n v="22.72"/>
    <n v="1"/>
    <n v="18.78"/>
  </r>
  <r>
    <x v="11"/>
    <x v="2"/>
    <x v="25"/>
    <x v="0"/>
    <x v="0"/>
    <x v="1"/>
    <n v="0.26"/>
    <n v="0.28000000000000003"/>
    <n v="0.01"/>
    <n v="0.23"/>
  </r>
  <r>
    <x v="11"/>
    <x v="1"/>
    <x v="26"/>
    <x v="1"/>
    <x v="1"/>
    <x v="1"/>
    <n v="0.12"/>
    <n v="0.14000000000000001"/>
    <n v="0.01"/>
    <n v="0.11"/>
  </r>
  <r>
    <x v="11"/>
    <x v="1"/>
    <x v="26"/>
    <x v="4"/>
    <x v="1"/>
    <x v="2"/>
    <n v="0.01"/>
    <n v="0.01"/>
    <n v="0"/>
    <n v="0.01"/>
  </r>
  <r>
    <x v="11"/>
    <x v="1"/>
    <x v="26"/>
    <x v="1"/>
    <x v="1"/>
    <x v="2"/>
    <n v="0.01"/>
    <n v="0.01"/>
    <n v="0"/>
    <n v="0.01"/>
  </r>
  <r>
    <x v="11"/>
    <x v="1"/>
    <x v="26"/>
    <x v="2"/>
    <x v="3"/>
    <x v="3"/>
    <n v="0.01"/>
    <n v="0.01"/>
    <n v="0"/>
    <n v="0.01"/>
  </r>
  <r>
    <x v="11"/>
    <x v="1"/>
    <x v="26"/>
    <x v="4"/>
    <x v="0"/>
    <x v="1"/>
    <n v="0.01"/>
    <n v="0.01"/>
    <n v="0"/>
    <n v="0.01"/>
  </r>
  <r>
    <x v="11"/>
    <x v="1"/>
    <x v="26"/>
    <x v="4"/>
    <x v="1"/>
    <x v="1"/>
    <n v="0.01"/>
    <n v="0.01"/>
    <n v="0"/>
    <n v="0.01"/>
  </r>
  <r>
    <x v="11"/>
    <x v="1"/>
    <x v="26"/>
    <x v="0"/>
    <x v="4"/>
    <x v="1"/>
    <n v="0.01"/>
    <n v="0.01"/>
    <n v="0"/>
    <n v="0.01"/>
  </r>
  <r>
    <x v="11"/>
    <x v="1"/>
    <x v="26"/>
    <x v="2"/>
    <x v="4"/>
    <x v="0"/>
    <n v="4.2300000000000004"/>
    <n v="4.78"/>
    <n v="0.93"/>
    <n v="3.81"/>
  </r>
  <r>
    <x v="11"/>
    <x v="1"/>
    <x v="26"/>
    <x v="1"/>
    <x v="2"/>
    <x v="1"/>
    <n v="0.06"/>
    <n v="7.0000000000000007E-2"/>
    <n v="0.01"/>
    <n v="0.06"/>
  </r>
  <r>
    <x v="11"/>
    <x v="1"/>
    <x v="26"/>
    <x v="2"/>
    <x v="3"/>
    <x v="1"/>
    <n v="0"/>
    <n v="0"/>
    <n v="0"/>
    <n v="0"/>
  </r>
  <r>
    <x v="11"/>
    <x v="1"/>
    <x v="26"/>
    <x v="3"/>
    <x v="1"/>
    <x v="0"/>
    <n v="0.02"/>
    <n v="0.02"/>
    <n v="0"/>
    <n v="0.01"/>
  </r>
  <r>
    <x v="11"/>
    <x v="1"/>
    <x v="26"/>
    <x v="4"/>
    <x v="4"/>
    <x v="0"/>
    <n v="10.99"/>
    <n v="12.4"/>
    <n v="1.57"/>
    <n v="9.89"/>
  </r>
  <r>
    <x v="11"/>
    <x v="1"/>
    <x v="26"/>
    <x v="4"/>
    <x v="1"/>
    <x v="0"/>
    <n v="1.07"/>
    <n v="1.21"/>
    <n v="0.05"/>
    <n v="0.97"/>
  </r>
  <r>
    <x v="11"/>
    <x v="1"/>
    <x v="26"/>
    <x v="0"/>
    <x v="0"/>
    <x v="0"/>
    <n v="0.19"/>
    <n v="0.21"/>
    <n v="0.06"/>
    <n v="0.17"/>
  </r>
  <r>
    <x v="11"/>
    <x v="1"/>
    <x v="26"/>
    <x v="0"/>
    <x v="4"/>
    <x v="0"/>
    <n v="7.81"/>
    <n v="8.82"/>
    <n v="2.1"/>
    <n v="7.03"/>
  </r>
  <r>
    <x v="11"/>
    <x v="1"/>
    <x v="26"/>
    <x v="2"/>
    <x v="0"/>
    <x v="0"/>
    <n v="0.91"/>
    <n v="1.03"/>
    <n v="0.47"/>
    <n v="0.82"/>
  </r>
  <r>
    <x v="11"/>
    <x v="1"/>
    <x v="26"/>
    <x v="3"/>
    <x v="4"/>
    <x v="0"/>
    <n v="2"/>
    <n v="2.2599999999999998"/>
    <n v="0.62"/>
    <n v="1.8"/>
  </r>
  <r>
    <x v="11"/>
    <x v="1"/>
    <x v="26"/>
    <x v="1"/>
    <x v="2"/>
    <x v="0"/>
    <n v="0.09"/>
    <n v="0.1"/>
    <n v="0"/>
    <n v="0.08"/>
  </r>
  <r>
    <x v="11"/>
    <x v="1"/>
    <x v="26"/>
    <x v="1"/>
    <x v="4"/>
    <x v="1"/>
    <n v="0.12"/>
    <n v="0.13"/>
    <n v="0.01"/>
    <n v="0.11"/>
  </r>
  <r>
    <x v="11"/>
    <x v="1"/>
    <x v="26"/>
    <x v="1"/>
    <x v="1"/>
    <x v="0"/>
    <n v="2.88"/>
    <n v="3.26"/>
    <n v="0.13"/>
    <n v="2.6"/>
  </r>
  <r>
    <x v="11"/>
    <x v="1"/>
    <x v="26"/>
    <x v="1"/>
    <x v="0"/>
    <x v="0"/>
    <n v="3"/>
    <n v="3.38"/>
    <n v="1.4"/>
    <n v="2.7"/>
  </r>
  <r>
    <x v="11"/>
    <x v="1"/>
    <x v="26"/>
    <x v="1"/>
    <x v="4"/>
    <x v="0"/>
    <n v="24.25"/>
    <n v="27.38"/>
    <n v="3.51"/>
    <n v="21.83"/>
  </r>
  <r>
    <x v="11"/>
    <x v="2"/>
    <x v="27"/>
    <x v="1"/>
    <x v="0"/>
    <x v="1"/>
    <n v="0.06"/>
    <n v="0.08"/>
    <n v="0"/>
    <n v="0.05"/>
  </r>
  <r>
    <x v="11"/>
    <x v="2"/>
    <x v="27"/>
    <x v="2"/>
    <x v="3"/>
    <x v="1"/>
    <n v="0.01"/>
    <n v="0.01"/>
    <n v="0"/>
    <n v="0.01"/>
  </r>
  <r>
    <x v="11"/>
    <x v="2"/>
    <x v="27"/>
    <x v="1"/>
    <x v="2"/>
    <x v="1"/>
    <n v="0.02"/>
    <n v="0.03"/>
    <n v="0"/>
    <n v="0.02"/>
  </r>
  <r>
    <x v="11"/>
    <x v="2"/>
    <x v="27"/>
    <x v="1"/>
    <x v="4"/>
    <x v="1"/>
    <n v="0.03"/>
    <n v="0.03"/>
    <n v="0"/>
    <n v="0.02"/>
  </r>
  <r>
    <x v="11"/>
    <x v="2"/>
    <x v="27"/>
    <x v="0"/>
    <x v="4"/>
    <x v="1"/>
    <n v="0.01"/>
    <n v="0.02"/>
    <n v="0"/>
    <n v="0.01"/>
  </r>
  <r>
    <x v="11"/>
    <x v="2"/>
    <x v="27"/>
    <x v="1"/>
    <x v="1"/>
    <x v="0"/>
    <n v="6.5"/>
    <n v="8.74"/>
    <n v="0.36"/>
    <n v="5.85"/>
  </r>
  <r>
    <x v="11"/>
    <x v="2"/>
    <x v="27"/>
    <x v="1"/>
    <x v="1"/>
    <x v="1"/>
    <n v="0.05"/>
    <n v="0.06"/>
    <n v="0"/>
    <n v="0.04"/>
  </r>
  <r>
    <x v="11"/>
    <x v="2"/>
    <x v="27"/>
    <x v="3"/>
    <x v="0"/>
    <x v="0"/>
    <n v="3"/>
    <n v="4.04"/>
    <n v="0.57999999999999996"/>
    <n v="2.7"/>
  </r>
  <r>
    <x v="11"/>
    <x v="2"/>
    <x v="27"/>
    <x v="3"/>
    <x v="4"/>
    <x v="0"/>
    <n v="4.28"/>
    <n v="5.75"/>
    <n v="1.47"/>
    <n v="3.85"/>
  </r>
  <r>
    <x v="11"/>
    <x v="2"/>
    <x v="27"/>
    <x v="3"/>
    <x v="1"/>
    <x v="0"/>
    <n v="0.16"/>
    <n v="0.21"/>
    <n v="0.02"/>
    <n v="0.14000000000000001"/>
  </r>
  <r>
    <x v="11"/>
    <x v="2"/>
    <x v="27"/>
    <x v="4"/>
    <x v="4"/>
    <x v="0"/>
    <n v="23.21"/>
    <n v="31.22"/>
    <n v="2.36"/>
    <n v="20.89"/>
  </r>
  <r>
    <x v="11"/>
    <x v="2"/>
    <x v="27"/>
    <x v="4"/>
    <x v="1"/>
    <x v="0"/>
    <n v="3.49"/>
    <n v="4.7"/>
    <n v="0.17"/>
    <n v="3.14"/>
  </r>
  <r>
    <x v="11"/>
    <x v="2"/>
    <x v="27"/>
    <x v="0"/>
    <x v="0"/>
    <x v="0"/>
    <n v="1.42"/>
    <n v="1.91"/>
    <n v="0.63"/>
    <n v="1.28"/>
  </r>
  <r>
    <x v="11"/>
    <x v="2"/>
    <x v="27"/>
    <x v="0"/>
    <x v="4"/>
    <x v="0"/>
    <n v="7.79"/>
    <n v="10.48"/>
    <n v="1.67"/>
    <n v="7.01"/>
  </r>
  <r>
    <x v="11"/>
    <x v="2"/>
    <x v="27"/>
    <x v="0"/>
    <x v="0"/>
    <x v="1"/>
    <n v="0.14000000000000001"/>
    <n v="0.19"/>
    <n v="0"/>
    <n v="0.12"/>
  </r>
  <r>
    <x v="11"/>
    <x v="2"/>
    <x v="27"/>
    <x v="1"/>
    <x v="4"/>
    <x v="0"/>
    <n v="60.07"/>
    <n v="80.8"/>
    <n v="10.81"/>
    <n v="54.07"/>
  </r>
  <r>
    <x v="11"/>
    <x v="2"/>
    <x v="27"/>
    <x v="4"/>
    <x v="0"/>
    <x v="1"/>
    <n v="0"/>
    <n v="0"/>
    <n v="0"/>
    <n v="0"/>
  </r>
  <r>
    <x v="11"/>
    <x v="2"/>
    <x v="27"/>
    <x v="2"/>
    <x v="0"/>
    <x v="0"/>
    <n v="2.29"/>
    <n v="3.08"/>
    <n v="0.85"/>
    <n v="2.06"/>
  </r>
  <r>
    <x v="11"/>
    <x v="2"/>
    <x v="27"/>
    <x v="2"/>
    <x v="4"/>
    <x v="0"/>
    <n v="3.39"/>
    <n v="4.57"/>
    <n v="0.41"/>
    <n v="3.06"/>
  </r>
  <r>
    <x v="11"/>
    <x v="2"/>
    <x v="27"/>
    <x v="2"/>
    <x v="3"/>
    <x v="0"/>
    <n v="4.67"/>
    <n v="6.28"/>
    <n v="0.05"/>
    <n v="4.2"/>
  </r>
  <r>
    <x v="11"/>
    <x v="2"/>
    <x v="27"/>
    <x v="1"/>
    <x v="0"/>
    <x v="0"/>
    <n v="3.58"/>
    <n v="4.82"/>
    <n v="2.0099999999999998"/>
    <n v="3.22"/>
  </r>
  <r>
    <x v="11"/>
    <x v="2"/>
    <x v="27"/>
    <x v="4"/>
    <x v="4"/>
    <x v="1"/>
    <n v="0.04"/>
    <n v="0.05"/>
    <n v="0"/>
    <n v="0.04"/>
  </r>
  <r>
    <x v="11"/>
    <x v="2"/>
    <x v="27"/>
    <x v="2"/>
    <x v="3"/>
    <x v="3"/>
    <n v="4.2699999999999996"/>
    <n v="5.74"/>
    <n v="0"/>
    <n v="3.84"/>
  </r>
  <r>
    <x v="11"/>
    <x v="2"/>
    <x v="27"/>
    <x v="1"/>
    <x v="4"/>
    <x v="2"/>
    <n v="1.64"/>
    <n v="2.21"/>
    <n v="0.03"/>
    <n v="1.48"/>
  </r>
  <r>
    <x v="11"/>
    <x v="2"/>
    <x v="27"/>
    <x v="4"/>
    <x v="1"/>
    <x v="2"/>
    <n v="0.02"/>
    <n v="0.02"/>
    <n v="0"/>
    <n v="0.01"/>
  </r>
  <r>
    <x v="11"/>
    <x v="2"/>
    <x v="27"/>
    <x v="4"/>
    <x v="4"/>
    <x v="2"/>
    <n v="0.17"/>
    <n v="0.23"/>
    <n v="0.01"/>
    <n v="0.15"/>
  </r>
  <r>
    <x v="11"/>
    <x v="2"/>
    <x v="27"/>
    <x v="4"/>
    <x v="1"/>
    <x v="1"/>
    <n v="0.03"/>
    <n v="0.04"/>
    <n v="0"/>
    <n v="0.03"/>
  </r>
  <r>
    <x v="11"/>
    <x v="5"/>
    <x v="28"/>
    <x v="2"/>
    <x v="3"/>
    <x v="2"/>
    <n v="3.83"/>
    <n v="4.12"/>
    <n v="0"/>
    <n v="3.44"/>
  </r>
  <r>
    <x v="11"/>
    <x v="5"/>
    <x v="28"/>
    <x v="1"/>
    <x v="2"/>
    <x v="1"/>
    <n v="0.82"/>
    <n v="0.88"/>
    <n v="0"/>
    <n v="0.73"/>
  </r>
  <r>
    <x v="11"/>
    <x v="5"/>
    <x v="28"/>
    <x v="1"/>
    <x v="1"/>
    <x v="1"/>
    <n v="0.28999999999999998"/>
    <n v="0.31"/>
    <n v="0"/>
    <n v="0.26"/>
  </r>
  <r>
    <x v="11"/>
    <x v="5"/>
    <x v="28"/>
    <x v="1"/>
    <x v="4"/>
    <x v="1"/>
    <n v="0.02"/>
    <n v="0.02"/>
    <n v="0"/>
    <n v="0.01"/>
  </r>
  <r>
    <x v="11"/>
    <x v="5"/>
    <x v="28"/>
    <x v="1"/>
    <x v="0"/>
    <x v="1"/>
    <n v="0.48"/>
    <n v="0.51"/>
    <n v="0.01"/>
    <n v="0.43"/>
  </r>
  <r>
    <x v="11"/>
    <x v="5"/>
    <x v="28"/>
    <x v="0"/>
    <x v="4"/>
    <x v="1"/>
    <n v="7.0000000000000007E-2"/>
    <n v="0.08"/>
    <n v="0.01"/>
    <n v="7.0000000000000007E-2"/>
  </r>
  <r>
    <x v="11"/>
    <x v="5"/>
    <x v="28"/>
    <x v="0"/>
    <x v="0"/>
    <x v="1"/>
    <n v="0.6"/>
    <n v="0.64"/>
    <n v="0.01"/>
    <n v="0.54"/>
  </r>
  <r>
    <x v="11"/>
    <x v="5"/>
    <x v="28"/>
    <x v="4"/>
    <x v="1"/>
    <x v="1"/>
    <n v="0.53"/>
    <n v="0.57999999999999996"/>
    <n v="0"/>
    <n v="0.48"/>
  </r>
  <r>
    <x v="11"/>
    <x v="5"/>
    <x v="28"/>
    <x v="4"/>
    <x v="4"/>
    <x v="1"/>
    <n v="0.94"/>
    <n v="1.01"/>
    <n v="0.01"/>
    <n v="0.85"/>
  </r>
  <r>
    <x v="11"/>
    <x v="5"/>
    <x v="28"/>
    <x v="2"/>
    <x v="3"/>
    <x v="3"/>
    <n v="2.92"/>
    <n v="3.14"/>
    <n v="0"/>
    <n v="2.62"/>
  </r>
  <r>
    <x v="11"/>
    <x v="5"/>
    <x v="28"/>
    <x v="3"/>
    <x v="4"/>
    <x v="0"/>
    <n v="5.18"/>
    <n v="5.58"/>
    <n v="1.59"/>
    <n v="4.66"/>
  </r>
  <r>
    <x v="11"/>
    <x v="5"/>
    <x v="28"/>
    <x v="1"/>
    <x v="4"/>
    <x v="2"/>
    <n v="0.01"/>
    <n v="0.01"/>
    <n v="0"/>
    <n v="0.01"/>
  </r>
  <r>
    <x v="11"/>
    <x v="5"/>
    <x v="28"/>
    <x v="4"/>
    <x v="2"/>
    <x v="2"/>
    <n v="0.01"/>
    <n v="0.01"/>
    <n v="0"/>
    <n v="0.01"/>
  </r>
  <r>
    <x v="11"/>
    <x v="5"/>
    <x v="28"/>
    <x v="4"/>
    <x v="1"/>
    <x v="2"/>
    <n v="0.26"/>
    <n v="0.28000000000000003"/>
    <n v="0"/>
    <n v="0.24"/>
  </r>
  <r>
    <x v="11"/>
    <x v="5"/>
    <x v="28"/>
    <x v="4"/>
    <x v="0"/>
    <x v="1"/>
    <n v="0.01"/>
    <n v="0.01"/>
    <n v="0"/>
    <n v="0.01"/>
  </r>
  <r>
    <x v="11"/>
    <x v="5"/>
    <x v="28"/>
    <x v="1"/>
    <x v="1"/>
    <x v="0"/>
    <n v="20.21"/>
    <n v="21.78"/>
    <n v="1.28"/>
    <n v="18.190000000000001"/>
  </r>
  <r>
    <x v="11"/>
    <x v="5"/>
    <x v="28"/>
    <x v="4"/>
    <x v="4"/>
    <x v="2"/>
    <n v="0.28000000000000003"/>
    <n v="0.3"/>
    <n v="0"/>
    <n v="0.25"/>
  </r>
  <r>
    <x v="11"/>
    <x v="5"/>
    <x v="28"/>
    <x v="2"/>
    <x v="3"/>
    <x v="0"/>
    <n v="6"/>
    <n v="6.47"/>
    <n v="0.06"/>
    <n v="5.4"/>
  </r>
  <r>
    <x v="11"/>
    <x v="5"/>
    <x v="28"/>
    <x v="2"/>
    <x v="4"/>
    <x v="0"/>
    <n v="5.42"/>
    <n v="5.84"/>
    <n v="1.02"/>
    <n v="4.88"/>
  </r>
  <r>
    <x v="11"/>
    <x v="5"/>
    <x v="28"/>
    <x v="2"/>
    <x v="3"/>
    <x v="1"/>
    <n v="0.16"/>
    <n v="0.18"/>
    <n v="0"/>
    <n v="0.15"/>
  </r>
  <r>
    <x v="11"/>
    <x v="5"/>
    <x v="28"/>
    <x v="1"/>
    <x v="2"/>
    <x v="0"/>
    <n v="0.52"/>
    <n v="0.56000000000000005"/>
    <n v="0.02"/>
    <n v="0.47"/>
  </r>
  <r>
    <x v="11"/>
    <x v="5"/>
    <x v="28"/>
    <x v="3"/>
    <x v="0"/>
    <x v="0"/>
    <n v="3.97"/>
    <n v="4.2699999999999996"/>
    <n v="0.97"/>
    <n v="3.57"/>
  </r>
  <r>
    <x v="11"/>
    <x v="5"/>
    <x v="28"/>
    <x v="1"/>
    <x v="4"/>
    <x v="0"/>
    <n v="122.23"/>
    <n v="131.71"/>
    <n v="30.14"/>
    <n v="110.01"/>
  </r>
  <r>
    <x v="11"/>
    <x v="5"/>
    <x v="28"/>
    <x v="1"/>
    <x v="0"/>
    <x v="0"/>
    <n v="9.64"/>
    <n v="10.39"/>
    <n v="5.84"/>
    <n v="8.68"/>
  </r>
  <r>
    <x v="11"/>
    <x v="5"/>
    <x v="28"/>
    <x v="0"/>
    <x v="4"/>
    <x v="0"/>
    <n v="10.33"/>
    <n v="11.14"/>
    <n v="2.79"/>
    <n v="9.3000000000000007"/>
  </r>
  <r>
    <x v="11"/>
    <x v="5"/>
    <x v="28"/>
    <x v="0"/>
    <x v="0"/>
    <x v="0"/>
    <n v="3.14"/>
    <n v="3.38"/>
    <n v="1.67"/>
    <n v="2.83"/>
  </r>
  <r>
    <x v="11"/>
    <x v="5"/>
    <x v="28"/>
    <x v="4"/>
    <x v="1"/>
    <x v="0"/>
    <n v="3.65"/>
    <n v="3.94"/>
    <n v="0.2"/>
    <n v="3.29"/>
  </r>
  <r>
    <x v="11"/>
    <x v="5"/>
    <x v="28"/>
    <x v="4"/>
    <x v="4"/>
    <x v="0"/>
    <n v="38.369999999999997"/>
    <n v="41.34"/>
    <n v="4.78"/>
    <n v="34.53"/>
  </r>
  <r>
    <x v="11"/>
    <x v="5"/>
    <x v="28"/>
    <x v="3"/>
    <x v="1"/>
    <x v="0"/>
    <n v="0"/>
    <n v="0"/>
    <n v="0"/>
    <n v="0"/>
  </r>
  <r>
    <x v="11"/>
    <x v="5"/>
    <x v="28"/>
    <x v="2"/>
    <x v="0"/>
    <x v="0"/>
    <n v="5.64"/>
    <n v="6.08"/>
    <n v="3.32"/>
    <n v="5.08"/>
  </r>
  <r>
    <x v="11"/>
    <x v="2"/>
    <x v="29"/>
    <x v="1"/>
    <x v="1"/>
    <x v="0"/>
    <n v="2.25"/>
    <n v="2.4500000000000002"/>
    <n v="0.21"/>
    <n v="2.0299999999999998"/>
  </r>
  <r>
    <x v="11"/>
    <x v="2"/>
    <x v="29"/>
    <x v="0"/>
    <x v="0"/>
    <x v="0"/>
    <n v="1.82"/>
    <n v="1.98"/>
    <n v="0.87"/>
    <n v="1.64"/>
  </r>
  <r>
    <x v="11"/>
    <x v="2"/>
    <x v="29"/>
    <x v="2"/>
    <x v="3"/>
    <x v="0"/>
    <n v="16.98"/>
    <n v="18.48"/>
    <n v="0.14000000000000001"/>
    <n v="15.28"/>
  </r>
  <r>
    <x v="11"/>
    <x v="2"/>
    <x v="29"/>
    <x v="2"/>
    <x v="4"/>
    <x v="0"/>
    <n v="2.77"/>
    <n v="3.01"/>
    <n v="0.35"/>
    <n v="2.4900000000000002"/>
  </r>
  <r>
    <x v="11"/>
    <x v="2"/>
    <x v="29"/>
    <x v="2"/>
    <x v="0"/>
    <x v="0"/>
    <n v="2.79"/>
    <n v="3.04"/>
    <n v="1.4"/>
    <n v="2.5099999999999998"/>
  </r>
  <r>
    <x v="11"/>
    <x v="2"/>
    <x v="29"/>
    <x v="1"/>
    <x v="2"/>
    <x v="0"/>
    <n v="0.14000000000000001"/>
    <n v="0.15"/>
    <n v="0"/>
    <n v="0.12"/>
  </r>
  <r>
    <x v="11"/>
    <x v="2"/>
    <x v="29"/>
    <x v="2"/>
    <x v="3"/>
    <x v="2"/>
    <n v="0.01"/>
    <n v="0.01"/>
    <n v="0"/>
    <n v="0.01"/>
  </r>
  <r>
    <x v="11"/>
    <x v="2"/>
    <x v="29"/>
    <x v="1"/>
    <x v="4"/>
    <x v="0"/>
    <n v="36.1"/>
    <n v="39.299999999999997"/>
    <n v="6.77"/>
    <n v="32.49"/>
  </r>
  <r>
    <x v="11"/>
    <x v="2"/>
    <x v="29"/>
    <x v="1"/>
    <x v="0"/>
    <x v="0"/>
    <n v="3.46"/>
    <n v="3.76"/>
    <n v="1.6"/>
    <n v="3.11"/>
  </r>
  <r>
    <x v="11"/>
    <x v="2"/>
    <x v="29"/>
    <x v="4"/>
    <x v="4"/>
    <x v="2"/>
    <n v="0.01"/>
    <n v="0.02"/>
    <n v="0"/>
    <n v="0.01"/>
  </r>
  <r>
    <x v="11"/>
    <x v="2"/>
    <x v="29"/>
    <x v="4"/>
    <x v="1"/>
    <x v="2"/>
    <n v="0"/>
    <n v="0"/>
    <n v="0"/>
    <n v="0"/>
  </r>
  <r>
    <x v="11"/>
    <x v="2"/>
    <x v="29"/>
    <x v="1"/>
    <x v="4"/>
    <x v="2"/>
    <n v="0.09"/>
    <n v="0.1"/>
    <n v="0"/>
    <n v="0.08"/>
  </r>
  <r>
    <x v="11"/>
    <x v="2"/>
    <x v="29"/>
    <x v="4"/>
    <x v="0"/>
    <x v="1"/>
    <n v="0"/>
    <n v="0"/>
    <n v="0"/>
    <n v="0"/>
  </r>
  <r>
    <x v="11"/>
    <x v="2"/>
    <x v="29"/>
    <x v="4"/>
    <x v="4"/>
    <x v="1"/>
    <n v="0.01"/>
    <n v="0.01"/>
    <n v="0"/>
    <n v="0.01"/>
  </r>
  <r>
    <x v="11"/>
    <x v="2"/>
    <x v="29"/>
    <x v="0"/>
    <x v="0"/>
    <x v="1"/>
    <n v="0.08"/>
    <n v="0.09"/>
    <n v="0"/>
    <n v="7.0000000000000007E-2"/>
  </r>
  <r>
    <x v="11"/>
    <x v="2"/>
    <x v="29"/>
    <x v="0"/>
    <x v="4"/>
    <x v="1"/>
    <n v="0.01"/>
    <n v="0.01"/>
    <n v="0"/>
    <n v="0.01"/>
  </r>
  <r>
    <x v="11"/>
    <x v="2"/>
    <x v="29"/>
    <x v="1"/>
    <x v="0"/>
    <x v="1"/>
    <n v="7.0000000000000007E-2"/>
    <n v="0.08"/>
    <n v="0"/>
    <n v="7.0000000000000007E-2"/>
  </r>
  <r>
    <x v="11"/>
    <x v="2"/>
    <x v="29"/>
    <x v="4"/>
    <x v="4"/>
    <x v="0"/>
    <n v="8.48"/>
    <n v="9.23"/>
    <n v="0.96"/>
    <n v="7.63"/>
  </r>
  <r>
    <x v="11"/>
    <x v="2"/>
    <x v="29"/>
    <x v="0"/>
    <x v="4"/>
    <x v="0"/>
    <n v="5.46"/>
    <n v="5.95"/>
    <n v="1.23"/>
    <n v="4.92"/>
  </r>
  <r>
    <x v="11"/>
    <x v="2"/>
    <x v="29"/>
    <x v="4"/>
    <x v="2"/>
    <x v="2"/>
    <n v="0"/>
    <n v="0"/>
    <n v="0"/>
    <n v="0"/>
  </r>
  <r>
    <x v="11"/>
    <x v="2"/>
    <x v="29"/>
    <x v="1"/>
    <x v="4"/>
    <x v="1"/>
    <n v="0.02"/>
    <n v="0.02"/>
    <n v="0"/>
    <n v="0.02"/>
  </r>
  <r>
    <x v="11"/>
    <x v="2"/>
    <x v="29"/>
    <x v="4"/>
    <x v="1"/>
    <x v="0"/>
    <n v="0.13"/>
    <n v="0.14000000000000001"/>
    <n v="0.01"/>
    <n v="0.12"/>
  </r>
  <r>
    <x v="11"/>
    <x v="2"/>
    <x v="29"/>
    <x v="3"/>
    <x v="4"/>
    <x v="0"/>
    <n v="0.96"/>
    <n v="1.04"/>
    <n v="0.31"/>
    <n v="0.86"/>
  </r>
  <r>
    <x v="11"/>
    <x v="2"/>
    <x v="29"/>
    <x v="3"/>
    <x v="0"/>
    <x v="0"/>
    <n v="0.82"/>
    <n v="0.89"/>
    <n v="0.15"/>
    <n v="0.74"/>
  </r>
  <r>
    <x v="11"/>
    <x v="2"/>
    <x v="29"/>
    <x v="2"/>
    <x v="3"/>
    <x v="1"/>
    <n v="0"/>
    <n v="0"/>
    <n v="0"/>
    <n v="0"/>
  </r>
  <r>
    <x v="11"/>
    <x v="2"/>
    <x v="29"/>
    <x v="1"/>
    <x v="2"/>
    <x v="1"/>
    <n v="0.12"/>
    <n v="0.13"/>
    <n v="0"/>
    <n v="0.11"/>
  </r>
  <r>
    <x v="11"/>
    <x v="2"/>
    <x v="29"/>
    <x v="1"/>
    <x v="1"/>
    <x v="1"/>
    <n v="0.08"/>
    <n v="0.09"/>
    <n v="0"/>
    <n v="7.0000000000000007E-2"/>
  </r>
  <r>
    <x v="11"/>
    <x v="5"/>
    <x v="30"/>
    <x v="3"/>
    <x v="4"/>
    <x v="0"/>
    <n v="9.74"/>
    <n v="10.61"/>
    <n v="2.16"/>
    <n v="8.77"/>
  </r>
  <r>
    <x v="11"/>
    <x v="5"/>
    <x v="30"/>
    <x v="2"/>
    <x v="3"/>
    <x v="0"/>
    <n v="0.1"/>
    <n v="0.11"/>
    <n v="0.04"/>
    <n v="0.09"/>
  </r>
  <r>
    <x v="11"/>
    <x v="5"/>
    <x v="30"/>
    <x v="0"/>
    <x v="4"/>
    <x v="0"/>
    <n v="16.29"/>
    <n v="17.73"/>
    <n v="5.31"/>
    <n v="14.66"/>
  </r>
  <r>
    <x v="11"/>
    <x v="5"/>
    <x v="30"/>
    <x v="4"/>
    <x v="4"/>
    <x v="0"/>
    <n v="65.11"/>
    <n v="70.88"/>
    <n v="9.0500000000000007"/>
    <n v="58.6"/>
  </r>
  <r>
    <x v="11"/>
    <x v="5"/>
    <x v="30"/>
    <x v="4"/>
    <x v="4"/>
    <x v="2"/>
    <n v="0.28999999999999998"/>
    <n v="0.31"/>
    <n v="0.02"/>
    <n v="0.26"/>
  </r>
  <r>
    <x v="11"/>
    <x v="5"/>
    <x v="30"/>
    <x v="0"/>
    <x v="0"/>
    <x v="0"/>
    <n v="4.92"/>
    <n v="5.36"/>
    <n v="3.07"/>
    <n v="4.43"/>
  </r>
  <r>
    <x v="11"/>
    <x v="5"/>
    <x v="30"/>
    <x v="3"/>
    <x v="1"/>
    <x v="0"/>
    <n v="0.01"/>
    <n v="0.01"/>
    <n v="0"/>
    <n v="0.01"/>
  </r>
  <r>
    <x v="11"/>
    <x v="5"/>
    <x v="30"/>
    <x v="1"/>
    <x v="0"/>
    <x v="0"/>
    <n v="14.91"/>
    <n v="16.239999999999998"/>
    <n v="10.6"/>
    <n v="13.42"/>
  </r>
  <r>
    <x v="11"/>
    <x v="5"/>
    <x v="30"/>
    <x v="1"/>
    <x v="4"/>
    <x v="0"/>
    <n v="278.62"/>
    <n v="303.3"/>
    <n v="76.13"/>
    <n v="250.76"/>
  </r>
  <r>
    <x v="11"/>
    <x v="5"/>
    <x v="30"/>
    <x v="1"/>
    <x v="1"/>
    <x v="0"/>
    <n v="38.5"/>
    <n v="41.91"/>
    <n v="3.3"/>
    <n v="34.65"/>
  </r>
  <r>
    <x v="11"/>
    <x v="5"/>
    <x v="30"/>
    <x v="2"/>
    <x v="4"/>
    <x v="0"/>
    <n v="8.2200000000000006"/>
    <n v="8.9499999999999993"/>
    <n v="1.5"/>
    <n v="7.4"/>
  </r>
  <r>
    <x v="11"/>
    <x v="5"/>
    <x v="30"/>
    <x v="4"/>
    <x v="1"/>
    <x v="2"/>
    <n v="0.24"/>
    <n v="0.27"/>
    <n v="0.01"/>
    <n v="0.22"/>
  </r>
  <r>
    <x v="11"/>
    <x v="5"/>
    <x v="30"/>
    <x v="3"/>
    <x v="0"/>
    <x v="0"/>
    <n v="2.78"/>
    <n v="3.03"/>
    <n v="0.73"/>
    <n v="2.5"/>
  </r>
  <r>
    <x v="11"/>
    <x v="5"/>
    <x v="30"/>
    <x v="4"/>
    <x v="1"/>
    <x v="0"/>
    <n v="7.56"/>
    <n v="8.23"/>
    <n v="0.41"/>
    <n v="6.81"/>
  </r>
  <r>
    <x v="11"/>
    <x v="5"/>
    <x v="30"/>
    <x v="2"/>
    <x v="0"/>
    <x v="0"/>
    <n v="5.1100000000000003"/>
    <n v="5.56"/>
    <n v="3.76"/>
    <n v="4.5999999999999996"/>
  </r>
  <r>
    <x v="11"/>
    <x v="5"/>
    <x v="30"/>
    <x v="1"/>
    <x v="4"/>
    <x v="2"/>
    <n v="0.01"/>
    <n v="0.01"/>
    <n v="0"/>
    <n v="0.01"/>
  </r>
  <r>
    <x v="11"/>
    <x v="5"/>
    <x v="30"/>
    <x v="4"/>
    <x v="1"/>
    <x v="1"/>
    <n v="0.56000000000000005"/>
    <n v="0.61"/>
    <n v="0"/>
    <n v="0.5"/>
  </r>
  <r>
    <x v="11"/>
    <x v="5"/>
    <x v="30"/>
    <x v="2"/>
    <x v="3"/>
    <x v="1"/>
    <n v="0.16"/>
    <n v="0.17"/>
    <n v="0"/>
    <n v="0.14000000000000001"/>
  </r>
  <r>
    <x v="11"/>
    <x v="5"/>
    <x v="30"/>
    <x v="4"/>
    <x v="2"/>
    <x v="2"/>
    <n v="0.2"/>
    <n v="0.21"/>
    <n v="0"/>
    <n v="0.18"/>
  </r>
  <r>
    <x v="11"/>
    <x v="5"/>
    <x v="30"/>
    <x v="2"/>
    <x v="3"/>
    <x v="2"/>
    <n v="0.09"/>
    <n v="0.1"/>
    <n v="0"/>
    <n v="0.08"/>
  </r>
  <r>
    <x v="11"/>
    <x v="5"/>
    <x v="30"/>
    <x v="2"/>
    <x v="3"/>
    <x v="3"/>
    <n v="1.5"/>
    <n v="1.64"/>
    <n v="0"/>
    <n v="1.35"/>
  </r>
  <r>
    <x v="11"/>
    <x v="5"/>
    <x v="30"/>
    <x v="4"/>
    <x v="0"/>
    <x v="1"/>
    <n v="0.01"/>
    <n v="0.02"/>
    <n v="0"/>
    <n v="0.01"/>
  </r>
  <r>
    <x v="11"/>
    <x v="5"/>
    <x v="30"/>
    <x v="0"/>
    <x v="4"/>
    <x v="1"/>
    <n v="0.06"/>
    <n v="7.0000000000000007E-2"/>
    <n v="0"/>
    <n v="0.05"/>
  </r>
  <r>
    <x v="11"/>
    <x v="5"/>
    <x v="30"/>
    <x v="1"/>
    <x v="0"/>
    <x v="1"/>
    <n v="0.44"/>
    <n v="0.48"/>
    <n v="0.01"/>
    <n v="0.4"/>
  </r>
  <r>
    <x v="11"/>
    <x v="5"/>
    <x v="30"/>
    <x v="1"/>
    <x v="4"/>
    <x v="1"/>
    <n v="0.17"/>
    <n v="0.19"/>
    <n v="0"/>
    <n v="0.16"/>
  </r>
  <r>
    <x v="11"/>
    <x v="5"/>
    <x v="30"/>
    <x v="1"/>
    <x v="1"/>
    <x v="1"/>
    <n v="0.25"/>
    <n v="0.28000000000000003"/>
    <n v="0"/>
    <n v="0.23"/>
  </r>
  <r>
    <x v="11"/>
    <x v="5"/>
    <x v="30"/>
    <x v="1"/>
    <x v="2"/>
    <x v="1"/>
    <n v="0.92"/>
    <n v="1"/>
    <n v="0"/>
    <n v="0.83"/>
  </r>
  <r>
    <x v="11"/>
    <x v="5"/>
    <x v="30"/>
    <x v="0"/>
    <x v="0"/>
    <x v="1"/>
    <n v="0.81"/>
    <n v="0.88"/>
    <n v="0.01"/>
    <n v="0.73"/>
  </r>
  <r>
    <x v="11"/>
    <x v="5"/>
    <x v="30"/>
    <x v="4"/>
    <x v="4"/>
    <x v="1"/>
    <n v="0.85"/>
    <n v="0.92"/>
    <n v="0.01"/>
    <n v="0.76"/>
  </r>
  <r>
    <x v="11"/>
    <x v="6"/>
    <x v="31"/>
    <x v="4"/>
    <x v="4"/>
    <x v="2"/>
    <n v="0.15"/>
    <n v="0.15"/>
    <n v="0.01"/>
    <n v="0.14000000000000001"/>
  </r>
  <r>
    <x v="11"/>
    <x v="6"/>
    <x v="31"/>
    <x v="2"/>
    <x v="3"/>
    <x v="0"/>
    <n v="7.91"/>
    <n v="7.91"/>
    <n v="7.0000000000000007E-2"/>
    <n v="7.12"/>
  </r>
  <r>
    <x v="11"/>
    <x v="6"/>
    <x v="31"/>
    <x v="4"/>
    <x v="0"/>
    <x v="1"/>
    <n v="0.09"/>
    <n v="0.09"/>
    <n v="0.01"/>
    <n v="0.08"/>
  </r>
  <r>
    <x v="11"/>
    <x v="6"/>
    <x v="31"/>
    <x v="2"/>
    <x v="3"/>
    <x v="3"/>
    <n v="9.31"/>
    <n v="9.31"/>
    <n v="0.01"/>
    <n v="8.3800000000000008"/>
  </r>
  <r>
    <x v="11"/>
    <x v="6"/>
    <x v="31"/>
    <x v="2"/>
    <x v="3"/>
    <x v="2"/>
    <n v="0.18"/>
    <n v="0.18"/>
    <n v="0"/>
    <n v="0.17"/>
  </r>
  <r>
    <x v="11"/>
    <x v="6"/>
    <x v="31"/>
    <x v="1"/>
    <x v="1"/>
    <x v="2"/>
    <n v="0.25"/>
    <n v="0.25"/>
    <n v="0"/>
    <n v="0.23"/>
  </r>
  <r>
    <x v="11"/>
    <x v="6"/>
    <x v="31"/>
    <x v="4"/>
    <x v="1"/>
    <x v="2"/>
    <n v="0.24"/>
    <n v="0.24"/>
    <n v="0.03"/>
    <n v="0.21"/>
  </r>
  <r>
    <x v="11"/>
    <x v="6"/>
    <x v="31"/>
    <x v="0"/>
    <x v="4"/>
    <x v="1"/>
    <n v="0.14000000000000001"/>
    <n v="0.14000000000000001"/>
    <n v="0.01"/>
    <n v="0.12"/>
  </r>
  <r>
    <x v="11"/>
    <x v="6"/>
    <x v="31"/>
    <x v="4"/>
    <x v="2"/>
    <x v="2"/>
    <n v="0.05"/>
    <n v="0.05"/>
    <n v="0"/>
    <n v="0.04"/>
  </r>
  <r>
    <x v="11"/>
    <x v="6"/>
    <x v="31"/>
    <x v="1"/>
    <x v="0"/>
    <x v="0"/>
    <n v="11.03"/>
    <n v="11.03"/>
    <n v="6.05"/>
    <n v="9.92"/>
  </r>
  <r>
    <x v="11"/>
    <x v="6"/>
    <x v="31"/>
    <x v="2"/>
    <x v="4"/>
    <x v="0"/>
    <n v="18.57"/>
    <n v="18.57"/>
    <n v="4.76"/>
    <n v="16.71"/>
  </r>
  <r>
    <x v="11"/>
    <x v="6"/>
    <x v="31"/>
    <x v="2"/>
    <x v="0"/>
    <x v="0"/>
    <n v="5.09"/>
    <n v="5.09"/>
    <n v="3.11"/>
    <n v="4.58"/>
  </r>
  <r>
    <x v="11"/>
    <x v="6"/>
    <x v="31"/>
    <x v="1"/>
    <x v="2"/>
    <x v="0"/>
    <n v="1.59"/>
    <n v="1.59"/>
    <n v="0.02"/>
    <n v="1.43"/>
  </r>
  <r>
    <x v="11"/>
    <x v="6"/>
    <x v="31"/>
    <x v="4"/>
    <x v="1"/>
    <x v="1"/>
    <n v="0.04"/>
    <n v="0.04"/>
    <n v="0"/>
    <n v="0.03"/>
  </r>
  <r>
    <x v="11"/>
    <x v="6"/>
    <x v="31"/>
    <x v="1"/>
    <x v="4"/>
    <x v="0"/>
    <n v="179.27"/>
    <n v="179.27"/>
    <n v="44.29"/>
    <n v="161.35"/>
  </r>
  <r>
    <x v="11"/>
    <x v="6"/>
    <x v="31"/>
    <x v="0"/>
    <x v="0"/>
    <x v="1"/>
    <n v="0.89"/>
    <n v="0.89"/>
    <n v="0.02"/>
    <n v="0.8"/>
  </r>
  <r>
    <x v="11"/>
    <x v="6"/>
    <x v="31"/>
    <x v="0"/>
    <x v="4"/>
    <x v="0"/>
    <n v="19.649999999999999"/>
    <n v="19.649999999999999"/>
    <n v="4.38"/>
    <n v="17.68"/>
  </r>
  <r>
    <x v="11"/>
    <x v="6"/>
    <x v="31"/>
    <x v="0"/>
    <x v="0"/>
    <x v="0"/>
    <n v="1.48"/>
    <n v="1.48"/>
    <n v="0.86"/>
    <n v="1.33"/>
  </r>
  <r>
    <x v="11"/>
    <x v="6"/>
    <x v="31"/>
    <x v="4"/>
    <x v="1"/>
    <x v="0"/>
    <n v="3.71"/>
    <n v="3.71"/>
    <n v="0.38"/>
    <n v="3.34"/>
  </r>
  <r>
    <x v="11"/>
    <x v="6"/>
    <x v="31"/>
    <x v="4"/>
    <x v="4"/>
    <x v="0"/>
    <n v="38.950000000000003"/>
    <n v="38.950000000000003"/>
    <n v="10.39"/>
    <n v="35.06"/>
  </r>
  <r>
    <x v="11"/>
    <x v="6"/>
    <x v="31"/>
    <x v="3"/>
    <x v="4"/>
    <x v="0"/>
    <n v="8.82"/>
    <n v="8.82"/>
    <n v="2.4300000000000002"/>
    <n v="7.94"/>
  </r>
  <r>
    <x v="11"/>
    <x v="6"/>
    <x v="31"/>
    <x v="1"/>
    <x v="2"/>
    <x v="1"/>
    <n v="7.77"/>
    <n v="7.77"/>
    <n v="0.03"/>
    <n v="6.99"/>
  </r>
  <r>
    <x v="11"/>
    <x v="6"/>
    <x v="31"/>
    <x v="1"/>
    <x v="1"/>
    <x v="1"/>
    <n v="3.2"/>
    <n v="3.2"/>
    <n v="0.02"/>
    <n v="2.88"/>
  </r>
  <r>
    <x v="11"/>
    <x v="6"/>
    <x v="31"/>
    <x v="1"/>
    <x v="4"/>
    <x v="1"/>
    <n v="0.42"/>
    <n v="0.42"/>
    <n v="0.01"/>
    <n v="0.38"/>
  </r>
  <r>
    <x v="11"/>
    <x v="6"/>
    <x v="31"/>
    <x v="1"/>
    <x v="0"/>
    <x v="1"/>
    <n v="0.26"/>
    <n v="0.26"/>
    <n v="0.01"/>
    <n v="0.24"/>
  </r>
  <r>
    <x v="11"/>
    <x v="6"/>
    <x v="31"/>
    <x v="1"/>
    <x v="1"/>
    <x v="0"/>
    <n v="21.33"/>
    <n v="21.33"/>
    <n v="1.33"/>
    <n v="19.2"/>
  </r>
  <r>
    <x v="11"/>
    <x v="9"/>
    <x v="32"/>
    <x v="4"/>
    <x v="4"/>
    <x v="2"/>
    <n v="7.0000000000000007E-2"/>
    <n v="0.13"/>
    <n v="0.01"/>
    <n v="0.06"/>
  </r>
  <r>
    <x v="11"/>
    <x v="9"/>
    <x v="32"/>
    <x v="1"/>
    <x v="4"/>
    <x v="0"/>
    <n v="69.77"/>
    <n v="124.01"/>
    <n v="18.329999999999998"/>
    <n v="62.8"/>
  </r>
  <r>
    <x v="11"/>
    <x v="9"/>
    <x v="32"/>
    <x v="2"/>
    <x v="3"/>
    <x v="0"/>
    <n v="0.12"/>
    <n v="0.21"/>
    <n v="0.08"/>
    <n v="0.1"/>
  </r>
  <r>
    <x v="11"/>
    <x v="9"/>
    <x v="32"/>
    <x v="2"/>
    <x v="4"/>
    <x v="0"/>
    <n v="1.92"/>
    <n v="3.41"/>
    <n v="0.33"/>
    <n v="1.73"/>
  </r>
  <r>
    <x v="11"/>
    <x v="9"/>
    <x v="32"/>
    <x v="2"/>
    <x v="0"/>
    <x v="0"/>
    <n v="0.9"/>
    <n v="1.61"/>
    <n v="0.62"/>
    <n v="0.81"/>
  </r>
  <r>
    <x v="11"/>
    <x v="9"/>
    <x v="32"/>
    <x v="1"/>
    <x v="1"/>
    <x v="0"/>
    <n v="9.57"/>
    <n v="17.02"/>
    <n v="0.76"/>
    <n v="8.6199999999999992"/>
  </r>
  <r>
    <x v="11"/>
    <x v="9"/>
    <x v="32"/>
    <x v="1"/>
    <x v="4"/>
    <x v="1"/>
    <n v="0.03"/>
    <n v="0.06"/>
    <n v="0"/>
    <n v="0.03"/>
  </r>
  <r>
    <x v="11"/>
    <x v="9"/>
    <x v="32"/>
    <x v="4"/>
    <x v="4"/>
    <x v="1"/>
    <n v="0.16"/>
    <n v="0.28000000000000003"/>
    <n v="0"/>
    <n v="0.14000000000000001"/>
  </r>
  <r>
    <x v="11"/>
    <x v="9"/>
    <x v="32"/>
    <x v="4"/>
    <x v="0"/>
    <x v="1"/>
    <n v="0"/>
    <n v="0"/>
    <n v="0"/>
    <n v="0"/>
  </r>
  <r>
    <x v="11"/>
    <x v="9"/>
    <x v="32"/>
    <x v="2"/>
    <x v="3"/>
    <x v="3"/>
    <n v="0.7"/>
    <n v="1.25"/>
    <n v="0"/>
    <n v="0.63"/>
  </r>
  <r>
    <x v="11"/>
    <x v="9"/>
    <x v="32"/>
    <x v="2"/>
    <x v="3"/>
    <x v="2"/>
    <n v="0.02"/>
    <n v="0.04"/>
    <n v="0"/>
    <n v="0.02"/>
  </r>
  <r>
    <x v="11"/>
    <x v="9"/>
    <x v="32"/>
    <x v="1"/>
    <x v="4"/>
    <x v="2"/>
    <n v="0"/>
    <n v="0"/>
    <n v="0"/>
    <n v="0"/>
  </r>
  <r>
    <x v="11"/>
    <x v="9"/>
    <x v="32"/>
    <x v="4"/>
    <x v="2"/>
    <x v="2"/>
    <n v="0.05"/>
    <n v="0.09"/>
    <n v="0"/>
    <n v="0.05"/>
  </r>
  <r>
    <x v="11"/>
    <x v="9"/>
    <x v="32"/>
    <x v="0"/>
    <x v="0"/>
    <x v="1"/>
    <n v="0.15"/>
    <n v="0.27"/>
    <n v="0"/>
    <n v="0.14000000000000001"/>
  </r>
  <r>
    <x v="11"/>
    <x v="9"/>
    <x v="32"/>
    <x v="1"/>
    <x v="2"/>
    <x v="1"/>
    <n v="0.19"/>
    <n v="0.34"/>
    <n v="0"/>
    <n v="0.17"/>
  </r>
  <r>
    <x v="11"/>
    <x v="9"/>
    <x v="32"/>
    <x v="2"/>
    <x v="3"/>
    <x v="1"/>
    <n v="0.02"/>
    <n v="0.03"/>
    <n v="0"/>
    <n v="0.01"/>
  </r>
  <r>
    <x v="11"/>
    <x v="9"/>
    <x v="32"/>
    <x v="4"/>
    <x v="1"/>
    <x v="1"/>
    <n v="0.11"/>
    <n v="0.2"/>
    <n v="0"/>
    <n v="0.1"/>
  </r>
  <r>
    <x v="11"/>
    <x v="9"/>
    <x v="32"/>
    <x v="1"/>
    <x v="0"/>
    <x v="1"/>
    <n v="0.08"/>
    <n v="0.15"/>
    <n v="0"/>
    <n v="7.0000000000000007E-2"/>
  </r>
  <r>
    <x v="11"/>
    <x v="9"/>
    <x v="32"/>
    <x v="4"/>
    <x v="1"/>
    <x v="2"/>
    <n v="0.06"/>
    <n v="0.11"/>
    <n v="0"/>
    <n v="0.06"/>
  </r>
  <r>
    <x v="11"/>
    <x v="9"/>
    <x v="32"/>
    <x v="1"/>
    <x v="1"/>
    <x v="1"/>
    <n v="0.05"/>
    <n v="0.09"/>
    <n v="0"/>
    <n v="0.04"/>
  </r>
  <r>
    <x v="11"/>
    <x v="9"/>
    <x v="32"/>
    <x v="3"/>
    <x v="0"/>
    <x v="0"/>
    <n v="1.1499999999999999"/>
    <n v="2.04"/>
    <n v="0.28000000000000003"/>
    <n v="1.03"/>
  </r>
  <r>
    <x v="11"/>
    <x v="9"/>
    <x v="32"/>
    <x v="3"/>
    <x v="4"/>
    <x v="0"/>
    <n v="3.42"/>
    <n v="6.08"/>
    <n v="0.84"/>
    <n v="3.08"/>
  </r>
  <r>
    <x v="11"/>
    <x v="9"/>
    <x v="32"/>
    <x v="1"/>
    <x v="0"/>
    <x v="0"/>
    <n v="3.71"/>
    <n v="6.6"/>
    <n v="2.46"/>
    <n v="3.34"/>
  </r>
  <r>
    <x v="11"/>
    <x v="9"/>
    <x v="32"/>
    <x v="3"/>
    <x v="1"/>
    <x v="0"/>
    <n v="0"/>
    <n v="0"/>
    <n v="0"/>
    <n v="0"/>
  </r>
  <r>
    <x v="11"/>
    <x v="9"/>
    <x v="32"/>
    <x v="4"/>
    <x v="4"/>
    <x v="0"/>
    <n v="16.079999999999998"/>
    <n v="28.58"/>
    <n v="2.0099999999999998"/>
    <n v="14.47"/>
  </r>
  <r>
    <x v="11"/>
    <x v="9"/>
    <x v="32"/>
    <x v="4"/>
    <x v="1"/>
    <x v="0"/>
    <n v="1.75"/>
    <n v="3.1"/>
    <n v="0.09"/>
    <n v="1.57"/>
  </r>
  <r>
    <x v="11"/>
    <x v="9"/>
    <x v="32"/>
    <x v="0"/>
    <x v="0"/>
    <x v="0"/>
    <n v="0.94"/>
    <n v="1.66"/>
    <n v="0.54"/>
    <n v="0.84"/>
  </r>
  <r>
    <x v="11"/>
    <x v="9"/>
    <x v="32"/>
    <x v="0"/>
    <x v="4"/>
    <x v="0"/>
    <n v="4.51"/>
    <n v="8.01"/>
    <n v="1.37"/>
    <n v="4.0599999999999996"/>
  </r>
  <r>
    <x v="11"/>
    <x v="9"/>
    <x v="32"/>
    <x v="0"/>
    <x v="4"/>
    <x v="1"/>
    <n v="0.01"/>
    <n v="0.01"/>
    <n v="0"/>
    <n v="0.01"/>
  </r>
  <r>
    <x v="11"/>
    <x v="0"/>
    <x v="33"/>
    <x v="0"/>
    <x v="4"/>
    <x v="0"/>
    <n v="12.91"/>
    <n v="12.91"/>
    <n v="2.66"/>
    <n v="11.62"/>
  </r>
  <r>
    <x v="11"/>
    <x v="0"/>
    <x v="33"/>
    <x v="1"/>
    <x v="0"/>
    <x v="0"/>
    <n v="3.89"/>
    <n v="3.89"/>
    <n v="3.06"/>
    <n v="3.5"/>
  </r>
  <r>
    <x v="11"/>
    <x v="0"/>
    <x v="33"/>
    <x v="1"/>
    <x v="4"/>
    <x v="0"/>
    <n v="118.71"/>
    <n v="118.71"/>
    <n v="35.200000000000003"/>
    <n v="106.84"/>
  </r>
  <r>
    <x v="11"/>
    <x v="0"/>
    <x v="33"/>
    <x v="1"/>
    <x v="1"/>
    <x v="0"/>
    <n v="9.56"/>
    <n v="9.56"/>
    <n v="1.2"/>
    <n v="8.61"/>
  </r>
  <r>
    <x v="11"/>
    <x v="0"/>
    <x v="33"/>
    <x v="1"/>
    <x v="2"/>
    <x v="0"/>
    <n v="1.66"/>
    <n v="1.66"/>
    <n v="0.02"/>
    <n v="1.49"/>
  </r>
  <r>
    <x v="11"/>
    <x v="0"/>
    <x v="33"/>
    <x v="2"/>
    <x v="0"/>
    <x v="0"/>
    <n v="7.19"/>
    <n v="7.19"/>
    <n v="5.18"/>
    <n v="6.47"/>
  </r>
  <r>
    <x v="11"/>
    <x v="0"/>
    <x v="33"/>
    <x v="2"/>
    <x v="4"/>
    <x v="0"/>
    <n v="14.38"/>
    <n v="14.38"/>
    <n v="2.0499999999999998"/>
    <n v="12.94"/>
  </r>
  <r>
    <x v="11"/>
    <x v="0"/>
    <x v="33"/>
    <x v="0"/>
    <x v="0"/>
    <x v="0"/>
    <n v="2.87"/>
    <n v="2.87"/>
    <n v="2.21"/>
    <n v="2.58"/>
  </r>
  <r>
    <x v="11"/>
    <x v="0"/>
    <x v="33"/>
    <x v="1"/>
    <x v="1"/>
    <x v="1"/>
    <n v="0.72"/>
    <n v="0.72"/>
    <n v="0.02"/>
    <n v="0.65"/>
  </r>
  <r>
    <x v="11"/>
    <x v="0"/>
    <x v="33"/>
    <x v="4"/>
    <x v="4"/>
    <x v="1"/>
    <n v="0.06"/>
    <n v="0.06"/>
    <n v="0.01"/>
    <n v="0.05"/>
  </r>
  <r>
    <x v="11"/>
    <x v="0"/>
    <x v="33"/>
    <x v="4"/>
    <x v="1"/>
    <x v="1"/>
    <n v="0.02"/>
    <n v="0.02"/>
    <n v="0"/>
    <n v="0.02"/>
  </r>
  <r>
    <x v="11"/>
    <x v="0"/>
    <x v="33"/>
    <x v="0"/>
    <x v="0"/>
    <x v="1"/>
    <n v="0.6"/>
    <n v="0.6"/>
    <n v="0.02"/>
    <n v="0.54"/>
  </r>
  <r>
    <x v="11"/>
    <x v="0"/>
    <x v="33"/>
    <x v="0"/>
    <x v="4"/>
    <x v="1"/>
    <n v="0.11"/>
    <n v="0.11"/>
    <n v="0.01"/>
    <n v="0.1"/>
  </r>
  <r>
    <x v="11"/>
    <x v="0"/>
    <x v="33"/>
    <x v="1"/>
    <x v="0"/>
    <x v="1"/>
    <n v="0.03"/>
    <n v="0.03"/>
    <n v="0"/>
    <n v="0.03"/>
  </r>
  <r>
    <x v="11"/>
    <x v="0"/>
    <x v="33"/>
    <x v="4"/>
    <x v="0"/>
    <x v="1"/>
    <n v="0.22"/>
    <n v="0.22"/>
    <n v="0.01"/>
    <n v="0.2"/>
  </r>
  <r>
    <x v="11"/>
    <x v="0"/>
    <x v="33"/>
    <x v="1"/>
    <x v="4"/>
    <x v="1"/>
    <n v="0.02"/>
    <n v="0.02"/>
    <n v="0"/>
    <n v="0.02"/>
  </r>
  <r>
    <x v="11"/>
    <x v="0"/>
    <x v="33"/>
    <x v="2"/>
    <x v="3"/>
    <x v="3"/>
    <n v="6.23"/>
    <n v="6.23"/>
    <n v="0"/>
    <n v="5.61"/>
  </r>
  <r>
    <x v="11"/>
    <x v="0"/>
    <x v="33"/>
    <x v="1"/>
    <x v="2"/>
    <x v="1"/>
    <n v="1.93"/>
    <n v="1.93"/>
    <n v="0.01"/>
    <n v="1.74"/>
  </r>
  <r>
    <x v="11"/>
    <x v="0"/>
    <x v="33"/>
    <x v="2"/>
    <x v="3"/>
    <x v="1"/>
    <n v="0.01"/>
    <n v="0.01"/>
    <n v="0"/>
    <n v="0.01"/>
  </r>
  <r>
    <x v="11"/>
    <x v="0"/>
    <x v="33"/>
    <x v="4"/>
    <x v="1"/>
    <x v="2"/>
    <n v="0.04"/>
    <n v="0.04"/>
    <n v="0"/>
    <n v="0.04"/>
  </r>
  <r>
    <x v="11"/>
    <x v="0"/>
    <x v="33"/>
    <x v="4"/>
    <x v="2"/>
    <x v="2"/>
    <n v="0.26"/>
    <n v="0.26"/>
    <n v="0.01"/>
    <n v="0.24"/>
  </r>
  <r>
    <x v="11"/>
    <x v="0"/>
    <x v="33"/>
    <x v="3"/>
    <x v="0"/>
    <x v="0"/>
    <n v="0.36"/>
    <n v="0.36"/>
    <n v="0.28000000000000003"/>
    <n v="0.33"/>
  </r>
  <r>
    <x v="11"/>
    <x v="0"/>
    <x v="33"/>
    <x v="4"/>
    <x v="4"/>
    <x v="2"/>
    <n v="7.0000000000000007E-2"/>
    <n v="7.0000000000000007E-2"/>
    <n v="0"/>
    <n v="0.06"/>
  </r>
  <r>
    <x v="11"/>
    <x v="0"/>
    <x v="33"/>
    <x v="4"/>
    <x v="1"/>
    <x v="0"/>
    <n v="24.19"/>
    <n v="24.19"/>
    <n v="1.57"/>
    <n v="21.77"/>
  </r>
  <r>
    <x v="11"/>
    <x v="0"/>
    <x v="33"/>
    <x v="4"/>
    <x v="4"/>
    <x v="0"/>
    <n v="29.83"/>
    <n v="29.83"/>
    <n v="6.68"/>
    <n v="26.85"/>
  </r>
  <r>
    <x v="11"/>
    <x v="0"/>
    <x v="33"/>
    <x v="4"/>
    <x v="0"/>
    <x v="0"/>
    <n v="0.81"/>
    <n v="0.81"/>
    <n v="0.09"/>
    <n v="0.73"/>
  </r>
  <r>
    <x v="11"/>
    <x v="0"/>
    <x v="33"/>
    <x v="3"/>
    <x v="1"/>
    <x v="0"/>
    <n v="0.01"/>
    <n v="0.01"/>
    <n v="0"/>
    <n v="0.01"/>
  </r>
  <r>
    <x v="11"/>
    <x v="0"/>
    <x v="33"/>
    <x v="3"/>
    <x v="4"/>
    <x v="0"/>
    <n v="1.84"/>
    <n v="1.84"/>
    <n v="0.51"/>
    <n v="1.65"/>
  </r>
  <r>
    <x v="11"/>
    <x v="0"/>
    <x v="33"/>
    <x v="1"/>
    <x v="4"/>
    <x v="2"/>
    <n v="0.05"/>
    <n v="0.05"/>
    <n v="0"/>
    <n v="0.05"/>
  </r>
  <r>
    <x v="11"/>
    <x v="7"/>
    <x v="34"/>
    <x v="4"/>
    <x v="0"/>
    <x v="1"/>
    <n v="0.01"/>
    <n v="0.02"/>
    <n v="0"/>
    <n v="0.01"/>
  </r>
  <r>
    <x v="11"/>
    <x v="7"/>
    <x v="34"/>
    <x v="0"/>
    <x v="4"/>
    <x v="1"/>
    <n v="0.14000000000000001"/>
    <n v="0.15"/>
    <n v="0.01"/>
    <n v="0.13"/>
  </r>
  <r>
    <x v="11"/>
    <x v="7"/>
    <x v="34"/>
    <x v="1"/>
    <x v="4"/>
    <x v="0"/>
    <n v="221.53"/>
    <n v="231.34"/>
    <n v="42.28"/>
    <n v="199.37"/>
  </r>
  <r>
    <x v="11"/>
    <x v="7"/>
    <x v="34"/>
    <x v="4"/>
    <x v="4"/>
    <x v="2"/>
    <n v="0.67"/>
    <n v="0.69"/>
    <n v="0.02"/>
    <n v="0.6"/>
  </r>
  <r>
    <x v="11"/>
    <x v="7"/>
    <x v="34"/>
    <x v="4"/>
    <x v="1"/>
    <x v="2"/>
    <n v="0.64"/>
    <n v="0.67"/>
    <n v="0.01"/>
    <n v="0.57999999999999996"/>
  </r>
  <r>
    <x v="11"/>
    <x v="7"/>
    <x v="34"/>
    <x v="4"/>
    <x v="2"/>
    <x v="2"/>
    <n v="0.5"/>
    <n v="0.52"/>
    <n v="0"/>
    <n v="0.45"/>
  </r>
  <r>
    <x v="11"/>
    <x v="7"/>
    <x v="34"/>
    <x v="1"/>
    <x v="4"/>
    <x v="2"/>
    <n v="0.04"/>
    <n v="0.04"/>
    <n v="0.01"/>
    <n v="0.04"/>
  </r>
  <r>
    <x v="11"/>
    <x v="7"/>
    <x v="34"/>
    <x v="2"/>
    <x v="3"/>
    <x v="2"/>
    <n v="2.8"/>
    <n v="2.92"/>
    <n v="0"/>
    <n v="2.52"/>
  </r>
  <r>
    <x v="11"/>
    <x v="7"/>
    <x v="34"/>
    <x v="2"/>
    <x v="3"/>
    <x v="3"/>
    <n v="6.67"/>
    <n v="6.96"/>
    <n v="0.01"/>
    <n v="6"/>
  </r>
  <r>
    <x v="11"/>
    <x v="7"/>
    <x v="34"/>
    <x v="0"/>
    <x v="0"/>
    <x v="0"/>
    <n v="11.22"/>
    <n v="11.72"/>
    <n v="5.05"/>
    <n v="10.1"/>
  </r>
  <r>
    <x v="11"/>
    <x v="7"/>
    <x v="34"/>
    <x v="4"/>
    <x v="4"/>
    <x v="1"/>
    <n v="0.81"/>
    <n v="0.85"/>
    <n v="0.02"/>
    <n v="0.73"/>
  </r>
  <r>
    <x v="11"/>
    <x v="7"/>
    <x v="34"/>
    <x v="4"/>
    <x v="1"/>
    <x v="1"/>
    <n v="0.86"/>
    <n v="0.89"/>
    <n v="0.01"/>
    <n v="0.77"/>
  </r>
  <r>
    <x v="11"/>
    <x v="7"/>
    <x v="34"/>
    <x v="0"/>
    <x v="4"/>
    <x v="0"/>
    <n v="46.04"/>
    <n v="48.08"/>
    <n v="11.61"/>
    <n v="41.44"/>
  </r>
  <r>
    <x v="11"/>
    <x v="7"/>
    <x v="34"/>
    <x v="4"/>
    <x v="1"/>
    <x v="0"/>
    <n v="17.510000000000002"/>
    <n v="18.29"/>
    <n v="0.96"/>
    <n v="15.76"/>
  </r>
  <r>
    <x v="11"/>
    <x v="7"/>
    <x v="34"/>
    <x v="4"/>
    <x v="4"/>
    <x v="0"/>
    <n v="83.03"/>
    <n v="86.71"/>
    <n v="14.17"/>
    <n v="74.73"/>
  </r>
  <r>
    <x v="11"/>
    <x v="7"/>
    <x v="34"/>
    <x v="3"/>
    <x v="1"/>
    <x v="0"/>
    <n v="0.2"/>
    <n v="0.21"/>
    <n v="0.01"/>
    <n v="0.18"/>
  </r>
  <r>
    <x v="11"/>
    <x v="7"/>
    <x v="34"/>
    <x v="3"/>
    <x v="4"/>
    <x v="0"/>
    <n v="19.82"/>
    <n v="20.7"/>
    <n v="4.7699999999999996"/>
    <n v="17.84"/>
  </r>
  <r>
    <x v="11"/>
    <x v="7"/>
    <x v="34"/>
    <x v="3"/>
    <x v="0"/>
    <x v="0"/>
    <n v="5.97"/>
    <n v="6.23"/>
    <n v="1.17"/>
    <n v="5.37"/>
  </r>
  <r>
    <x v="11"/>
    <x v="7"/>
    <x v="34"/>
    <x v="1"/>
    <x v="2"/>
    <x v="1"/>
    <n v="4.29"/>
    <n v="4.4800000000000004"/>
    <n v="0.02"/>
    <n v="3.86"/>
  </r>
  <r>
    <x v="11"/>
    <x v="7"/>
    <x v="34"/>
    <x v="1"/>
    <x v="1"/>
    <x v="1"/>
    <n v="3.61"/>
    <n v="3.77"/>
    <n v="0.03"/>
    <n v="3.24"/>
  </r>
  <r>
    <x v="11"/>
    <x v="7"/>
    <x v="34"/>
    <x v="1"/>
    <x v="4"/>
    <x v="1"/>
    <n v="0.1"/>
    <n v="0.1"/>
    <n v="0"/>
    <n v="0.09"/>
  </r>
  <r>
    <x v="11"/>
    <x v="7"/>
    <x v="34"/>
    <x v="1"/>
    <x v="0"/>
    <x v="1"/>
    <n v="0.34"/>
    <n v="0.36"/>
    <n v="0.01"/>
    <n v="0.31"/>
  </r>
  <r>
    <x v="11"/>
    <x v="7"/>
    <x v="34"/>
    <x v="1"/>
    <x v="0"/>
    <x v="0"/>
    <n v="11.19"/>
    <n v="11.68"/>
    <n v="7.63"/>
    <n v="10.07"/>
  </r>
  <r>
    <x v="11"/>
    <x v="7"/>
    <x v="34"/>
    <x v="2"/>
    <x v="3"/>
    <x v="1"/>
    <n v="0.31"/>
    <n v="0.32"/>
    <n v="0"/>
    <n v="0.28000000000000003"/>
  </r>
  <r>
    <x v="11"/>
    <x v="7"/>
    <x v="34"/>
    <x v="0"/>
    <x v="0"/>
    <x v="1"/>
    <n v="0.88"/>
    <n v="0.92"/>
    <n v="0.02"/>
    <n v="0.8"/>
  </r>
  <r>
    <x v="11"/>
    <x v="7"/>
    <x v="34"/>
    <x v="1"/>
    <x v="2"/>
    <x v="0"/>
    <n v="3.31"/>
    <n v="3.46"/>
    <n v="0.03"/>
    <n v="2.98"/>
  </r>
  <r>
    <x v="11"/>
    <x v="7"/>
    <x v="34"/>
    <x v="2"/>
    <x v="0"/>
    <x v="0"/>
    <n v="7.39"/>
    <n v="7.72"/>
    <n v="5.37"/>
    <n v="6.65"/>
  </r>
  <r>
    <x v="11"/>
    <x v="7"/>
    <x v="34"/>
    <x v="2"/>
    <x v="4"/>
    <x v="0"/>
    <n v="10.87"/>
    <n v="11.35"/>
    <n v="2.35"/>
    <n v="9.7799999999999994"/>
  </r>
  <r>
    <x v="11"/>
    <x v="7"/>
    <x v="34"/>
    <x v="2"/>
    <x v="3"/>
    <x v="0"/>
    <n v="6.31"/>
    <n v="6.59"/>
    <n v="0.04"/>
    <n v="5.68"/>
  </r>
  <r>
    <x v="11"/>
    <x v="7"/>
    <x v="34"/>
    <x v="1"/>
    <x v="1"/>
    <x v="0"/>
    <n v="40.869999999999997"/>
    <n v="42.68"/>
    <n v="1.98"/>
    <n v="36.78"/>
  </r>
  <r>
    <x v="11"/>
    <x v="10"/>
    <x v="35"/>
    <x v="1"/>
    <x v="4"/>
    <x v="0"/>
    <n v="72.09"/>
    <n v="75.28"/>
    <n v="13.76"/>
    <n v="64.88"/>
  </r>
  <r>
    <x v="11"/>
    <x v="10"/>
    <x v="35"/>
    <x v="2"/>
    <x v="4"/>
    <x v="0"/>
    <n v="3.88"/>
    <n v="4.05"/>
    <n v="0.84"/>
    <n v="3.49"/>
  </r>
  <r>
    <x v="11"/>
    <x v="10"/>
    <x v="35"/>
    <x v="3"/>
    <x v="0"/>
    <x v="0"/>
    <n v="1.93"/>
    <n v="2.02"/>
    <n v="0.38"/>
    <n v="1.74"/>
  </r>
  <r>
    <x v="11"/>
    <x v="10"/>
    <x v="35"/>
    <x v="3"/>
    <x v="4"/>
    <x v="0"/>
    <n v="6.42"/>
    <n v="6.7"/>
    <n v="1.54"/>
    <n v="5.77"/>
  </r>
  <r>
    <x v="11"/>
    <x v="10"/>
    <x v="35"/>
    <x v="3"/>
    <x v="1"/>
    <x v="0"/>
    <n v="7.0000000000000007E-2"/>
    <n v="7.0000000000000007E-2"/>
    <n v="0"/>
    <n v="0.06"/>
  </r>
  <r>
    <x v="11"/>
    <x v="10"/>
    <x v="35"/>
    <x v="4"/>
    <x v="4"/>
    <x v="0"/>
    <n v="27.03"/>
    <n v="28.23"/>
    <n v="4.6100000000000003"/>
    <n v="24.33"/>
  </r>
  <r>
    <x v="11"/>
    <x v="10"/>
    <x v="35"/>
    <x v="4"/>
    <x v="1"/>
    <x v="0"/>
    <n v="5.7"/>
    <n v="5.95"/>
    <n v="0.31"/>
    <n v="5.13"/>
  </r>
  <r>
    <x v="11"/>
    <x v="10"/>
    <x v="35"/>
    <x v="0"/>
    <x v="0"/>
    <x v="0"/>
    <n v="3.65"/>
    <n v="3.81"/>
    <n v="1.64"/>
    <n v="3.29"/>
  </r>
  <r>
    <x v="11"/>
    <x v="10"/>
    <x v="35"/>
    <x v="1"/>
    <x v="0"/>
    <x v="0"/>
    <n v="3.64"/>
    <n v="3.8"/>
    <n v="2.48"/>
    <n v="3.28"/>
  </r>
  <r>
    <x v="11"/>
    <x v="10"/>
    <x v="35"/>
    <x v="1"/>
    <x v="4"/>
    <x v="1"/>
    <n v="0.02"/>
    <n v="0.03"/>
    <n v="0"/>
    <n v="0.02"/>
  </r>
  <r>
    <x v="11"/>
    <x v="10"/>
    <x v="35"/>
    <x v="1"/>
    <x v="1"/>
    <x v="0"/>
    <n v="13.29"/>
    <n v="13.88"/>
    <n v="0.64"/>
    <n v="11.97"/>
  </r>
  <r>
    <x v="11"/>
    <x v="10"/>
    <x v="35"/>
    <x v="1"/>
    <x v="2"/>
    <x v="0"/>
    <n v="1.08"/>
    <n v="1.1299999999999999"/>
    <n v="0.01"/>
    <n v="0.97"/>
  </r>
  <r>
    <x v="11"/>
    <x v="10"/>
    <x v="35"/>
    <x v="2"/>
    <x v="0"/>
    <x v="0"/>
    <n v="2.64"/>
    <n v="2.75"/>
    <n v="1.92"/>
    <n v="2.37"/>
  </r>
  <r>
    <x v="11"/>
    <x v="10"/>
    <x v="35"/>
    <x v="4"/>
    <x v="4"/>
    <x v="2"/>
    <n v="0.18"/>
    <n v="0.18"/>
    <n v="0.01"/>
    <n v="0.16"/>
  </r>
  <r>
    <x v="11"/>
    <x v="10"/>
    <x v="35"/>
    <x v="0"/>
    <x v="4"/>
    <x v="0"/>
    <n v="14.97"/>
    <n v="15.64"/>
    <n v="3.78"/>
    <n v="13.48"/>
  </r>
  <r>
    <x v="11"/>
    <x v="10"/>
    <x v="35"/>
    <x v="4"/>
    <x v="4"/>
    <x v="1"/>
    <n v="0.2"/>
    <n v="0.2"/>
    <n v="0"/>
    <n v="0.18"/>
  </r>
  <r>
    <x v="11"/>
    <x v="10"/>
    <x v="35"/>
    <x v="2"/>
    <x v="3"/>
    <x v="0"/>
    <n v="7.7"/>
    <n v="8.0399999999999991"/>
    <n v="0.05"/>
    <n v="6.93"/>
  </r>
  <r>
    <x v="11"/>
    <x v="10"/>
    <x v="35"/>
    <x v="4"/>
    <x v="1"/>
    <x v="2"/>
    <n v="0.17"/>
    <n v="0.18"/>
    <n v="0"/>
    <n v="0.15"/>
  </r>
  <r>
    <x v="11"/>
    <x v="10"/>
    <x v="35"/>
    <x v="4"/>
    <x v="2"/>
    <x v="2"/>
    <n v="0.14000000000000001"/>
    <n v="0.14000000000000001"/>
    <n v="0"/>
    <n v="0.12"/>
  </r>
  <r>
    <x v="11"/>
    <x v="10"/>
    <x v="35"/>
    <x v="1"/>
    <x v="4"/>
    <x v="2"/>
    <n v="0.01"/>
    <n v="0.01"/>
    <n v="0"/>
    <n v="0.01"/>
  </r>
  <r>
    <x v="11"/>
    <x v="10"/>
    <x v="35"/>
    <x v="2"/>
    <x v="3"/>
    <x v="2"/>
    <n v="0.72"/>
    <n v="0.76"/>
    <n v="0"/>
    <n v="0.65"/>
  </r>
  <r>
    <x v="11"/>
    <x v="10"/>
    <x v="35"/>
    <x v="1"/>
    <x v="2"/>
    <x v="1"/>
    <n v="1.03"/>
    <n v="1.08"/>
    <n v="0"/>
    <n v="0.93"/>
  </r>
  <r>
    <x v="11"/>
    <x v="10"/>
    <x v="35"/>
    <x v="4"/>
    <x v="0"/>
    <x v="1"/>
    <n v="0"/>
    <n v="0"/>
    <n v="0"/>
    <n v="0"/>
  </r>
  <r>
    <x v="11"/>
    <x v="10"/>
    <x v="35"/>
    <x v="2"/>
    <x v="3"/>
    <x v="1"/>
    <n v="7.0000000000000007E-2"/>
    <n v="0.08"/>
    <n v="0"/>
    <n v="7.0000000000000007E-2"/>
  </r>
  <r>
    <x v="11"/>
    <x v="10"/>
    <x v="35"/>
    <x v="4"/>
    <x v="1"/>
    <x v="1"/>
    <n v="0.2"/>
    <n v="0.21"/>
    <n v="0"/>
    <n v="0.18"/>
  </r>
  <r>
    <x v="11"/>
    <x v="10"/>
    <x v="35"/>
    <x v="0"/>
    <x v="0"/>
    <x v="1"/>
    <n v="0.21"/>
    <n v="0.22"/>
    <n v="0.01"/>
    <n v="0.19"/>
  </r>
  <r>
    <x v="11"/>
    <x v="10"/>
    <x v="35"/>
    <x v="0"/>
    <x v="4"/>
    <x v="1"/>
    <n v="0.03"/>
    <n v="0.04"/>
    <n v="0"/>
    <n v="0.03"/>
  </r>
  <r>
    <x v="11"/>
    <x v="10"/>
    <x v="35"/>
    <x v="1"/>
    <x v="0"/>
    <x v="1"/>
    <n v="0.08"/>
    <n v="0.09"/>
    <n v="0"/>
    <n v="7.0000000000000007E-2"/>
  </r>
  <r>
    <x v="11"/>
    <x v="10"/>
    <x v="35"/>
    <x v="1"/>
    <x v="1"/>
    <x v="1"/>
    <n v="0.87"/>
    <n v="0.91"/>
    <n v="0.01"/>
    <n v="0.78"/>
  </r>
  <r>
    <x v="11"/>
    <x v="10"/>
    <x v="35"/>
    <x v="2"/>
    <x v="3"/>
    <x v="3"/>
    <n v="3.29"/>
    <n v="3.43"/>
    <n v="0"/>
    <n v="2.96"/>
  </r>
  <r>
    <x v="11"/>
    <x v="2"/>
    <x v="36"/>
    <x v="1"/>
    <x v="4"/>
    <x v="2"/>
    <n v="0.04"/>
    <n v="0.04"/>
    <n v="0"/>
    <n v="0.03"/>
  </r>
  <r>
    <x v="11"/>
    <x v="2"/>
    <x v="36"/>
    <x v="0"/>
    <x v="4"/>
    <x v="1"/>
    <n v="0.02"/>
    <n v="0.03"/>
    <n v="0"/>
    <n v="0.02"/>
  </r>
  <r>
    <x v="11"/>
    <x v="2"/>
    <x v="36"/>
    <x v="0"/>
    <x v="0"/>
    <x v="1"/>
    <n v="0.17"/>
    <n v="0.19"/>
    <n v="0"/>
    <n v="0.16"/>
  </r>
  <r>
    <x v="11"/>
    <x v="2"/>
    <x v="36"/>
    <x v="4"/>
    <x v="1"/>
    <x v="1"/>
    <n v="0.03"/>
    <n v="0.03"/>
    <n v="0"/>
    <n v="0.02"/>
  </r>
  <r>
    <x v="11"/>
    <x v="2"/>
    <x v="36"/>
    <x v="4"/>
    <x v="4"/>
    <x v="1"/>
    <n v="0.12"/>
    <n v="0.14000000000000001"/>
    <n v="0"/>
    <n v="0.11"/>
  </r>
  <r>
    <x v="11"/>
    <x v="2"/>
    <x v="36"/>
    <x v="4"/>
    <x v="0"/>
    <x v="1"/>
    <n v="0.02"/>
    <n v="0.02"/>
    <n v="0"/>
    <n v="0.01"/>
  </r>
  <r>
    <x v="11"/>
    <x v="2"/>
    <x v="36"/>
    <x v="2"/>
    <x v="3"/>
    <x v="0"/>
    <n v="18.47"/>
    <n v="20.11"/>
    <n v="0.15"/>
    <n v="16.63"/>
  </r>
  <r>
    <x v="11"/>
    <x v="2"/>
    <x v="36"/>
    <x v="2"/>
    <x v="3"/>
    <x v="3"/>
    <n v="3.45"/>
    <n v="3.75"/>
    <n v="0"/>
    <n v="3.1"/>
  </r>
  <r>
    <x v="11"/>
    <x v="2"/>
    <x v="36"/>
    <x v="4"/>
    <x v="4"/>
    <x v="2"/>
    <n v="7.0000000000000007E-2"/>
    <n v="0.08"/>
    <n v="0"/>
    <n v="0.06"/>
  </r>
  <r>
    <x v="11"/>
    <x v="2"/>
    <x v="36"/>
    <x v="1"/>
    <x v="1"/>
    <x v="2"/>
    <n v="0.01"/>
    <n v="0.02"/>
    <n v="0"/>
    <n v="0.01"/>
  </r>
  <r>
    <x v="11"/>
    <x v="2"/>
    <x v="36"/>
    <x v="4"/>
    <x v="2"/>
    <x v="2"/>
    <n v="0.03"/>
    <n v="0.03"/>
    <n v="0"/>
    <n v="0.03"/>
  </r>
  <r>
    <x v="11"/>
    <x v="2"/>
    <x v="36"/>
    <x v="4"/>
    <x v="1"/>
    <x v="2"/>
    <n v="0.02"/>
    <n v="0.02"/>
    <n v="0"/>
    <n v="0.02"/>
  </r>
  <r>
    <x v="11"/>
    <x v="2"/>
    <x v="36"/>
    <x v="1"/>
    <x v="4"/>
    <x v="1"/>
    <n v="0.05"/>
    <n v="0.05"/>
    <n v="0"/>
    <n v="0.04"/>
  </r>
  <r>
    <x v="11"/>
    <x v="2"/>
    <x v="36"/>
    <x v="1"/>
    <x v="1"/>
    <x v="1"/>
    <n v="0.33"/>
    <n v="0.36"/>
    <n v="0"/>
    <n v="0.3"/>
  </r>
  <r>
    <x v="11"/>
    <x v="2"/>
    <x v="36"/>
    <x v="2"/>
    <x v="3"/>
    <x v="2"/>
    <n v="0.12"/>
    <n v="0.13"/>
    <n v="0"/>
    <n v="0.1"/>
  </r>
  <r>
    <x v="11"/>
    <x v="2"/>
    <x v="36"/>
    <x v="0"/>
    <x v="4"/>
    <x v="0"/>
    <n v="2.56"/>
    <n v="2.79"/>
    <n v="0.54"/>
    <n v="2.31"/>
  </r>
  <r>
    <x v="11"/>
    <x v="2"/>
    <x v="36"/>
    <x v="1"/>
    <x v="0"/>
    <x v="1"/>
    <n v="0.17"/>
    <n v="0.19"/>
    <n v="0.01"/>
    <n v="0.16"/>
  </r>
  <r>
    <x v="11"/>
    <x v="2"/>
    <x v="36"/>
    <x v="2"/>
    <x v="4"/>
    <x v="0"/>
    <n v="2.67"/>
    <n v="2.9"/>
    <n v="0.28000000000000003"/>
    <n v="2.4"/>
  </r>
  <r>
    <x v="11"/>
    <x v="2"/>
    <x v="36"/>
    <x v="1"/>
    <x v="2"/>
    <x v="0"/>
    <n v="0.61"/>
    <n v="0.66"/>
    <n v="0"/>
    <n v="0.55000000000000004"/>
  </r>
  <r>
    <x v="11"/>
    <x v="2"/>
    <x v="36"/>
    <x v="1"/>
    <x v="1"/>
    <x v="0"/>
    <n v="3.18"/>
    <n v="3.46"/>
    <n v="0.17"/>
    <n v="2.86"/>
  </r>
  <r>
    <x v="11"/>
    <x v="2"/>
    <x v="36"/>
    <x v="1"/>
    <x v="0"/>
    <x v="0"/>
    <n v="1.64"/>
    <n v="1.78"/>
    <n v="0.73"/>
    <n v="1.47"/>
  </r>
  <r>
    <x v="11"/>
    <x v="2"/>
    <x v="36"/>
    <x v="2"/>
    <x v="0"/>
    <x v="0"/>
    <n v="1.28"/>
    <n v="1.39"/>
    <n v="0.47"/>
    <n v="1.1499999999999999"/>
  </r>
  <r>
    <x v="11"/>
    <x v="2"/>
    <x v="36"/>
    <x v="0"/>
    <x v="0"/>
    <x v="0"/>
    <n v="0.74"/>
    <n v="0.8"/>
    <n v="0.31"/>
    <n v="0.66"/>
  </r>
  <r>
    <x v="11"/>
    <x v="2"/>
    <x v="36"/>
    <x v="4"/>
    <x v="1"/>
    <x v="0"/>
    <n v="1.1299999999999999"/>
    <n v="1.23"/>
    <n v="0.06"/>
    <n v="1.01"/>
  </r>
  <r>
    <x v="11"/>
    <x v="2"/>
    <x v="36"/>
    <x v="4"/>
    <x v="4"/>
    <x v="0"/>
    <n v="9.1300000000000008"/>
    <n v="9.94"/>
    <n v="0.9"/>
    <n v="8.2200000000000006"/>
  </r>
  <r>
    <x v="11"/>
    <x v="2"/>
    <x v="36"/>
    <x v="3"/>
    <x v="1"/>
    <x v="0"/>
    <n v="0.08"/>
    <n v="0.09"/>
    <n v="0.01"/>
    <n v="7.0000000000000007E-2"/>
  </r>
  <r>
    <x v="11"/>
    <x v="2"/>
    <x v="36"/>
    <x v="3"/>
    <x v="4"/>
    <x v="0"/>
    <n v="2.34"/>
    <n v="2.54"/>
    <n v="0.52"/>
    <n v="2.1"/>
  </r>
  <r>
    <x v="11"/>
    <x v="2"/>
    <x v="36"/>
    <x v="3"/>
    <x v="0"/>
    <x v="0"/>
    <n v="0.59"/>
    <n v="0.64"/>
    <n v="0.18"/>
    <n v="0.53"/>
  </r>
  <r>
    <x v="11"/>
    <x v="2"/>
    <x v="36"/>
    <x v="2"/>
    <x v="3"/>
    <x v="1"/>
    <n v="0.16"/>
    <n v="0.17"/>
    <n v="0"/>
    <n v="0.14000000000000001"/>
  </r>
  <r>
    <x v="11"/>
    <x v="2"/>
    <x v="36"/>
    <x v="1"/>
    <x v="2"/>
    <x v="1"/>
    <n v="0.43"/>
    <n v="0.47"/>
    <n v="0"/>
    <n v="0.39"/>
  </r>
  <r>
    <x v="11"/>
    <x v="2"/>
    <x v="36"/>
    <x v="1"/>
    <x v="4"/>
    <x v="0"/>
    <n v="22.74"/>
    <n v="24.76"/>
    <n v="3.45"/>
    <n v="20.47"/>
  </r>
  <r>
    <x v="11"/>
    <x v="9"/>
    <x v="37"/>
    <x v="0"/>
    <x v="4"/>
    <x v="1"/>
    <n v="0.48"/>
    <n v="0.85"/>
    <n v="0.06"/>
    <n v="0.43"/>
  </r>
  <r>
    <x v="11"/>
    <x v="9"/>
    <x v="37"/>
    <x v="3"/>
    <x v="4"/>
    <x v="0"/>
    <n v="22.26"/>
    <n v="39.57"/>
    <n v="5.38"/>
    <n v="20.04"/>
  </r>
  <r>
    <x v="11"/>
    <x v="9"/>
    <x v="37"/>
    <x v="2"/>
    <x v="3"/>
    <x v="1"/>
    <n v="0.47"/>
    <n v="0.84"/>
    <n v="0.01"/>
    <n v="0.42"/>
  </r>
  <r>
    <x v="11"/>
    <x v="9"/>
    <x v="37"/>
    <x v="1"/>
    <x v="2"/>
    <x v="1"/>
    <n v="2.64"/>
    <n v="4.6900000000000004"/>
    <n v="0.01"/>
    <n v="2.37"/>
  </r>
  <r>
    <x v="11"/>
    <x v="9"/>
    <x v="37"/>
    <x v="1"/>
    <x v="1"/>
    <x v="1"/>
    <n v="4.17"/>
    <n v="7.41"/>
    <n v="0.04"/>
    <n v="3.75"/>
  </r>
  <r>
    <x v="11"/>
    <x v="9"/>
    <x v="37"/>
    <x v="1"/>
    <x v="4"/>
    <x v="1"/>
    <n v="0.79"/>
    <n v="1.4"/>
    <n v="0.02"/>
    <n v="0.71"/>
  </r>
  <r>
    <x v="11"/>
    <x v="9"/>
    <x v="37"/>
    <x v="1"/>
    <x v="0"/>
    <x v="1"/>
    <n v="0.46"/>
    <n v="0.82"/>
    <n v="0.01"/>
    <n v="0.42"/>
  </r>
  <r>
    <x v="11"/>
    <x v="9"/>
    <x v="37"/>
    <x v="0"/>
    <x v="0"/>
    <x v="1"/>
    <n v="5.07"/>
    <n v="9"/>
    <n v="0.09"/>
    <n v="4.5599999999999996"/>
  </r>
  <r>
    <x v="11"/>
    <x v="9"/>
    <x v="37"/>
    <x v="4"/>
    <x v="1"/>
    <x v="1"/>
    <n v="2.56"/>
    <n v="4.54"/>
    <n v="0.01"/>
    <n v="2.2999999999999998"/>
  </r>
  <r>
    <x v="11"/>
    <x v="9"/>
    <x v="37"/>
    <x v="4"/>
    <x v="4"/>
    <x v="1"/>
    <n v="5.17"/>
    <n v="9.1999999999999993"/>
    <n v="0.06"/>
    <n v="4.66"/>
  </r>
  <r>
    <x v="11"/>
    <x v="9"/>
    <x v="37"/>
    <x v="4"/>
    <x v="0"/>
    <x v="1"/>
    <n v="0.05"/>
    <n v="0.1"/>
    <n v="0.01"/>
    <n v="0.05"/>
  </r>
  <r>
    <x v="11"/>
    <x v="9"/>
    <x v="37"/>
    <x v="2"/>
    <x v="3"/>
    <x v="3"/>
    <n v="2.84"/>
    <n v="5.05"/>
    <n v="0"/>
    <n v="2.56"/>
  </r>
  <r>
    <x v="11"/>
    <x v="9"/>
    <x v="37"/>
    <x v="2"/>
    <x v="3"/>
    <x v="2"/>
    <n v="1.24"/>
    <n v="2.2000000000000002"/>
    <n v="0"/>
    <n v="1.1200000000000001"/>
  </r>
  <r>
    <x v="11"/>
    <x v="9"/>
    <x v="37"/>
    <x v="4"/>
    <x v="4"/>
    <x v="2"/>
    <n v="0.03"/>
    <n v="0.05"/>
    <n v="0"/>
    <n v="0.03"/>
  </r>
  <r>
    <x v="11"/>
    <x v="9"/>
    <x v="37"/>
    <x v="3"/>
    <x v="1"/>
    <x v="0"/>
    <n v="0.01"/>
    <n v="0.02"/>
    <n v="0"/>
    <n v="0.01"/>
  </r>
  <r>
    <x v="11"/>
    <x v="9"/>
    <x v="37"/>
    <x v="4"/>
    <x v="4"/>
    <x v="0"/>
    <n v="176.36"/>
    <n v="313.45"/>
    <n v="22.06"/>
    <n v="158.72"/>
  </r>
  <r>
    <x v="11"/>
    <x v="9"/>
    <x v="37"/>
    <x v="1"/>
    <x v="4"/>
    <x v="2"/>
    <n v="0.01"/>
    <n v="0.03"/>
    <n v="0"/>
    <n v="0.01"/>
  </r>
  <r>
    <x v="11"/>
    <x v="9"/>
    <x v="37"/>
    <x v="2"/>
    <x v="4"/>
    <x v="0"/>
    <n v="6.83"/>
    <n v="12.14"/>
    <n v="1.39"/>
    <n v="6.15"/>
  </r>
  <r>
    <x v="11"/>
    <x v="9"/>
    <x v="37"/>
    <x v="4"/>
    <x v="1"/>
    <x v="0"/>
    <n v="14.02"/>
    <n v="24.92"/>
    <n v="1.01"/>
    <n v="12.62"/>
  </r>
  <r>
    <x v="11"/>
    <x v="9"/>
    <x v="37"/>
    <x v="3"/>
    <x v="0"/>
    <x v="0"/>
    <n v="2.36"/>
    <n v="4.2"/>
    <n v="0.57999999999999996"/>
    <n v="2.13"/>
  </r>
  <r>
    <x v="11"/>
    <x v="9"/>
    <x v="37"/>
    <x v="2"/>
    <x v="3"/>
    <x v="0"/>
    <n v="2.06"/>
    <n v="3.66"/>
    <n v="0.02"/>
    <n v="1.85"/>
  </r>
  <r>
    <x v="11"/>
    <x v="9"/>
    <x v="37"/>
    <x v="2"/>
    <x v="0"/>
    <x v="0"/>
    <n v="7.21"/>
    <n v="12.82"/>
    <n v="5.8"/>
    <n v="6.49"/>
  </r>
  <r>
    <x v="11"/>
    <x v="9"/>
    <x v="37"/>
    <x v="1"/>
    <x v="2"/>
    <x v="0"/>
    <n v="4.8899999999999997"/>
    <n v="8.69"/>
    <n v="7.0000000000000007E-2"/>
    <n v="4.4000000000000004"/>
  </r>
  <r>
    <x v="11"/>
    <x v="9"/>
    <x v="37"/>
    <x v="1"/>
    <x v="1"/>
    <x v="0"/>
    <n v="36.020000000000003"/>
    <n v="64.02"/>
    <n v="2.27"/>
    <n v="32.42"/>
  </r>
  <r>
    <x v="11"/>
    <x v="9"/>
    <x v="37"/>
    <x v="1"/>
    <x v="4"/>
    <x v="0"/>
    <n v="289.52999999999997"/>
    <n v="514.59"/>
    <n v="59.81"/>
    <n v="260.57"/>
  </r>
  <r>
    <x v="11"/>
    <x v="9"/>
    <x v="37"/>
    <x v="1"/>
    <x v="0"/>
    <x v="0"/>
    <n v="41.23"/>
    <n v="73.290000000000006"/>
    <n v="16.89"/>
    <n v="37.11"/>
  </r>
  <r>
    <x v="11"/>
    <x v="9"/>
    <x v="37"/>
    <x v="0"/>
    <x v="4"/>
    <x v="0"/>
    <n v="43.31"/>
    <n v="76.97"/>
    <n v="13.17"/>
    <n v="38.979999999999997"/>
  </r>
  <r>
    <x v="11"/>
    <x v="9"/>
    <x v="37"/>
    <x v="0"/>
    <x v="0"/>
    <x v="0"/>
    <n v="6.92"/>
    <n v="12.31"/>
    <n v="4.28"/>
    <n v="6.23"/>
  </r>
  <r>
    <x v="11"/>
    <x v="7"/>
    <x v="38"/>
    <x v="2"/>
    <x v="0"/>
    <x v="0"/>
    <n v="1.2"/>
    <n v="1.2"/>
    <n v="0.92"/>
    <n v="1.08"/>
  </r>
  <r>
    <x v="11"/>
    <x v="7"/>
    <x v="38"/>
    <x v="1"/>
    <x v="2"/>
    <x v="1"/>
    <n v="0.7"/>
    <n v="0.7"/>
    <n v="0"/>
    <n v="0.63"/>
  </r>
  <r>
    <x v="11"/>
    <x v="7"/>
    <x v="38"/>
    <x v="4"/>
    <x v="4"/>
    <x v="2"/>
    <n v="0.1"/>
    <n v="0.1"/>
    <n v="0"/>
    <n v="0.09"/>
  </r>
  <r>
    <x v="11"/>
    <x v="7"/>
    <x v="38"/>
    <x v="4"/>
    <x v="1"/>
    <x v="2"/>
    <n v="0.1"/>
    <n v="0.1"/>
    <n v="0"/>
    <n v="0.09"/>
  </r>
  <r>
    <x v="11"/>
    <x v="7"/>
    <x v="38"/>
    <x v="4"/>
    <x v="2"/>
    <x v="2"/>
    <n v="0.08"/>
    <n v="0.08"/>
    <n v="0"/>
    <n v="7.0000000000000007E-2"/>
  </r>
  <r>
    <x v="11"/>
    <x v="7"/>
    <x v="38"/>
    <x v="1"/>
    <x v="4"/>
    <x v="2"/>
    <n v="0.01"/>
    <n v="0.01"/>
    <n v="0"/>
    <n v="0.01"/>
  </r>
  <r>
    <x v="11"/>
    <x v="7"/>
    <x v="38"/>
    <x v="2"/>
    <x v="3"/>
    <x v="2"/>
    <n v="0.43"/>
    <n v="0.43"/>
    <n v="0"/>
    <n v="0.38"/>
  </r>
  <r>
    <x v="11"/>
    <x v="7"/>
    <x v="38"/>
    <x v="2"/>
    <x v="3"/>
    <x v="3"/>
    <n v="0.66"/>
    <n v="0.66"/>
    <n v="0"/>
    <n v="0.59"/>
  </r>
  <r>
    <x v="11"/>
    <x v="7"/>
    <x v="38"/>
    <x v="4"/>
    <x v="0"/>
    <x v="1"/>
    <n v="0"/>
    <n v="0"/>
    <n v="0"/>
    <n v="0"/>
  </r>
  <r>
    <x v="11"/>
    <x v="7"/>
    <x v="38"/>
    <x v="4"/>
    <x v="4"/>
    <x v="1"/>
    <n v="0.13"/>
    <n v="0.13"/>
    <n v="0"/>
    <n v="0.12"/>
  </r>
  <r>
    <x v="11"/>
    <x v="7"/>
    <x v="38"/>
    <x v="4"/>
    <x v="1"/>
    <x v="1"/>
    <n v="0.14000000000000001"/>
    <n v="0.14000000000000001"/>
    <n v="0"/>
    <n v="0.12"/>
  </r>
  <r>
    <x v="11"/>
    <x v="7"/>
    <x v="38"/>
    <x v="0"/>
    <x v="0"/>
    <x v="1"/>
    <n v="0.14000000000000001"/>
    <n v="0.14000000000000001"/>
    <n v="0"/>
    <n v="0.13"/>
  </r>
  <r>
    <x v="11"/>
    <x v="7"/>
    <x v="38"/>
    <x v="0"/>
    <x v="4"/>
    <x v="1"/>
    <n v="0.03"/>
    <n v="0.03"/>
    <n v="0"/>
    <n v="0.02"/>
  </r>
  <r>
    <x v="11"/>
    <x v="7"/>
    <x v="38"/>
    <x v="1"/>
    <x v="0"/>
    <x v="1"/>
    <n v="0.06"/>
    <n v="0.06"/>
    <n v="0"/>
    <n v="0.05"/>
  </r>
  <r>
    <x v="11"/>
    <x v="7"/>
    <x v="38"/>
    <x v="2"/>
    <x v="3"/>
    <x v="0"/>
    <n v="7.91"/>
    <n v="7.91"/>
    <n v="0.05"/>
    <n v="7.12"/>
  </r>
  <r>
    <x v="11"/>
    <x v="7"/>
    <x v="38"/>
    <x v="1"/>
    <x v="1"/>
    <x v="1"/>
    <n v="0.59"/>
    <n v="0.59"/>
    <n v="0.01"/>
    <n v="0.53"/>
  </r>
  <r>
    <x v="11"/>
    <x v="7"/>
    <x v="38"/>
    <x v="2"/>
    <x v="4"/>
    <x v="0"/>
    <n v="1.77"/>
    <n v="1.77"/>
    <n v="0.4"/>
    <n v="1.59"/>
  </r>
  <r>
    <x v="11"/>
    <x v="7"/>
    <x v="38"/>
    <x v="2"/>
    <x v="3"/>
    <x v="1"/>
    <n v="0.05"/>
    <n v="0.05"/>
    <n v="0"/>
    <n v="0.05"/>
  </r>
  <r>
    <x v="11"/>
    <x v="7"/>
    <x v="38"/>
    <x v="3"/>
    <x v="0"/>
    <x v="0"/>
    <n v="0.81"/>
    <n v="0.81"/>
    <n v="0.17"/>
    <n v="0.73"/>
  </r>
  <r>
    <x v="11"/>
    <x v="7"/>
    <x v="38"/>
    <x v="3"/>
    <x v="4"/>
    <x v="0"/>
    <n v="2.69"/>
    <n v="2.69"/>
    <n v="0.68"/>
    <n v="2.42"/>
  </r>
  <r>
    <x v="11"/>
    <x v="7"/>
    <x v="38"/>
    <x v="3"/>
    <x v="1"/>
    <x v="0"/>
    <n v="0.03"/>
    <n v="0.03"/>
    <n v="0"/>
    <n v="0.03"/>
  </r>
  <r>
    <x v="11"/>
    <x v="7"/>
    <x v="38"/>
    <x v="4"/>
    <x v="4"/>
    <x v="0"/>
    <n v="10.83"/>
    <n v="10.83"/>
    <n v="1.94"/>
    <n v="9.74"/>
  </r>
  <r>
    <x v="11"/>
    <x v="7"/>
    <x v="38"/>
    <x v="4"/>
    <x v="1"/>
    <x v="0"/>
    <n v="2.29"/>
    <n v="2.29"/>
    <n v="0.13"/>
    <n v="2.06"/>
  </r>
  <r>
    <x v="11"/>
    <x v="7"/>
    <x v="38"/>
    <x v="0"/>
    <x v="0"/>
    <x v="0"/>
    <n v="1.42"/>
    <n v="1.42"/>
    <n v="0.67"/>
    <n v="1.28"/>
  </r>
  <r>
    <x v="11"/>
    <x v="7"/>
    <x v="38"/>
    <x v="0"/>
    <x v="4"/>
    <x v="0"/>
    <n v="5.82"/>
    <n v="5.82"/>
    <n v="1.54"/>
    <n v="5.24"/>
  </r>
  <r>
    <x v="11"/>
    <x v="7"/>
    <x v="38"/>
    <x v="1"/>
    <x v="0"/>
    <x v="0"/>
    <n v="1.46"/>
    <n v="1.46"/>
    <n v="1.05"/>
    <n v="1.32"/>
  </r>
  <r>
    <x v="11"/>
    <x v="7"/>
    <x v="38"/>
    <x v="1"/>
    <x v="4"/>
    <x v="0"/>
    <n v="28.96"/>
    <n v="28.96"/>
    <n v="5.82"/>
    <n v="26.07"/>
  </r>
  <r>
    <x v="11"/>
    <x v="7"/>
    <x v="38"/>
    <x v="1"/>
    <x v="1"/>
    <x v="0"/>
    <n v="5.35"/>
    <n v="5.35"/>
    <n v="0.27"/>
    <n v="4.82"/>
  </r>
  <r>
    <x v="11"/>
    <x v="7"/>
    <x v="38"/>
    <x v="1"/>
    <x v="2"/>
    <x v="0"/>
    <n v="0.44"/>
    <n v="0.44"/>
    <n v="0"/>
    <n v="0.39"/>
  </r>
  <r>
    <x v="11"/>
    <x v="7"/>
    <x v="38"/>
    <x v="1"/>
    <x v="4"/>
    <x v="1"/>
    <n v="0.02"/>
    <n v="0.02"/>
    <n v="0"/>
    <n v="0.01"/>
  </r>
  <r>
    <x v="11"/>
    <x v="1"/>
    <x v="39"/>
    <x v="1"/>
    <x v="4"/>
    <x v="0"/>
    <n v="205.5"/>
    <n v="217.07"/>
    <n v="34.15"/>
    <n v="184.95"/>
  </r>
  <r>
    <x v="11"/>
    <x v="1"/>
    <x v="39"/>
    <x v="3"/>
    <x v="0"/>
    <x v="0"/>
    <n v="5.07"/>
    <n v="5.36"/>
    <n v="1.74"/>
    <n v="4.57"/>
  </r>
  <r>
    <x v="11"/>
    <x v="1"/>
    <x v="39"/>
    <x v="3"/>
    <x v="4"/>
    <x v="0"/>
    <n v="54.59"/>
    <n v="57.66"/>
    <n v="10.1"/>
    <n v="49.13"/>
  </r>
  <r>
    <x v="11"/>
    <x v="1"/>
    <x v="39"/>
    <x v="3"/>
    <x v="1"/>
    <x v="0"/>
    <n v="0.22"/>
    <n v="0.23"/>
    <n v="0.02"/>
    <n v="0.2"/>
  </r>
  <r>
    <x v="11"/>
    <x v="1"/>
    <x v="39"/>
    <x v="4"/>
    <x v="4"/>
    <x v="0"/>
    <n v="62.19"/>
    <n v="65.69"/>
    <n v="9.15"/>
    <n v="55.97"/>
  </r>
  <r>
    <x v="11"/>
    <x v="1"/>
    <x v="39"/>
    <x v="4"/>
    <x v="1"/>
    <x v="0"/>
    <n v="3.93"/>
    <n v="4.1500000000000004"/>
    <n v="0.17"/>
    <n v="3.54"/>
  </r>
  <r>
    <x v="11"/>
    <x v="1"/>
    <x v="39"/>
    <x v="0"/>
    <x v="0"/>
    <x v="0"/>
    <n v="1.88"/>
    <n v="1.99"/>
    <n v="1.04"/>
    <n v="1.69"/>
  </r>
  <r>
    <x v="11"/>
    <x v="1"/>
    <x v="39"/>
    <x v="1"/>
    <x v="2"/>
    <x v="0"/>
    <n v="10.039999999999999"/>
    <n v="10.6"/>
    <n v="0.06"/>
    <n v="9.0299999999999994"/>
  </r>
  <r>
    <x v="11"/>
    <x v="1"/>
    <x v="39"/>
    <x v="2"/>
    <x v="3"/>
    <x v="0"/>
    <n v="0.41"/>
    <n v="0.44"/>
    <n v="0"/>
    <n v="0.37"/>
  </r>
  <r>
    <x v="11"/>
    <x v="1"/>
    <x v="39"/>
    <x v="2"/>
    <x v="0"/>
    <x v="0"/>
    <n v="3.54"/>
    <n v="3.74"/>
    <n v="2.7"/>
    <n v="3.19"/>
  </r>
  <r>
    <x v="11"/>
    <x v="1"/>
    <x v="39"/>
    <x v="2"/>
    <x v="3"/>
    <x v="1"/>
    <n v="1.71"/>
    <n v="1.8"/>
    <n v="0"/>
    <n v="1.53"/>
  </r>
  <r>
    <x v="11"/>
    <x v="1"/>
    <x v="39"/>
    <x v="1"/>
    <x v="0"/>
    <x v="0"/>
    <n v="9.08"/>
    <n v="9.6"/>
    <n v="5.0999999999999996"/>
    <n v="8.18"/>
  </r>
  <r>
    <x v="11"/>
    <x v="1"/>
    <x v="39"/>
    <x v="2"/>
    <x v="4"/>
    <x v="0"/>
    <n v="2.76"/>
    <n v="2.92"/>
    <n v="0.61"/>
    <n v="2.4900000000000002"/>
  </r>
  <r>
    <x v="11"/>
    <x v="1"/>
    <x v="39"/>
    <x v="0"/>
    <x v="4"/>
    <x v="0"/>
    <n v="23.79"/>
    <n v="25.13"/>
    <n v="2.06"/>
    <n v="21.41"/>
  </r>
  <r>
    <x v="11"/>
    <x v="1"/>
    <x v="39"/>
    <x v="1"/>
    <x v="1"/>
    <x v="2"/>
    <n v="0.2"/>
    <n v="0.21"/>
    <n v="0.01"/>
    <n v="0.18"/>
  </r>
  <r>
    <x v="11"/>
    <x v="1"/>
    <x v="39"/>
    <x v="1"/>
    <x v="1"/>
    <x v="0"/>
    <n v="31.37"/>
    <n v="33.130000000000003"/>
    <n v="1.49"/>
    <n v="28.23"/>
  </r>
  <r>
    <x v="11"/>
    <x v="1"/>
    <x v="39"/>
    <x v="2"/>
    <x v="3"/>
    <x v="3"/>
    <n v="2.09"/>
    <n v="2.21"/>
    <n v="0"/>
    <n v="1.88"/>
  </r>
  <r>
    <x v="11"/>
    <x v="1"/>
    <x v="39"/>
    <x v="1"/>
    <x v="2"/>
    <x v="1"/>
    <n v="1.91"/>
    <n v="2.02"/>
    <n v="0.01"/>
    <n v="1.72"/>
  </r>
  <r>
    <x v="11"/>
    <x v="1"/>
    <x v="39"/>
    <x v="4"/>
    <x v="4"/>
    <x v="1"/>
    <n v="0.15"/>
    <n v="0.16"/>
    <n v="0.01"/>
    <n v="0.13"/>
  </r>
  <r>
    <x v="11"/>
    <x v="1"/>
    <x v="39"/>
    <x v="2"/>
    <x v="3"/>
    <x v="2"/>
    <n v="0.31"/>
    <n v="0.33"/>
    <n v="0"/>
    <n v="0.28000000000000003"/>
  </r>
  <r>
    <x v="11"/>
    <x v="1"/>
    <x v="39"/>
    <x v="4"/>
    <x v="1"/>
    <x v="1"/>
    <n v="0.12"/>
    <n v="0.12"/>
    <n v="0.01"/>
    <n v="0.1"/>
  </r>
  <r>
    <x v="11"/>
    <x v="1"/>
    <x v="39"/>
    <x v="0"/>
    <x v="0"/>
    <x v="1"/>
    <n v="0.32"/>
    <n v="0.34"/>
    <n v="0.01"/>
    <n v="0.28999999999999998"/>
  </r>
  <r>
    <x v="11"/>
    <x v="1"/>
    <x v="39"/>
    <x v="0"/>
    <x v="4"/>
    <x v="1"/>
    <n v="0.05"/>
    <n v="0.05"/>
    <n v="0.01"/>
    <n v="0.04"/>
  </r>
  <r>
    <x v="11"/>
    <x v="1"/>
    <x v="39"/>
    <x v="4"/>
    <x v="1"/>
    <x v="2"/>
    <n v="0.04"/>
    <n v="0.04"/>
    <n v="0.01"/>
    <n v="0.03"/>
  </r>
  <r>
    <x v="11"/>
    <x v="1"/>
    <x v="39"/>
    <x v="4"/>
    <x v="4"/>
    <x v="2"/>
    <n v="0.06"/>
    <n v="0.06"/>
    <n v="0.01"/>
    <n v="0.05"/>
  </r>
  <r>
    <x v="11"/>
    <x v="1"/>
    <x v="39"/>
    <x v="1"/>
    <x v="0"/>
    <x v="1"/>
    <n v="0.35"/>
    <n v="0.37"/>
    <n v="0.02"/>
    <n v="0.31"/>
  </r>
  <r>
    <x v="11"/>
    <x v="1"/>
    <x v="39"/>
    <x v="1"/>
    <x v="4"/>
    <x v="1"/>
    <n v="0.31"/>
    <n v="0.33"/>
    <n v="0.01"/>
    <n v="0.28000000000000003"/>
  </r>
  <r>
    <x v="11"/>
    <x v="1"/>
    <x v="39"/>
    <x v="1"/>
    <x v="1"/>
    <x v="1"/>
    <n v="2.2400000000000002"/>
    <n v="2.37"/>
    <n v="0.03"/>
    <n v="2.02"/>
  </r>
  <r>
    <x v="11"/>
    <x v="1"/>
    <x v="39"/>
    <x v="4"/>
    <x v="0"/>
    <x v="1"/>
    <n v="0.08"/>
    <n v="0.09"/>
    <n v="0.01"/>
    <n v="0.08"/>
  </r>
  <r>
    <x v="11"/>
    <x v="10"/>
    <x v="40"/>
    <x v="4"/>
    <x v="4"/>
    <x v="0"/>
    <n v="32.43"/>
    <n v="41.02"/>
    <n v="4.84"/>
    <n v="29.19"/>
  </r>
  <r>
    <x v="11"/>
    <x v="10"/>
    <x v="40"/>
    <x v="2"/>
    <x v="3"/>
    <x v="1"/>
    <n v="0.36"/>
    <n v="0.45"/>
    <n v="0"/>
    <n v="0.32"/>
  </r>
  <r>
    <x v="11"/>
    <x v="10"/>
    <x v="40"/>
    <x v="2"/>
    <x v="3"/>
    <x v="0"/>
    <n v="0.14000000000000001"/>
    <n v="0.18"/>
    <n v="0.03"/>
    <n v="0.13"/>
  </r>
  <r>
    <x v="11"/>
    <x v="10"/>
    <x v="40"/>
    <x v="2"/>
    <x v="4"/>
    <x v="0"/>
    <n v="1.77"/>
    <n v="2.2400000000000002"/>
    <n v="0.46"/>
    <n v="1.59"/>
  </r>
  <r>
    <x v="11"/>
    <x v="10"/>
    <x v="40"/>
    <x v="2"/>
    <x v="0"/>
    <x v="0"/>
    <n v="1.07"/>
    <n v="1.35"/>
    <n v="1.07"/>
    <n v="0.96"/>
  </r>
  <r>
    <x v="11"/>
    <x v="10"/>
    <x v="40"/>
    <x v="1"/>
    <x v="2"/>
    <x v="0"/>
    <n v="1.87"/>
    <n v="2.36"/>
    <n v="0.01"/>
    <n v="1.68"/>
  </r>
  <r>
    <x v="11"/>
    <x v="10"/>
    <x v="40"/>
    <x v="1"/>
    <x v="1"/>
    <x v="0"/>
    <n v="10.84"/>
    <n v="13.71"/>
    <n v="1.26"/>
    <n v="9.76"/>
  </r>
  <r>
    <x v="11"/>
    <x v="10"/>
    <x v="40"/>
    <x v="1"/>
    <x v="4"/>
    <x v="0"/>
    <n v="119.62"/>
    <n v="151.28"/>
    <n v="25.23"/>
    <n v="107.66"/>
  </r>
  <r>
    <x v="11"/>
    <x v="10"/>
    <x v="40"/>
    <x v="1"/>
    <x v="0"/>
    <x v="0"/>
    <n v="7.29"/>
    <n v="9.2200000000000006"/>
    <n v="4.8499999999999996"/>
    <n v="6.56"/>
  </r>
  <r>
    <x v="11"/>
    <x v="10"/>
    <x v="40"/>
    <x v="0"/>
    <x v="4"/>
    <x v="0"/>
    <n v="11.84"/>
    <n v="14.97"/>
    <n v="2.8"/>
    <n v="10.66"/>
  </r>
  <r>
    <x v="11"/>
    <x v="10"/>
    <x v="40"/>
    <x v="0"/>
    <x v="0"/>
    <x v="0"/>
    <n v="3.14"/>
    <n v="3.97"/>
    <n v="1.38"/>
    <n v="2.83"/>
  </r>
  <r>
    <x v="11"/>
    <x v="10"/>
    <x v="40"/>
    <x v="4"/>
    <x v="1"/>
    <x v="0"/>
    <n v="6.61"/>
    <n v="8.36"/>
    <n v="0.33"/>
    <n v="5.95"/>
  </r>
  <r>
    <x v="11"/>
    <x v="10"/>
    <x v="40"/>
    <x v="1"/>
    <x v="4"/>
    <x v="1"/>
    <n v="0.09"/>
    <n v="0.12"/>
    <n v="0"/>
    <n v="0.08"/>
  </r>
  <r>
    <x v="11"/>
    <x v="10"/>
    <x v="40"/>
    <x v="3"/>
    <x v="4"/>
    <x v="0"/>
    <n v="3.69"/>
    <n v="4.66"/>
    <n v="1.04"/>
    <n v="3.32"/>
  </r>
  <r>
    <x v="11"/>
    <x v="10"/>
    <x v="40"/>
    <x v="3"/>
    <x v="0"/>
    <x v="0"/>
    <n v="3.64"/>
    <n v="4.5999999999999996"/>
    <n v="0.61"/>
    <n v="3.27"/>
  </r>
  <r>
    <x v="11"/>
    <x v="10"/>
    <x v="40"/>
    <x v="4"/>
    <x v="4"/>
    <x v="2"/>
    <n v="0.03"/>
    <n v="0.03"/>
    <n v="0"/>
    <n v="0.02"/>
  </r>
  <r>
    <x v="11"/>
    <x v="10"/>
    <x v="40"/>
    <x v="1"/>
    <x v="1"/>
    <x v="1"/>
    <n v="1.22"/>
    <n v="1.55"/>
    <n v="0.01"/>
    <n v="1.1000000000000001"/>
  </r>
  <r>
    <x v="11"/>
    <x v="10"/>
    <x v="40"/>
    <x v="1"/>
    <x v="0"/>
    <x v="1"/>
    <n v="0.7"/>
    <n v="0.89"/>
    <n v="0.03"/>
    <n v="0.63"/>
  </r>
  <r>
    <x v="11"/>
    <x v="10"/>
    <x v="40"/>
    <x v="0"/>
    <x v="4"/>
    <x v="1"/>
    <n v="0.09"/>
    <n v="0.11"/>
    <n v="0.01"/>
    <n v="0.08"/>
  </r>
  <r>
    <x v="11"/>
    <x v="10"/>
    <x v="40"/>
    <x v="0"/>
    <x v="0"/>
    <x v="1"/>
    <n v="0.84"/>
    <n v="1.06"/>
    <n v="0.02"/>
    <n v="0.75"/>
  </r>
  <r>
    <x v="11"/>
    <x v="10"/>
    <x v="40"/>
    <x v="4"/>
    <x v="1"/>
    <x v="1"/>
    <n v="0.36"/>
    <n v="0.45"/>
    <n v="0"/>
    <n v="0.32"/>
  </r>
  <r>
    <x v="11"/>
    <x v="10"/>
    <x v="40"/>
    <x v="4"/>
    <x v="4"/>
    <x v="1"/>
    <n v="1.02"/>
    <n v="1.29"/>
    <n v="0.02"/>
    <n v="0.92"/>
  </r>
  <r>
    <x v="11"/>
    <x v="10"/>
    <x v="40"/>
    <x v="4"/>
    <x v="0"/>
    <x v="1"/>
    <n v="0.01"/>
    <n v="0.01"/>
    <n v="0"/>
    <n v="0.01"/>
  </r>
  <r>
    <x v="11"/>
    <x v="10"/>
    <x v="40"/>
    <x v="2"/>
    <x v="3"/>
    <x v="3"/>
    <n v="12.73"/>
    <n v="16.09"/>
    <n v="0"/>
    <n v="11.45"/>
  </r>
  <r>
    <x v="11"/>
    <x v="10"/>
    <x v="40"/>
    <x v="2"/>
    <x v="3"/>
    <x v="2"/>
    <n v="3.25"/>
    <n v="4.1100000000000003"/>
    <n v="0"/>
    <n v="2.92"/>
  </r>
  <r>
    <x v="11"/>
    <x v="10"/>
    <x v="40"/>
    <x v="1"/>
    <x v="4"/>
    <x v="2"/>
    <n v="0.12"/>
    <n v="0.15"/>
    <n v="0"/>
    <n v="0.1"/>
  </r>
  <r>
    <x v="11"/>
    <x v="10"/>
    <x v="40"/>
    <x v="4"/>
    <x v="2"/>
    <x v="2"/>
    <n v="0.28000000000000003"/>
    <n v="0.36"/>
    <n v="0"/>
    <n v="0.26"/>
  </r>
  <r>
    <x v="11"/>
    <x v="10"/>
    <x v="40"/>
    <x v="4"/>
    <x v="1"/>
    <x v="2"/>
    <n v="0.09"/>
    <n v="0.11"/>
    <n v="0"/>
    <n v="0.08"/>
  </r>
  <r>
    <x v="11"/>
    <x v="10"/>
    <x v="40"/>
    <x v="3"/>
    <x v="1"/>
    <x v="0"/>
    <n v="0.09"/>
    <n v="0.12"/>
    <n v="0.01"/>
    <n v="0.08"/>
  </r>
  <r>
    <x v="11"/>
    <x v="10"/>
    <x v="40"/>
    <x v="1"/>
    <x v="2"/>
    <x v="1"/>
    <n v="2.54"/>
    <n v="3.22"/>
    <n v="0.01"/>
    <n v="2.29"/>
  </r>
  <r>
    <x v="11"/>
    <x v="1"/>
    <x v="41"/>
    <x v="2"/>
    <x v="0"/>
    <x v="0"/>
    <n v="8.58"/>
    <n v="8.36"/>
    <n v="4.8600000000000003"/>
    <n v="7.72"/>
  </r>
  <r>
    <x v="11"/>
    <x v="1"/>
    <x v="41"/>
    <x v="2"/>
    <x v="4"/>
    <x v="0"/>
    <n v="26.66"/>
    <n v="25.98"/>
    <n v="5.48"/>
    <n v="24"/>
  </r>
  <r>
    <x v="11"/>
    <x v="1"/>
    <x v="41"/>
    <x v="2"/>
    <x v="3"/>
    <x v="0"/>
    <n v="3.65"/>
    <n v="3.55"/>
    <n v="0.02"/>
    <n v="3.28"/>
  </r>
  <r>
    <x v="11"/>
    <x v="1"/>
    <x v="41"/>
    <x v="4"/>
    <x v="0"/>
    <x v="1"/>
    <n v="0.31"/>
    <n v="0.31"/>
    <n v="0.04"/>
    <n v="0.28000000000000003"/>
  </r>
  <r>
    <x v="11"/>
    <x v="1"/>
    <x v="41"/>
    <x v="4"/>
    <x v="4"/>
    <x v="1"/>
    <n v="0.41"/>
    <n v="0.4"/>
    <n v="0.02"/>
    <n v="0.37"/>
  </r>
  <r>
    <x v="11"/>
    <x v="1"/>
    <x v="41"/>
    <x v="4"/>
    <x v="1"/>
    <x v="1"/>
    <n v="0.47"/>
    <n v="0.46"/>
    <n v="0.03"/>
    <n v="0.42"/>
  </r>
  <r>
    <x v="11"/>
    <x v="1"/>
    <x v="41"/>
    <x v="0"/>
    <x v="0"/>
    <x v="1"/>
    <n v="1.49"/>
    <n v="1.45"/>
    <n v="7.0000000000000007E-2"/>
    <n v="1.34"/>
  </r>
  <r>
    <x v="11"/>
    <x v="1"/>
    <x v="41"/>
    <x v="0"/>
    <x v="4"/>
    <x v="1"/>
    <n v="1.2"/>
    <n v="1.17"/>
    <n v="0.02"/>
    <n v="1.08"/>
  </r>
  <r>
    <x v="11"/>
    <x v="1"/>
    <x v="41"/>
    <x v="1"/>
    <x v="0"/>
    <x v="1"/>
    <n v="1.24"/>
    <n v="1.21"/>
    <n v="0.06"/>
    <n v="1.1100000000000001"/>
  </r>
  <r>
    <x v="11"/>
    <x v="1"/>
    <x v="41"/>
    <x v="1"/>
    <x v="4"/>
    <x v="1"/>
    <n v="1.38"/>
    <n v="1.34"/>
    <n v="0.04"/>
    <n v="1.24"/>
  </r>
  <r>
    <x v="11"/>
    <x v="1"/>
    <x v="41"/>
    <x v="1"/>
    <x v="2"/>
    <x v="0"/>
    <n v="21.22"/>
    <n v="20.67"/>
    <n v="0.13"/>
    <n v="19.100000000000001"/>
  </r>
  <r>
    <x v="11"/>
    <x v="1"/>
    <x v="41"/>
    <x v="1"/>
    <x v="2"/>
    <x v="1"/>
    <n v="15.04"/>
    <n v="14.66"/>
    <n v="0.09"/>
    <n v="13.54"/>
  </r>
  <r>
    <x v="11"/>
    <x v="1"/>
    <x v="41"/>
    <x v="2"/>
    <x v="3"/>
    <x v="2"/>
    <n v="12.81"/>
    <n v="12.49"/>
    <n v="0.03"/>
    <n v="11.53"/>
  </r>
  <r>
    <x v="11"/>
    <x v="1"/>
    <x v="41"/>
    <x v="1"/>
    <x v="1"/>
    <x v="1"/>
    <n v="7.46"/>
    <n v="7.27"/>
    <n v="0.13"/>
    <n v="6.72"/>
  </r>
  <r>
    <x v="11"/>
    <x v="1"/>
    <x v="41"/>
    <x v="1"/>
    <x v="1"/>
    <x v="0"/>
    <n v="53.22"/>
    <n v="51.86"/>
    <n v="2.4500000000000002"/>
    <n v="47.9"/>
  </r>
  <r>
    <x v="11"/>
    <x v="1"/>
    <x v="41"/>
    <x v="1"/>
    <x v="4"/>
    <x v="0"/>
    <n v="345.67"/>
    <n v="336.81"/>
    <n v="77.099999999999994"/>
    <n v="311.10000000000002"/>
  </r>
  <r>
    <x v="11"/>
    <x v="1"/>
    <x v="41"/>
    <x v="1"/>
    <x v="0"/>
    <x v="0"/>
    <n v="42.77"/>
    <n v="41.67"/>
    <n v="20.18"/>
    <n v="38.49"/>
  </r>
  <r>
    <x v="11"/>
    <x v="1"/>
    <x v="41"/>
    <x v="0"/>
    <x v="4"/>
    <x v="0"/>
    <n v="31.78"/>
    <n v="30.96"/>
    <n v="6.95"/>
    <n v="28.6"/>
  </r>
  <r>
    <x v="11"/>
    <x v="1"/>
    <x v="41"/>
    <x v="0"/>
    <x v="0"/>
    <x v="0"/>
    <n v="0.33"/>
    <n v="0.32"/>
    <n v="0.18"/>
    <n v="0.28999999999999998"/>
  </r>
  <r>
    <x v="11"/>
    <x v="1"/>
    <x v="41"/>
    <x v="4"/>
    <x v="1"/>
    <x v="0"/>
    <n v="37.549999999999997"/>
    <n v="36.590000000000003"/>
    <n v="1.55"/>
    <n v="33.799999999999997"/>
  </r>
  <r>
    <x v="11"/>
    <x v="1"/>
    <x v="41"/>
    <x v="4"/>
    <x v="4"/>
    <x v="0"/>
    <n v="104.97"/>
    <n v="102.28"/>
    <n v="12.55"/>
    <n v="94.48"/>
  </r>
  <r>
    <x v="11"/>
    <x v="1"/>
    <x v="41"/>
    <x v="3"/>
    <x v="1"/>
    <x v="0"/>
    <n v="2.4900000000000002"/>
    <n v="2.42"/>
    <n v="0.18"/>
    <n v="2.2400000000000002"/>
  </r>
  <r>
    <x v="11"/>
    <x v="1"/>
    <x v="41"/>
    <x v="3"/>
    <x v="4"/>
    <x v="0"/>
    <n v="73.28"/>
    <n v="71.400000000000006"/>
    <n v="10.95"/>
    <n v="65.95"/>
  </r>
  <r>
    <x v="11"/>
    <x v="1"/>
    <x v="41"/>
    <x v="2"/>
    <x v="3"/>
    <x v="1"/>
    <n v="0.82"/>
    <n v="0.8"/>
    <n v="0"/>
    <n v="0.74"/>
  </r>
  <r>
    <x v="11"/>
    <x v="1"/>
    <x v="41"/>
    <x v="1"/>
    <x v="1"/>
    <x v="2"/>
    <n v="0.5"/>
    <n v="0.49"/>
    <n v="0.01"/>
    <n v="0.45"/>
  </r>
  <r>
    <x v="11"/>
    <x v="1"/>
    <x v="41"/>
    <x v="4"/>
    <x v="1"/>
    <x v="2"/>
    <n v="2.39"/>
    <n v="2.33"/>
    <n v="0.13"/>
    <n v="2.15"/>
  </r>
  <r>
    <x v="11"/>
    <x v="1"/>
    <x v="41"/>
    <x v="4"/>
    <x v="4"/>
    <x v="2"/>
    <n v="0.24"/>
    <n v="0.24"/>
    <n v="0.04"/>
    <n v="0.22"/>
  </r>
  <r>
    <x v="11"/>
    <x v="1"/>
    <x v="41"/>
    <x v="2"/>
    <x v="3"/>
    <x v="3"/>
    <n v="10.42"/>
    <n v="10.15"/>
    <n v="0.01"/>
    <n v="9.3800000000000008"/>
  </r>
  <r>
    <x v="11"/>
    <x v="2"/>
    <x v="42"/>
    <x v="1"/>
    <x v="0"/>
    <x v="0"/>
    <n v="17.16"/>
    <n v="18.68"/>
    <n v="7.89"/>
    <n v="15.44"/>
  </r>
  <r>
    <x v="11"/>
    <x v="2"/>
    <x v="42"/>
    <x v="4"/>
    <x v="1"/>
    <x v="0"/>
    <n v="16.14"/>
    <n v="17.57"/>
    <n v="0.8"/>
    <n v="14.52"/>
  </r>
  <r>
    <x v="11"/>
    <x v="2"/>
    <x v="42"/>
    <x v="4"/>
    <x v="4"/>
    <x v="2"/>
    <n v="7.0000000000000007E-2"/>
    <n v="7.0000000000000007E-2"/>
    <n v="0"/>
    <n v="0.06"/>
  </r>
  <r>
    <x v="11"/>
    <x v="2"/>
    <x v="42"/>
    <x v="0"/>
    <x v="0"/>
    <x v="0"/>
    <n v="10.59"/>
    <n v="11.53"/>
    <n v="5.08"/>
    <n v="9.5299999999999994"/>
  </r>
  <r>
    <x v="11"/>
    <x v="2"/>
    <x v="42"/>
    <x v="2"/>
    <x v="3"/>
    <x v="0"/>
    <n v="4.82"/>
    <n v="5.24"/>
    <n v="0.04"/>
    <n v="4.34"/>
  </r>
  <r>
    <x v="11"/>
    <x v="2"/>
    <x v="42"/>
    <x v="2"/>
    <x v="4"/>
    <x v="0"/>
    <n v="7.99"/>
    <n v="8.69"/>
    <n v="1.1299999999999999"/>
    <n v="7.19"/>
  </r>
  <r>
    <x v="11"/>
    <x v="2"/>
    <x v="42"/>
    <x v="2"/>
    <x v="0"/>
    <x v="0"/>
    <n v="11.58"/>
    <n v="12.6"/>
    <n v="3.14"/>
    <n v="10.42"/>
  </r>
  <r>
    <x v="11"/>
    <x v="2"/>
    <x v="42"/>
    <x v="1"/>
    <x v="2"/>
    <x v="0"/>
    <n v="7.73"/>
    <n v="8.42"/>
    <n v="7.0000000000000007E-2"/>
    <n v="6.96"/>
  </r>
  <r>
    <x v="11"/>
    <x v="2"/>
    <x v="42"/>
    <x v="1"/>
    <x v="1"/>
    <x v="0"/>
    <n v="36.31"/>
    <n v="39.520000000000003"/>
    <n v="1.66"/>
    <n v="32.68"/>
  </r>
  <r>
    <x v="11"/>
    <x v="2"/>
    <x v="42"/>
    <x v="0"/>
    <x v="4"/>
    <x v="0"/>
    <n v="39.81"/>
    <n v="43.34"/>
    <n v="8.7799999999999994"/>
    <n v="35.83"/>
  </r>
  <r>
    <x v="11"/>
    <x v="2"/>
    <x v="42"/>
    <x v="4"/>
    <x v="4"/>
    <x v="0"/>
    <n v="67.209999999999994"/>
    <n v="73.17"/>
    <n v="7.38"/>
    <n v="60.49"/>
  </r>
  <r>
    <x v="11"/>
    <x v="2"/>
    <x v="42"/>
    <x v="3"/>
    <x v="1"/>
    <x v="0"/>
    <n v="0.28999999999999998"/>
    <n v="0.31"/>
    <n v="0.02"/>
    <n v="0.26"/>
  </r>
  <r>
    <x v="11"/>
    <x v="2"/>
    <x v="42"/>
    <x v="3"/>
    <x v="4"/>
    <x v="0"/>
    <n v="30.4"/>
    <n v="33.090000000000003"/>
    <n v="5.95"/>
    <n v="27.36"/>
  </r>
  <r>
    <x v="11"/>
    <x v="2"/>
    <x v="42"/>
    <x v="3"/>
    <x v="0"/>
    <x v="0"/>
    <n v="6.03"/>
    <n v="6.57"/>
    <n v="0.99"/>
    <n v="5.43"/>
  </r>
  <r>
    <x v="11"/>
    <x v="2"/>
    <x v="42"/>
    <x v="2"/>
    <x v="3"/>
    <x v="1"/>
    <n v="0.02"/>
    <n v="0.02"/>
    <n v="0"/>
    <n v="0.02"/>
  </r>
  <r>
    <x v="11"/>
    <x v="2"/>
    <x v="42"/>
    <x v="4"/>
    <x v="4"/>
    <x v="1"/>
    <n v="0.08"/>
    <n v="0.08"/>
    <n v="0"/>
    <n v="7.0000000000000007E-2"/>
  </r>
  <r>
    <x v="11"/>
    <x v="2"/>
    <x v="42"/>
    <x v="1"/>
    <x v="4"/>
    <x v="0"/>
    <n v="263.81"/>
    <n v="287.18"/>
    <n v="39.57"/>
    <n v="237.43"/>
  </r>
  <r>
    <x v="11"/>
    <x v="2"/>
    <x v="42"/>
    <x v="4"/>
    <x v="2"/>
    <x v="2"/>
    <n v="0.04"/>
    <n v="0.04"/>
    <n v="0"/>
    <n v="0.04"/>
  </r>
  <r>
    <x v="11"/>
    <x v="2"/>
    <x v="42"/>
    <x v="1"/>
    <x v="2"/>
    <x v="1"/>
    <n v="1.2"/>
    <n v="1.31"/>
    <n v="0.01"/>
    <n v="1.08"/>
  </r>
  <r>
    <x v="11"/>
    <x v="2"/>
    <x v="42"/>
    <x v="2"/>
    <x v="3"/>
    <x v="2"/>
    <n v="1.29"/>
    <n v="1.4"/>
    <n v="0"/>
    <n v="1.1599999999999999"/>
  </r>
  <r>
    <x v="11"/>
    <x v="2"/>
    <x v="42"/>
    <x v="4"/>
    <x v="0"/>
    <x v="1"/>
    <n v="0.01"/>
    <n v="0.01"/>
    <n v="0"/>
    <n v="0.01"/>
  </r>
  <r>
    <x v="11"/>
    <x v="2"/>
    <x v="42"/>
    <x v="1"/>
    <x v="4"/>
    <x v="2"/>
    <n v="0.01"/>
    <n v="0.01"/>
    <n v="0"/>
    <n v="0"/>
  </r>
  <r>
    <x v="11"/>
    <x v="2"/>
    <x v="42"/>
    <x v="4"/>
    <x v="1"/>
    <x v="1"/>
    <n v="0.11"/>
    <n v="0.12"/>
    <n v="0"/>
    <n v="0.1"/>
  </r>
  <r>
    <x v="11"/>
    <x v="2"/>
    <x v="42"/>
    <x v="4"/>
    <x v="1"/>
    <x v="2"/>
    <n v="0.01"/>
    <n v="0.01"/>
    <n v="0"/>
    <n v="0.01"/>
  </r>
  <r>
    <x v="11"/>
    <x v="2"/>
    <x v="42"/>
    <x v="0"/>
    <x v="0"/>
    <x v="1"/>
    <n v="0.39"/>
    <n v="0.42"/>
    <n v="0.01"/>
    <n v="0.35"/>
  </r>
  <r>
    <x v="11"/>
    <x v="2"/>
    <x v="42"/>
    <x v="0"/>
    <x v="4"/>
    <x v="1"/>
    <n v="0.05"/>
    <n v="0.05"/>
    <n v="0.01"/>
    <n v="0.04"/>
  </r>
  <r>
    <x v="11"/>
    <x v="2"/>
    <x v="42"/>
    <x v="1"/>
    <x v="0"/>
    <x v="1"/>
    <n v="0.31"/>
    <n v="0.34"/>
    <n v="0.02"/>
    <n v="0.28000000000000003"/>
  </r>
  <r>
    <x v="11"/>
    <x v="2"/>
    <x v="42"/>
    <x v="1"/>
    <x v="4"/>
    <x v="1"/>
    <n v="0.53"/>
    <n v="0.57999999999999996"/>
    <n v="0.01"/>
    <n v="0.48"/>
  </r>
  <r>
    <x v="11"/>
    <x v="2"/>
    <x v="42"/>
    <x v="1"/>
    <x v="1"/>
    <x v="1"/>
    <n v="0.59"/>
    <n v="0.65"/>
    <n v="0.01"/>
    <n v="0.53"/>
  </r>
  <r>
    <x v="11"/>
    <x v="2"/>
    <x v="42"/>
    <x v="2"/>
    <x v="3"/>
    <x v="3"/>
    <n v="52.04"/>
    <n v="56.65"/>
    <n v="0.03"/>
    <n v="46.84"/>
  </r>
  <r>
    <x v="11"/>
    <x v="2"/>
    <x v="43"/>
    <x v="3"/>
    <x v="4"/>
    <x v="0"/>
    <n v="8.5500000000000007"/>
    <n v="10.56"/>
    <n v="2.35"/>
    <n v="7.69"/>
  </r>
  <r>
    <x v="11"/>
    <x v="2"/>
    <x v="43"/>
    <x v="0"/>
    <x v="4"/>
    <x v="0"/>
    <n v="21.94"/>
    <n v="27.11"/>
    <n v="4.66"/>
    <n v="19.739999999999998"/>
  </r>
  <r>
    <x v="11"/>
    <x v="2"/>
    <x v="43"/>
    <x v="4"/>
    <x v="4"/>
    <x v="0"/>
    <n v="61.58"/>
    <n v="76.09"/>
    <n v="6.42"/>
    <n v="55.42"/>
  </r>
  <r>
    <x v="11"/>
    <x v="2"/>
    <x v="43"/>
    <x v="4"/>
    <x v="1"/>
    <x v="0"/>
    <n v="6.88"/>
    <n v="8.51"/>
    <n v="0.33"/>
    <n v="6.2"/>
  </r>
  <r>
    <x v="11"/>
    <x v="2"/>
    <x v="43"/>
    <x v="0"/>
    <x v="0"/>
    <x v="0"/>
    <n v="3.39"/>
    <n v="4.1900000000000004"/>
    <n v="1.67"/>
    <n v="3.05"/>
  </r>
  <r>
    <x v="11"/>
    <x v="2"/>
    <x v="43"/>
    <x v="1"/>
    <x v="0"/>
    <x v="0"/>
    <n v="8.65"/>
    <n v="10.69"/>
    <n v="4.6900000000000004"/>
    <n v="7.78"/>
  </r>
  <r>
    <x v="11"/>
    <x v="2"/>
    <x v="43"/>
    <x v="1"/>
    <x v="4"/>
    <x v="0"/>
    <n v="152.94999999999999"/>
    <n v="189"/>
    <n v="25.79"/>
    <n v="137.66"/>
  </r>
  <r>
    <x v="11"/>
    <x v="2"/>
    <x v="43"/>
    <x v="1"/>
    <x v="1"/>
    <x v="0"/>
    <n v="20.34"/>
    <n v="25.13"/>
    <n v="1.01"/>
    <n v="18.309999999999999"/>
  </r>
  <r>
    <x v="11"/>
    <x v="2"/>
    <x v="43"/>
    <x v="1"/>
    <x v="2"/>
    <x v="0"/>
    <n v="0.35"/>
    <n v="0.44"/>
    <n v="0.01"/>
    <n v="0.32"/>
  </r>
  <r>
    <x v="11"/>
    <x v="2"/>
    <x v="43"/>
    <x v="2"/>
    <x v="0"/>
    <x v="0"/>
    <n v="7.2"/>
    <n v="8.9"/>
    <n v="2.5099999999999998"/>
    <n v="6.48"/>
  </r>
  <r>
    <x v="11"/>
    <x v="2"/>
    <x v="43"/>
    <x v="2"/>
    <x v="3"/>
    <x v="0"/>
    <n v="5.61"/>
    <n v="6.93"/>
    <n v="0.05"/>
    <n v="5.05"/>
  </r>
  <r>
    <x v="11"/>
    <x v="2"/>
    <x v="43"/>
    <x v="2"/>
    <x v="3"/>
    <x v="1"/>
    <n v="0"/>
    <n v="0"/>
    <n v="0"/>
    <n v="0"/>
  </r>
  <r>
    <x v="11"/>
    <x v="2"/>
    <x v="43"/>
    <x v="3"/>
    <x v="0"/>
    <x v="0"/>
    <n v="5.04"/>
    <n v="6.22"/>
    <n v="1.07"/>
    <n v="4.53"/>
  </r>
  <r>
    <x v="11"/>
    <x v="2"/>
    <x v="43"/>
    <x v="2"/>
    <x v="4"/>
    <x v="0"/>
    <n v="7.89"/>
    <n v="9.75"/>
    <n v="0.97"/>
    <n v="7.1"/>
  </r>
  <r>
    <x v="11"/>
    <x v="2"/>
    <x v="43"/>
    <x v="2"/>
    <x v="3"/>
    <x v="2"/>
    <n v="0.04"/>
    <n v="0.05"/>
    <n v="0"/>
    <n v="0.03"/>
  </r>
  <r>
    <x v="11"/>
    <x v="2"/>
    <x v="43"/>
    <x v="3"/>
    <x v="1"/>
    <x v="0"/>
    <n v="0.4"/>
    <n v="0.5"/>
    <n v="0.04"/>
    <n v="0.36"/>
  </r>
  <r>
    <x v="11"/>
    <x v="2"/>
    <x v="43"/>
    <x v="4"/>
    <x v="1"/>
    <x v="2"/>
    <n v="0.05"/>
    <n v="0.06"/>
    <n v="0"/>
    <n v="0.04"/>
  </r>
  <r>
    <x v="11"/>
    <x v="2"/>
    <x v="43"/>
    <x v="1"/>
    <x v="2"/>
    <x v="1"/>
    <n v="0.57999999999999996"/>
    <n v="0.71"/>
    <n v="0"/>
    <n v="0.52"/>
  </r>
  <r>
    <x v="11"/>
    <x v="2"/>
    <x v="43"/>
    <x v="1"/>
    <x v="4"/>
    <x v="2"/>
    <n v="0.88"/>
    <n v="1.0900000000000001"/>
    <n v="0"/>
    <n v="0.79"/>
  </r>
  <r>
    <x v="11"/>
    <x v="2"/>
    <x v="43"/>
    <x v="4"/>
    <x v="4"/>
    <x v="2"/>
    <n v="0.27"/>
    <n v="0.33"/>
    <n v="0.01"/>
    <n v="0.24"/>
  </r>
  <r>
    <x v="11"/>
    <x v="2"/>
    <x v="43"/>
    <x v="2"/>
    <x v="3"/>
    <x v="3"/>
    <n v="23.69"/>
    <n v="29.27"/>
    <n v="0.02"/>
    <n v="21.32"/>
  </r>
  <r>
    <x v="11"/>
    <x v="2"/>
    <x v="43"/>
    <x v="4"/>
    <x v="0"/>
    <x v="1"/>
    <n v="0"/>
    <n v="0"/>
    <n v="0"/>
    <n v="0"/>
  </r>
  <r>
    <x v="11"/>
    <x v="2"/>
    <x v="43"/>
    <x v="4"/>
    <x v="4"/>
    <x v="1"/>
    <n v="0.12"/>
    <n v="0.15"/>
    <n v="0"/>
    <n v="0.11"/>
  </r>
  <r>
    <x v="11"/>
    <x v="2"/>
    <x v="43"/>
    <x v="4"/>
    <x v="1"/>
    <x v="1"/>
    <n v="0.06"/>
    <n v="0.08"/>
    <n v="0"/>
    <n v="0.06"/>
  </r>
  <r>
    <x v="11"/>
    <x v="2"/>
    <x v="43"/>
    <x v="0"/>
    <x v="0"/>
    <x v="1"/>
    <n v="0.41"/>
    <n v="0.5"/>
    <n v="0.01"/>
    <n v="0.37"/>
  </r>
  <r>
    <x v="11"/>
    <x v="2"/>
    <x v="43"/>
    <x v="0"/>
    <x v="4"/>
    <x v="1"/>
    <n v="0.04"/>
    <n v="0.05"/>
    <n v="0"/>
    <n v="0.03"/>
  </r>
  <r>
    <x v="11"/>
    <x v="2"/>
    <x v="43"/>
    <x v="1"/>
    <x v="0"/>
    <x v="1"/>
    <n v="0.48"/>
    <n v="0.6"/>
    <n v="0.02"/>
    <n v="0.44"/>
  </r>
  <r>
    <x v="11"/>
    <x v="2"/>
    <x v="43"/>
    <x v="1"/>
    <x v="4"/>
    <x v="1"/>
    <n v="0.09"/>
    <n v="0.11"/>
    <n v="0"/>
    <n v="0.08"/>
  </r>
  <r>
    <x v="11"/>
    <x v="2"/>
    <x v="43"/>
    <x v="1"/>
    <x v="1"/>
    <x v="1"/>
    <n v="0.82"/>
    <n v="1.02"/>
    <n v="0.01"/>
    <n v="0.74"/>
  </r>
  <r>
    <x v="11"/>
    <x v="2"/>
    <x v="43"/>
    <x v="4"/>
    <x v="2"/>
    <x v="2"/>
    <n v="0.05"/>
    <n v="0.06"/>
    <n v="0"/>
    <n v="0.05"/>
  </r>
  <r>
    <x v="11"/>
    <x v="2"/>
    <x v="44"/>
    <x v="3"/>
    <x v="4"/>
    <x v="0"/>
    <n v="5.42"/>
    <n v="5.61"/>
    <n v="1.34"/>
    <n v="4.88"/>
  </r>
  <r>
    <x v="11"/>
    <x v="2"/>
    <x v="44"/>
    <x v="3"/>
    <x v="1"/>
    <x v="0"/>
    <n v="0.34"/>
    <n v="0.35"/>
    <n v="0.03"/>
    <n v="0.31"/>
  </r>
  <r>
    <x v="11"/>
    <x v="2"/>
    <x v="44"/>
    <x v="4"/>
    <x v="4"/>
    <x v="0"/>
    <n v="55.65"/>
    <n v="57.68"/>
    <n v="5.69"/>
    <n v="50.09"/>
  </r>
  <r>
    <x v="11"/>
    <x v="2"/>
    <x v="44"/>
    <x v="4"/>
    <x v="1"/>
    <x v="0"/>
    <n v="7.7"/>
    <n v="7.98"/>
    <n v="0.44"/>
    <n v="6.93"/>
  </r>
  <r>
    <x v="11"/>
    <x v="2"/>
    <x v="44"/>
    <x v="0"/>
    <x v="0"/>
    <x v="0"/>
    <n v="5.0999999999999996"/>
    <n v="5.28"/>
    <n v="2.44"/>
    <n v="4.59"/>
  </r>
  <r>
    <x v="11"/>
    <x v="2"/>
    <x v="44"/>
    <x v="0"/>
    <x v="4"/>
    <x v="0"/>
    <n v="21.64"/>
    <n v="22.43"/>
    <n v="5.14"/>
    <n v="19.48"/>
  </r>
  <r>
    <x v="11"/>
    <x v="2"/>
    <x v="44"/>
    <x v="1"/>
    <x v="0"/>
    <x v="0"/>
    <n v="8.85"/>
    <n v="9.17"/>
    <n v="4.2"/>
    <n v="7.96"/>
  </r>
  <r>
    <x v="11"/>
    <x v="2"/>
    <x v="44"/>
    <x v="1"/>
    <x v="4"/>
    <x v="0"/>
    <n v="131.02000000000001"/>
    <n v="135.80000000000001"/>
    <n v="23.17"/>
    <n v="117.92"/>
  </r>
  <r>
    <x v="11"/>
    <x v="2"/>
    <x v="44"/>
    <x v="1"/>
    <x v="1"/>
    <x v="0"/>
    <n v="22.19"/>
    <n v="22.99"/>
    <n v="1.1200000000000001"/>
    <n v="19.97"/>
  </r>
  <r>
    <x v="11"/>
    <x v="2"/>
    <x v="44"/>
    <x v="1"/>
    <x v="2"/>
    <x v="0"/>
    <n v="1.34"/>
    <n v="1.39"/>
    <n v="0.03"/>
    <n v="1.21"/>
  </r>
  <r>
    <x v="11"/>
    <x v="2"/>
    <x v="44"/>
    <x v="2"/>
    <x v="0"/>
    <x v="0"/>
    <n v="3.26"/>
    <n v="3.38"/>
    <n v="1.58"/>
    <n v="2.94"/>
  </r>
  <r>
    <x v="11"/>
    <x v="2"/>
    <x v="44"/>
    <x v="3"/>
    <x v="0"/>
    <x v="0"/>
    <n v="3.51"/>
    <n v="3.64"/>
    <n v="0.77"/>
    <n v="3.16"/>
  </r>
  <r>
    <x v="11"/>
    <x v="2"/>
    <x v="44"/>
    <x v="2"/>
    <x v="3"/>
    <x v="0"/>
    <n v="7.48"/>
    <n v="7.75"/>
    <n v="0.06"/>
    <n v="6.73"/>
  </r>
  <r>
    <x v="11"/>
    <x v="2"/>
    <x v="44"/>
    <x v="4"/>
    <x v="4"/>
    <x v="1"/>
    <n v="0.22"/>
    <n v="0.23"/>
    <n v="0"/>
    <n v="0.2"/>
  </r>
  <r>
    <x v="11"/>
    <x v="2"/>
    <x v="44"/>
    <x v="2"/>
    <x v="4"/>
    <x v="0"/>
    <n v="4.4800000000000004"/>
    <n v="4.6399999999999997"/>
    <n v="0.65"/>
    <n v="4.03"/>
  </r>
  <r>
    <x v="11"/>
    <x v="2"/>
    <x v="44"/>
    <x v="4"/>
    <x v="0"/>
    <x v="1"/>
    <n v="0.02"/>
    <n v="0.02"/>
    <n v="0"/>
    <n v="0.02"/>
  </r>
  <r>
    <x v="11"/>
    <x v="2"/>
    <x v="44"/>
    <x v="4"/>
    <x v="4"/>
    <x v="2"/>
    <n v="0.19"/>
    <n v="0.19"/>
    <n v="0"/>
    <n v="0.17"/>
  </r>
  <r>
    <x v="11"/>
    <x v="2"/>
    <x v="44"/>
    <x v="4"/>
    <x v="1"/>
    <x v="2"/>
    <n v="0.04"/>
    <n v="0.05"/>
    <n v="0"/>
    <n v="0.04"/>
  </r>
  <r>
    <x v="11"/>
    <x v="2"/>
    <x v="44"/>
    <x v="4"/>
    <x v="2"/>
    <x v="2"/>
    <n v="0.02"/>
    <n v="0.02"/>
    <n v="0"/>
    <n v="0.02"/>
  </r>
  <r>
    <x v="11"/>
    <x v="2"/>
    <x v="44"/>
    <x v="1"/>
    <x v="4"/>
    <x v="2"/>
    <n v="6.37"/>
    <n v="6.6"/>
    <n v="0.09"/>
    <n v="5.73"/>
  </r>
  <r>
    <x v="11"/>
    <x v="2"/>
    <x v="44"/>
    <x v="0"/>
    <x v="0"/>
    <x v="1"/>
    <n v="1.3"/>
    <n v="1.35"/>
    <n v="0.03"/>
    <n v="1.17"/>
  </r>
  <r>
    <x v="11"/>
    <x v="2"/>
    <x v="44"/>
    <x v="2"/>
    <x v="3"/>
    <x v="3"/>
    <n v="14.68"/>
    <n v="15.22"/>
    <n v="0.01"/>
    <n v="13.22"/>
  </r>
  <r>
    <x v="11"/>
    <x v="2"/>
    <x v="44"/>
    <x v="2"/>
    <x v="3"/>
    <x v="1"/>
    <n v="0.02"/>
    <n v="0.02"/>
    <n v="0"/>
    <n v="0.02"/>
  </r>
  <r>
    <x v="11"/>
    <x v="2"/>
    <x v="44"/>
    <x v="4"/>
    <x v="1"/>
    <x v="1"/>
    <n v="0.19"/>
    <n v="0.2"/>
    <n v="0"/>
    <n v="0.17"/>
  </r>
  <r>
    <x v="11"/>
    <x v="2"/>
    <x v="44"/>
    <x v="0"/>
    <x v="4"/>
    <x v="1"/>
    <n v="0.28999999999999998"/>
    <n v="0.3"/>
    <n v="0.03"/>
    <n v="0.26"/>
  </r>
  <r>
    <x v="11"/>
    <x v="2"/>
    <x v="44"/>
    <x v="1"/>
    <x v="0"/>
    <x v="1"/>
    <n v="0.66"/>
    <n v="0.69"/>
    <n v="0.03"/>
    <n v="0.6"/>
  </r>
  <r>
    <x v="11"/>
    <x v="2"/>
    <x v="44"/>
    <x v="1"/>
    <x v="4"/>
    <x v="1"/>
    <n v="0.2"/>
    <n v="0.2"/>
    <n v="0.01"/>
    <n v="0.18"/>
  </r>
  <r>
    <x v="11"/>
    <x v="2"/>
    <x v="44"/>
    <x v="1"/>
    <x v="1"/>
    <x v="1"/>
    <n v="0.99"/>
    <n v="1.03"/>
    <n v="0.01"/>
    <n v="0.89"/>
  </r>
  <r>
    <x v="11"/>
    <x v="2"/>
    <x v="44"/>
    <x v="1"/>
    <x v="2"/>
    <x v="1"/>
    <n v="3.96"/>
    <n v="4.1100000000000003"/>
    <n v="0.02"/>
    <n v="3.56"/>
  </r>
  <r>
    <x v="11"/>
    <x v="2"/>
    <x v="44"/>
    <x v="2"/>
    <x v="3"/>
    <x v="2"/>
    <n v="0.26"/>
    <n v="0.27"/>
    <n v="0"/>
    <n v="0.24"/>
  </r>
  <r>
    <x v="11"/>
    <x v="4"/>
    <x v="45"/>
    <x v="0"/>
    <x v="4"/>
    <x v="0"/>
    <n v="8.9700000000000006"/>
    <n v="8.89"/>
    <n v="2.12"/>
    <n v="8.07"/>
  </r>
  <r>
    <x v="11"/>
    <x v="4"/>
    <x v="45"/>
    <x v="1"/>
    <x v="1"/>
    <x v="1"/>
    <n v="11.1"/>
    <n v="11"/>
    <n v="7.0000000000000007E-2"/>
    <n v="9.99"/>
  </r>
  <r>
    <x v="11"/>
    <x v="4"/>
    <x v="45"/>
    <x v="1"/>
    <x v="4"/>
    <x v="0"/>
    <n v="162.03"/>
    <n v="160.55000000000001"/>
    <n v="41.75"/>
    <n v="145.82"/>
  </r>
  <r>
    <x v="11"/>
    <x v="4"/>
    <x v="45"/>
    <x v="1"/>
    <x v="2"/>
    <x v="0"/>
    <n v="16.7"/>
    <n v="16.54"/>
    <n v="0.13"/>
    <n v="15.03"/>
  </r>
  <r>
    <x v="11"/>
    <x v="4"/>
    <x v="45"/>
    <x v="1"/>
    <x v="1"/>
    <x v="0"/>
    <n v="44.68"/>
    <n v="44.27"/>
    <n v="2.93"/>
    <n v="40.21"/>
  </r>
  <r>
    <x v="11"/>
    <x v="4"/>
    <x v="45"/>
    <x v="1"/>
    <x v="0"/>
    <x v="0"/>
    <n v="13.34"/>
    <n v="13.22"/>
    <n v="8.91"/>
    <n v="12"/>
  </r>
  <r>
    <x v="11"/>
    <x v="4"/>
    <x v="45"/>
    <x v="0"/>
    <x v="0"/>
    <x v="0"/>
    <n v="0.89"/>
    <n v="0.89"/>
    <n v="0.51"/>
    <n v="0.8"/>
  </r>
  <r>
    <x v="11"/>
    <x v="4"/>
    <x v="45"/>
    <x v="4"/>
    <x v="1"/>
    <x v="0"/>
    <n v="8.5399999999999991"/>
    <n v="8.4600000000000009"/>
    <n v="0.41"/>
    <n v="7.68"/>
  </r>
  <r>
    <x v="11"/>
    <x v="4"/>
    <x v="45"/>
    <x v="4"/>
    <x v="4"/>
    <x v="0"/>
    <n v="20.76"/>
    <n v="20.58"/>
    <n v="2.66"/>
    <n v="18.690000000000001"/>
  </r>
  <r>
    <x v="11"/>
    <x v="4"/>
    <x v="45"/>
    <x v="3"/>
    <x v="1"/>
    <x v="0"/>
    <n v="0.35"/>
    <n v="0.35"/>
    <n v="0.04"/>
    <n v="0.32"/>
  </r>
  <r>
    <x v="11"/>
    <x v="4"/>
    <x v="45"/>
    <x v="3"/>
    <x v="4"/>
    <x v="0"/>
    <n v="12.2"/>
    <n v="12.08"/>
    <n v="6.51"/>
    <n v="10.98"/>
  </r>
  <r>
    <x v="11"/>
    <x v="4"/>
    <x v="45"/>
    <x v="3"/>
    <x v="0"/>
    <x v="0"/>
    <n v="1.19"/>
    <n v="1.18"/>
    <n v="0.99"/>
    <n v="1.07"/>
  </r>
  <r>
    <x v="11"/>
    <x v="4"/>
    <x v="45"/>
    <x v="2"/>
    <x v="0"/>
    <x v="0"/>
    <n v="19.010000000000002"/>
    <n v="18.84"/>
    <n v="7.98"/>
    <n v="17.11"/>
  </r>
  <r>
    <x v="11"/>
    <x v="4"/>
    <x v="45"/>
    <x v="1"/>
    <x v="2"/>
    <x v="1"/>
    <n v="2.98"/>
    <n v="2.95"/>
    <n v="0.05"/>
    <n v="2.68"/>
  </r>
  <r>
    <x v="11"/>
    <x v="4"/>
    <x v="45"/>
    <x v="2"/>
    <x v="4"/>
    <x v="0"/>
    <n v="21.09"/>
    <n v="20.89"/>
    <n v="5.5"/>
    <n v="18.98"/>
  </r>
  <r>
    <x v="11"/>
    <x v="4"/>
    <x v="45"/>
    <x v="1"/>
    <x v="4"/>
    <x v="1"/>
    <n v="0.05"/>
    <n v="0.05"/>
    <n v="0.02"/>
    <n v="0.05"/>
  </r>
  <r>
    <x v="11"/>
    <x v="4"/>
    <x v="45"/>
    <x v="1"/>
    <x v="0"/>
    <x v="1"/>
    <n v="0.14000000000000001"/>
    <n v="0.14000000000000001"/>
    <n v="0.08"/>
    <n v="0.12"/>
  </r>
  <r>
    <x v="11"/>
    <x v="4"/>
    <x v="45"/>
    <x v="4"/>
    <x v="1"/>
    <x v="1"/>
    <n v="0.08"/>
    <n v="7.0000000000000007E-2"/>
    <n v="0.01"/>
    <n v="7.0000000000000007E-2"/>
  </r>
  <r>
    <x v="11"/>
    <x v="4"/>
    <x v="45"/>
    <x v="4"/>
    <x v="4"/>
    <x v="1"/>
    <n v="0.17"/>
    <n v="0.16"/>
    <n v="0.02"/>
    <n v="0.15"/>
  </r>
  <r>
    <x v="11"/>
    <x v="4"/>
    <x v="45"/>
    <x v="4"/>
    <x v="0"/>
    <x v="1"/>
    <n v="0.04"/>
    <n v="0.04"/>
    <n v="0.01"/>
    <n v="0.03"/>
  </r>
  <r>
    <x v="11"/>
    <x v="4"/>
    <x v="45"/>
    <x v="2"/>
    <x v="3"/>
    <x v="3"/>
    <n v="6.79"/>
    <n v="6.73"/>
    <n v="0.01"/>
    <n v="6.12"/>
  </r>
  <r>
    <x v="11"/>
    <x v="4"/>
    <x v="45"/>
    <x v="2"/>
    <x v="3"/>
    <x v="2"/>
    <n v="0.28999999999999998"/>
    <n v="0.28999999999999998"/>
    <n v="0"/>
    <n v="0.26"/>
  </r>
  <r>
    <x v="11"/>
    <x v="4"/>
    <x v="45"/>
    <x v="1"/>
    <x v="3"/>
    <x v="2"/>
    <n v="4.54"/>
    <n v="4.5"/>
    <n v="0.01"/>
    <n v="4.09"/>
  </r>
  <r>
    <x v="11"/>
    <x v="4"/>
    <x v="45"/>
    <x v="1"/>
    <x v="2"/>
    <x v="2"/>
    <n v="0.06"/>
    <n v="0.06"/>
    <n v="0"/>
    <n v="0.06"/>
  </r>
  <r>
    <x v="11"/>
    <x v="4"/>
    <x v="45"/>
    <x v="1"/>
    <x v="1"/>
    <x v="2"/>
    <n v="0.14000000000000001"/>
    <n v="0.14000000000000001"/>
    <n v="0.02"/>
    <n v="0.13"/>
  </r>
  <r>
    <x v="11"/>
    <x v="4"/>
    <x v="45"/>
    <x v="1"/>
    <x v="4"/>
    <x v="2"/>
    <n v="0.02"/>
    <n v="0.02"/>
    <n v="0.01"/>
    <n v="0.01"/>
  </r>
  <r>
    <x v="11"/>
    <x v="4"/>
    <x v="45"/>
    <x v="2"/>
    <x v="3"/>
    <x v="1"/>
    <n v="4.0199999999999996"/>
    <n v="3.99"/>
    <n v="0.02"/>
    <n v="3.62"/>
  </r>
  <r>
    <x v="11"/>
    <x v="6"/>
    <x v="46"/>
    <x v="1"/>
    <x v="4"/>
    <x v="2"/>
    <n v="0.01"/>
    <n v="0.01"/>
    <n v="0"/>
    <n v="0.01"/>
  </r>
  <r>
    <x v="11"/>
    <x v="6"/>
    <x v="46"/>
    <x v="1"/>
    <x v="1"/>
    <x v="2"/>
    <n v="0.51"/>
    <n v="0.53"/>
    <n v="0.01"/>
    <n v="0.46"/>
  </r>
  <r>
    <x v="11"/>
    <x v="6"/>
    <x v="46"/>
    <x v="2"/>
    <x v="3"/>
    <x v="2"/>
    <n v="2.17"/>
    <n v="2.25"/>
    <n v="0.01"/>
    <n v="1.95"/>
  </r>
  <r>
    <x v="11"/>
    <x v="6"/>
    <x v="46"/>
    <x v="2"/>
    <x v="3"/>
    <x v="3"/>
    <n v="0.92"/>
    <n v="0.96"/>
    <n v="0"/>
    <n v="0.83"/>
  </r>
  <r>
    <x v="11"/>
    <x v="6"/>
    <x v="46"/>
    <x v="4"/>
    <x v="0"/>
    <x v="1"/>
    <n v="0.15"/>
    <n v="0.15"/>
    <n v="0.01"/>
    <n v="0.13"/>
  </r>
  <r>
    <x v="11"/>
    <x v="6"/>
    <x v="46"/>
    <x v="4"/>
    <x v="4"/>
    <x v="1"/>
    <n v="0.12"/>
    <n v="0.13"/>
    <n v="0.01"/>
    <n v="0.11"/>
  </r>
  <r>
    <x v="11"/>
    <x v="6"/>
    <x v="46"/>
    <x v="4"/>
    <x v="1"/>
    <x v="1"/>
    <n v="0.09"/>
    <n v="0.09"/>
    <n v="0"/>
    <n v="0.08"/>
  </r>
  <r>
    <x v="11"/>
    <x v="6"/>
    <x v="46"/>
    <x v="0"/>
    <x v="0"/>
    <x v="1"/>
    <n v="1.43"/>
    <n v="1.48"/>
    <n v="0.03"/>
    <n v="1.29"/>
  </r>
  <r>
    <x v="11"/>
    <x v="6"/>
    <x v="46"/>
    <x v="0"/>
    <x v="4"/>
    <x v="1"/>
    <n v="0.3"/>
    <n v="0.31"/>
    <n v="0.03"/>
    <n v="0.27"/>
  </r>
  <r>
    <x v="11"/>
    <x v="6"/>
    <x v="46"/>
    <x v="1"/>
    <x v="0"/>
    <x v="1"/>
    <n v="0.33"/>
    <n v="0.35"/>
    <n v="0.01"/>
    <n v="0.3"/>
  </r>
  <r>
    <x v="11"/>
    <x v="6"/>
    <x v="46"/>
    <x v="1"/>
    <x v="4"/>
    <x v="1"/>
    <n v="0.32"/>
    <n v="0.33"/>
    <n v="0.01"/>
    <n v="0.28999999999999998"/>
  </r>
  <r>
    <x v="11"/>
    <x v="6"/>
    <x v="46"/>
    <x v="2"/>
    <x v="3"/>
    <x v="0"/>
    <n v="2.74"/>
    <n v="2.84"/>
    <n v="0.02"/>
    <n v="2.4700000000000002"/>
  </r>
  <r>
    <x v="11"/>
    <x v="6"/>
    <x v="46"/>
    <x v="1"/>
    <x v="2"/>
    <x v="1"/>
    <n v="0.22"/>
    <n v="0.23"/>
    <n v="0.03"/>
    <n v="0.2"/>
  </r>
  <r>
    <x v="11"/>
    <x v="6"/>
    <x v="46"/>
    <x v="2"/>
    <x v="4"/>
    <x v="1"/>
    <n v="0.18"/>
    <n v="0.18"/>
    <n v="0"/>
    <n v="0.16"/>
  </r>
  <r>
    <x v="11"/>
    <x v="6"/>
    <x v="46"/>
    <x v="2"/>
    <x v="3"/>
    <x v="1"/>
    <n v="0.76"/>
    <n v="0.78"/>
    <n v="0"/>
    <n v="0.68"/>
  </r>
  <r>
    <x v="11"/>
    <x v="6"/>
    <x v="46"/>
    <x v="4"/>
    <x v="4"/>
    <x v="0"/>
    <n v="20.07"/>
    <n v="20.83"/>
    <n v="3.85"/>
    <n v="18.059999999999999"/>
  </r>
  <r>
    <x v="11"/>
    <x v="6"/>
    <x v="46"/>
    <x v="4"/>
    <x v="1"/>
    <x v="0"/>
    <n v="0.67"/>
    <n v="0.69"/>
    <n v="0.06"/>
    <n v="0.6"/>
  </r>
  <r>
    <x v="11"/>
    <x v="6"/>
    <x v="46"/>
    <x v="0"/>
    <x v="0"/>
    <x v="0"/>
    <n v="4.21"/>
    <n v="4.37"/>
    <n v="2.0699999999999998"/>
    <n v="3.79"/>
  </r>
  <r>
    <x v="11"/>
    <x v="6"/>
    <x v="46"/>
    <x v="0"/>
    <x v="4"/>
    <x v="0"/>
    <n v="14.02"/>
    <n v="14.55"/>
    <n v="3.26"/>
    <n v="12.61"/>
  </r>
  <r>
    <x v="11"/>
    <x v="6"/>
    <x v="46"/>
    <x v="1"/>
    <x v="0"/>
    <x v="0"/>
    <n v="6.76"/>
    <n v="7.02"/>
    <n v="3.29"/>
    <n v="6.09"/>
  </r>
  <r>
    <x v="11"/>
    <x v="6"/>
    <x v="46"/>
    <x v="1"/>
    <x v="4"/>
    <x v="0"/>
    <n v="110.83"/>
    <n v="115.04"/>
    <n v="22.94"/>
    <n v="99.74"/>
  </r>
  <r>
    <x v="11"/>
    <x v="6"/>
    <x v="46"/>
    <x v="1"/>
    <x v="1"/>
    <x v="0"/>
    <n v="16.89"/>
    <n v="17.53"/>
    <n v="0.88"/>
    <n v="15.2"/>
  </r>
  <r>
    <x v="11"/>
    <x v="6"/>
    <x v="46"/>
    <x v="1"/>
    <x v="2"/>
    <x v="0"/>
    <n v="4.84"/>
    <n v="5.03"/>
    <n v="0.03"/>
    <n v="4.3600000000000003"/>
  </r>
  <r>
    <x v="11"/>
    <x v="6"/>
    <x v="46"/>
    <x v="2"/>
    <x v="0"/>
    <x v="0"/>
    <n v="1.64"/>
    <n v="1.7"/>
    <n v="0.85"/>
    <n v="1.48"/>
  </r>
  <r>
    <x v="11"/>
    <x v="6"/>
    <x v="46"/>
    <x v="2"/>
    <x v="4"/>
    <x v="0"/>
    <n v="5.25"/>
    <n v="5.45"/>
    <n v="1.29"/>
    <n v="4.7300000000000004"/>
  </r>
  <r>
    <x v="11"/>
    <x v="6"/>
    <x v="46"/>
    <x v="1"/>
    <x v="1"/>
    <x v="1"/>
    <n v="0.77"/>
    <n v="0.79"/>
    <n v="0.02"/>
    <n v="0.69"/>
  </r>
  <r>
    <x v="11"/>
    <x v="6"/>
    <x v="46"/>
    <x v="4"/>
    <x v="1"/>
    <x v="2"/>
    <n v="0.05"/>
    <n v="0.05"/>
    <n v="0"/>
    <n v="0.04"/>
  </r>
  <r>
    <x v="11"/>
    <x v="6"/>
    <x v="46"/>
    <x v="3"/>
    <x v="4"/>
    <x v="0"/>
    <n v="2.4700000000000002"/>
    <n v="2.56"/>
    <n v="0.68"/>
    <n v="2.2200000000000002"/>
  </r>
  <r>
    <x v="11"/>
    <x v="6"/>
    <x v="46"/>
    <x v="4"/>
    <x v="4"/>
    <x v="2"/>
    <n v="0.02"/>
    <n v="0.02"/>
    <n v="0"/>
    <n v="0.02"/>
  </r>
  <r>
    <x v="11"/>
    <x v="7"/>
    <x v="47"/>
    <x v="2"/>
    <x v="3"/>
    <x v="3"/>
    <n v="6.98"/>
    <n v="13.81"/>
    <n v="0.01"/>
    <n v="6.28"/>
  </r>
  <r>
    <x v="11"/>
    <x v="7"/>
    <x v="47"/>
    <x v="1"/>
    <x v="2"/>
    <x v="1"/>
    <n v="0.13"/>
    <n v="0.27"/>
    <n v="0"/>
    <n v="0.12"/>
  </r>
  <r>
    <x v="11"/>
    <x v="7"/>
    <x v="47"/>
    <x v="1"/>
    <x v="1"/>
    <x v="1"/>
    <n v="0.31"/>
    <n v="0.61"/>
    <n v="0"/>
    <n v="0.28000000000000003"/>
  </r>
  <r>
    <x v="11"/>
    <x v="7"/>
    <x v="47"/>
    <x v="1"/>
    <x v="4"/>
    <x v="1"/>
    <n v="0.02"/>
    <n v="0.04"/>
    <n v="0"/>
    <n v="0.02"/>
  </r>
  <r>
    <x v="11"/>
    <x v="7"/>
    <x v="47"/>
    <x v="1"/>
    <x v="0"/>
    <x v="1"/>
    <n v="0.02"/>
    <n v="0.03"/>
    <n v="0"/>
    <n v="0.01"/>
  </r>
  <r>
    <x v="11"/>
    <x v="7"/>
    <x v="47"/>
    <x v="0"/>
    <x v="4"/>
    <x v="1"/>
    <n v="0.01"/>
    <n v="0.02"/>
    <n v="0"/>
    <n v="0.01"/>
  </r>
  <r>
    <x v="11"/>
    <x v="7"/>
    <x v="47"/>
    <x v="4"/>
    <x v="0"/>
    <x v="1"/>
    <n v="0"/>
    <n v="0"/>
    <n v="0"/>
    <n v="0"/>
  </r>
  <r>
    <x v="11"/>
    <x v="7"/>
    <x v="47"/>
    <x v="0"/>
    <x v="0"/>
    <x v="1"/>
    <n v="0.09"/>
    <n v="0.18"/>
    <n v="0"/>
    <n v="0.08"/>
  </r>
  <r>
    <x v="11"/>
    <x v="7"/>
    <x v="47"/>
    <x v="2"/>
    <x v="3"/>
    <x v="2"/>
    <n v="0.03"/>
    <n v="0.05"/>
    <n v="0"/>
    <n v="0.02"/>
  </r>
  <r>
    <x v="11"/>
    <x v="7"/>
    <x v="47"/>
    <x v="1"/>
    <x v="1"/>
    <x v="2"/>
    <n v="0"/>
    <n v="0.01"/>
    <n v="0"/>
    <n v="0"/>
  </r>
  <r>
    <x v="11"/>
    <x v="7"/>
    <x v="47"/>
    <x v="1"/>
    <x v="4"/>
    <x v="2"/>
    <n v="0.12"/>
    <n v="0.25"/>
    <n v="0"/>
    <n v="0.11"/>
  </r>
  <r>
    <x v="11"/>
    <x v="7"/>
    <x v="47"/>
    <x v="4"/>
    <x v="1"/>
    <x v="2"/>
    <n v="0"/>
    <n v="0.01"/>
    <n v="0"/>
    <n v="0"/>
  </r>
  <r>
    <x v="11"/>
    <x v="7"/>
    <x v="47"/>
    <x v="4"/>
    <x v="4"/>
    <x v="2"/>
    <n v="0.09"/>
    <n v="0.18"/>
    <n v="0"/>
    <n v="0.08"/>
  </r>
  <r>
    <x v="11"/>
    <x v="7"/>
    <x v="47"/>
    <x v="2"/>
    <x v="3"/>
    <x v="0"/>
    <n v="0.13"/>
    <n v="0.26"/>
    <n v="0.05"/>
    <n v="0.12"/>
  </r>
  <r>
    <x v="11"/>
    <x v="7"/>
    <x v="47"/>
    <x v="4"/>
    <x v="1"/>
    <x v="1"/>
    <n v="0.05"/>
    <n v="0.1"/>
    <n v="0"/>
    <n v="0.05"/>
  </r>
  <r>
    <x v="11"/>
    <x v="7"/>
    <x v="47"/>
    <x v="1"/>
    <x v="2"/>
    <x v="0"/>
    <n v="2.73"/>
    <n v="5.39"/>
    <n v="0.04"/>
    <n v="2.4500000000000002"/>
  </r>
  <r>
    <x v="11"/>
    <x v="7"/>
    <x v="47"/>
    <x v="2"/>
    <x v="4"/>
    <x v="0"/>
    <n v="0.33"/>
    <n v="0.65"/>
    <n v="1.22"/>
    <n v="0.28999999999999998"/>
  </r>
  <r>
    <x v="11"/>
    <x v="7"/>
    <x v="47"/>
    <x v="4"/>
    <x v="4"/>
    <x v="1"/>
    <n v="0.04"/>
    <n v="7.0000000000000007E-2"/>
    <n v="0"/>
    <n v="0.03"/>
  </r>
  <r>
    <x v="11"/>
    <x v="7"/>
    <x v="47"/>
    <x v="2"/>
    <x v="0"/>
    <x v="0"/>
    <n v="2.17"/>
    <n v="4.3"/>
    <n v="2.4700000000000002"/>
    <n v="1.96"/>
  </r>
  <r>
    <x v="11"/>
    <x v="7"/>
    <x v="47"/>
    <x v="2"/>
    <x v="3"/>
    <x v="1"/>
    <n v="0.03"/>
    <n v="0.06"/>
    <n v="0"/>
    <n v="0.03"/>
  </r>
  <r>
    <x v="11"/>
    <x v="7"/>
    <x v="47"/>
    <x v="1"/>
    <x v="1"/>
    <x v="0"/>
    <n v="9.6199999999999992"/>
    <n v="19.05"/>
    <n v="0.59"/>
    <n v="8.66"/>
  </r>
  <r>
    <x v="11"/>
    <x v="7"/>
    <x v="47"/>
    <x v="1"/>
    <x v="4"/>
    <x v="0"/>
    <n v="60.85"/>
    <n v="120.42"/>
    <n v="14.94"/>
    <n v="54.77"/>
  </r>
  <r>
    <x v="11"/>
    <x v="7"/>
    <x v="47"/>
    <x v="1"/>
    <x v="0"/>
    <x v="0"/>
    <n v="5.39"/>
    <n v="10.67"/>
    <n v="4.3600000000000003"/>
    <n v="4.8499999999999996"/>
  </r>
  <r>
    <x v="11"/>
    <x v="7"/>
    <x v="47"/>
    <x v="0"/>
    <x v="4"/>
    <x v="0"/>
    <n v="11.79"/>
    <n v="23.33"/>
    <n v="3.81"/>
    <n v="10.61"/>
  </r>
  <r>
    <x v="11"/>
    <x v="7"/>
    <x v="47"/>
    <x v="4"/>
    <x v="1"/>
    <x v="0"/>
    <n v="3.12"/>
    <n v="6.17"/>
    <n v="0.24"/>
    <n v="2.81"/>
  </r>
  <r>
    <x v="11"/>
    <x v="7"/>
    <x v="47"/>
    <x v="4"/>
    <x v="4"/>
    <x v="0"/>
    <n v="20.53"/>
    <n v="40.630000000000003"/>
    <n v="3.78"/>
    <n v="18.48"/>
  </r>
  <r>
    <x v="11"/>
    <x v="7"/>
    <x v="47"/>
    <x v="3"/>
    <x v="1"/>
    <x v="0"/>
    <n v="0.01"/>
    <n v="0.01"/>
    <n v="0"/>
    <n v="0.01"/>
  </r>
  <r>
    <x v="11"/>
    <x v="7"/>
    <x v="47"/>
    <x v="3"/>
    <x v="4"/>
    <x v="0"/>
    <n v="4.6900000000000004"/>
    <n v="9.27"/>
    <n v="1.71"/>
    <n v="4.22"/>
  </r>
  <r>
    <x v="11"/>
    <x v="7"/>
    <x v="47"/>
    <x v="3"/>
    <x v="0"/>
    <x v="0"/>
    <n v="0.63"/>
    <n v="1.24"/>
    <n v="0.16"/>
    <n v="0.56000000000000005"/>
  </r>
  <r>
    <x v="11"/>
    <x v="7"/>
    <x v="47"/>
    <x v="0"/>
    <x v="0"/>
    <x v="0"/>
    <n v="2.99"/>
    <n v="5.91"/>
    <n v="1.85"/>
    <n v="2.69"/>
  </r>
  <r>
    <x v="11"/>
    <x v="2"/>
    <x v="48"/>
    <x v="1"/>
    <x v="0"/>
    <x v="0"/>
    <n v="39.619999999999997"/>
    <n v="44.82"/>
    <n v="21.47"/>
    <n v="35.659999999999997"/>
  </r>
  <r>
    <x v="11"/>
    <x v="2"/>
    <x v="48"/>
    <x v="3"/>
    <x v="0"/>
    <x v="0"/>
    <n v="19.309999999999999"/>
    <n v="21.85"/>
    <n v="10.42"/>
    <n v="17.38"/>
  </r>
  <r>
    <x v="11"/>
    <x v="2"/>
    <x v="48"/>
    <x v="3"/>
    <x v="4"/>
    <x v="0"/>
    <n v="131.06"/>
    <n v="148.25"/>
    <n v="25.09"/>
    <n v="117.95"/>
  </r>
  <r>
    <x v="11"/>
    <x v="2"/>
    <x v="48"/>
    <x v="3"/>
    <x v="1"/>
    <x v="0"/>
    <n v="6.33"/>
    <n v="7.16"/>
    <n v="0.43"/>
    <n v="5.7"/>
  </r>
  <r>
    <x v="11"/>
    <x v="2"/>
    <x v="48"/>
    <x v="4"/>
    <x v="4"/>
    <x v="0"/>
    <n v="286.41000000000003"/>
    <n v="323.98"/>
    <n v="28.81"/>
    <n v="257.76"/>
  </r>
  <r>
    <x v="11"/>
    <x v="2"/>
    <x v="48"/>
    <x v="4"/>
    <x v="1"/>
    <x v="0"/>
    <n v="57.91"/>
    <n v="65.5"/>
    <n v="2.69"/>
    <n v="52.12"/>
  </r>
  <r>
    <x v="11"/>
    <x v="2"/>
    <x v="48"/>
    <x v="0"/>
    <x v="4"/>
    <x v="0"/>
    <n v="38.43"/>
    <n v="43.47"/>
    <n v="10.31"/>
    <n v="34.590000000000003"/>
  </r>
  <r>
    <x v="11"/>
    <x v="2"/>
    <x v="48"/>
    <x v="1"/>
    <x v="1"/>
    <x v="1"/>
    <n v="4.78"/>
    <n v="5.41"/>
    <n v="0.08"/>
    <n v="4.3099999999999996"/>
  </r>
  <r>
    <x v="11"/>
    <x v="2"/>
    <x v="48"/>
    <x v="1"/>
    <x v="4"/>
    <x v="0"/>
    <n v="648.25"/>
    <n v="733.3"/>
    <n v="108.48"/>
    <n v="583.42999999999995"/>
  </r>
  <r>
    <x v="11"/>
    <x v="2"/>
    <x v="48"/>
    <x v="1"/>
    <x v="1"/>
    <x v="0"/>
    <n v="98.76"/>
    <n v="111.71"/>
    <n v="6.02"/>
    <n v="88.88"/>
  </r>
  <r>
    <x v="11"/>
    <x v="2"/>
    <x v="48"/>
    <x v="1"/>
    <x v="2"/>
    <x v="0"/>
    <n v="34.200000000000003"/>
    <n v="38.68"/>
    <n v="0.32"/>
    <n v="30.78"/>
  </r>
  <r>
    <x v="11"/>
    <x v="2"/>
    <x v="48"/>
    <x v="2"/>
    <x v="4"/>
    <x v="0"/>
    <n v="19.309999999999999"/>
    <n v="21.84"/>
    <n v="2.12"/>
    <n v="17.38"/>
  </r>
  <r>
    <x v="11"/>
    <x v="2"/>
    <x v="48"/>
    <x v="0"/>
    <x v="0"/>
    <x v="0"/>
    <n v="8.16"/>
    <n v="9.24"/>
    <n v="4.51"/>
    <n v="7.35"/>
  </r>
  <r>
    <x v="11"/>
    <x v="2"/>
    <x v="48"/>
    <x v="4"/>
    <x v="4"/>
    <x v="1"/>
    <n v="4.3"/>
    <n v="4.8600000000000003"/>
    <n v="0.09"/>
    <n v="3.87"/>
  </r>
  <r>
    <x v="11"/>
    <x v="2"/>
    <x v="48"/>
    <x v="4"/>
    <x v="4"/>
    <x v="2"/>
    <n v="1.1100000000000001"/>
    <n v="1.25"/>
    <n v="0.02"/>
    <n v="1"/>
  </r>
  <r>
    <x v="11"/>
    <x v="2"/>
    <x v="48"/>
    <x v="4"/>
    <x v="1"/>
    <x v="2"/>
    <n v="0.33"/>
    <n v="0.37"/>
    <n v="0.01"/>
    <n v="0.3"/>
  </r>
  <r>
    <x v="11"/>
    <x v="2"/>
    <x v="48"/>
    <x v="4"/>
    <x v="2"/>
    <x v="2"/>
    <n v="7.0000000000000007E-2"/>
    <n v="0.08"/>
    <n v="0"/>
    <n v="0.06"/>
  </r>
  <r>
    <x v="11"/>
    <x v="2"/>
    <x v="48"/>
    <x v="1"/>
    <x v="4"/>
    <x v="2"/>
    <n v="0.8"/>
    <n v="0.9"/>
    <n v="0.02"/>
    <n v="0.72"/>
  </r>
  <r>
    <x v="11"/>
    <x v="2"/>
    <x v="48"/>
    <x v="1"/>
    <x v="1"/>
    <x v="2"/>
    <n v="0"/>
    <n v="0"/>
    <n v="0"/>
    <n v="0"/>
  </r>
  <r>
    <x v="11"/>
    <x v="2"/>
    <x v="48"/>
    <x v="2"/>
    <x v="3"/>
    <x v="2"/>
    <n v="0.6"/>
    <n v="0.68"/>
    <n v="0"/>
    <n v="0.54"/>
  </r>
  <r>
    <x v="11"/>
    <x v="2"/>
    <x v="48"/>
    <x v="2"/>
    <x v="3"/>
    <x v="1"/>
    <n v="10.220000000000001"/>
    <n v="11.57"/>
    <n v="0.02"/>
    <n v="9.1999999999999993"/>
  </r>
  <r>
    <x v="11"/>
    <x v="2"/>
    <x v="48"/>
    <x v="4"/>
    <x v="0"/>
    <x v="1"/>
    <n v="0.81"/>
    <n v="0.91"/>
    <n v="7.0000000000000007E-2"/>
    <n v="0.72"/>
  </r>
  <r>
    <x v="11"/>
    <x v="2"/>
    <x v="48"/>
    <x v="1"/>
    <x v="2"/>
    <x v="1"/>
    <n v="13.86"/>
    <n v="15.68"/>
    <n v="0.13"/>
    <n v="12.48"/>
  </r>
  <r>
    <x v="11"/>
    <x v="2"/>
    <x v="48"/>
    <x v="4"/>
    <x v="1"/>
    <x v="1"/>
    <n v="0.38"/>
    <n v="0.43"/>
    <n v="0.02"/>
    <n v="0.34"/>
  </r>
  <r>
    <x v="11"/>
    <x v="2"/>
    <x v="48"/>
    <x v="0"/>
    <x v="0"/>
    <x v="1"/>
    <n v="7.43"/>
    <n v="8.41"/>
    <n v="0.2"/>
    <n v="6.69"/>
  </r>
  <r>
    <x v="11"/>
    <x v="2"/>
    <x v="48"/>
    <x v="0"/>
    <x v="4"/>
    <x v="1"/>
    <n v="0.81"/>
    <n v="0.92"/>
    <n v="0.1"/>
    <n v="0.73"/>
  </r>
  <r>
    <x v="11"/>
    <x v="2"/>
    <x v="48"/>
    <x v="1"/>
    <x v="0"/>
    <x v="1"/>
    <n v="4.04"/>
    <n v="4.57"/>
    <n v="0.25"/>
    <n v="3.64"/>
  </r>
  <r>
    <x v="11"/>
    <x v="2"/>
    <x v="48"/>
    <x v="1"/>
    <x v="4"/>
    <x v="1"/>
    <n v="3.16"/>
    <n v="3.57"/>
    <n v="0.15"/>
    <n v="2.84"/>
  </r>
  <r>
    <x v="11"/>
    <x v="2"/>
    <x v="48"/>
    <x v="2"/>
    <x v="3"/>
    <x v="0"/>
    <n v="2.5299999999999998"/>
    <n v="2.87"/>
    <n v="0.02"/>
    <n v="2.2799999999999998"/>
  </r>
  <r>
    <x v="11"/>
    <x v="2"/>
    <x v="48"/>
    <x v="2"/>
    <x v="3"/>
    <x v="3"/>
    <n v="100.63"/>
    <n v="113.83"/>
    <n v="7.0000000000000007E-2"/>
    <n v="90.57"/>
  </r>
  <r>
    <x v="11"/>
    <x v="2"/>
    <x v="48"/>
    <x v="2"/>
    <x v="0"/>
    <x v="0"/>
    <n v="15.03"/>
    <n v="17"/>
    <n v="6.8"/>
    <n v="13.52"/>
  </r>
  <r>
    <x v="11"/>
    <x v="3"/>
    <x v="49"/>
    <x v="2"/>
    <x v="4"/>
    <x v="0"/>
    <n v="359.87"/>
    <n v="359.87"/>
    <n v="104.5"/>
    <n v="323.88"/>
  </r>
  <r>
    <x v="11"/>
    <x v="3"/>
    <x v="49"/>
    <x v="2"/>
    <x v="3"/>
    <x v="1"/>
    <n v="21.5"/>
    <n v="21.5"/>
    <n v="0.04"/>
    <n v="19.350000000000001"/>
  </r>
  <r>
    <x v="11"/>
    <x v="3"/>
    <x v="49"/>
    <x v="3"/>
    <x v="0"/>
    <x v="0"/>
    <n v="517.09"/>
    <n v="517.09"/>
    <n v="368.28"/>
    <n v="465.38"/>
  </r>
  <r>
    <x v="11"/>
    <x v="3"/>
    <x v="49"/>
    <x v="3"/>
    <x v="4"/>
    <x v="0"/>
    <n v="8421.67"/>
    <n v="8421.67"/>
    <n v="2437.7600000000002"/>
    <n v="7579.51"/>
  </r>
  <r>
    <x v="11"/>
    <x v="3"/>
    <x v="49"/>
    <x v="3"/>
    <x v="1"/>
    <x v="0"/>
    <n v="212.53"/>
    <n v="212.53"/>
    <n v="23.17"/>
    <n v="191.28"/>
  </r>
  <r>
    <x v="11"/>
    <x v="3"/>
    <x v="49"/>
    <x v="4"/>
    <x v="0"/>
    <x v="0"/>
    <n v="1.24"/>
    <n v="1.24"/>
    <n v="1.3"/>
    <n v="1.1200000000000001"/>
  </r>
  <r>
    <x v="11"/>
    <x v="3"/>
    <x v="49"/>
    <x v="4"/>
    <x v="4"/>
    <x v="0"/>
    <n v="1896.43"/>
    <n v="1896.43"/>
    <n v="237.75"/>
    <n v="1706.79"/>
  </r>
  <r>
    <x v="11"/>
    <x v="3"/>
    <x v="49"/>
    <x v="4"/>
    <x v="3"/>
    <x v="0"/>
    <n v="156.65"/>
    <n v="156.65"/>
    <n v="2.59"/>
    <n v="140.99"/>
  </r>
  <r>
    <x v="11"/>
    <x v="3"/>
    <x v="49"/>
    <x v="1"/>
    <x v="1"/>
    <x v="1"/>
    <n v="34"/>
    <n v="34"/>
    <n v="0.7"/>
    <n v="30.6"/>
  </r>
  <r>
    <x v="11"/>
    <x v="3"/>
    <x v="49"/>
    <x v="2"/>
    <x v="0"/>
    <x v="0"/>
    <n v="131.81"/>
    <n v="131.81"/>
    <n v="114.82"/>
    <n v="118.63"/>
  </r>
  <r>
    <x v="11"/>
    <x v="3"/>
    <x v="49"/>
    <x v="1"/>
    <x v="2"/>
    <x v="0"/>
    <n v="349.24"/>
    <n v="349.24"/>
    <n v="2.91"/>
    <n v="314.32"/>
  </r>
  <r>
    <x v="11"/>
    <x v="3"/>
    <x v="49"/>
    <x v="1"/>
    <x v="1"/>
    <x v="0"/>
    <n v="704.75"/>
    <n v="704.75"/>
    <n v="64.52"/>
    <n v="634.27"/>
  </r>
  <r>
    <x v="11"/>
    <x v="3"/>
    <x v="49"/>
    <x v="1"/>
    <x v="4"/>
    <x v="0"/>
    <n v="7711.87"/>
    <n v="7711.87"/>
    <n v="1790.09"/>
    <n v="6940.68"/>
  </r>
  <r>
    <x v="11"/>
    <x v="3"/>
    <x v="49"/>
    <x v="1"/>
    <x v="0"/>
    <x v="0"/>
    <n v="272.72000000000003"/>
    <n v="272.72000000000003"/>
    <n v="260.69"/>
    <n v="245.45"/>
  </r>
  <r>
    <x v="11"/>
    <x v="3"/>
    <x v="49"/>
    <x v="0"/>
    <x v="4"/>
    <x v="0"/>
    <n v="314.55"/>
    <n v="314.55"/>
    <n v="154.66999999999999"/>
    <n v="283.10000000000002"/>
  </r>
  <r>
    <x v="11"/>
    <x v="3"/>
    <x v="49"/>
    <x v="4"/>
    <x v="4"/>
    <x v="2"/>
    <n v="9.31"/>
    <n v="9.31"/>
    <n v="0.31"/>
    <n v="8.3800000000000008"/>
  </r>
  <r>
    <x v="11"/>
    <x v="3"/>
    <x v="49"/>
    <x v="4"/>
    <x v="1"/>
    <x v="0"/>
    <n v="451.53"/>
    <n v="451.53"/>
    <n v="22.39"/>
    <n v="406.38"/>
  </r>
  <r>
    <x v="11"/>
    <x v="3"/>
    <x v="49"/>
    <x v="4"/>
    <x v="2"/>
    <x v="2"/>
    <n v="6.83"/>
    <n v="6.83"/>
    <n v="0.06"/>
    <n v="6.14"/>
  </r>
  <r>
    <x v="11"/>
    <x v="3"/>
    <x v="49"/>
    <x v="0"/>
    <x v="0"/>
    <x v="0"/>
    <n v="12.34"/>
    <n v="12.34"/>
    <n v="4.13"/>
    <n v="11.11"/>
  </r>
  <r>
    <x v="11"/>
    <x v="3"/>
    <x v="49"/>
    <x v="1"/>
    <x v="2"/>
    <x v="2"/>
    <n v="7.0000000000000007E-2"/>
    <n v="7.0000000000000007E-2"/>
    <n v="0"/>
    <n v="0.06"/>
  </r>
  <r>
    <x v="11"/>
    <x v="3"/>
    <x v="49"/>
    <x v="2"/>
    <x v="1"/>
    <x v="2"/>
    <n v="1.3"/>
    <n v="1.3"/>
    <n v="0"/>
    <n v="1.17"/>
  </r>
  <r>
    <x v="11"/>
    <x v="3"/>
    <x v="49"/>
    <x v="2"/>
    <x v="3"/>
    <x v="2"/>
    <n v="63.44"/>
    <n v="63.44"/>
    <n v="7.0000000000000007E-2"/>
    <n v="57.1"/>
  </r>
  <r>
    <x v="11"/>
    <x v="3"/>
    <x v="49"/>
    <x v="2"/>
    <x v="3"/>
    <x v="3"/>
    <n v="1373.34"/>
    <n v="1373.34"/>
    <n v="0.45"/>
    <n v="1236"/>
  </r>
  <r>
    <x v="11"/>
    <x v="3"/>
    <x v="49"/>
    <x v="4"/>
    <x v="0"/>
    <x v="1"/>
    <n v="4.58"/>
    <n v="4.58"/>
    <n v="0.93"/>
    <n v="4.12"/>
  </r>
  <r>
    <x v="11"/>
    <x v="3"/>
    <x v="49"/>
    <x v="4"/>
    <x v="4"/>
    <x v="1"/>
    <n v="15.44"/>
    <n v="15.44"/>
    <n v="1.19"/>
    <n v="13.9"/>
  </r>
  <r>
    <x v="11"/>
    <x v="3"/>
    <x v="49"/>
    <x v="2"/>
    <x v="4"/>
    <x v="1"/>
    <n v="0.24"/>
    <n v="0.24"/>
    <n v="0"/>
    <n v="0.22"/>
  </r>
  <r>
    <x v="11"/>
    <x v="3"/>
    <x v="49"/>
    <x v="1"/>
    <x v="4"/>
    <x v="2"/>
    <n v="1.64"/>
    <n v="1.64"/>
    <n v="0.09"/>
    <n v="1.47"/>
  </r>
  <r>
    <x v="11"/>
    <x v="3"/>
    <x v="49"/>
    <x v="1"/>
    <x v="2"/>
    <x v="1"/>
    <n v="100.24"/>
    <n v="100.24"/>
    <n v="0.57999999999999996"/>
    <n v="90.21"/>
  </r>
  <r>
    <x v="11"/>
    <x v="3"/>
    <x v="49"/>
    <x v="4"/>
    <x v="1"/>
    <x v="2"/>
    <n v="4.29"/>
    <n v="4.29"/>
    <n v="0.05"/>
    <n v="3.86"/>
  </r>
  <r>
    <x v="11"/>
    <x v="3"/>
    <x v="49"/>
    <x v="2"/>
    <x v="2"/>
    <x v="0"/>
    <n v="0.75"/>
    <n v="0.75"/>
    <n v="0.08"/>
    <n v="0.67"/>
  </r>
  <r>
    <x v="11"/>
    <x v="3"/>
    <x v="49"/>
    <x v="0"/>
    <x v="0"/>
    <x v="1"/>
    <n v="11.5"/>
    <n v="11.5"/>
    <n v="0.5"/>
    <n v="10.35"/>
  </r>
  <r>
    <x v="11"/>
    <x v="3"/>
    <x v="49"/>
    <x v="0"/>
    <x v="4"/>
    <x v="1"/>
    <n v="2.6"/>
    <n v="2.6"/>
    <n v="0.11"/>
    <n v="2.34"/>
  </r>
  <r>
    <x v="11"/>
    <x v="3"/>
    <x v="49"/>
    <x v="1"/>
    <x v="0"/>
    <x v="1"/>
    <n v="13.96"/>
    <n v="13.96"/>
    <n v="0.91"/>
    <n v="12.56"/>
  </r>
  <r>
    <x v="11"/>
    <x v="3"/>
    <x v="49"/>
    <x v="1"/>
    <x v="4"/>
    <x v="1"/>
    <n v="4.6100000000000003"/>
    <n v="4.6100000000000003"/>
    <n v="0.22"/>
    <n v="4.1500000000000004"/>
  </r>
  <r>
    <x v="11"/>
    <x v="3"/>
    <x v="49"/>
    <x v="1"/>
    <x v="1"/>
    <x v="2"/>
    <n v="0.4"/>
    <n v="0.4"/>
    <n v="0.02"/>
    <n v="0.36"/>
  </r>
  <r>
    <x v="11"/>
    <x v="3"/>
    <x v="49"/>
    <x v="4"/>
    <x v="1"/>
    <x v="1"/>
    <n v="3.32"/>
    <n v="3.32"/>
    <n v="0.26"/>
    <n v="2.99"/>
  </r>
  <r>
    <x v="12"/>
    <x v="0"/>
    <x v="0"/>
    <x v="4"/>
    <x v="2"/>
    <x v="2"/>
    <n v="0"/>
    <n v="0.01"/>
    <n v="0"/>
    <n v="0"/>
  </r>
  <r>
    <x v="12"/>
    <x v="0"/>
    <x v="0"/>
    <x v="1"/>
    <x v="0"/>
    <x v="1"/>
    <n v="0.04"/>
    <n v="0.13"/>
    <n v="0"/>
    <n v="0.03"/>
  </r>
  <r>
    <x v="12"/>
    <x v="0"/>
    <x v="0"/>
    <x v="0"/>
    <x v="4"/>
    <x v="1"/>
    <n v="0.02"/>
    <n v="0.08"/>
    <n v="0.01"/>
    <n v="0.02"/>
  </r>
  <r>
    <x v="12"/>
    <x v="0"/>
    <x v="0"/>
    <x v="0"/>
    <x v="0"/>
    <x v="1"/>
    <n v="0.56000000000000005"/>
    <n v="1.95"/>
    <n v="0.02"/>
    <n v="0.5"/>
  </r>
  <r>
    <x v="12"/>
    <x v="0"/>
    <x v="0"/>
    <x v="4"/>
    <x v="1"/>
    <x v="1"/>
    <n v="0.02"/>
    <n v="0.06"/>
    <n v="0"/>
    <n v="0.02"/>
  </r>
  <r>
    <x v="12"/>
    <x v="0"/>
    <x v="0"/>
    <x v="4"/>
    <x v="4"/>
    <x v="1"/>
    <n v="7.0000000000000007E-2"/>
    <n v="0.26"/>
    <n v="0"/>
    <n v="7.0000000000000007E-2"/>
  </r>
  <r>
    <x v="12"/>
    <x v="0"/>
    <x v="0"/>
    <x v="4"/>
    <x v="0"/>
    <x v="1"/>
    <n v="0.28999999999999998"/>
    <n v="0.99"/>
    <n v="0.02"/>
    <n v="0.26"/>
  </r>
  <r>
    <x v="12"/>
    <x v="0"/>
    <x v="0"/>
    <x v="2"/>
    <x v="3"/>
    <x v="3"/>
    <n v="4.59"/>
    <n v="15.96"/>
    <n v="0"/>
    <n v="4.13"/>
  </r>
  <r>
    <x v="12"/>
    <x v="0"/>
    <x v="0"/>
    <x v="2"/>
    <x v="3"/>
    <x v="2"/>
    <n v="0"/>
    <n v="0"/>
    <n v="0"/>
    <n v="0"/>
  </r>
  <r>
    <x v="12"/>
    <x v="0"/>
    <x v="0"/>
    <x v="4"/>
    <x v="1"/>
    <x v="2"/>
    <n v="0.01"/>
    <n v="0.05"/>
    <n v="0"/>
    <n v="0.01"/>
  </r>
  <r>
    <x v="12"/>
    <x v="0"/>
    <x v="0"/>
    <x v="1"/>
    <x v="4"/>
    <x v="2"/>
    <n v="0.09"/>
    <n v="0.3"/>
    <n v="0"/>
    <n v="0.08"/>
  </r>
  <r>
    <x v="12"/>
    <x v="0"/>
    <x v="0"/>
    <x v="4"/>
    <x v="4"/>
    <x v="2"/>
    <n v="0.01"/>
    <n v="0.03"/>
    <n v="0"/>
    <n v="0.01"/>
  </r>
  <r>
    <x v="12"/>
    <x v="0"/>
    <x v="0"/>
    <x v="3"/>
    <x v="4"/>
    <x v="0"/>
    <n v="5.51"/>
    <n v="19.14"/>
    <n v="1.88"/>
    <n v="4.96"/>
  </r>
  <r>
    <x v="12"/>
    <x v="0"/>
    <x v="0"/>
    <x v="1"/>
    <x v="4"/>
    <x v="1"/>
    <n v="0.09"/>
    <n v="0.33"/>
    <n v="0"/>
    <n v="0.08"/>
  </r>
  <r>
    <x v="12"/>
    <x v="0"/>
    <x v="0"/>
    <x v="1"/>
    <x v="1"/>
    <x v="2"/>
    <n v="0"/>
    <n v="0"/>
    <n v="0"/>
    <n v="0"/>
  </r>
  <r>
    <x v="12"/>
    <x v="0"/>
    <x v="0"/>
    <x v="1"/>
    <x v="1"/>
    <x v="0"/>
    <n v="2.93"/>
    <n v="10.199999999999999"/>
    <n v="0.3"/>
    <n v="2.64"/>
  </r>
  <r>
    <x v="12"/>
    <x v="0"/>
    <x v="0"/>
    <x v="1"/>
    <x v="1"/>
    <x v="1"/>
    <n v="1.91"/>
    <n v="6.64"/>
    <n v="7.0000000000000007E-2"/>
    <n v="1.72"/>
  </r>
  <r>
    <x v="12"/>
    <x v="0"/>
    <x v="0"/>
    <x v="1"/>
    <x v="2"/>
    <x v="0"/>
    <n v="2.93"/>
    <n v="10.199999999999999"/>
    <n v="0.05"/>
    <n v="2.64"/>
  </r>
  <r>
    <x v="12"/>
    <x v="0"/>
    <x v="0"/>
    <x v="2"/>
    <x v="4"/>
    <x v="0"/>
    <n v="0.72"/>
    <n v="2.4900000000000002"/>
    <n v="0.33"/>
    <n v="0.65"/>
  </r>
  <r>
    <x v="12"/>
    <x v="0"/>
    <x v="0"/>
    <x v="1"/>
    <x v="4"/>
    <x v="0"/>
    <n v="27.71"/>
    <n v="96.35"/>
    <n v="6.97"/>
    <n v="24.94"/>
  </r>
  <r>
    <x v="12"/>
    <x v="0"/>
    <x v="0"/>
    <x v="1"/>
    <x v="0"/>
    <x v="0"/>
    <n v="1.6"/>
    <n v="5.56"/>
    <n v="0.86"/>
    <n v="1.44"/>
  </r>
  <r>
    <x v="12"/>
    <x v="0"/>
    <x v="0"/>
    <x v="0"/>
    <x v="4"/>
    <x v="0"/>
    <n v="2.34"/>
    <n v="8.1199999999999992"/>
    <n v="1"/>
    <n v="2.1"/>
  </r>
  <r>
    <x v="12"/>
    <x v="0"/>
    <x v="0"/>
    <x v="0"/>
    <x v="0"/>
    <x v="0"/>
    <n v="0.35"/>
    <n v="1.22"/>
    <n v="0.81"/>
    <n v="0.32"/>
  </r>
  <r>
    <x v="12"/>
    <x v="0"/>
    <x v="0"/>
    <x v="4"/>
    <x v="1"/>
    <x v="0"/>
    <n v="2.39"/>
    <n v="8.32"/>
    <n v="0.28000000000000003"/>
    <n v="2.15"/>
  </r>
  <r>
    <x v="12"/>
    <x v="0"/>
    <x v="0"/>
    <x v="4"/>
    <x v="4"/>
    <x v="0"/>
    <n v="4"/>
    <n v="13.91"/>
    <n v="2.2000000000000002"/>
    <n v="3.6"/>
  </r>
  <r>
    <x v="12"/>
    <x v="0"/>
    <x v="0"/>
    <x v="4"/>
    <x v="0"/>
    <x v="0"/>
    <n v="0.11"/>
    <n v="0.37"/>
    <n v="0.04"/>
    <n v="0.1"/>
  </r>
  <r>
    <x v="12"/>
    <x v="0"/>
    <x v="0"/>
    <x v="3"/>
    <x v="1"/>
    <x v="0"/>
    <n v="0"/>
    <n v="0.01"/>
    <n v="0"/>
    <n v="0"/>
  </r>
  <r>
    <x v="12"/>
    <x v="0"/>
    <x v="0"/>
    <x v="4"/>
    <x v="3"/>
    <x v="0"/>
    <n v="1.22"/>
    <n v="4.24"/>
    <n v="0.11"/>
    <n v="1.1000000000000001"/>
  </r>
  <r>
    <x v="12"/>
    <x v="0"/>
    <x v="0"/>
    <x v="1"/>
    <x v="2"/>
    <x v="1"/>
    <n v="3.37"/>
    <n v="11.7"/>
    <n v="0.02"/>
    <n v="3.03"/>
  </r>
  <r>
    <x v="12"/>
    <x v="0"/>
    <x v="0"/>
    <x v="2"/>
    <x v="0"/>
    <x v="0"/>
    <n v="0.81"/>
    <n v="2.82"/>
    <n v="1.1499999999999999"/>
    <n v="0.73"/>
  </r>
  <r>
    <x v="12"/>
    <x v="1"/>
    <x v="1"/>
    <x v="4"/>
    <x v="1"/>
    <x v="1"/>
    <n v="0.9"/>
    <n v="1.0900000000000001"/>
    <n v="7.0000000000000007E-2"/>
    <n v="0.81"/>
  </r>
  <r>
    <x v="12"/>
    <x v="1"/>
    <x v="1"/>
    <x v="2"/>
    <x v="0"/>
    <x v="0"/>
    <n v="8.08"/>
    <n v="9.8000000000000007"/>
    <n v="5.16"/>
    <n v="7.27"/>
  </r>
  <r>
    <x v="12"/>
    <x v="1"/>
    <x v="1"/>
    <x v="4"/>
    <x v="4"/>
    <x v="2"/>
    <n v="0.03"/>
    <n v="0.03"/>
    <n v="0.01"/>
    <n v="0.03"/>
  </r>
  <r>
    <x v="12"/>
    <x v="1"/>
    <x v="1"/>
    <x v="4"/>
    <x v="1"/>
    <x v="2"/>
    <n v="0.14000000000000001"/>
    <n v="0.17"/>
    <n v="0.01"/>
    <n v="0.12"/>
  </r>
  <r>
    <x v="12"/>
    <x v="1"/>
    <x v="1"/>
    <x v="1"/>
    <x v="4"/>
    <x v="2"/>
    <n v="0.06"/>
    <n v="7.0000000000000007E-2"/>
    <n v="0"/>
    <n v="0.05"/>
  </r>
  <r>
    <x v="12"/>
    <x v="1"/>
    <x v="1"/>
    <x v="1"/>
    <x v="1"/>
    <x v="2"/>
    <n v="0.26"/>
    <n v="0.32"/>
    <n v="0"/>
    <n v="0.24"/>
  </r>
  <r>
    <x v="12"/>
    <x v="1"/>
    <x v="1"/>
    <x v="2"/>
    <x v="3"/>
    <x v="2"/>
    <n v="0.02"/>
    <n v="0.03"/>
    <n v="0"/>
    <n v="0.02"/>
  </r>
  <r>
    <x v="12"/>
    <x v="1"/>
    <x v="1"/>
    <x v="2"/>
    <x v="3"/>
    <x v="3"/>
    <n v="21.24"/>
    <n v="25.77"/>
    <n v="0.01"/>
    <n v="19.11"/>
  </r>
  <r>
    <x v="12"/>
    <x v="1"/>
    <x v="1"/>
    <x v="4"/>
    <x v="4"/>
    <x v="1"/>
    <n v="1.03"/>
    <n v="1.25"/>
    <n v="0.06"/>
    <n v="0.93"/>
  </r>
  <r>
    <x v="12"/>
    <x v="1"/>
    <x v="1"/>
    <x v="0"/>
    <x v="0"/>
    <x v="1"/>
    <n v="0.47"/>
    <n v="0.56999999999999995"/>
    <n v="0.02"/>
    <n v="0.42"/>
  </r>
  <r>
    <x v="12"/>
    <x v="1"/>
    <x v="1"/>
    <x v="1"/>
    <x v="2"/>
    <x v="0"/>
    <n v="32.97"/>
    <n v="40"/>
    <n v="0.2"/>
    <n v="29.67"/>
  </r>
  <r>
    <x v="12"/>
    <x v="1"/>
    <x v="1"/>
    <x v="0"/>
    <x v="4"/>
    <x v="1"/>
    <n v="1.08"/>
    <n v="1.31"/>
    <n v="0.02"/>
    <n v="0.97"/>
  </r>
  <r>
    <x v="12"/>
    <x v="1"/>
    <x v="1"/>
    <x v="3"/>
    <x v="4"/>
    <x v="0"/>
    <n v="93.34"/>
    <n v="113.25"/>
    <n v="16.18"/>
    <n v="84"/>
  </r>
  <r>
    <x v="12"/>
    <x v="1"/>
    <x v="1"/>
    <x v="4"/>
    <x v="0"/>
    <x v="1"/>
    <n v="0.28000000000000003"/>
    <n v="0.34"/>
    <n v="0.05"/>
    <n v="0.25"/>
  </r>
  <r>
    <x v="12"/>
    <x v="1"/>
    <x v="1"/>
    <x v="1"/>
    <x v="0"/>
    <x v="1"/>
    <n v="1.63"/>
    <n v="1.98"/>
    <n v="0.09"/>
    <n v="1.47"/>
  </r>
  <r>
    <x v="12"/>
    <x v="1"/>
    <x v="1"/>
    <x v="1"/>
    <x v="1"/>
    <x v="1"/>
    <n v="0.44"/>
    <n v="0.54"/>
    <n v="0.01"/>
    <n v="0.4"/>
  </r>
  <r>
    <x v="12"/>
    <x v="1"/>
    <x v="1"/>
    <x v="2"/>
    <x v="3"/>
    <x v="0"/>
    <n v="17.739999999999998"/>
    <n v="21.53"/>
    <n v="0.15"/>
    <n v="15.97"/>
  </r>
  <r>
    <x v="12"/>
    <x v="1"/>
    <x v="1"/>
    <x v="2"/>
    <x v="4"/>
    <x v="0"/>
    <n v="28.13"/>
    <n v="34.130000000000003"/>
    <n v="7.61"/>
    <n v="25.31"/>
  </r>
  <r>
    <x v="12"/>
    <x v="1"/>
    <x v="1"/>
    <x v="1"/>
    <x v="2"/>
    <x v="1"/>
    <n v="20.9"/>
    <n v="25.36"/>
    <n v="0.14000000000000001"/>
    <n v="18.809999999999999"/>
  </r>
  <r>
    <x v="12"/>
    <x v="1"/>
    <x v="1"/>
    <x v="2"/>
    <x v="4"/>
    <x v="1"/>
    <n v="0.65"/>
    <n v="0.79"/>
    <n v="0"/>
    <n v="0.59"/>
  </r>
  <r>
    <x v="12"/>
    <x v="1"/>
    <x v="1"/>
    <x v="4"/>
    <x v="1"/>
    <x v="0"/>
    <n v="46.42"/>
    <n v="56.33"/>
    <n v="1.99"/>
    <n v="41.78"/>
  </r>
  <r>
    <x v="12"/>
    <x v="1"/>
    <x v="1"/>
    <x v="3"/>
    <x v="0"/>
    <x v="0"/>
    <n v="5.3"/>
    <n v="6.43"/>
    <n v="1.74"/>
    <n v="4.7699999999999996"/>
  </r>
  <r>
    <x v="12"/>
    <x v="1"/>
    <x v="1"/>
    <x v="1"/>
    <x v="1"/>
    <x v="0"/>
    <n v="34.979999999999997"/>
    <n v="42.45"/>
    <n v="2.29"/>
    <n v="31.48"/>
  </r>
  <r>
    <x v="12"/>
    <x v="1"/>
    <x v="1"/>
    <x v="4"/>
    <x v="4"/>
    <x v="0"/>
    <n v="111.57"/>
    <n v="135.38"/>
    <n v="13.91"/>
    <n v="100.41"/>
  </r>
  <r>
    <x v="12"/>
    <x v="1"/>
    <x v="1"/>
    <x v="0"/>
    <x v="0"/>
    <x v="0"/>
    <n v="8.8699999999999992"/>
    <n v="10.77"/>
    <n v="4.8099999999999996"/>
    <n v="7.99"/>
  </r>
  <r>
    <x v="12"/>
    <x v="1"/>
    <x v="1"/>
    <x v="0"/>
    <x v="4"/>
    <x v="0"/>
    <n v="10.82"/>
    <n v="13.13"/>
    <n v="2.6"/>
    <n v="9.74"/>
  </r>
  <r>
    <x v="12"/>
    <x v="1"/>
    <x v="1"/>
    <x v="1"/>
    <x v="4"/>
    <x v="1"/>
    <n v="0.27"/>
    <n v="0.33"/>
    <n v="0.01"/>
    <n v="0.24"/>
  </r>
  <r>
    <x v="12"/>
    <x v="1"/>
    <x v="1"/>
    <x v="1"/>
    <x v="0"/>
    <x v="0"/>
    <n v="6.03"/>
    <n v="7.32"/>
    <n v="4.2"/>
    <n v="5.43"/>
  </r>
  <r>
    <x v="12"/>
    <x v="1"/>
    <x v="1"/>
    <x v="1"/>
    <x v="4"/>
    <x v="0"/>
    <n v="259.20999999999998"/>
    <n v="314.52999999999997"/>
    <n v="40.520000000000003"/>
    <n v="233.29"/>
  </r>
  <r>
    <x v="12"/>
    <x v="1"/>
    <x v="1"/>
    <x v="2"/>
    <x v="3"/>
    <x v="1"/>
    <n v="1.48"/>
    <n v="1.79"/>
    <n v="0.01"/>
    <n v="1.33"/>
  </r>
  <r>
    <x v="12"/>
    <x v="2"/>
    <x v="2"/>
    <x v="3"/>
    <x v="0"/>
    <x v="0"/>
    <n v="2.04"/>
    <n v="2.2200000000000002"/>
    <n v="0.38"/>
    <n v="1.84"/>
  </r>
  <r>
    <x v="12"/>
    <x v="2"/>
    <x v="2"/>
    <x v="1"/>
    <x v="4"/>
    <x v="0"/>
    <n v="137.74"/>
    <n v="149.94"/>
    <n v="19.399999999999999"/>
    <n v="123.96"/>
  </r>
  <r>
    <x v="12"/>
    <x v="2"/>
    <x v="2"/>
    <x v="1"/>
    <x v="1"/>
    <x v="0"/>
    <n v="10.74"/>
    <n v="11.69"/>
    <n v="0.56999999999999995"/>
    <n v="9.67"/>
  </r>
  <r>
    <x v="12"/>
    <x v="2"/>
    <x v="2"/>
    <x v="1"/>
    <x v="2"/>
    <x v="0"/>
    <n v="2.5499999999999998"/>
    <n v="2.77"/>
    <n v="0.06"/>
    <n v="2.29"/>
  </r>
  <r>
    <x v="12"/>
    <x v="2"/>
    <x v="2"/>
    <x v="2"/>
    <x v="0"/>
    <x v="0"/>
    <n v="2.5499999999999998"/>
    <n v="2.77"/>
    <n v="0.89"/>
    <n v="2.29"/>
  </r>
  <r>
    <x v="12"/>
    <x v="2"/>
    <x v="2"/>
    <x v="2"/>
    <x v="4"/>
    <x v="0"/>
    <n v="5.05"/>
    <n v="5.5"/>
    <n v="0.54"/>
    <n v="4.54"/>
  </r>
  <r>
    <x v="12"/>
    <x v="2"/>
    <x v="2"/>
    <x v="2"/>
    <x v="3"/>
    <x v="0"/>
    <n v="5.68"/>
    <n v="6.18"/>
    <n v="0.05"/>
    <n v="5.1100000000000003"/>
  </r>
  <r>
    <x v="12"/>
    <x v="2"/>
    <x v="2"/>
    <x v="0"/>
    <x v="4"/>
    <x v="0"/>
    <n v="20.25"/>
    <n v="22.04"/>
    <n v="4.29"/>
    <n v="18.22"/>
  </r>
  <r>
    <x v="12"/>
    <x v="2"/>
    <x v="2"/>
    <x v="0"/>
    <x v="0"/>
    <x v="0"/>
    <n v="1.18"/>
    <n v="1.28"/>
    <n v="0.49"/>
    <n v="1.06"/>
  </r>
  <r>
    <x v="12"/>
    <x v="2"/>
    <x v="2"/>
    <x v="4"/>
    <x v="1"/>
    <x v="0"/>
    <n v="5.01"/>
    <n v="5.45"/>
    <n v="0.25"/>
    <n v="4.51"/>
  </r>
  <r>
    <x v="12"/>
    <x v="2"/>
    <x v="2"/>
    <x v="4"/>
    <x v="4"/>
    <x v="2"/>
    <n v="0.08"/>
    <n v="0.09"/>
    <n v="0.01"/>
    <n v="7.0000000000000007E-2"/>
  </r>
  <r>
    <x v="12"/>
    <x v="2"/>
    <x v="2"/>
    <x v="3"/>
    <x v="4"/>
    <x v="0"/>
    <n v="6.73"/>
    <n v="7.33"/>
    <n v="1.39"/>
    <n v="6.06"/>
  </r>
  <r>
    <x v="12"/>
    <x v="2"/>
    <x v="2"/>
    <x v="1"/>
    <x v="4"/>
    <x v="2"/>
    <n v="0.09"/>
    <n v="0.1"/>
    <n v="0"/>
    <n v="0.08"/>
  </r>
  <r>
    <x v="12"/>
    <x v="2"/>
    <x v="2"/>
    <x v="0"/>
    <x v="0"/>
    <x v="1"/>
    <n v="0.17"/>
    <n v="0.18"/>
    <n v="0"/>
    <n v="0.15"/>
  </r>
  <r>
    <x v="12"/>
    <x v="2"/>
    <x v="2"/>
    <x v="1"/>
    <x v="2"/>
    <x v="1"/>
    <n v="0.5"/>
    <n v="0.54"/>
    <n v="0"/>
    <n v="0.45"/>
  </r>
  <r>
    <x v="12"/>
    <x v="2"/>
    <x v="2"/>
    <x v="1"/>
    <x v="0"/>
    <x v="0"/>
    <n v="4.92"/>
    <n v="5.35"/>
    <n v="2.13"/>
    <n v="4.42"/>
  </r>
  <r>
    <x v="12"/>
    <x v="2"/>
    <x v="2"/>
    <x v="1"/>
    <x v="1"/>
    <x v="1"/>
    <n v="0.25"/>
    <n v="0.28000000000000003"/>
    <n v="0"/>
    <n v="0.23"/>
  </r>
  <r>
    <x v="12"/>
    <x v="2"/>
    <x v="2"/>
    <x v="1"/>
    <x v="4"/>
    <x v="1"/>
    <n v="0.02"/>
    <n v="0.03"/>
    <n v="0"/>
    <n v="0.02"/>
  </r>
  <r>
    <x v="12"/>
    <x v="2"/>
    <x v="2"/>
    <x v="1"/>
    <x v="0"/>
    <x v="1"/>
    <n v="0.27"/>
    <n v="0.3"/>
    <n v="0.01"/>
    <n v="0.24"/>
  </r>
  <r>
    <x v="12"/>
    <x v="2"/>
    <x v="2"/>
    <x v="0"/>
    <x v="4"/>
    <x v="1"/>
    <n v="0.01"/>
    <n v="0.01"/>
    <n v="0"/>
    <n v="0.01"/>
  </r>
  <r>
    <x v="12"/>
    <x v="2"/>
    <x v="2"/>
    <x v="2"/>
    <x v="3"/>
    <x v="1"/>
    <n v="0"/>
    <n v="0"/>
    <n v="0"/>
    <n v="0"/>
  </r>
  <r>
    <x v="12"/>
    <x v="2"/>
    <x v="2"/>
    <x v="4"/>
    <x v="1"/>
    <x v="2"/>
    <n v="0.03"/>
    <n v="0.03"/>
    <n v="0"/>
    <n v="0.02"/>
  </r>
  <r>
    <x v="12"/>
    <x v="2"/>
    <x v="2"/>
    <x v="4"/>
    <x v="4"/>
    <x v="0"/>
    <n v="39.6"/>
    <n v="43.11"/>
    <n v="4.0599999999999996"/>
    <n v="35.64"/>
  </r>
  <r>
    <x v="12"/>
    <x v="2"/>
    <x v="2"/>
    <x v="4"/>
    <x v="4"/>
    <x v="1"/>
    <n v="0.04"/>
    <n v="0.04"/>
    <n v="0"/>
    <n v="0.03"/>
  </r>
  <r>
    <x v="12"/>
    <x v="2"/>
    <x v="2"/>
    <x v="4"/>
    <x v="0"/>
    <x v="1"/>
    <n v="0"/>
    <n v="0"/>
    <n v="0"/>
    <n v="0"/>
  </r>
  <r>
    <x v="12"/>
    <x v="2"/>
    <x v="2"/>
    <x v="2"/>
    <x v="3"/>
    <x v="3"/>
    <n v="5.71"/>
    <n v="6.22"/>
    <n v="0"/>
    <n v="5.14"/>
  </r>
  <r>
    <x v="12"/>
    <x v="2"/>
    <x v="2"/>
    <x v="4"/>
    <x v="2"/>
    <x v="2"/>
    <n v="0"/>
    <n v="0"/>
    <n v="0"/>
    <n v="0"/>
  </r>
  <r>
    <x v="12"/>
    <x v="2"/>
    <x v="3"/>
    <x v="1"/>
    <x v="1"/>
    <x v="1"/>
    <n v="0.71"/>
    <n v="0.78"/>
    <n v="0.01"/>
    <n v="0.64"/>
  </r>
  <r>
    <x v="12"/>
    <x v="2"/>
    <x v="3"/>
    <x v="4"/>
    <x v="1"/>
    <x v="2"/>
    <n v="0.15"/>
    <n v="0.17"/>
    <n v="0"/>
    <n v="0.14000000000000001"/>
  </r>
  <r>
    <x v="12"/>
    <x v="2"/>
    <x v="3"/>
    <x v="4"/>
    <x v="2"/>
    <x v="2"/>
    <n v="0.11"/>
    <n v="0.12"/>
    <n v="0"/>
    <n v="0.1"/>
  </r>
  <r>
    <x v="12"/>
    <x v="2"/>
    <x v="3"/>
    <x v="4"/>
    <x v="4"/>
    <x v="2"/>
    <n v="0.6"/>
    <n v="0.66"/>
    <n v="0.01"/>
    <n v="0.54"/>
  </r>
  <r>
    <x v="12"/>
    <x v="2"/>
    <x v="3"/>
    <x v="2"/>
    <x v="3"/>
    <x v="2"/>
    <n v="0.55000000000000004"/>
    <n v="0.6"/>
    <n v="0"/>
    <n v="0.5"/>
  </r>
  <r>
    <x v="12"/>
    <x v="2"/>
    <x v="3"/>
    <x v="4"/>
    <x v="4"/>
    <x v="0"/>
    <n v="38.369999999999997"/>
    <n v="41.76"/>
    <n v="3.82"/>
    <n v="34.53"/>
  </r>
  <r>
    <x v="12"/>
    <x v="2"/>
    <x v="3"/>
    <x v="1"/>
    <x v="4"/>
    <x v="2"/>
    <n v="0.11"/>
    <n v="0.12"/>
    <n v="0.01"/>
    <n v="0.1"/>
  </r>
  <r>
    <x v="12"/>
    <x v="2"/>
    <x v="3"/>
    <x v="2"/>
    <x v="3"/>
    <x v="0"/>
    <n v="4.6500000000000004"/>
    <n v="5.0599999999999996"/>
    <n v="0.04"/>
    <n v="4.18"/>
  </r>
  <r>
    <x v="12"/>
    <x v="2"/>
    <x v="3"/>
    <x v="2"/>
    <x v="4"/>
    <x v="0"/>
    <n v="4.17"/>
    <n v="4.54"/>
    <n v="0.4"/>
    <n v="3.75"/>
  </r>
  <r>
    <x v="12"/>
    <x v="2"/>
    <x v="3"/>
    <x v="1"/>
    <x v="0"/>
    <x v="1"/>
    <n v="0.34"/>
    <n v="0.37"/>
    <n v="0.01"/>
    <n v="0.3"/>
  </r>
  <r>
    <x v="12"/>
    <x v="2"/>
    <x v="3"/>
    <x v="2"/>
    <x v="0"/>
    <x v="0"/>
    <n v="4.75"/>
    <n v="5.18"/>
    <n v="1.85"/>
    <n v="4.28"/>
  </r>
  <r>
    <x v="12"/>
    <x v="2"/>
    <x v="3"/>
    <x v="1"/>
    <x v="2"/>
    <x v="0"/>
    <n v="6.44"/>
    <n v="7.02"/>
    <n v="0.02"/>
    <n v="5.8"/>
  </r>
  <r>
    <x v="12"/>
    <x v="2"/>
    <x v="3"/>
    <x v="1"/>
    <x v="1"/>
    <x v="0"/>
    <n v="12.89"/>
    <n v="14.03"/>
    <n v="0.56999999999999995"/>
    <n v="11.6"/>
  </r>
  <r>
    <x v="12"/>
    <x v="2"/>
    <x v="3"/>
    <x v="1"/>
    <x v="4"/>
    <x v="0"/>
    <n v="104.62"/>
    <n v="113.88"/>
    <n v="14.74"/>
    <n v="94.16"/>
  </r>
  <r>
    <x v="12"/>
    <x v="2"/>
    <x v="3"/>
    <x v="1"/>
    <x v="0"/>
    <x v="0"/>
    <n v="8.14"/>
    <n v="8.86"/>
    <n v="3.14"/>
    <n v="7.32"/>
  </r>
  <r>
    <x v="12"/>
    <x v="2"/>
    <x v="3"/>
    <x v="0"/>
    <x v="4"/>
    <x v="0"/>
    <n v="7.68"/>
    <n v="8.36"/>
    <n v="1.58"/>
    <n v="6.91"/>
  </r>
  <r>
    <x v="12"/>
    <x v="2"/>
    <x v="3"/>
    <x v="1"/>
    <x v="1"/>
    <x v="2"/>
    <n v="0.01"/>
    <n v="0.01"/>
    <n v="0"/>
    <n v="0.01"/>
  </r>
  <r>
    <x v="12"/>
    <x v="2"/>
    <x v="3"/>
    <x v="0"/>
    <x v="4"/>
    <x v="1"/>
    <n v="0.03"/>
    <n v="0.04"/>
    <n v="0"/>
    <n v="0.03"/>
  </r>
  <r>
    <x v="12"/>
    <x v="2"/>
    <x v="3"/>
    <x v="3"/>
    <x v="4"/>
    <x v="0"/>
    <n v="5.66"/>
    <n v="6.17"/>
    <n v="1.24"/>
    <n v="5.0999999999999996"/>
  </r>
  <r>
    <x v="12"/>
    <x v="2"/>
    <x v="3"/>
    <x v="3"/>
    <x v="0"/>
    <x v="0"/>
    <n v="2.56"/>
    <n v="2.78"/>
    <n v="0.48"/>
    <n v="2.2999999999999998"/>
  </r>
  <r>
    <x v="12"/>
    <x v="2"/>
    <x v="3"/>
    <x v="2"/>
    <x v="3"/>
    <x v="1"/>
    <n v="0.01"/>
    <n v="0.01"/>
    <n v="0"/>
    <n v="0.01"/>
  </r>
  <r>
    <x v="12"/>
    <x v="2"/>
    <x v="3"/>
    <x v="1"/>
    <x v="2"/>
    <x v="1"/>
    <n v="0.57999999999999996"/>
    <n v="0.63"/>
    <n v="0"/>
    <n v="0.52"/>
  </r>
  <r>
    <x v="12"/>
    <x v="2"/>
    <x v="3"/>
    <x v="0"/>
    <x v="0"/>
    <x v="0"/>
    <n v="2.4900000000000002"/>
    <n v="2.72"/>
    <n v="1.05"/>
    <n v="2.25"/>
  </r>
  <r>
    <x v="12"/>
    <x v="2"/>
    <x v="3"/>
    <x v="1"/>
    <x v="4"/>
    <x v="1"/>
    <n v="0.04"/>
    <n v="0.04"/>
    <n v="0"/>
    <n v="0.04"/>
  </r>
  <r>
    <x v="12"/>
    <x v="2"/>
    <x v="3"/>
    <x v="0"/>
    <x v="0"/>
    <x v="1"/>
    <n v="0.26"/>
    <n v="0.28000000000000003"/>
    <n v="0.01"/>
    <n v="0.23"/>
  </r>
  <r>
    <x v="12"/>
    <x v="2"/>
    <x v="3"/>
    <x v="4"/>
    <x v="4"/>
    <x v="1"/>
    <n v="0.06"/>
    <n v="0.06"/>
    <n v="0"/>
    <n v="0.05"/>
  </r>
  <r>
    <x v="12"/>
    <x v="2"/>
    <x v="3"/>
    <x v="4"/>
    <x v="0"/>
    <x v="1"/>
    <n v="0.01"/>
    <n v="0.01"/>
    <n v="0"/>
    <n v="0"/>
  </r>
  <r>
    <x v="12"/>
    <x v="2"/>
    <x v="3"/>
    <x v="2"/>
    <x v="3"/>
    <x v="3"/>
    <n v="17.440000000000001"/>
    <n v="18.98"/>
    <n v="0.01"/>
    <n v="15.7"/>
  </r>
  <r>
    <x v="12"/>
    <x v="2"/>
    <x v="3"/>
    <x v="2"/>
    <x v="2"/>
    <x v="3"/>
    <n v="0"/>
    <n v="0"/>
    <n v="0"/>
    <n v="0"/>
  </r>
  <r>
    <x v="12"/>
    <x v="2"/>
    <x v="3"/>
    <x v="4"/>
    <x v="1"/>
    <x v="0"/>
    <n v="3.55"/>
    <n v="3.87"/>
    <n v="0.19"/>
    <n v="3.2"/>
  </r>
  <r>
    <x v="12"/>
    <x v="0"/>
    <x v="4"/>
    <x v="2"/>
    <x v="4"/>
    <x v="0"/>
    <n v="31.36"/>
    <n v="46.68"/>
    <n v="11.99"/>
    <n v="28.22"/>
  </r>
  <r>
    <x v="12"/>
    <x v="0"/>
    <x v="4"/>
    <x v="4"/>
    <x v="1"/>
    <x v="2"/>
    <n v="0.03"/>
    <n v="0.04"/>
    <n v="0"/>
    <n v="0.03"/>
  </r>
  <r>
    <x v="12"/>
    <x v="0"/>
    <x v="4"/>
    <x v="2"/>
    <x v="3"/>
    <x v="0"/>
    <n v="0.13"/>
    <n v="0.19"/>
    <n v="0"/>
    <n v="0.12"/>
  </r>
  <r>
    <x v="12"/>
    <x v="0"/>
    <x v="4"/>
    <x v="3"/>
    <x v="0"/>
    <x v="0"/>
    <n v="4.07"/>
    <n v="6.06"/>
    <n v="2.54"/>
    <n v="3.67"/>
  </r>
  <r>
    <x v="12"/>
    <x v="0"/>
    <x v="4"/>
    <x v="4"/>
    <x v="2"/>
    <x v="2"/>
    <n v="0.02"/>
    <n v="0.04"/>
    <n v="0"/>
    <n v="0.02"/>
  </r>
  <r>
    <x v="12"/>
    <x v="0"/>
    <x v="4"/>
    <x v="1"/>
    <x v="4"/>
    <x v="2"/>
    <n v="0.03"/>
    <n v="0.05"/>
    <n v="0"/>
    <n v="0.03"/>
  </r>
  <r>
    <x v="12"/>
    <x v="0"/>
    <x v="4"/>
    <x v="2"/>
    <x v="3"/>
    <x v="2"/>
    <n v="0.37"/>
    <n v="0.55000000000000004"/>
    <n v="0"/>
    <n v="0.33"/>
  </r>
  <r>
    <x v="12"/>
    <x v="0"/>
    <x v="4"/>
    <x v="2"/>
    <x v="3"/>
    <x v="3"/>
    <n v="127.19"/>
    <n v="189.32"/>
    <n v="0.05"/>
    <n v="114.47"/>
  </r>
  <r>
    <x v="12"/>
    <x v="0"/>
    <x v="4"/>
    <x v="4"/>
    <x v="0"/>
    <x v="1"/>
    <n v="1.22"/>
    <n v="1.82"/>
    <n v="7.0000000000000007E-2"/>
    <n v="1.1000000000000001"/>
  </r>
  <r>
    <x v="12"/>
    <x v="0"/>
    <x v="4"/>
    <x v="4"/>
    <x v="4"/>
    <x v="1"/>
    <n v="0.17"/>
    <n v="0.25"/>
    <n v="0.01"/>
    <n v="0.15"/>
  </r>
  <r>
    <x v="12"/>
    <x v="0"/>
    <x v="4"/>
    <x v="4"/>
    <x v="1"/>
    <x v="1"/>
    <n v="0.1"/>
    <n v="0.15"/>
    <n v="0.01"/>
    <n v="0.09"/>
  </r>
  <r>
    <x v="12"/>
    <x v="0"/>
    <x v="4"/>
    <x v="0"/>
    <x v="0"/>
    <x v="1"/>
    <n v="3.93"/>
    <n v="5.86"/>
    <n v="0.09"/>
    <n v="3.54"/>
  </r>
  <r>
    <x v="12"/>
    <x v="0"/>
    <x v="4"/>
    <x v="0"/>
    <x v="4"/>
    <x v="1"/>
    <n v="0.01"/>
    <n v="0.01"/>
    <n v="0"/>
    <n v="0.01"/>
  </r>
  <r>
    <x v="12"/>
    <x v="0"/>
    <x v="4"/>
    <x v="1"/>
    <x v="0"/>
    <x v="1"/>
    <n v="0.76"/>
    <n v="1.1299999999999999"/>
    <n v="0.04"/>
    <n v="0.68"/>
  </r>
  <r>
    <x v="12"/>
    <x v="0"/>
    <x v="4"/>
    <x v="1"/>
    <x v="4"/>
    <x v="1"/>
    <n v="0.25"/>
    <n v="0.37"/>
    <n v="0.01"/>
    <n v="0.22"/>
  </r>
  <r>
    <x v="12"/>
    <x v="0"/>
    <x v="4"/>
    <x v="1"/>
    <x v="1"/>
    <x v="1"/>
    <n v="1.71"/>
    <n v="2.54"/>
    <n v="0.05"/>
    <n v="1.54"/>
  </r>
  <r>
    <x v="12"/>
    <x v="0"/>
    <x v="4"/>
    <x v="4"/>
    <x v="4"/>
    <x v="2"/>
    <n v="0.03"/>
    <n v="0.04"/>
    <n v="0"/>
    <n v="0.03"/>
  </r>
  <r>
    <x v="12"/>
    <x v="0"/>
    <x v="4"/>
    <x v="2"/>
    <x v="3"/>
    <x v="1"/>
    <n v="3.25"/>
    <n v="4.84"/>
    <n v="0"/>
    <n v="2.92"/>
  </r>
  <r>
    <x v="12"/>
    <x v="0"/>
    <x v="4"/>
    <x v="3"/>
    <x v="4"/>
    <x v="0"/>
    <n v="9.41"/>
    <n v="14.01"/>
    <n v="2.34"/>
    <n v="8.4700000000000006"/>
  </r>
  <r>
    <x v="12"/>
    <x v="0"/>
    <x v="4"/>
    <x v="3"/>
    <x v="1"/>
    <x v="0"/>
    <n v="0.09"/>
    <n v="0.13"/>
    <n v="0.02"/>
    <n v="0.08"/>
  </r>
  <r>
    <x v="12"/>
    <x v="0"/>
    <x v="4"/>
    <x v="4"/>
    <x v="0"/>
    <x v="0"/>
    <n v="0.42"/>
    <n v="0.62"/>
    <n v="7.0000000000000007E-2"/>
    <n v="0.38"/>
  </r>
  <r>
    <x v="12"/>
    <x v="0"/>
    <x v="4"/>
    <x v="4"/>
    <x v="4"/>
    <x v="0"/>
    <n v="72.83"/>
    <n v="108.4"/>
    <n v="11.14"/>
    <n v="65.55"/>
  </r>
  <r>
    <x v="12"/>
    <x v="0"/>
    <x v="4"/>
    <x v="4"/>
    <x v="1"/>
    <x v="0"/>
    <n v="7.61"/>
    <n v="11.33"/>
    <n v="0.61"/>
    <n v="6.85"/>
  </r>
  <r>
    <x v="12"/>
    <x v="0"/>
    <x v="4"/>
    <x v="0"/>
    <x v="0"/>
    <x v="0"/>
    <n v="5.44"/>
    <n v="8.09"/>
    <n v="3.36"/>
    <n v="4.8899999999999997"/>
  </r>
  <r>
    <x v="12"/>
    <x v="0"/>
    <x v="4"/>
    <x v="0"/>
    <x v="4"/>
    <x v="0"/>
    <n v="39.479999999999997"/>
    <n v="58.76"/>
    <n v="7.25"/>
    <n v="35.53"/>
  </r>
  <r>
    <x v="12"/>
    <x v="0"/>
    <x v="4"/>
    <x v="1"/>
    <x v="0"/>
    <x v="0"/>
    <n v="24.71"/>
    <n v="36.78"/>
    <n v="16.239999999999998"/>
    <n v="22.24"/>
  </r>
  <r>
    <x v="12"/>
    <x v="0"/>
    <x v="4"/>
    <x v="1"/>
    <x v="4"/>
    <x v="0"/>
    <n v="218.95"/>
    <n v="325.89"/>
    <n v="68.489999999999995"/>
    <n v="197.05"/>
  </r>
  <r>
    <x v="12"/>
    <x v="0"/>
    <x v="4"/>
    <x v="1"/>
    <x v="1"/>
    <x v="0"/>
    <n v="40.159999999999997"/>
    <n v="59.78"/>
    <n v="3.43"/>
    <n v="36.15"/>
  </r>
  <r>
    <x v="12"/>
    <x v="0"/>
    <x v="4"/>
    <x v="1"/>
    <x v="2"/>
    <x v="0"/>
    <n v="17.86"/>
    <n v="26.59"/>
    <n v="0.35"/>
    <n v="16.079999999999998"/>
  </r>
  <r>
    <x v="12"/>
    <x v="0"/>
    <x v="4"/>
    <x v="2"/>
    <x v="0"/>
    <x v="0"/>
    <n v="12.93"/>
    <n v="19.239999999999998"/>
    <n v="16.170000000000002"/>
    <n v="11.63"/>
  </r>
  <r>
    <x v="12"/>
    <x v="0"/>
    <x v="4"/>
    <x v="1"/>
    <x v="2"/>
    <x v="1"/>
    <n v="18.559999999999999"/>
    <n v="27.62"/>
    <n v="7.0000000000000007E-2"/>
    <n v="16.7"/>
  </r>
  <r>
    <x v="12"/>
    <x v="3"/>
    <x v="5"/>
    <x v="0"/>
    <x v="4"/>
    <x v="1"/>
    <n v="1.28"/>
    <n v="1.54"/>
    <n v="0.12"/>
    <n v="1.1499999999999999"/>
  </r>
  <r>
    <x v="12"/>
    <x v="3"/>
    <x v="5"/>
    <x v="4"/>
    <x v="0"/>
    <x v="0"/>
    <n v="0.66"/>
    <n v="0.8"/>
    <n v="0.69"/>
    <n v="0.59"/>
  </r>
  <r>
    <x v="12"/>
    <x v="3"/>
    <x v="5"/>
    <x v="4"/>
    <x v="4"/>
    <x v="2"/>
    <n v="0.32"/>
    <n v="0.39"/>
    <n v="0.01"/>
    <n v="0.28999999999999998"/>
  </r>
  <r>
    <x v="12"/>
    <x v="3"/>
    <x v="5"/>
    <x v="4"/>
    <x v="1"/>
    <x v="2"/>
    <n v="0.17"/>
    <n v="0.21"/>
    <n v="0"/>
    <n v="0.15"/>
  </r>
  <r>
    <x v="12"/>
    <x v="3"/>
    <x v="5"/>
    <x v="4"/>
    <x v="2"/>
    <x v="2"/>
    <n v="0.13"/>
    <n v="0.16"/>
    <n v="0"/>
    <n v="0.12"/>
  </r>
  <r>
    <x v="12"/>
    <x v="3"/>
    <x v="5"/>
    <x v="2"/>
    <x v="3"/>
    <x v="2"/>
    <n v="1.77"/>
    <n v="2.13"/>
    <n v="0"/>
    <n v="1.59"/>
  </r>
  <r>
    <x v="12"/>
    <x v="3"/>
    <x v="5"/>
    <x v="2"/>
    <x v="3"/>
    <x v="3"/>
    <n v="57.58"/>
    <n v="69.48"/>
    <n v="0.02"/>
    <n v="51.83"/>
  </r>
  <r>
    <x v="12"/>
    <x v="3"/>
    <x v="5"/>
    <x v="4"/>
    <x v="0"/>
    <x v="1"/>
    <n v="0.54"/>
    <n v="0.65"/>
    <n v="0.03"/>
    <n v="0.48"/>
  </r>
  <r>
    <x v="12"/>
    <x v="3"/>
    <x v="5"/>
    <x v="4"/>
    <x v="4"/>
    <x v="1"/>
    <n v="0.08"/>
    <n v="0.09"/>
    <n v="0.01"/>
    <n v="7.0000000000000007E-2"/>
  </r>
  <r>
    <x v="12"/>
    <x v="3"/>
    <x v="5"/>
    <x v="0"/>
    <x v="0"/>
    <x v="1"/>
    <n v="2.14"/>
    <n v="2.58"/>
    <n v="0.13"/>
    <n v="1.92"/>
  </r>
  <r>
    <x v="12"/>
    <x v="3"/>
    <x v="5"/>
    <x v="1"/>
    <x v="0"/>
    <x v="1"/>
    <n v="0.44"/>
    <n v="0.53"/>
    <n v="0.05"/>
    <n v="0.4"/>
  </r>
  <r>
    <x v="12"/>
    <x v="3"/>
    <x v="5"/>
    <x v="4"/>
    <x v="1"/>
    <x v="1"/>
    <n v="0.09"/>
    <n v="0.1"/>
    <n v="0.02"/>
    <n v="0.08"/>
  </r>
  <r>
    <x v="12"/>
    <x v="3"/>
    <x v="5"/>
    <x v="2"/>
    <x v="3"/>
    <x v="1"/>
    <n v="0.5"/>
    <n v="0.6"/>
    <n v="0"/>
    <n v="0.45"/>
  </r>
  <r>
    <x v="12"/>
    <x v="3"/>
    <x v="5"/>
    <x v="3"/>
    <x v="0"/>
    <x v="0"/>
    <n v="56.84"/>
    <n v="68.59"/>
    <n v="54.27"/>
    <n v="51.16"/>
  </r>
  <r>
    <x v="12"/>
    <x v="3"/>
    <x v="5"/>
    <x v="1"/>
    <x v="4"/>
    <x v="1"/>
    <n v="0.38"/>
    <n v="0.46"/>
    <n v="0.04"/>
    <n v="0.34"/>
  </r>
  <r>
    <x v="12"/>
    <x v="3"/>
    <x v="5"/>
    <x v="1"/>
    <x v="1"/>
    <x v="1"/>
    <n v="0.68"/>
    <n v="0.82"/>
    <n v="0.02"/>
    <n v="0.61"/>
  </r>
  <r>
    <x v="12"/>
    <x v="3"/>
    <x v="5"/>
    <x v="2"/>
    <x v="4"/>
    <x v="1"/>
    <n v="0.06"/>
    <n v="7.0000000000000007E-2"/>
    <n v="0"/>
    <n v="0.05"/>
  </r>
  <r>
    <x v="12"/>
    <x v="3"/>
    <x v="5"/>
    <x v="3"/>
    <x v="4"/>
    <x v="0"/>
    <n v="131.78"/>
    <n v="159.01"/>
    <n v="40.53"/>
    <n v="118.6"/>
  </r>
  <r>
    <x v="12"/>
    <x v="3"/>
    <x v="5"/>
    <x v="4"/>
    <x v="4"/>
    <x v="0"/>
    <n v="182.13"/>
    <n v="219.76"/>
    <n v="26.99"/>
    <n v="163.92"/>
  </r>
  <r>
    <x v="12"/>
    <x v="3"/>
    <x v="5"/>
    <x v="4"/>
    <x v="1"/>
    <x v="0"/>
    <n v="30.83"/>
    <n v="37.19"/>
    <n v="0.48"/>
    <n v="27.74"/>
  </r>
  <r>
    <x v="12"/>
    <x v="3"/>
    <x v="5"/>
    <x v="0"/>
    <x v="0"/>
    <x v="0"/>
    <n v="3.81"/>
    <n v="4.5999999999999996"/>
    <n v="0.61"/>
    <n v="3.43"/>
  </r>
  <r>
    <x v="12"/>
    <x v="3"/>
    <x v="5"/>
    <x v="0"/>
    <x v="4"/>
    <x v="0"/>
    <n v="37.299999999999997"/>
    <n v="45"/>
    <n v="22.96"/>
    <n v="33.57"/>
  </r>
  <r>
    <x v="12"/>
    <x v="3"/>
    <x v="5"/>
    <x v="1"/>
    <x v="0"/>
    <x v="0"/>
    <n v="44.53"/>
    <n v="53.73"/>
    <n v="32.840000000000003"/>
    <n v="40.08"/>
  </r>
  <r>
    <x v="12"/>
    <x v="3"/>
    <x v="5"/>
    <x v="1"/>
    <x v="4"/>
    <x v="0"/>
    <n v="489.98"/>
    <n v="591.20000000000005"/>
    <n v="146.33000000000001"/>
    <n v="440.98"/>
  </r>
  <r>
    <x v="12"/>
    <x v="3"/>
    <x v="5"/>
    <x v="2"/>
    <x v="0"/>
    <x v="0"/>
    <n v="26.75"/>
    <n v="32.28"/>
    <n v="21.55"/>
    <n v="24.07"/>
  </r>
  <r>
    <x v="12"/>
    <x v="3"/>
    <x v="5"/>
    <x v="2"/>
    <x v="4"/>
    <x v="0"/>
    <n v="50.73"/>
    <n v="61.21"/>
    <n v="16.05"/>
    <n v="45.65"/>
  </r>
  <r>
    <x v="12"/>
    <x v="3"/>
    <x v="5"/>
    <x v="1"/>
    <x v="2"/>
    <x v="1"/>
    <n v="3.6"/>
    <n v="4.34"/>
    <n v="0.02"/>
    <n v="3.24"/>
  </r>
  <r>
    <x v="12"/>
    <x v="0"/>
    <x v="6"/>
    <x v="4"/>
    <x v="1"/>
    <x v="1"/>
    <n v="0.03"/>
    <n v="0.03"/>
    <n v="0"/>
    <n v="0.03"/>
  </r>
  <r>
    <x v="12"/>
    <x v="0"/>
    <x v="6"/>
    <x v="4"/>
    <x v="4"/>
    <x v="1"/>
    <n v="0.1"/>
    <n v="0.12"/>
    <n v="0.01"/>
    <n v="0.09"/>
  </r>
  <r>
    <x v="12"/>
    <x v="0"/>
    <x v="6"/>
    <x v="4"/>
    <x v="4"/>
    <x v="2"/>
    <n v="0.09"/>
    <n v="0.11"/>
    <n v="0"/>
    <n v="0.08"/>
  </r>
  <r>
    <x v="12"/>
    <x v="0"/>
    <x v="6"/>
    <x v="4"/>
    <x v="1"/>
    <x v="2"/>
    <n v="0.31"/>
    <n v="0.37"/>
    <n v="0.01"/>
    <n v="0.27"/>
  </r>
  <r>
    <x v="12"/>
    <x v="0"/>
    <x v="6"/>
    <x v="4"/>
    <x v="2"/>
    <x v="2"/>
    <n v="0.39"/>
    <n v="0.48"/>
    <n v="0.01"/>
    <n v="0.35"/>
  </r>
  <r>
    <x v="12"/>
    <x v="0"/>
    <x v="6"/>
    <x v="1"/>
    <x v="4"/>
    <x v="2"/>
    <n v="7.0000000000000007E-2"/>
    <n v="0.09"/>
    <n v="0"/>
    <n v="0.06"/>
  </r>
  <r>
    <x v="12"/>
    <x v="0"/>
    <x v="6"/>
    <x v="2"/>
    <x v="3"/>
    <x v="3"/>
    <n v="2.59"/>
    <n v="3.17"/>
    <n v="0"/>
    <n v="2.33"/>
  </r>
  <r>
    <x v="12"/>
    <x v="0"/>
    <x v="6"/>
    <x v="4"/>
    <x v="0"/>
    <x v="0"/>
    <n v="0.12"/>
    <n v="0.14000000000000001"/>
    <n v="0.02"/>
    <n v="0.1"/>
  </r>
  <r>
    <x v="12"/>
    <x v="0"/>
    <x v="6"/>
    <x v="2"/>
    <x v="0"/>
    <x v="0"/>
    <n v="2.4500000000000002"/>
    <n v="2.99"/>
    <n v="1.69"/>
    <n v="2.2000000000000002"/>
  </r>
  <r>
    <x v="12"/>
    <x v="0"/>
    <x v="6"/>
    <x v="1"/>
    <x v="2"/>
    <x v="0"/>
    <n v="5.31"/>
    <n v="6.48"/>
    <n v="7.0000000000000007E-2"/>
    <n v="4.78"/>
  </r>
  <r>
    <x v="12"/>
    <x v="0"/>
    <x v="6"/>
    <x v="1"/>
    <x v="1"/>
    <x v="0"/>
    <n v="3.75"/>
    <n v="4.58"/>
    <n v="0.44"/>
    <n v="3.37"/>
  </r>
  <r>
    <x v="12"/>
    <x v="0"/>
    <x v="6"/>
    <x v="1"/>
    <x v="4"/>
    <x v="0"/>
    <n v="44.25"/>
    <n v="54.06"/>
    <n v="10"/>
    <n v="39.83"/>
  </r>
  <r>
    <x v="12"/>
    <x v="0"/>
    <x v="6"/>
    <x v="1"/>
    <x v="0"/>
    <x v="0"/>
    <n v="2.02"/>
    <n v="2.4700000000000002"/>
    <n v="1.1000000000000001"/>
    <n v="1.82"/>
  </r>
  <r>
    <x v="12"/>
    <x v="0"/>
    <x v="6"/>
    <x v="0"/>
    <x v="4"/>
    <x v="0"/>
    <n v="3.52"/>
    <n v="4.3"/>
    <n v="0.75"/>
    <n v="3.17"/>
  </r>
  <r>
    <x v="12"/>
    <x v="0"/>
    <x v="6"/>
    <x v="0"/>
    <x v="0"/>
    <x v="0"/>
    <n v="1.0900000000000001"/>
    <n v="1.33"/>
    <n v="0.94"/>
    <n v="0.98"/>
  </r>
  <r>
    <x v="12"/>
    <x v="0"/>
    <x v="6"/>
    <x v="4"/>
    <x v="3"/>
    <x v="0"/>
    <n v="37.270000000000003"/>
    <n v="45.53"/>
    <n v="0.05"/>
    <n v="33.54"/>
  </r>
  <r>
    <x v="12"/>
    <x v="0"/>
    <x v="6"/>
    <x v="4"/>
    <x v="0"/>
    <x v="1"/>
    <n v="0.53"/>
    <n v="0.65"/>
    <n v="0.03"/>
    <n v="0.48"/>
  </r>
  <r>
    <x v="12"/>
    <x v="0"/>
    <x v="6"/>
    <x v="4"/>
    <x v="4"/>
    <x v="0"/>
    <n v="9.6"/>
    <n v="11.72"/>
    <n v="1.63"/>
    <n v="8.64"/>
  </r>
  <r>
    <x v="12"/>
    <x v="0"/>
    <x v="6"/>
    <x v="2"/>
    <x v="4"/>
    <x v="0"/>
    <n v="2.63"/>
    <n v="3.21"/>
    <n v="0.4"/>
    <n v="2.37"/>
  </r>
  <r>
    <x v="12"/>
    <x v="0"/>
    <x v="6"/>
    <x v="3"/>
    <x v="1"/>
    <x v="0"/>
    <n v="0.03"/>
    <n v="0.03"/>
    <n v="0"/>
    <n v="0.02"/>
  </r>
  <r>
    <x v="12"/>
    <x v="0"/>
    <x v="6"/>
    <x v="3"/>
    <x v="4"/>
    <x v="0"/>
    <n v="5.59"/>
    <n v="6.83"/>
    <n v="1.41"/>
    <n v="5.03"/>
  </r>
  <r>
    <x v="12"/>
    <x v="0"/>
    <x v="6"/>
    <x v="3"/>
    <x v="0"/>
    <x v="0"/>
    <n v="2.66"/>
    <n v="3.24"/>
    <n v="1.45"/>
    <n v="2.39"/>
  </r>
  <r>
    <x v="12"/>
    <x v="0"/>
    <x v="6"/>
    <x v="1"/>
    <x v="2"/>
    <x v="1"/>
    <n v="10.64"/>
    <n v="13"/>
    <n v="0.04"/>
    <n v="9.58"/>
  </r>
  <r>
    <x v="12"/>
    <x v="0"/>
    <x v="6"/>
    <x v="1"/>
    <x v="1"/>
    <x v="1"/>
    <n v="4.6399999999999997"/>
    <n v="5.67"/>
    <n v="0.15"/>
    <n v="4.18"/>
  </r>
  <r>
    <x v="12"/>
    <x v="0"/>
    <x v="6"/>
    <x v="1"/>
    <x v="4"/>
    <x v="1"/>
    <n v="0.38"/>
    <n v="0.46"/>
    <n v="0.01"/>
    <n v="0.34"/>
  </r>
  <r>
    <x v="12"/>
    <x v="0"/>
    <x v="6"/>
    <x v="1"/>
    <x v="0"/>
    <x v="1"/>
    <n v="0.13"/>
    <n v="0.16"/>
    <n v="0.01"/>
    <n v="0.11"/>
  </r>
  <r>
    <x v="12"/>
    <x v="0"/>
    <x v="6"/>
    <x v="0"/>
    <x v="4"/>
    <x v="1"/>
    <n v="0.12"/>
    <n v="0.15"/>
    <n v="0.02"/>
    <n v="0.11"/>
  </r>
  <r>
    <x v="12"/>
    <x v="0"/>
    <x v="6"/>
    <x v="0"/>
    <x v="0"/>
    <x v="1"/>
    <n v="1.1299999999999999"/>
    <n v="1.38"/>
    <n v="0.03"/>
    <n v="1.02"/>
  </r>
  <r>
    <x v="12"/>
    <x v="0"/>
    <x v="6"/>
    <x v="4"/>
    <x v="1"/>
    <x v="0"/>
    <n v="2.12"/>
    <n v="2.59"/>
    <n v="0.13"/>
    <n v="1.91"/>
  </r>
  <r>
    <x v="12"/>
    <x v="4"/>
    <x v="7"/>
    <x v="1"/>
    <x v="4"/>
    <x v="0"/>
    <n v="6832.65"/>
    <n v="7140.38"/>
    <n v="1912.67"/>
    <n v="6149.39"/>
  </r>
  <r>
    <x v="12"/>
    <x v="4"/>
    <x v="7"/>
    <x v="2"/>
    <x v="3"/>
    <x v="3"/>
    <n v="103.86"/>
    <n v="108.54"/>
    <n v="0.08"/>
    <n v="93.47"/>
  </r>
  <r>
    <x v="12"/>
    <x v="4"/>
    <x v="7"/>
    <x v="1"/>
    <x v="2"/>
    <x v="0"/>
    <n v="373.47"/>
    <n v="390.29"/>
    <n v="10.31"/>
    <n v="336.12"/>
  </r>
  <r>
    <x v="12"/>
    <x v="4"/>
    <x v="7"/>
    <x v="1"/>
    <x v="0"/>
    <x v="1"/>
    <n v="12.9"/>
    <n v="13.48"/>
    <n v="1.3"/>
    <n v="11.61"/>
  </r>
  <r>
    <x v="12"/>
    <x v="4"/>
    <x v="7"/>
    <x v="0"/>
    <x v="4"/>
    <x v="1"/>
    <n v="99.72"/>
    <n v="104.21"/>
    <n v="1.0900000000000001"/>
    <n v="89.75"/>
  </r>
  <r>
    <x v="12"/>
    <x v="4"/>
    <x v="7"/>
    <x v="0"/>
    <x v="0"/>
    <x v="1"/>
    <n v="21.58"/>
    <n v="22.55"/>
    <n v="1.56"/>
    <n v="19.420000000000002"/>
  </r>
  <r>
    <x v="12"/>
    <x v="4"/>
    <x v="7"/>
    <x v="4"/>
    <x v="1"/>
    <x v="1"/>
    <n v="3.46"/>
    <n v="3.62"/>
    <n v="0.09"/>
    <n v="3.11"/>
  </r>
  <r>
    <x v="12"/>
    <x v="4"/>
    <x v="7"/>
    <x v="1"/>
    <x v="1"/>
    <x v="1"/>
    <n v="118.57"/>
    <n v="123.91"/>
    <n v="0.76"/>
    <n v="106.71"/>
  </r>
  <r>
    <x v="12"/>
    <x v="4"/>
    <x v="7"/>
    <x v="4"/>
    <x v="0"/>
    <x v="1"/>
    <n v="0.19"/>
    <n v="0.2"/>
    <n v="0.05"/>
    <n v="0.17"/>
  </r>
  <r>
    <x v="12"/>
    <x v="4"/>
    <x v="7"/>
    <x v="1"/>
    <x v="2"/>
    <x v="1"/>
    <n v="235.11"/>
    <n v="245.7"/>
    <n v="0.53"/>
    <n v="211.6"/>
  </r>
  <r>
    <x v="12"/>
    <x v="4"/>
    <x v="7"/>
    <x v="2"/>
    <x v="3"/>
    <x v="2"/>
    <n v="59.39"/>
    <n v="62.06"/>
    <n v="0.09"/>
    <n v="53.45"/>
  </r>
  <r>
    <x v="12"/>
    <x v="4"/>
    <x v="7"/>
    <x v="1"/>
    <x v="1"/>
    <x v="2"/>
    <n v="1.61"/>
    <n v="1.68"/>
    <n v="0.01"/>
    <n v="1.45"/>
  </r>
  <r>
    <x v="12"/>
    <x v="4"/>
    <x v="7"/>
    <x v="1"/>
    <x v="4"/>
    <x v="2"/>
    <n v="2.2000000000000002"/>
    <n v="2.2999999999999998"/>
    <n v="0.15"/>
    <n v="1.98"/>
  </r>
  <r>
    <x v="12"/>
    <x v="4"/>
    <x v="7"/>
    <x v="4"/>
    <x v="2"/>
    <x v="2"/>
    <n v="12.09"/>
    <n v="12.63"/>
    <n v="0.18"/>
    <n v="10.88"/>
  </r>
  <r>
    <x v="12"/>
    <x v="4"/>
    <x v="7"/>
    <x v="4"/>
    <x v="1"/>
    <x v="2"/>
    <n v="24.71"/>
    <n v="25.82"/>
    <n v="0.59"/>
    <n v="22.24"/>
  </r>
  <r>
    <x v="12"/>
    <x v="4"/>
    <x v="7"/>
    <x v="4"/>
    <x v="4"/>
    <x v="2"/>
    <n v="0.44"/>
    <n v="0.46"/>
    <n v="0.14000000000000001"/>
    <n v="0.39"/>
  </r>
  <r>
    <x v="12"/>
    <x v="4"/>
    <x v="7"/>
    <x v="4"/>
    <x v="4"/>
    <x v="1"/>
    <n v="9.76"/>
    <n v="10.199999999999999"/>
    <n v="1.1100000000000001"/>
    <n v="8.7799999999999994"/>
  </r>
  <r>
    <x v="12"/>
    <x v="4"/>
    <x v="7"/>
    <x v="4"/>
    <x v="3"/>
    <x v="0"/>
    <n v="205.24"/>
    <n v="214.48"/>
    <n v="2.9"/>
    <n v="184.72"/>
  </r>
  <r>
    <x v="12"/>
    <x v="4"/>
    <x v="7"/>
    <x v="2"/>
    <x v="0"/>
    <x v="0"/>
    <n v="199.67"/>
    <n v="208.66"/>
    <n v="241.1"/>
    <n v="179.7"/>
  </r>
  <r>
    <x v="12"/>
    <x v="4"/>
    <x v="7"/>
    <x v="1"/>
    <x v="1"/>
    <x v="0"/>
    <n v="2944.61"/>
    <n v="3077.23"/>
    <n v="322.39"/>
    <n v="2650.15"/>
  </r>
  <r>
    <x v="12"/>
    <x v="4"/>
    <x v="7"/>
    <x v="1"/>
    <x v="0"/>
    <x v="0"/>
    <n v="94.65"/>
    <n v="98.91"/>
    <n v="80.58"/>
    <n v="85.18"/>
  </r>
  <r>
    <x v="12"/>
    <x v="4"/>
    <x v="7"/>
    <x v="0"/>
    <x v="2"/>
    <x v="0"/>
    <n v="10.93"/>
    <n v="11.42"/>
    <n v="0.17"/>
    <n v="9.84"/>
  </r>
  <r>
    <x v="12"/>
    <x v="4"/>
    <x v="7"/>
    <x v="1"/>
    <x v="4"/>
    <x v="1"/>
    <n v="11.55"/>
    <n v="12.07"/>
    <n v="0.89"/>
    <n v="10.39"/>
  </r>
  <r>
    <x v="12"/>
    <x v="4"/>
    <x v="7"/>
    <x v="0"/>
    <x v="0"/>
    <x v="0"/>
    <n v="85.18"/>
    <n v="89.01"/>
    <n v="53.86"/>
    <n v="76.66"/>
  </r>
  <r>
    <x v="12"/>
    <x v="4"/>
    <x v="7"/>
    <x v="2"/>
    <x v="4"/>
    <x v="0"/>
    <n v="253.02"/>
    <n v="264.41000000000003"/>
    <n v="77.56"/>
    <n v="227.71"/>
  </r>
  <r>
    <x v="12"/>
    <x v="4"/>
    <x v="7"/>
    <x v="4"/>
    <x v="1"/>
    <x v="0"/>
    <n v="124.08"/>
    <n v="129.66999999999999"/>
    <n v="14.19"/>
    <n v="111.67"/>
  </r>
  <r>
    <x v="12"/>
    <x v="4"/>
    <x v="7"/>
    <x v="4"/>
    <x v="4"/>
    <x v="0"/>
    <n v="731.67"/>
    <n v="764.62"/>
    <n v="202.35"/>
    <n v="658.5"/>
  </r>
  <r>
    <x v="12"/>
    <x v="4"/>
    <x v="7"/>
    <x v="3"/>
    <x v="1"/>
    <x v="0"/>
    <n v="36.14"/>
    <n v="37.76"/>
    <n v="4.46"/>
    <n v="32.520000000000003"/>
  </r>
  <r>
    <x v="12"/>
    <x v="4"/>
    <x v="7"/>
    <x v="3"/>
    <x v="4"/>
    <x v="0"/>
    <n v="2178.91"/>
    <n v="2277.04"/>
    <n v="599.92999999999995"/>
    <n v="1961.02"/>
  </r>
  <r>
    <x v="12"/>
    <x v="4"/>
    <x v="7"/>
    <x v="3"/>
    <x v="0"/>
    <x v="0"/>
    <n v="144.43"/>
    <n v="150.93"/>
    <n v="89.12"/>
    <n v="129.97999999999999"/>
  </r>
  <r>
    <x v="12"/>
    <x v="4"/>
    <x v="7"/>
    <x v="2"/>
    <x v="3"/>
    <x v="1"/>
    <n v="26.68"/>
    <n v="27.88"/>
    <n v="0.04"/>
    <n v="24.01"/>
  </r>
  <r>
    <x v="12"/>
    <x v="4"/>
    <x v="7"/>
    <x v="0"/>
    <x v="4"/>
    <x v="0"/>
    <n v="398.58"/>
    <n v="416.53"/>
    <n v="125.43"/>
    <n v="358.73"/>
  </r>
  <r>
    <x v="12"/>
    <x v="0"/>
    <x v="8"/>
    <x v="4"/>
    <x v="4"/>
    <x v="2"/>
    <n v="7.0000000000000007E-2"/>
    <n v="0.1"/>
    <n v="0"/>
    <n v="0.06"/>
  </r>
  <r>
    <x v="12"/>
    <x v="0"/>
    <x v="8"/>
    <x v="0"/>
    <x v="4"/>
    <x v="1"/>
    <n v="0.04"/>
    <n v="7.0000000000000007E-2"/>
    <n v="0.01"/>
    <n v="0.04"/>
  </r>
  <r>
    <x v="12"/>
    <x v="0"/>
    <x v="8"/>
    <x v="2"/>
    <x v="3"/>
    <x v="3"/>
    <n v="1.31"/>
    <n v="2"/>
    <n v="0"/>
    <n v="1.18"/>
  </r>
  <r>
    <x v="12"/>
    <x v="0"/>
    <x v="8"/>
    <x v="4"/>
    <x v="1"/>
    <x v="2"/>
    <n v="0.51"/>
    <n v="0.77"/>
    <n v="0.02"/>
    <n v="0.46"/>
  </r>
  <r>
    <x v="12"/>
    <x v="0"/>
    <x v="8"/>
    <x v="2"/>
    <x v="4"/>
    <x v="0"/>
    <n v="0.77"/>
    <n v="1.17"/>
    <n v="0.25"/>
    <n v="0.69"/>
  </r>
  <r>
    <x v="12"/>
    <x v="0"/>
    <x v="8"/>
    <x v="4"/>
    <x v="0"/>
    <x v="1"/>
    <n v="0.2"/>
    <n v="0.31"/>
    <n v="0.01"/>
    <n v="0.18"/>
  </r>
  <r>
    <x v="12"/>
    <x v="0"/>
    <x v="8"/>
    <x v="4"/>
    <x v="4"/>
    <x v="1"/>
    <n v="7.0000000000000007E-2"/>
    <n v="0.11"/>
    <n v="0"/>
    <n v="0.06"/>
  </r>
  <r>
    <x v="12"/>
    <x v="0"/>
    <x v="8"/>
    <x v="0"/>
    <x v="0"/>
    <x v="1"/>
    <n v="0.36"/>
    <n v="0.55000000000000004"/>
    <n v="0.01"/>
    <n v="0.32"/>
  </r>
  <r>
    <x v="12"/>
    <x v="0"/>
    <x v="8"/>
    <x v="1"/>
    <x v="0"/>
    <x v="1"/>
    <n v="0.04"/>
    <n v="0.06"/>
    <n v="0"/>
    <n v="0.04"/>
  </r>
  <r>
    <x v="12"/>
    <x v="0"/>
    <x v="8"/>
    <x v="1"/>
    <x v="4"/>
    <x v="1"/>
    <n v="0.06"/>
    <n v="0.1"/>
    <n v="0"/>
    <n v="0.06"/>
  </r>
  <r>
    <x v="12"/>
    <x v="0"/>
    <x v="8"/>
    <x v="1"/>
    <x v="1"/>
    <x v="1"/>
    <n v="0.83"/>
    <n v="1.28"/>
    <n v="0.03"/>
    <n v="0.75"/>
  </r>
  <r>
    <x v="12"/>
    <x v="0"/>
    <x v="8"/>
    <x v="1"/>
    <x v="2"/>
    <x v="1"/>
    <n v="4.0999999999999996"/>
    <n v="6.26"/>
    <n v="0.02"/>
    <n v="3.69"/>
  </r>
  <r>
    <x v="12"/>
    <x v="0"/>
    <x v="8"/>
    <x v="2"/>
    <x v="3"/>
    <x v="1"/>
    <n v="0"/>
    <n v="0"/>
    <n v="0"/>
    <n v="0"/>
  </r>
  <r>
    <x v="12"/>
    <x v="0"/>
    <x v="8"/>
    <x v="1"/>
    <x v="2"/>
    <x v="0"/>
    <n v="4.08"/>
    <n v="6.23"/>
    <n v="0.08"/>
    <n v="3.67"/>
  </r>
  <r>
    <x v="12"/>
    <x v="0"/>
    <x v="8"/>
    <x v="4"/>
    <x v="1"/>
    <x v="1"/>
    <n v="0.01"/>
    <n v="0.02"/>
    <n v="0"/>
    <n v="0.01"/>
  </r>
  <r>
    <x v="12"/>
    <x v="0"/>
    <x v="8"/>
    <x v="2"/>
    <x v="0"/>
    <x v="0"/>
    <n v="1.98"/>
    <n v="3.02"/>
    <n v="1.58"/>
    <n v="1.78"/>
  </r>
  <r>
    <x v="12"/>
    <x v="0"/>
    <x v="8"/>
    <x v="3"/>
    <x v="4"/>
    <x v="0"/>
    <n v="7.68"/>
    <n v="11.75"/>
    <n v="2.77"/>
    <n v="6.92"/>
  </r>
  <r>
    <x v="12"/>
    <x v="0"/>
    <x v="8"/>
    <x v="1"/>
    <x v="1"/>
    <x v="0"/>
    <n v="6.01"/>
    <n v="9.19"/>
    <n v="0.45"/>
    <n v="5.41"/>
  </r>
  <r>
    <x v="12"/>
    <x v="0"/>
    <x v="8"/>
    <x v="1"/>
    <x v="4"/>
    <x v="0"/>
    <n v="28.95"/>
    <n v="44.26"/>
    <n v="10.25"/>
    <n v="26.05"/>
  </r>
  <r>
    <x v="12"/>
    <x v="0"/>
    <x v="8"/>
    <x v="1"/>
    <x v="0"/>
    <x v="0"/>
    <n v="3.14"/>
    <n v="4.79"/>
    <n v="1.67"/>
    <n v="2.82"/>
  </r>
  <r>
    <x v="12"/>
    <x v="0"/>
    <x v="8"/>
    <x v="0"/>
    <x v="0"/>
    <x v="0"/>
    <n v="2.0699999999999998"/>
    <n v="3.17"/>
    <n v="1.94"/>
    <n v="1.86"/>
  </r>
  <r>
    <x v="12"/>
    <x v="0"/>
    <x v="8"/>
    <x v="4"/>
    <x v="1"/>
    <x v="0"/>
    <n v="3.36"/>
    <n v="5.13"/>
    <n v="0.27"/>
    <n v="3.02"/>
  </r>
  <r>
    <x v="12"/>
    <x v="0"/>
    <x v="8"/>
    <x v="4"/>
    <x v="4"/>
    <x v="0"/>
    <n v="7.93"/>
    <n v="12.12"/>
    <n v="2.25"/>
    <n v="7.13"/>
  </r>
  <r>
    <x v="12"/>
    <x v="0"/>
    <x v="8"/>
    <x v="4"/>
    <x v="0"/>
    <x v="0"/>
    <n v="0.17"/>
    <n v="0.26"/>
    <n v="0.03"/>
    <n v="0.15"/>
  </r>
  <r>
    <x v="12"/>
    <x v="0"/>
    <x v="8"/>
    <x v="3"/>
    <x v="1"/>
    <x v="0"/>
    <n v="0.02"/>
    <n v="0.03"/>
    <n v="0"/>
    <n v="0.02"/>
  </r>
  <r>
    <x v="12"/>
    <x v="0"/>
    <x v="8"/>
    <x v="0"/>
    <x v="4"/>
    <x v="0"/>
    <n v="4.03"/>
    <n v="6.16"/>
    <n v="1.25"/>
    <n v="3.63"/>
  </r>
  <r>
    <x v="12"/>
    <x v="5"/>
    <x v="9"/>
    <x v="4"/>
    <x v="2"/>
    <x v="2"/>
    <n v="0.16"/>
    <n v="0.17"/>
    <n v="0"/>
    <n v="0.14000000000000001"/>
  </r>
  <r>
    <x v="12"/>
    <x v="5"/>
    <x v="9"/>
    <x v="1"/>
    <x v="2"/>
    <x v="1"/>
    <n v="1.05"/>
    <n v="1.1100000000000001"/>
    <n v="0.01"/>
    <n v="0.94"/>
  </r>
  <r>
    <x v="12"/>
    <x v="5"/>
    <x v="9"/>
    <x v="1"/>
    <x v="1"/>
    <x v="1"/>
    <n v="1.79"/>
    <n v="1.9"/>
    <n v="0.01"/>
    <n v="1.61"/>
  </r>
  <r>
    <x v="12"/>
    <x v="5"/>
    <x v="9"/>
    <x v="1"/>
    <x v="4"/>
    <x v="1"/>
    <n v="0.1"/>
    <n v="0.11"/>
    <n v="0"/>
    <n v="0.09"/>
  </r>
  <r>
    <x v="12"/>
    <x v="5"/>
    <x v="9"/>
    <x v="1"/>
    <x v="0"/>
    <x v="1"/>
    <n v="0.54"/>
    <n v="0.56999999999999995"/>
    <n v="0.02"/>
    <n v="0.49"/>
  </r>
  <r>
    <x v="12"/>
    <x v="5"/>
    <x v="9"/>
    <x v="0"/>
    <x v="0"/>
    <x v="1"/>
    <n v="0.52"/>
    <n v="0.56000000000000005"/>
    <n v="0.01"/>
    <n v="0.47"/>
  </r>
  <r>
    <x v="12"/>
    <x v="5"/>
    <x v="9"/>
    <x v="4"/>
    <x v="4"/>
    <x v="1"/>
    <n v="0.94"/>
    <n v="1"/>
    <n v="0.01"/>
    <n v="0.84"/>
  </r>
  <r>
    <x v="12"/>
    <x v="5"/>
    <x v="9"/>
    <x v="4"/>
    <x v="0"/>
    <x v="1"/>
    <n v="0.01"/>
    <n v="0.01"/>
    <n v="0"/>
    <n v="0.01"/>
  </r>
  <r>
    <x v="12"/>
    <x v="5"/>
    <x v="9"/>
    <x v="4"/>
    <x v="1"/>
    <x v="2"/>
    <n v="0.18"/>
    <n v="0.19"/>
    <n v="0"/>
    <n v="0.16"/>
  </r>
  <r>
    <x v="12"/>
    <x v="5"/>
    <x v="9"/>
    <x v="1"/>
    <x v="4"/>
    <x v="2"/>
    <n v="0"/>
    <n v="0"/>
    <n v="0"/>
    <n v="0"/>
  </r>
  <r>
    <x v="12"/>
    <x v="5"/>
    <x v="9"/>
    <x v="0"/>
    <x v="4"/>
    <x v="1"/>
    <n v="0.05"/>
    <n v="0.05"/>
    <n v="0"/>
    <n v="0.04"/>
  </r>
  <r>
    <x v="12"/>
    <x v="5"/>
    <x v="9"/>
    <x v="2"/>
    <x v="3"/>
    <x v="1"/>
    <n v="0.17"/>
    <n v="0.18"/>
    <n v="0"/>
    <n v="0.15"/>
  </r>
  <r>
    <x v="12"/>
    <x v="5"/>
    <x v="9"/>
    <x v="2"/>
    <x v="3"/>
    <x v="2"/>
    <n v="0.03"/>
    <n v="0.04"/>
    <n v="0"/>
    <n v="0.03"/>
  </r>
  <r>
    <x v="12"/>
    <x v="5"/>
    <x v="9"/>
    <x v="2"/>
    <x v="4"/>
    <x v="0"/>
    <n v="2.41"/>
    <n v="2.57"/>
    <n v="0.55000000000000004"/>
    <n v="2.17"/>
  </r>
  <r>
    <x v="12"/>
    <x v="5"/>
    <x v="9"/>
    <x v="3"/>
    <x v="0"/>
    <x v="0"/>
    <n v="1.93"/>
    <n v="2.06"/>
    <n v="0.47"/>
    <n v="1.74"/>
  </r>
  <r>
    <x v="12"/>
    <x v="5"/>
    <x v="9"/>
    <x v="4"/>
    <x v="1"/>
    <x v="1"/>
    <n v="0.38"/>
    <n v="0.4"/>
    <n v="0"/>
    <n v="0.34"/>
  </r>
  <r>
    <x v="12"/>
    <x v="5"/>
    <x v="9"/>
    <x v="2"/>
    <x v="3"/>
    <x v="0"/>
    <n v="4.09"/>
    <n v="4.3499999999999996"/>
    <n v="0.04"/>
    <n v="3.68"/>
  </r>
  <r>
    <x v="12"/>
    <x v="5"/>
    <x v="9"/>
    <x v="2"/>
    <x v="0"/>
    <x v="0"/>
    <n v="1.83"/>
    <n v="1.95"/>
    <n v="1.7"/>
    <n v="1.65"/>
  </r>
  <r>
    <x v="12"/>
    <x v="5"/>
    <x v="9"/>
    <x v="1"/>
    <x v="1"/>
    <x v="0"/>
    <n v="11.22"/>
    <n v="11.94"/>
    <n v="0.61"/>
    <n v="10.09"/>
  </r>
  <r>
    <x v="12"/>
    <x v="5"/>
    <x v="9"/>
    <x v="1"/>
    <x v="4"/>
    <x v="0"/>
    <n v="72.45"/>
    <n v="77.099999999999994"/>
    <n v="16.88"/>
    <n v="65.209999999999994"/>
  </r>
  <r>
    <x v="12"/>
    <x v="5"/>
    <x v="9"/>
    <x v="1"/>
    <x v="0"/>
    <x v="0"/>
    <n v="4.53"/>
    <n v="4.83"/>
    <n v="2.65"/>
    <n v="4.08"/>
  </r>
  <r>
    <x v="12"/>
    <x v="5"/>
    <x v="9"/>
    <x v="0"/>
    <x v="4"/>
    <x v="0"/>
    <n v="4.21"/>
    <n v="4.4800000000000004"/>
    <n v="1.28"/>
    <n v="3.79"/>
  </r>
  <r>
    <x v="12"/>
    <x v="5"/>
    <x v="9"/>
    <x v="4"/>
    <x v="4"/>
    <x v="2"/>
    <n v="0.16"/>
    <n v="0.17"/>
    <n v="0"/>
    <n v="0.14000000000000001"/>
  </r>
  <r>
    <x v="12"/>
    <x v="5"/>
    <x v="9"/>
    <x v="0"/>
    <x v="0"/>
    <x v="0"/>
    <n v="1.1499999999999999"/>
    <n v="1.23"/>
    <n v="0.78"/>
    <n v="1.04"/>
  </r>
  <r>
    <x v="12"/>
    <x v="5"/>
    <x v="9"/>
    <x v="4"/>
    <x v="1"/>
    <x v="0"/>
    <n v="2.35"/>
    <n v="2.5"/>
    <n v="0.13"/>
    <n v="2.12"/>
  </r>
  <r>
    <x v="12"/>
    <x v="5"/>
    <x v="9"/>
    <x v="4"/>
    <x v="4"/>
    <x v="0"/>
    <n v="20.63"/>
    <n v="21.95"/>
    <n v="2.78"/>
    <n v="18.559999999999999"/>
  </r>
  <r>
    <x v="12"/>
    <x v="5"/>
    <x v="9"/>
    <x v="3"/>
    <x v="1"/>
    <x v="0"/>
    <n v="0"/>
    <n v="0"/>
    <n v="0"/>
    <n v="0"/>
  </r>
  <r>
    <x v="12"/>
    <x v="5"/>
    <x v="9"/>
    <x v="3"/>
    <x v="4"/>
    <x v="0"/>
    <n v="2.36"/>
    <n v="2.52"/>
    <n v="0.89"/>
    <n v="2.13"/>
  </r>
  <r>
    <x v="12"/>
    <x v="2"/>
    <x v="10"/>
    <x v="1"/>
    <x v="1"/>
    <x v="0"/>
    <n v="12.41"/>
    <n v="13.48"/>
    <n v="0.61"/>
    <n v="11.17"/>
  </r>
  <r>
    <x v="12"/>
    <x v="2"/>
    <x v="10"/>
    <x v="3"/>
    <x v="0"/>
    <x v="0"/>
    <n v="2.23"/>
    <n v="2.42"/>
    <n v="0.41"/>
    <n v="2"/>
  </r>
  <r>
    <x v="12"/>
    <x v="2"/>
    <x v="10"/>
    <x v="3"/>
    <x v="4"/>
    <x v="0"/>
    <n v="7.99"/>
    <n v="8.68"/>
    <n v="1.8"/>
    <n v="7.19"/>
  </r>
  <r>
    <x v="12"/>
    <x v="2"/>
    <x v="10"/>
    <x v="4"/>
    <x v="4"/>
    <x v="0"/>
    <n v="46.1"/>
    <n v="50.07"/>
    <n v="4.32"/>
    <n v="41.49"/>
  </r>
  <r>
    <x v="12"/>
    <x v="2"/>
    <x v="10"/>
    <x v="4"/>
    <x v="1"/>
    <x v="0"/>
    <n v="4.22"/>
    <n v="4.59"/>
    <n v="0.21"/>
    <n v="3.8"/>
  </r>
  <r>
    <x v="12"/>
    <x v="2"/>
    <x v="10"/>
    <x v="0"/>
    <x v="0"/>
    <x v="0"/>
    <n v="2.5499999999999998"/>
    <n v="2.77"/>
    <n v="0.98"/>
    <n v="2.29"/>
  </r>
  <r>
    <x v="12"/>
    <x v="2"/>
    <x v="10"/>
    <x v="0"/>
    <x v="4"/>
    <x v="0"/>
    <n v="7.39"/>
    <n v="8.0299999999999994"/>
    <n v="1.64"/>
    <n v="6.65"/>
  </r>
  <r>
    <x v="12"/>
    <x v="2"/>
    <x v="10"/>
    <x v="2"/>
    <x v="4"/>
    <x v="0"/>
    <n v="2.68"/>
    <n v="2.91"/>
    <n v="0.49"/>
    <n v="2.41"/>
  </r>
  <r>
    <x v="12"/>
    <x v="2"/>
    <x v="10"/>
    <x v="1"/>
    <x v="4"/>
    <x v="0"/>
    <n v="76.28"/>
    <n v="82.86"/>
    <n v="11.89"/>
    <n v="68.66"/>
  </r>
  <r>
    <x v="12"/>
    <x v="2"/>
    <x v="10"/>
    <x v="2"/>
    <x v="3"/>
    <x v="0"/>
    <n v="4.16"/>
    <n v="4.5199999999999996"/>
    <n v="0.03"/>
    <n v="3.75"/>
  </r>
  <r>
    <x v="12"/>
    <x v="2"/>
    <x v="10"/>
    <x v="2"/>
    <x v="0"/>
    <x v="0"/>
    <n v="4.96"/>
    <n v="5.38"/>
    <n v="1.45"/>
    <n v="4.46"/>
  </r>
  <r>
    <x v="12"/>
    <x v="2"/>
    <x v="10"/>
    <x v="1"/>
    <x v="1"/>
    <x v="1"/>
    <n v="0.25"/>
    <n v="0.27"/>
    <n v="0"/>
    <n v="0.22"/>
  </r>
  <r>
    <x v="12"/>
    <x v="2"/>
    <x v="10"/>
    <x v="1"/>
    <x v="0"/>
    <x v="0"/>
    <n v="4.8099999999999996"/>
    <n v="5.22"/>
    <n v="2.42"/>
    <n v="4.33"/>
  </r>
  <r>
    <x v="12"/>
    <x v="2"/>
    <x v="10"/>
    <x v="2"/>
    <x v="3"/>
    <x v="3"/>
    <n v="18.14"/>
    <n v="19.71"/>
    <n v="0.01"/>
    <n v="16.329999999999998"/>
  </r>
  <r>
    <x v="12"/>
    <x v="2"/>
    <x v="10"/>
    <x v="2"/>
    <x v="3"/>
    <x v="1"/>
    <n v="0"/>
    <n v="0"/>
    <n v="0"/>
    <n v="0"/>
  </r>
  <r>
    <x v="12"/>
    <x v="2"/>
    <x v="10"/>
    <x v="1"/>
    <x v="2"/>
    <x v="1"/>
    <n v="0.32"/>
    <n v="0.35"/>
    <n v="0"/>
    <n v="0.28999999999999998"/>
  </r>
  <r>
    <x v="12"/>
    <x v="2"/>
    <x v="10"/>
    <x v="2"/>
    <x v="3"/>
    <x v="2"/>
    <n v="0.56999999999999995"/>
    <n v="0.62"/>
    <n v="0"/>
    <n v="0.52"/>
  </r>
  <r>
    <x v="12"/>
    <x v="2"/>
    <x v="10"/>
    <x v="4"/>
    <x v="0"/>
    <x v="1"/>
    <n v="0"/>
    <n v="0"/>
    <n v="0"/>
    <n v="0"/>
  </r>
  <r>
    <x v="12"/>
    <x v="2"/>
    <x v="10"/>
    <x v="4"/>
    <x v="4"/>
    <x v="1"/>
    <n v="0.03"/>
    <n v="0.03"/>
    <n v="0"/>
    <n v="0.03"/>
  </r>
  <r>
    <x v="12"/>
    <x v="2"/>
    <x v="10"/>
    <x v="4"/>
    <x v="1"/>
    <x v="1"/>
    <n v="0.05"/>
    <n v="0.05"/>
    <n v="0"/>
    <n v="0.04"/>
  </r>
  <r>
    <x v="12"/>
    <x v="2"/>
    <x v="10"/>
    <x v="0"/>
    <x v="0"/>
    <x v="1"/>
    <n v="0.14000000000000001"/>
    <n v="0.16"/>
    <n v="0"/>
    <n v="0.13"/>
  </r>
  <r>
    <x v="12"/>
    <x v="2"/>
    <x v="10"/>
    <x v="0"/>
    <x v="4"/>
    <x v="1"/>
    <n v="0.02"/>
    <n v="0.02"/>
    <n v="0"/>
    <n v="0.02"/>
  </r>
  <r>
    <x v="12"/>
    <x v="2"/>
    <x v="10"/>
    <x v="1"/>
    <x v="0"/>
    <x v="1"/>
    <n v="0.17"/>
    <n v="0.18"/>
    <n v="0.01"/>
    <n v="0.15"/>
  </r>
  <r>
    <x v="12"/>
    <x v="2"/>
    <x v="10"/>
    <x v="1"/>
    <x v="4"/>
    <x v="1"/>
    <n v="0.02"/>
    <n v="0.02"/>
    <n v="0"/>
    <n v="0.02"/>
  </r>
  <r>
    <x v="12"/>
    <x v="2"/>
    <x v="10"/>
    <x v="1"/>
    <x v="4"/>
    <x v="2"/>
    <n v="0.08"/>
    <n v="0.08"/>
    <n v="0"/>
    <n v="7.0000000000000007E-2"/>
  </r>
  <r>
    <x v="12"/>
    <x v="2"/>
    <x v="11"/>
    <x v="2"/>
    <x v="3"/>
    <x v="1"/>
    <n v="0"/>
    <n v="0"/>
    <n v="0"/>
    <n v="0"/>
  </r>
  <r>
    <x v="12"/>
    <x v="2"/>
    <x v="11"/>
    <x v="2"/>
    <x v="3"/>
    <x v="0"/>
    <n v="7.6"/>
    <n v="8.27"/>
    <n v="0.06"/>
    <n v="6.84"/>
  </r>
  <r>
    <x v="12"/>
    <x v="2"/>
    <x v="11"/>
    <x v="3"/>
    <x v="0"/>
    <x v="0"/>
    <n v="2.15"/>
    <n v="2.34"/>
    <n v="0.42"/>
    <n v="1.94"/>
  </r>
  <r>
    <x v="12"/>
    <x v="2"/>
    <x v="11"/>
    <x v="3"/>
    <x v="4"/>
    <x v="0"/>
    <n v="8.08"/>
    <n v="8.7899999999999991"/>
    <n v="1.96"/>
    <n v="7.27"/>
  </r>
  <r>
    <x v="12"/>
    <x v="2"/>
    <x v="11"/>
    <x v="4"/>
    <x v="4"/>
    <x v="0"/>
    <n v="61.26"/>
    <n v="66.69"/>
    <n v="6.28"/>
    <n v="55.14"/>
  </r>
  <r>
    <x v="12"/>
    <x v="2"/>
    <x v="11"/>
    <x v="4"/>
    <x v="1"/>
    <x v="0"/>
    <n v="6.21"/>
    <n v="6.76"/>
    <n v="0.27"/>
    <n v="5.59"/>
  </r>
  <r>
    <x v="12"/>
    <x v="2"/>
    <x v="11"/>
    <x v="0"/>
    <x v="4"/>
    <x v="0"/>
    <n v="10.17"/>
    <n v="11.08"/>
    <n v="2.36"/>
    <n v="9.16"/>
  </r>
  <r>
    <x v="12"/>
    <x v="2"/>
    <x v="11"/>
    <x v="1"/>
    <x v="0"/>
    <x v="0"/>
    <n v="5.89"/>
    <n v="6.41"/>
    <n v="2.79"/>
    <n v="5.3"/>
  </r>
  <r>
    <x v="12"/>
    <x v="2"/>
    <x v="11"/>
    <x v="1"/>
    <x v="4"/>
    <x v="0"/>
    <n v="113.41"/>
    <n v="123.45"/>
    <n v="18.53"/>
    <n v="102.07"/>
  </r>
  <r>
    <x v="12"/>
    <x v="2"/>
    <x v="11"/>
    <x v="1"/>
    <x v="1"/>
    <x v="0"/>
    <n v="15.7"/>
    <n v="17.09"/>
    <n v="0.75"/>
    <n v="14.13"/>
  </r>
  <r>
    <x v="12"/>
    <x v="2"/>
    <x v="11"/>
    <x v="2"/>
    <x v="4"/>
    <x v="0"/>
    <n v="5"/>
    <n v="5.44"/>
    <n v="0.63"/>
    <n v="4.5"/>
  </r>
  <r>
    <x v="12"/>
    <x v="2"/>
    <x v="11"/>
    <x v="2"/>
    <x v="0"/>
    <x v="0"/>
    <n v="7.05"/>
    <n v="7.68"/>
    <n v="1.55"/>
    <n v="6.35"/>
  </r>
  <r>
    <x v="12"/>
    <x v="2"/>
    <x v="11"/>
    <x v="0"/>
    <x v="0"/>
    <x v="0"/>
    <n v="2.81"/>
    <n v="3.06"/>
    <n v="1.29"/>
    <n v="2.5299999999999998"/>
  </r>
  <r>
    <x v="12"/>
    <x v="2"/>
    <x v="11"/>
    <x v="1"/>
    <x v="2"/>
    <x v="1"/>
    <n v="7.0000000000000007E-2"/>
    <n v="0.08"/>
    <n v="0"/>
    <n v="0.06"/>
  </r>
  <r>
    <x v="12"/>
    <x v="2"/>
    <x v="11"/>
    <x v="4"/>
    <x v="4"/>
    <x v="2"/>
    <n v="0.36"/>
    <n v="0.39"/>
    <n v="0.01"/>
    <n v="0.32"/>
  </r>
  <r>
    <x v="12"/>
    <x v="2"/>
    <x v="11"/>
    <x v="4"/>
    <x v="2"/>
    <x v="2"/>
    <n v="0.06"/>
    <n v="7.0000000000000007E-2"/>
    <n v="0"/>
    <n v="0.05"/>
  </r>
  <r>
    <x v="12"/>
    <x v="2"/>
    <x v="11"/>
    <x v="1"/>
    <x v="4"/>
    <x v="2"/>
    <n v="0.51"/>
    <n v="0.55000000000000004"/>
    <n v="0.01"/>
    <n v="0.46"/>
  </r>
  <r>
    <x v="12"/>
    <x v="2"/>
    <x v="11"/>
    <x v="2"/>
    <x v="3"/>
    <x v="3"/>
    <n v="2.4900000000000002"/>
    <n v="2.71"/>
    <n v="0"/>
    <n v="2.2400000000000002"/>
  </r>
  <r>
    <x v="12"/>
    <x v="2"/>
    <x v="11"/>
    <x v="4"/>
    <x v="0"/>
    <x v="1"/>
    <n v="0"/>
    <n v="0"/>
    <n v="0"/>
    <n v="0"/>
  </r>
  <r>
    <x v="12"/>
    <x v="2"/>
    <x v="11"/>
    <x v="4"/>
    <x v="1"/>
    <x v="1"/>
    <n v="0.02"/>
    <n v="0.03"/>
    <n v="0"/>
    <n v="0.02"/>
  </r>
  <r>
    <x v="12"/>
    <x v="2"/>
    <x v="11"/>
    <x v="0"/>
    <x v="0"/>
    <x v="1"/>
    <n v="0.12"/>
    <n v="0.13"/>
    <n v="0"/>
    <n v="0.11"/>
  </r>
  <r>
    <x v="12"/>
    <x v="2"/>
    <x v="11"/>
    <x v="0"/>
    <x v="4"/>
    <x v="1"/>
    <n v="0.01"/>
    <n v="0.01"/>
    <n v="0"/>
    <n v="0.01"/>
  </r>
  <r>
    <x v="12"/>
    <x v="2"/>
    <x v="11"/>
    <x v="1"/>
    <x v="0"/>
    <x v="1"/>
    <n v="0.13"/>
    <n v="0.14000000000000001"/>
    <n v="0.01"/>
    <n v="0.11"/>
  </r>
  <r>
    <x v="12"/>
    <x v="2"/>
    <x v="11"/>
    <x v="1"/>
    <x v="4"/>
    <x v="1"/>
    <n v="0.04"/>
    <n v="0.04"/>
    <n v="0"/>
    <n v="0.04"/>
  </r>
  <r>
    <x v="12"/>
    <x v="2"/>
    <x v="11"/>
    <x v="1"/>
    <x v="1"/>
    <x v="1"/>
    <n v="0.16"/>
    <n v="0.17"/>
    <n v="0"/>
    <n v="0.14000000000000001"/>
  </r>
  <r>
    <x v="12"/>
    <x v="2"/>
    <x v="11"/>
    <x v="4"/>
    <x v="4"/>
    <x v="1"/>
    <n v="0.03"/>
    <n v="0.04"/>
    <n v="0"/>
    <n v="0.03"/>
  </r>
  <r>
    <x v="12"/>
    <x v="2"/>
    <x v="12"/>
    <x v="2"/>
    <x v="4"/>
    <x v="0"/>
    <n v="28.7"/>
    <n v="31.25"/>
    <n v="3.12"/>
    <n v="25.83"/>
  </r>
  <r>
    <x v="12"/>
    <x v="2"/>
    <x v="12"/>
    <x v="3"/>
    <x v="4"/>
    <x v="0"/>
    <n v="122.11"/>
    <n v="132.93"/>
    <n v="36.26"/>
    <n v="109.9"/>
  </r>
  <r>
    <x v="12"/>
    <x v="2"/>
    <x v="12"/>
    <x v="4"/>
    <x v="4"/>
    <x v="0"/>
    <n v="185.54"/>
    <n v="201.98"/>
    <n v="18.05"/>
    <n v="166.99"/>
  </r>
  <r>
    <x v="12"/>
    <x v="2"/>
    <x v="12"/>
    <x v="4"/>
    <x v="1"/>
    <x v="0"/>
    <n v="19.760000000000002"/>
    <n v="21.51"/>
    <n v="1.03"/>
    <n v="17.78"/>
  </r>
  <r>
    <x v="12"/>
    <x v="2"/>
    <x v="12"/>
    <x v="0"/>
    <x v="0"/>
    <x v="0"/>
    <n v="10.61"/>
    <n v="11.55"/>
    <n v="4.59"/>
    <n v="9.5500000000000007"/>
  </r>
  <r>
    <x v="12"/>
    <x v="2"/>
    <x v="12"/>
    <x v="0"/>
    <x v="4"/>
    <x v="0"/>
    <n v="52.38"/>
    <n v="57.02"/>
    <n v="10.43"/>
    <n v="47.14"/>
  </r>
  <r>
    <x v="12"/>
    <x v="2"/>
    <x v="12"/>
    <x v="1"/>
    <x v="0"/>
    <x v="0"/>
    <n v="39.64"/>
    <n v="43.15"/>
    <n v="20.78"/>
    <n v="35.68"/>
  </r>
  <r>
    <x v="12"/>
    <x v="2"/>
    <x v="12"/>
    <x v="1"/>
    <x v="4"/>
    <x v="0"/>
    <n v="626.9"/>
    <n v="682.44"/>
    <n v="79.319999999999993"/>
    <n v="564.21"/>
  </r>
  <r>
    <x v="12"/>
    <x v="2"/>
    <x v="12"/>
    <x v="1"/>
    <x v="1"/>
    <x v="0"/>
    <n v="60.82"/>
    <n v="66.209999999999994"/>
    <n v="2.82"/>
    <n v="54.74"/>
  </r>
  <r>
    <x v="12"/>
    <x v="2"/>
    <x v="12"/>
    <x v="2"/>
    <x v="3"/>
    <x v="0"/>
    <n v="2.11"/>
    <n v="2.29"/>
    <n v="0.02"/>
    <n v="1.9"/>
  </r>
  <r>
    <x v="12"/>
    <x v="2"/>
    <x v="12"/>
    <x v="2"/>
    <x v="0"/>
    <x v="0"/>
    <n v="2.4"/>
    <n v="2.62"/>
    <n v="12.45"/>
    <n v="2.16"/>
  </r>
  <r>
    <x v="12"/>
    <x v="2"/>
    <x v="12"/>
    <x v="2"/>
    <x v="3"/>
    <x v="1"/>
    <n v="0.02"/>
    <n v="0.03"/>
    <n v="0"/>
    <n v="0.02"/>
  </r>
  <r>
    <x v="12"/>
    <x v="2"/>
    <x v="12"/>
    <x v="3"/>
    <x v="0"/>
    <x v="0"/>
    <n v="29.36"/>
    <n v="31.96"/>
    <n v="10.97"/>
    <n v="26.42"/>
  </r>
  <r>
    <x v="12"/>
    <x v="2"/>
    <x v="12"/>
    <x v="1"/>
    <x v="2"/>
    <x v="0"/>
    <n v="7.54"/>
    <n v="8.2100000000000009"/>
    <n v="0.15"/>
    <n v="6.79"/>
  </r>
  <r>
    <x v="12"/>
    <x v="2"/>
    <x v="12"/>
    <x v="2"/>
    <x v="3"/>
    <x v="3"/>
    <n v="82.98"/>
    <n v="90.33"/>
    <n v="0.05"/>
    <n v="74.680000000000007"/>
  </r>
  <r>
    <x v="12"/>
    <x v="2"/>
    <x v="12"/>
    <x v="4"/>
    <x v="4"/>
    <x v="2"/>
    <n v="0.52"/>
    <n v="0.56999999999999995"/>
    <n v="0.01"/>
    <n v="0.47"/>
  </r>
  <r>
    <x v="12"/>
    <x v="2"/>
    <x v="12"/>
    <x v="3"/>
    <x v="1"/>
    <x v="0"/>
    <n v="1.91"/>
    <n v="2.08"/>
    <n v="0.16"/>
    <n v="1.72"/>
  </r>
  <r>
    <x v="12"/>
    <x v="2"/>
    <x v="12"/>
    <x v="1"/>
    <x v="2"/>
    <x v="1"/>
    <n v="9.58"/>
    <n v="10.43"/>
    <n v="0.05"/>
    <n v="8.6199999999999992"/>
  </r>
  <r>
    <x v="12"/>
    <x v="2"/>
    <x v="12"/>
    <x v="4"/>
    <x v="1"/>
    <x v="2"/>
    <n v="0.12"/>
    <n v="0.14000000000000001"/>
    <n v="0"/>
    <n v="0.11"/>
  </r>
  <r>
    <x v="12"/>
    <x v="2"/>
    <x v="12"/>
    <x v="4"/>
    <x v="2"/>
    <x v="2"/>
    <n v="0.2"/>
    <n v="0.22"/>
    <n v="0"/>
    <n v="0.18"/>
  </r>
  <r>
    <x v="12"/>
    <x v="2"/>
    <x v="12"/>
    <x v="2"/>
    <x v="3"/>
    <x v="2"/>
    <n v="0.32"/>
    <n v="0.34"/>
    <n v="0"/>
    <n v="0.28000000000000003"/>
  </r>
  <r>
    <x v="12"/>
    <x v="2"/>
    <x v="12"/>
    <x v="4"/>
    <x v="0"/>
    <x v="1"/>
    <n v="0.05"/>
    <n v="0.06"/>
    <n v="0.01"/>
    <n v="0.05"/>
  </r>
  <r>
    <x v="12"/>
    <x v="2"/>
    <x v="12"/>
    <x v="4"/>
    <x v="4"/>
    <x v="1"/>
    <n v="0.53"/>
    <n v="0.57999999999999996"/>
    <n v="0.01"/>
    <n v="0.48"/>
  </r>
  <r>
    <x v="12"/>
    <x v="2"/>
    <x v="12"/>
    <x v="1"/>
    <x v="4"/>
    <x v="1"/>
    <n v="3.91"/>
    <n v="4.25"/>
    <n v="0.04"/>
    <n v="3.52"/>
  </r>
  <r>
    <x v="12"/>
    <x v="2"/>
    <x v="12"/>
    <x v="0"/>
    <x v="0"/>
    <x v="1"/>
    <n v="2.98"/>
    <n v="3.24"/>
    <n v="0.08"/>
    <n v="2.68"/>
  </r>
  <r>
    <x v="12"/>
    <x v="2"/>
    <x v="12"/>
    <x v="0"/>
    <x v="4"/>
    <x v="1"/>
    <n v="0.35"/>
    <n v="0.39"/>
    <n v="0.04"/>
    <n v="0.32"/>
  </r>
  <r>
    <x v="12"/>
    <x v="2"/>
    <x v="12"/>
    <x v="1"/>
    <x v="0"/>
    <x v="1"/>
    <n v="2.7"/>
    <n v="2.94"/>
    <n v="0.12"/>
    <n v="2.4300000000000002"/>
  </r>
  <r>
    <x v="12"/>
    <x v="2"/>
    <x v="12"/>
    <x v="1"/>
    <x v="1"/>
    <x v="1"/>
    <n v="2.73"/>
    <n v="2.97"/>
    <n v="0.04"/>
    <n v="2.4500000000000002"/>
  </r>
  <r>
    <x v="12"/>
    <x v="2"/>
    <x v="12"/>
    <x v="4"/>
    <x v="1"/>
    <x v="1"/>
    <n v="0.73"/>
    <n v="0.79"/>
    <n v="0.01"/>
    <n v="0.66"/>
  </r>
  <r>
    <x v="12"/>
    <x v="2"/>
    <x v="12"/>
    <x v="1"/>
    <x v="4"/>
    <x v="2"/>
    <n v="0.12"/>
    <n v="0.13"/>
    <n v="0.01"/>
    <n v="0.11"/>
  </r>
  <r>
    <x v="12"/>
    <x v="2"/>
    <x v="13"/>
    <x v="0"/>
    <x v="4"/>
    <x v="0"/>
    <n v="89.41"/>
    <n v="97.33"/>
    <n v="20.34"/>
    <n v="80.47"/>
  </r>
  <r>
    <x v="12"/>
    <x v="2"/>
    <x v="13"/>
    <x v="0"/>
    <x v="0"/>
    <x v="0"/>
    <n v="26.02"/>
    <n v="28.32"/>
    <n v="9.11"/>
    <n v="23.42"/>
  </r>
  <r>
    <x v="12"/>
    <x v="2"/>
    <x v="13"/>
    <x v="4"/>
    <x v="1"/>
    <x v="0"/>
    <n v="36.049999999999997"/>
    <n v="39.24"/>
    <n v="1.61"/>
    <n v="32.44"/>
  </r>
  <r>
    <x v="12"/>
    <x v="2"/>
    <x v="13"/>
    <x v="4"/>
    <x v="4"/>
    <x v="0"/>
    <n v="309.77999999999997"/>
    <n v="337.23"/>
    <n v="29.9"/>
    <n v="278.81"/>
  </r>
  <r>
    <x v="12"/>
    <x v="2"/>
    <x v="13"/>
    <x v="3"/>
    <x v="1"/>
    <x v="0"/>
    <n v="4.43"/>
    <n v="4.82"/>
    <n v="1.1499999999999999"/>
    <n v="3.99"/>
  </r>
  <r>
    <x v="12"/>
    <x v="2"/>
    <x v="13"/>
    <x v="3"/>
    <x v="4"/>
    <x v="0"/>
    <n v="240.57"/>
    <n v="261.88"/>
    <n v="75.7"/>
    <n v="216.51"/>
  </r>
  <r>
    <x v="12"/>
    <x v="2"/>
    <x v="13"/>
    <x v="0"/>
    <x v="2"/>
    <x v="0"/>
    <n v="0.13"/>
    <n v="0.14000000000000001"/>
    <n v="0"/>
    <n v="0.12"/>
  </r>
  <r>
    <x v="12"/>
    <x v="2"/>
    <x v="13"/>
    <x v="2"/>
    <x v="2"/>
    <x v="0"/>
    <n v="0.03"/>
    <n v="0.03"/>
    <n v="0"/>
    <n v="0.02"/>
  </r>
  <r>
    <x v="12"/>
    <x v="2"/>
    <x v="13"/>
    <x v="3"/>
    <x v="0"/>
    <x v="0"/>
    <n v="0.11"/>
    <n v="0.12"/>
    <n v="2.41"/>
    <n v="0.1"/>
  </r>
  <r>
    <x v="12"/>
    <x v="2"/>
    <x v="13"/>
    <x v="1"/>
    <x v="0"/>
    <x v="0"/>
    <n v="69.459999999999994"/>
    <n v="75.62"/>
    <n v="29.98"/>
    <n v="62.52"/>
  </r>
  <r>
    <x v="12"/>
    <x v="2"/>
    <x v="13"/>
    <x v="2"/>
    <x v="3"/>
    <x v="0"/>
    <n v="3.24"/>
    <n v="3.53"/>
    <n v="0.03"/>
    <n v="2.92"/>
  </r>
  <r>
    <x v="12"/>
    <x v="2"/>
    <x v="13"/>
    <x v="1"/>
    <x v="4"/>
    <x v="0"/>
    <n v="886.38"/>
    <n v="964.9"/>
    <n v="137.38999999999999"/>
    <n v="797.74"/>
  </r>
  <r>
    <x v="12"/>
    <x v="2"/>
    <x v="13"/>
    <x v="1"/>
    <x v="1"/>
    <x v="0"/>
    <n v="74.97"/>
    <n v="81.62"/>
    <n v="3.11"/>
    <n v="67.48"/>
  </r>
  <r>
    <x v="12"/>
    <x v="2"/>
    <x v="13"/>
    <x v="1"/>
    <x v="2"/>
    <x v="0"/>
    <n v="28.23"/>
    <n v="30.73"/>
    <n v="0.36"/>
    <n v="25.41"/>
  </r>
  <r>
    <x v="12"/>
    <x v="2"/>
    <x v="13"/>
    <x v="2"/>
    <x v="4"/>
    <x v="0"/>
    <n v="60.86"/>
    <n v="66.25"/>
    <n v="6.18"/>
    <n v="54.77"/>
  </r>
  <r>
    <x v="12"/>
    <x v="2"/>
    <x v="13"/>
    <x v="2"/>
    <x v="3"/>
    <x v="1"/>
    <n v="4.13"/>
    <n v="4.5"/>
    <n v="0.01"/>
    <n v="3.72"/>
  </r>
  <r>
    <x v="12"/>
    <x v="2"/>
    <x v="13"/>
    <x v="2"/>
    <x v="4"/>
    <x v="3"/>
    <n v="0"/>
    <n v="0"/>
    <n v="0"/>
    <n v="0"/>
  </r>
  <r>
    <x v="12"/>
    <x v="2"/>
    <x v="13"/>
    <x v="2"/>
    <x v="0"/>
    <x v="0"/>
    <n v="42.42"/>
    <n v="46.18"/>
    <n v="18.260000000000002"/>
    <n v="38.18"/>
  </r>
  <r>
    <x v="12"/>
    <x v="2"/>
    <x v="13"/>
    <x v="4"/>
    <x v="2"/>
    <x v="2"/>
    <n v="0.01"/>
    <n v="0.01"/>
    <n v="0"/>
    <n v="0.01"/>
  </r>
  <r>
    <x v="12"/>
    <x v="2"/>
    <x v="13"/>
    <x v="2"/>
    <x v="2"/>
    <x v="3"/>
    <n v="0.01"/>
    <n v="0.02"/>
    <n v="0"/>
    <n v="0.01"/>
  </r>
  <r>
    <x v="12"/>
    <x v="2"/>
    <x v="13"/>
    <x v="1"/>
    <x v="2"/>
    <x v="1"/>
    <n v="5.31"/>
    <n v="5.78"/>
    <n v="0.04"/>
    <n v="4.7699999999999996"/>
  </r>
  <r>
    <x v="12"/>
    <x v="2"/>
    <x v="13"/>
    <x v="4"/>
    <x v="1"/>
    <x v="2"/>
    <n v="0.87"/>
    <n v="0.94"/>
    <n v="0.01"/>
    <n v="0.78"/>
  </r>
  <r>
    <x v="12"/>
    <x v="2"/>
    <x v="13"/>
    <x v="1"/>
    <x v="4"/>
    <x v="2"/>
    <n v="0.56000000000000005"/>
    <n v="0.61"/>
    <n v="0.04"/>
    <n v="0.5"/>
  </r>
  <r>
    <x v="12"/>
    <x v="2"/>
    <x v="13"/>
    <x v="2"/>
    <x v="3"/>
    <x v="2"/>
    <n v="0.39"/>
    <n v="0.43"/>
    <n v="0"/>
    <n v="0.36"/>
  </r>
  <r>
    <x v="12"/>
    <x v="2"/>
    <x v="13"/>
    <x v="2"/>
    <x v="1"/>
    <x v="3"/>
    <n v="24.53"/>
    <n v="26.71"/>
    <n v="0.02"/>
    <n v="22.08"/>
  </r>
  <r>
    <x v="12"/>
    <x v="2"/>
    <x v="13"/>
    <x v="2"/>
    <x v="3"/>
    <x v="3"/>
    <n v="226.19"/>
    <n v="246.23"/>
    <n v="0.13"/>
    <n v="203.57"/>
  </r>
  <r>
    <x v="12"/>
    <x v="2"/>
    <x v="13"/>
    <x v="1"/>
    <x v="4"/>
    <x v="1"/>
    <n v="0.4"/>
    <n v="0.43"/>
    <n v="0.02"/>
    <n v="0.36"/>
  </r>
  <r>
    <x v="12"/>
    <x v="2"/>
    <x v="13"/>
    <x v="4"/>
    <x v="4"/>
    <x v="1"/>
    <n v="1.1299999999999999"/>
    <n v="1.23"/>
    <n v="0.02"/>
    <n v="1.02"/>
  </r>
  <r>
    <x v="12"/>
    <x v="2"/>
    <x v="13"/>
    <x v="4"/>
    <x v="1"/>
    <x v="1"/>
    <n v="1.34"/>
    <n v="1.46"/>
    <n v="0.01"/>
    <n v="1.2"/>
  </r>
  <r>
    <x v="12"/>
    <x v="2"/>
    <x v="13"/>
    <x v="0"/>
    <x v="0"/>
    <x v="1"/>
    <n v="2.92"/>
    <n v="3.17"/>
    <n v="0.08"/>
    <n v="2.62"/>
  </r>
  <r>
    <x v="12"/>
    <x v="2"/>
    <x v="13"/>
    <x v="0"/>
    <x v="4"/>
    <x v="1"/>
    <n v="0.36"/>
    <n v="0.4"/>
    <n v="0.04"/>
    <n v="0.33"/>
  </r>
  <r>
    <x v="12"/>
    <x v="2"/>
    <x v="13"/>
    <x v="1"/>
    <x v="0"/>
    <x v="1"/>
    <n v="2.19"/>
    <n v="2.38"/>
    <n v="0.12"/>
    <n v="1.97"/>
  </r>
  <r>
    <x v="12"/>
    <x v="2"/>
    <x v="13"/>
    <x v="4"/>
    <x v="0"/>
    <x v="1"/>
    <n v="0.13"/>
    <n v="0.15"/>
    <n v="0.01"/>
    <n v="0.12"/>
  </r>
  <r>
    <x v="12"/>
    <x v="2"/>
    <x v="13"/>
    <x v="4"/>
    <x v="4"/>
    <x v="2"/>
    <n v="1.24"/>
    <n v="1.35"/>
    <n v="0.02"/>
    <n v="1.1200000000000001"/>
  </r>
  <r>
    <x v="12"/>
    <x v="2"/>
    <x v="13"/>
    <x v="1"/>
    <x v="1"/>
    <x v="1"/>
    <n v="3.16"/>
    <n v="3.44"/>
    <n v="0.06"/>
    <n v="2.84"/>
  </r>
  <r>
    <x v="12"/>
    <x v="2"/>
    <x v="14"/>
    <x v="4"/>
    <x v="4"/>
    <x v="0"/>
    <n v="4.42"/>
    <n v="4.8099999999999996"/>
    <n v="0.52"/>
    <n v="3.98"/>
  </r>
  <r>
    <x v="12"/>
    <x v="2"/>
    <x v="14"/>
    <x v="4"/>
    <x v="1"/>
    <x v="0"/>
    <n v="1.22"/>
    <n v="1.32"/>
    <n v="7.0000000000000007E-2"/>
    <n v="1.0900000000000001"/>
  </r>
  <r>
    <x v="12"/>
    <x v="2"/>
    <x v="14"/>
    <x v="0"/>
    <x v="0"/>
    <x v="0"/>
    <n v="0.71"/>
    <n v="0.78"/>
    <n v="0.32"/>
    <n v="0.64"/>
  </r>
  <r>
    <x v="12"/>
    <x v="2"/>
    <x v="14"/>
    <x v="0"/>
    <x v="4"/>
    <x v="0"/>
    <n v="4.76"/>
    <n v="5.18"/>
    <n v="1.02"/>
    <n v="4.28"/>
  </r>
  <r>
    <x v="12"/>
    <x v="2"/>
    <x v="14"/>
    <x v="1"/>
    <x v="0"/>
    <x v="0"/>
    <n v="3"/>
    <n v="3.27"/>
    <n v="1.61"/>
    <n v="2.7"/>
  </r>
  <r>
    <x v="12"/>
    <x v="2"/>
    <x v="14"/>
    <x v="1"/>
    <x v="4"/>
    <x v="0"/>
    <n v="34.15"/>
    <n v="37.18"/>
    <n v="6.07"/>
    <n v="30.73"/>
  </r>
  <r>
    <x v="12"/>
    <x v="2"/>
    <x v="14"/>
    <x v="2"/>
    <x v="0"/>
    <x v="0"/>
    <n v="1.77"/>
    <n v="1.93"/>
    <n v="0.81"/>
    <n v="1.59"/>
  </r>
  <r>
    <x v="12"/>
    <x v="2"/>
    <x v="14"/>
    <x v="2"/>
    <x v="4"/>
    <x v="0"/>
    <n v="4.8499999999999996"/>
    <n v="5.28"/>
    <n v="0.63"/>
    <n v="4.37"/>
  </r>
  <r>
    <x v="12"/>
    <x v="2"/>
    <x v="14"/>
    <x v="3"/>
    <x v="4"/>
    <x v="0"/>
    <n v="1.77"/>
    <n v="1.92"/>
    <n v="0.55000000000000004"/>
    <n v="1.59"/>
  </r>
  <r>
    <x v="12"/>
    <x v="2"/>
    <x v="14"/>
    <x v="1"/>
    <x v="4"/>
    <x v="2"/>
    <n v="0.41"/>
    <n v="0.45"/>
    <n v="0.01"/>
    <n v="0.37"/>
  </r>
  <r>
    <x v="12"/>
    <x v="2"/>
    <x v="14"/>
    <x v="1"/>
    <x v="1"/>
    <x v="0"/>
    <n v="3.57"/>
    <n v="3.89"/>
    <n v="0.28000000000000003"/>
    <n v="3.22"/>
  </r>
  <r>
    <x v="12"/>
    <x v="2"/>
    <x v="14"/>
    <x v="2"/>
    <x v="3"/>
    <x v="1"/>
    <n v="0"/>
    <n v="0"/>
    <n v="0"/>
    <n v="0"/>
  </r>
  <r>
    <x v="12"/>
    <x v="2"/>
    <x v="14"/>
    <x v="2"/>
    <x v="3"/>
    <x v="0"/>
    <n v="18.13"/>
    <n v="19.73"/>
    <n v="0.15"/>
    <n v="16.309999999999999"/>
  </r>
  <r>
    <x v="12"/>
    <x v="2"/>
    <x v="14"/>
    <x v="1"/>
    <x v="1"/>
    <x v="1"/>
    <n v="0.37"/>
    <n v="0.4"/>
    <n v="0"/>
    <n v="0.33"/>
  </r>
  <r>
    <x v="12"/>
    <x v="2"/>
    <x v="14"/>
    <x v="1"/>
    <x v="4"/>
    <x v="1"/>
    <n v="0.06"/>
    <n v="0.06"/>
    <n v="0"/>
    <n v="0.05"/>
  </r>
  <r>
    <x v="12"/>
    <x v="2"/>
    <x v="14"/>
    <x v="1"/>
    <x v="0"/>
    <x v="1"/>
    <n v="0.03"/>
    <n v="0.03"/>
    <n v="0"/>
    <n v="0.02"/>
  </r>
  <r>
    <x v="12"/>
    <x v="2"/>
    <x v="14"/>
    <x v="0"/>
    <x v="4"/>
    <x v="1"/>
    <n v="0.01"/>
    <n v="0.01"/>
    <n v="0"/>
    <n v="0.01"/>
  </r>
  <r>
    <x v="12"/>
    <x v="2"/>
    <x v="14"/>
    <x v="0"/>
    <x v="0"/>
    <x v="1"/>
    <n v="0.08"/>
    <n v="0.09"/>
    <n v="0"/>
    <n v="0.08"/>
  </r>
  <r>
    <x v="12"/>
    <x v="2"/>
    <x v="14"/>
    <x v="2"/>
    <x v="3"/>
    <x v="2"/>
    <n v="0.3"/>
    <n v="0.32"/>
    <n v="0"/>
    <n v="0.27"/>
  </r>
  <r>
    <x v="12"/>
    <x v="2"/>
    <x v="14"/>
    <x v="4"/>
    <x v="4"/>
    <x v="2"/>
    <n v="0.01"/>
    <n v="0.02"/>
    <n v="0"/>
    <n v="0.01"/>
  </r>
  <r>
    <x v="12"/>
    <x v="2"/>
    <x v="14"/>
    <x v="3"/>
    <x v="0"/>
    <x v="0"/>
    <n v="1.52"/>
    <n v="1.66"/>
    <n v="0.28000000000000003"/>
    <n v="1.37"/>
  </r>
  <r>
    <x v="12"/>
    <x v="2"/>
    <x v="14"/>
    <x v="2"/>
    <x v="3"/>
    <x v="3"/>
    <n v="0.56999999999999995"/>
    <n v="0.62"/>
    <n v="0"/>
    <n v="0.52"/>
  </r>
  <r>
    <x v="12"/>
    <x v="2"/>
    <x v="14"/>
    <x v="1"/>
    <x v="2"/>
    <x v="1"/>
    <n v="0.15"/>
    <n v="0.17"/>
    <n v="0"/>
    <n v="0.14000000000000001"/>
  </r>
  <r>
    <x v="12"/>
    <x v="4"/>
    <x v="15"/>
    <x v="2"/>
    <x v="3"/>
    <x v="1"/>
    <n v="7.0000000000000007E-2"/>
    <n v="7.0000000000000007E-2"/>
    <n v="0"/>
    <n v="0.06"/>
  </r>
  <r>
    <x v="12"/>
    <x v="4"/>
    <x v="15"/>
    <x v="4"/>
    <x v="0"/>
    <x v="1"/>
    <n v="0.03"/>
    <n v="0.03"/>
    <n v="0.04"/>
    <n v="0.02"/>
  </r>
  <r>
    <x v="12"/>
    <x v="4"/>
    <x v="15"/>
    <x v="2"/>
    <x v="4"/>
    <x v="0"/>
    <n v="5.58"/>
    <n v="5.62"/>
    <n v="1.87"/>
    <n v="5.0199999999999996"/>
  </r>
  <r>
    <x v="12"/>
    <x v="4"/>
    <x v="15"/>
    <x v="2"/>
    <x v="0"/>
    <x v="0"/>
    <n v="4.99"/>
    <n v="5.03"/>
    <n v="3.43"/>
    <n v="4.49"/>
  </r>
  <r>
    <x v="12"/>
    <x v="4"/>
    <x v="15"/>
    <x v="1"/>
    <x v="2"/>
    <x v="0"/>
    <n v="6.16"/>
    <n v="6.21"/>
    <n v="0.08"/>
    <n v="5.54"/>
  </r>
  <r>
    <x v="12"/>
    <x v="4"/>
    <x v="15"/>
    <x v="1"/>
    <x v="1"/>
    <x v="0"/>
    <n v="27.23"/>
    <n v="27.45"/>
    <n v="2.37"/>
    <n v="24.51"/>
  </r>
  <r>
    <x v="12"/>
    <x v="4"/>
    <x v="15"/>
    <x v="1"/>
    <x v="4"/>
    <x v="0"/>
    <n v="156.22"/>
    <n v="157.47999999999999"/>
    <n v="36.25"/>
    <n v="140.6"/>
  </r>
  <r>
    <x v="12"/>
    <x v="4"/>
    <x v="15"/>
    <x v="1"/>
    <x v="0"/>
    <x v="0"/>
    <n v="11.02"/>
    <n v="11.11"/>
    <n v="7.76"/>
    <n v="9.92"/>
  </r>
  <r>
    <x v="12"/>
    <x v="4"/>
    <x v="15"/>
    <x v="0"/>
    <x v="4"/>
    <x v="0"/>
    <n v="3.58"/>
    <n v="3.61"/>
    <n v="0.69"/>
    <n v="3.22"/>
  </r>
  <r>
    <x v="12"/>
    <x v="4"/>
    <x v="15"/>
    <x v="0"/>
    <x v="0"/>
    <x v="0"/>
    <n v="1.69"/>
    <n v="1.7"/>
    <n v="0.96"/>
    <n v="1.52"/>
  </r>
  <r>
    <x v="12"/>
    <x v="4"/>
    <x v="15"/>
    <x v="4"/>
    <x v="1"/>
    <x v="0"/>
    <n v="14.03"/>
    <n v="14.14"/>
    <n v="0.93"/>
    <n v="12.63"/>
  </r>
  <r>
    <x v="12"/>
    <x v="4"/>
    <x v="15"/>
    <x v="4"/>
    <x v="4"/>
    <x v="0"/>
    <n v="23.95"/>
    <n v="24.15"/>
    <n v="4.0199999999999996"/>
    <n v="21.56"/>
  </r>
  <r>
    <x v="12"/>
    <x v="4"/>
    <x v="15"/>
    <x v="3"/>
    <x v="1"/>
    <x v="0"/>
    <n v="0.36"/>
    <n v="0.36"/>
    <n v="0.04"/>
    <n v="0.32"/>
  </r>
  <r>
    <x v="12"/>
    <x v="4"/>
    <x v="15"/>
    <x v="3"/>
    <x v="0"/>
    <x v="0"/>
    <n v="0.33"/>
    <n v="0.33"/>
    <n v="0.12"/>
    <n v="0.28999999999999998"/>
  </r>
  <r>
    <x v="12"/>
    <x v="4"/>
    <x v="15"/>
    <x v="4"/>
    <x v="1"/>
    <x v="1"/>
    <n v="0.05"/>
    <n v="0.05"/>
    <n v="0.01"/>
    <n v="0.05"/>
  </r>
  <r>
    <x v="12"/>
    <x v="4"/>
    <x v="15"/>
    <x v="2"/>
    <x v="3"/>
    <x v="3"/>
    <n v="8.2200000000000006"/>
    <n v="8.2899999999999991"/>
    <n v="0.01"/>
    <n v="7.4"/>
  </r>
  <r>
    <x v="12"/>
    <x v="4"/>
    <x v="15"/>
    <x v="1"/>
    <x v="1"/>
    <x v="2"/>
    <n v="0.36"/>
    <n v="0.37"/>
    <n v="0.03"/>
    <n v="0.33"/>
  </r>
  <r>
    <x v="12"/>
    <x v="4"/>
    <x v="15"/>
    <x v="1"/>
    <x v="4"/>
    <x v="2"/>
    <n v="0.03"/>
    <n v="0.03"/>
    <n v="0.02"/>
    <n v="0.03"/>
  </r>
  <r>
    <x v="12"/>
    <x v="4"/>
    <x v="15"/>
    <x v="4"/>
    <x v="2"/>
    <x v="2"/>
    <n v="0.01"/>
    <n v="0.01"/>
    <n v="0"/>
    <n v="0.01"/>
  </r>
  <r>
    <x v="12"/>
    <x v="4"/>
    <x v="15"/>
    <x v="4"/>
    <x v="1"/>
    <x v="2"/>
    <n v="0.09"/>
    <n v="0.1"/>
    <n v="0.01"/>
    <n v="0.09"/>
  </r>
  <r>
    <x v="12"/>
    <x v="4"/>
    <x v="15"/>
    <x v="3"/>
    <x v="4"/>
    <x v="0"/>
    <n v="13.92"/>
    <n v="14.03"/>
    <n v="2.4"/>
    <n v="12.52"/>
  </r>
  <r>
    <x v="12"/>
    <x v="4"/>
    <x v="15"/>
    <x v="4"/>
    <x v="4"/>
    <x v="1"/>
    <n v="0.02"/>
    <n v="0.02"/>
    <n v="0.02"/>
    <n v="0.02"/>
  </r>
  <r>
    <x v="12"/>
    <x v="4"/>
    <x v="15"/>
    <x v="0"/>
    <x v="4"/>
    <x v="1"/>
    <n v="0.23"/>
    <n v="0.23"/>
    <n v="0.11"/>
    <n v="0.2"/>
  </r>
  <r>
    <x v="12"/>
    <x v="4"/>
    <x v="15"/>
    <x v="1"/>
    <x v="0"/>
    <x v="1"/>
    <n v="0.11"/>
    <n v="0.11"/>
    <n v="0.08"/>
    <n v="0.1"/>
  </r>
  <r>
    <x v="12"/>
    <x v="4"/>
    <x v="15"/>
    <x v="1"/>
    <x v="4"/>
    <x v="1"/>
    <n v="0.11"/>
    <n v="0.11"/>
    <n v="0.05"/>
    <n v="0.09"/>
  </r>
  <r>
    <x v="12"/>
    <x v="4"/>
    <x v="15"/>
    <x v="1"/>
    <x v="1"/>
    <x v="1"/>
    <n v="1.37"/>
    <n v="1.38"/>
    <n v="0.06"/>
    <n v="1.23"/>
  </r>
  <r>
    <x v="12"/>
    <x v="4"/>
    <x v="15"/>
    <x v="1"/>
    <x v="2"/>
    <x v="1"/>
    <n v="5"/>
    <n v="5.04"/>
    <n v="0.09"/>
    <n v="4.5"/>
  </r>
  <r>
    <x v="12"/>
    <x v="4"/>
    <x v="15"/>
    <x v="4"/>
    <x v="4"/>
    <x v="2"/>
    <n v="0.03"/>
    <n v="0.03"/>
    <n v="0.02"/>
    <n v="0.03"/>
  </r>
  <r>
    <x v="12"/>
    <x v="5"/>
    <x v="16"/>
    <x v="2"/>
    <x v="4"/>
    <x v="0"/>
    <n v="2.27"/>
    <n v="2.57"/>
    <n v="0.42"/>
    <n v="2.04"/>
  </r>
  <r>
    <x v="12"/>
    <x v="5"/>
    <x v="16"/>
    <x v="2"/>
    <x v="3"/>
    <x v="0"/>
    <n v="0.1"/>
    <n v="0.12"/>
    <n v="0.04"/>
    <n v="0.09"/>
  </r>
  <r>
    <x v="12"/>
    <x v="5"/>
    <x v="16"/>
    <x v="1"/>
    <x v="2"/>
    <x v="1"/>
    <n v="0.1"/>
    <n v="0.11"/>
    <n v="0"/>
    <n v="0.09"/>
  </r>
  <r>
    <x v="12"/>
    <x v="5"/>
    <x v="16"/>
    <x v="4"/>
    <x v="4"/>
    <x v="2"/>
    <n v="0.02"/>
    <n v="0.03"/>
    <n v="0"/>
    <n v="0.02"/>
  </r>
  <r>
    <x v="12"/>
    <x v="5"/>
    <x v="16"/>
    <x v="4"/>
    <x v="1"/>
    <x v="2"/>
    <n v="0.21"/>
    <n v="0.24"/>
    <n v="0"/>
    <n v="0.19"/>
  </r>
  <r>
    <x v="12"/>
    <x v="5"/>
    <x v="16"/>
    <x v="2"/>
    <x v="3"/>
    <x v="2"/>
    <n v="0"/>
    <n v="0"/>
    <n v="0"/>
    <n v="0"/>
  </r>
  <r>
    <x v="12"/>
    <x v="5"/>
    <x v="16"/>
    <x v="2"/>
    <x v="3"/>
    <x v="3"/>
    <n v="0.03"/>
    <n v="0.03"/>
    <n v="0"/>
    <n v="0.02"/>
  </r>
  <r>
    <x v="12"/>
    <x v="5"/>
    <x v="16"/>
    <x v="4"/>
    <x v="0"/>
    <x v="1"/>
    <n v="0"/>
    <n v="0"/>
    <n v="0"/>
    <n v="0"/>
  </r>
  <r>
    <x v="12"/>
    <x v="5"/>
    <x v="16"/>
    <x v="4"/>
    <x v="4"/>
    <x v="1"/>
    <n v="0.15"/>
    <n v="0.17"/>
    <n v="0"/>
    <n v="0.14000000000000001"/>
  </r>
  <r>
    <x v="12"/>
    <x v="5"/>
    <x v="16"/>
    <x v="4"/>
    <x v="1"/>
    <x v="1"/>
    <n v="7.0000000000000007E-2"/>
    <n v="0.08"/>
    <n v="0"/>
    <n v="0.06"/>
  </r>
  <r>
    <x v="12"/>
    <x v="5"/>
    <x v="16"/>
    <x v="0"/>
    <x v="0"/>
    <x v="1"/>
    <n v="0.08"/>
    <n v="0.09"/>
    <n v="0"/>
    <n v="7.0000000000000007E-2"/>
  </r>
  <r>
    <x v="12"/>
    <x v="5"/>
    <x v="16"/>
    <x v="0"/>
    <x v="4"/>
    <x v="1"/>
    <n v="0.01"/>
    <n v="0.01"/>
    <n v="0"/>
    <n v="0.01"/>
  </r>
  <r>
    <x v="12"/>
    <x v="5"/>
    <x v="16"/>
    <x v="1"/>
    <x v="0"/>
    <x v="1"/>
    <n v="0.1"/>
    <n v="0.11"/>
    <n v="0"/>
    <n v="0.09"/>
  </r>
  <r>
    <x v="12"/>
    <x v="5"/>
    <x v="16"/>
    <x v="1"/>
    <x v="1"/>
    <x v="1"/>
    <n v="0.2"/>
    <n v="0.23"/>
    <n v="0"/>
    <n v="0.18"/>
  </r>
  <r>
    <x v="12"/>
    <x v="5"/>
    <x v="16"/>
    <x v="2"/>
    <x v="3"/>
    <x v="1"/>
    <n v="0.03"/>
    <n v="0.03"/>
    <n v="0"/>
    <n v="0.02"/>
  </r>
  <r>
    <x v="12"/>
    <x v="5"/>
    <x v="16"/>
    <x v="0"/>
    <x v="4"/>
    <x v="0"/>
    <n v="3.13"/>
    <n v="3.54"/>
    <n v="0.89"/>
    <n v="2.81"/>
  </r>
  <r>
    <x v="12"/>
    <x v="5"/>
    <x v="16"/>
    <x v="2"/>
    <x v="0"/>
    <x v="0"/>
    <n v="1.5"/>
    <n v="1.7"/>
    <n v="1.18"/>
    <n v="1.35"/>
  </r>
  <r>
    <x v="12"/>
    <x v="5"/>
    <x v="16"/>
    <x v="1"/>
    <x v="2"/>
    <x v="0"/>
    <n v="0.19"/>
    <n v="0.21"/>
    <n v="0.01"/>
    <n v="0.17"/>
  </r>
  <r>
    <x v="12"/>
    <x v="5"/>
    <x v="16"/>
    <x v="1"/>
    <x v="1"/>
    <x v="0"/>
    <n v="6.79"/>
    <n v="7.68"/>
    <n v="0.47"/>
    <n v="6.11"/>
  </r>
  <r>
    <x v="12"/>
    <x v="5"/>
    <x v="16"/>
    <x v="1"/>
    <x v="4"/>
    <x v="1"/>
    <n v="0.04"/>
    <n v="0.04"/>
    <n v="0"/>
    <n v="0.03"/>
  </r>
  <r>
    <x v="12"/>
    <x v="5"/>
    <x v="16"/>
    <x v="1"/>
    <x v="0"/>
    <x v="0"/>
    <n v="2.31"/>
    <n v="2.62"/>
    <n v="1.59"/>
    <n v="2.08"/>
  </r>
  <r>
    <x v="12"/>
    <x v="5"/>
    <x v="16"/>
    <x v="3"/>
    <x v="0"/>
    <x v="0"/>
    <n v="1.64"/>
    <n v="1.86"/>
    <n v="0.41"/>
    <n v="1.48"/>
  </r>
  <r>
    <x v="12"/>
    <x v="5"/>
    <x v="16"/>
    <x v="0"/>
    <x v="0"/>
    <x v="0"/>
    <n v="0.81"/>
    <n v="0.92"/>
    <n v="0.49"/>
    <n v="0.73"/>
  </r>
  <r>
    <x v="12"/>
    <x v="5"/>
    <x v="16"/>
    <x v="4"/>
    <x v="1"/>
    <x v="0"/>
    <n v="1.27"/>
    <n v="1.44"/>
    <n v="7.0000000000000007E-2"/>
    <n v="1.1399999999999999"/>
  </r>
  <r>
    <x v="12"/>
    <x v="5"/>
    <x v="16"/>
    <x v="4"/>
    <x v="4"/>
    <x v="0"/>
    <n v="11"/>
    <n v="12.45"/>
    <n v="1.65"/>
    <n v="9.9"/>
  </r>
  <r>
    <x v="12"/>
    <x v="5"/>
    <x v="16"/>
    <x v="3"/>
    <x v="1"/>
    <x v="0"/>
    <n v="0"/>
    <n v="0"/>
    <n v="0"/>
    <n v="0"/>
  </r>
  <r>
    <x v="12"/>
    <x v="5"/>
    <x v="16"/>
    <x v="3"/>
    <x v="4"/>
    <x v="0"/>
    <n v="1.46"/>
    <n v="1.65"/>
    <n v="0.52"/>
    <n v="1.32"/>
  </r>
  <r>
    <x v="12"/>
    <x v="5"/>
    <x v="16"/>
    <x v="1"/>
    <x v="4"/>
    <x v="0"/>
    <n v="48.22"/>
    <n v="54.57"/>
    <n v="11.89"/>
    <n v="43.4"/>
  </r>
  <r>
    <x v="12"/>
    <x v="6"/>
    <x v="17"/>
    <x v="1"/>
    <x v="3"/>
    <x v="2"/>
    <n v="0.31"/>
    <n v="0.34"/>
    <n v="0.01"/>
    <n v="0.28000000000000003"/>
  </r>
  <r>
    <x v="12"/>
    <x v="6"/>
    <x v="17"/>
    <x v="3"/>
    <x v="0"/>
    <x v="0"/>
    <n v="5.84"/>
    <n v="6.35"/>
    <n v="2.74"/>
    <n v="5.26"/>
  </r>
  <r>
    <x v="12"/>
    <x v="6"/>
    <x v="17"/>
    <x v="1"/>
    <x v="2"/>
    <x v="2"/>
    <n v="0.01"/>
    <n v="0.01"/>
    <n v="0"/>
    <n v="0.01"/>
  </r>
  <r>
    <x v="12"/>
    <x v="6"/>
    <x v="17"/>
    <x v="1"/>
    <x v="1"/>
    <x v="2"/>
    <n v="1.63"/>
    <n v="1.77"/>
    <n v="0.02"/>
    <n v="1.47"/>
  </r>
  <r>
    <x v="12"/>
    <x v="6"/>
    <x v="17"/>
    <x v="1"/>
    <x v="4"/>
    <x v="2"/>
    <n v="0.21"/>
    <n v="0.23"/>
    <n v="0"/>
    <n v="0.19"/>
  </r>
  <r>
    <x v="12"/>
    <x v="6"/>
    <x v="17"/>
    <x v="3"/>
    <x v="4"/>
    <x v="0"/>
    <n v="72.87"/>
    <n v="79.239999999999995"/>
    <n v="11.72"/>
    <n v="65.58"/>
  </r>
  <r>
    <x v="12"/>
    <x v="6"/>
    <x v="17"/>
    <x v="1"/>
    <x v="2"/>
    <x v="0"/>
    <n v="12.73"/>
    <n v="13.84"/>
    <n v="0.15"/>
    <n v="11.46"/>
  </r>
  <r>
    <x v="12"/>
    <x v="6"/>
    <x v="17"/>
    <x v="2"/>
    <x v="0"/>
    <x v="0"/>
    <n v="18.95"/>
    <n v="20.6"/>
    <n v="10.48"/>
    <n v="17.05"/>
  </r>
  <r>
    <x v="12"/>
    <x v="6"/>
    <x v="17"/>
    <x v="2"/>
    <x v="4"/>
    <x v="0"/>
    <n v="13.98"/>
    <n v="15.2"/>
    <n v="3.65"/>
    <n v="12.58"/>
  </r>
  <r>
    <x v="12"/>
    <x v="6"/>
    <x v="17"/>
    <x v="1"/>
    <x v="4"/>
    <x v="0"/>
    <n v="339.01"/>
    <n v="368.62"/>
    <n v="66.510000000000005"/>
    <n v="305.10000000000002"/>
  </r>
  <r>
    <x v="12"/>
    <x v="6"/>
    <x v="17"/>
    <x v="4"/>
    <x v="4"/>
    <x v="2"/>
    <n v="0.41"/>
    <n v="0.44"/>
    <n v="0.04"/>
    <n v="0.37"/>
  </r>
  <r>
    <x v="12"/>
    <x v="6"/>
    <x v="17"/>
    <x v="1"/>
    <x v="0"/>
    <x v="0"/>
    <n v="20.66"/>
    <n v="22.46"/>
    <n v="11.41"/>
    <n v="18.59"/>
  </r>
  <r>
    <x v="12"/>
    <x v="6"/>
    <x v="17"/>
    <x v="0"/>
    <x v="4"/>
    <x v="0"/>
    <n v="76.38"/>
    <n v="83.05"/>
    <n v="18.3"/>
    <n v="68.739999999999995"/>
  </r>
  <r>
    <x v="12"/>
    <x v="6"/>
    <x v="17"/>
    <x v="0"/>
    <x v="0"/>
    <x v="0"/>
    <n v="18.79"/>
    <n v="20.440000000000001"/>
    <n v="10.99"/>
    <n v="16.920000000000002"/>
  </r>
  <r>
    <x v="12"/>
    <x v="6"/>
    <x v="17"/>
    <x v="4"/>
    <x v="1"/>
    <x v="0"/>
    <n v="12.18"/>
    <n v="13.24"/>
    <n v="0.85"/>
    <n v="10.96"/>
  </r>
  <r>
    <x v="12"/>
    <x v="6"/>
    <x v="17"/>
    <x v="4"/>
    <x v="4"/>
    <x v="0"/>
    <n v="172.18"/>
    <n v="187.23"/>
    <n v="26.94"/>
    <n v="154.96"/>
  </r>
  <r>
    <x v="12"/>
    <x v="6"/>
    <x v="17"/>
    <x v="2"/>
    <x v="4"/>
    <x v="1"/>
    <n v="0.08"/>
    <n v="0.09"/>
    <n v="0"/>
    <n v="7.0000000000000007E-2"/>
  </r>
  <r>
    <x v="12"/>
    <x v="6"/>
    <x v="17"/>
    <x v="3"/>
    <x v="1"/>
    <x v="0"/>
    <n v="0.1"/>
    <n v="0.1"/>
    <n v="0.01"/>
    <n v="0.09"/>
  </r>
  <r>
    <x v="12"/>
    <x v="6"/>
    <x v="17"/>
    <x v="2"/>
    <x v="3"/>
    <x v="2"/>
    <n v="1.98"/>
    <n v="2.15"/>
    <n v="0.01"/>
    <n v="1.78"/>
  </r>
  <r>
    <x v="12"/>
    <x v="6"/>
    <x v="17"/>
    <x v="0"/>
    <x v="4"/>
    <x v="1"/>
    <n v="0.27"/>
    <n v="0.28999999999999998"/>
    <n v="0.03"/>
    <n v="0.24"/>
  </r>
  <r>
    <x v="12"/>
    <x v="6"/>
    <x v="17"/>
    <x v="2"/>
    <x v="3"/>
    <x v="1"/>
    <n v="1.08"/>
    <n v="1.18"/>
    <n v="0"/>
    <n v="0.97"/>
  </r>
  <r>
    <x v="12"/>
    <x v="6"/>
    <x v="17"/>
    <x v="4"/>
    <x v="1"/>
    <x v="2"/>
    <n v="0.24"/>
    <n v="0.26"/>
    <n v="0.01"/>
    <n v="0.22"/>
  </r>
  <r>
    <x v="12"/>
    <x v="6"/>
    <x v="17"/>
    <x v="1"/>
    <x v="2"/>
    <x v="1"/>
    <n v="7.33"/>
    <n v="7.97"/>
    <n v="0.03"/>
    <n v="6.6"/>
  </r>
  <r>
    <x v="12"/>
    <x v="6"/>
    <x v="17"/>
    <x v="1"/>
    <x v="1"/>
    <x v="1"/>
    <n v="4.2699999999999996"/>
    <n v="4.6399999999999997"/>
    <n v="0.04"/>
    <n v="3.84"/>
  </r>
  <r>
    <x v="12"/>
    <x v="6"/>
    <x v="17"/>
    <x v="1"/>
    <x v="1"/>
    <x v="0"/>
    <n v="30.18"/>
    <n v="32.82"/>
    <n v="1.76"/>
    <n v="27.16"/>
  </r>
  <r>
    <x v="12"/>
    <x v="6"/>
    <x v="17"/>
    <x v="1"/>
    <x v="0"/>
    <x v="1"/>
    <n v="1.1499999999999999"/>
    <n v="1.25"/>
    <n v="0.03"/>
    <n v="1.03"/>
  </r>
  <r>
    <x v="12"/>
    <x v="6"/>
    <x v="17"/>
    <x v="0"/>
    <x v="0"/>
    <x v="1"/>
    <n v="1.1299999999999999"/>
    <n v="1.23"/>
    <n v="0.02"/>
    <n v="1.02"/>
  </r>
  <r>
    <x v="12"/>
    <x v="6"/>
    <x v="17"/>
    <x v="4"/>
    <x v="1"/>
    <x v="1"/>
    <n v="0.19"/>
    <n v="0.21"/>
    <n v="0.01"/>
    <n v="0.17"/>
  </r>
  <r>
    <x v="12"/>
    <x v="6"/>
    <x v="17"/>
    <x v="4"/>
    <x v="4"/>
    <x v="1"/>
    <n v="1.37"/>
    <n v="1.49"/>
    <n v="0.04"/>
    <n v="1.24"/>
  </r>
  <r>
    <x v="12"/>
    <x v="6"/>
    <x v="17"/>
    <x v="4"/>
    <x v="0"/>
    <x v="1"/>
    <n v="0.78"/>
    <n v="0.85"/>
    <n v="0.06"/>
    <n v="0.71"/>
  </r>
  <r>
    <x v="12"/>
    <x v="6"/>
    <x v="17"/>
    <x v="4"/>
    <x v="0"/>
    <x v="0"/>
    <n v="0.35"/>
    <n v="0.38"/>
    <n v="0.43"/>
    <n v="0.31"/>
  </r>
  <r>
    <x v="12"/>
    <x v="6"/>
    <x v="17"/>
    <x v="1"/>
    <x v="4"/>
    <x v="1"/>
    <n v="0.78"/>
    <n v="0.84"/>
    <n v="0.02"/>
    <n v="0.7"/>
  </r>
  <r>
    <x v="12"/>
    <x v="6"/>
    <x v="18"/>
    <x v="0"/>
    <x v="0"/>
    <x v="0"/>
    <n v="6.84"/>
    <n v="8.75"/>
    <n v="4.08"/>
    <n v="6.15"/>
  </r>
  <r>
    <x v="12"/>
    <x v="6"/>
    <x v="18"/>
    <x v="2"/>
    <x v="4"/>
    <x v="1"/>
    <n v="0.01"/>
    <n v="0.01"/>
    <n v="0"/>
    <n v="0.01"/>
  </r>
  <r>
    <x v="12"/>
    <x v="6"/>
    <x v="18"/>
    <x v="2"/>
    <x v="3"/>
    <x v="1"/>
    <n v="0.11"/>
    <n v="0.14000000000000001"/>
    <n v="0"/>
    <n v="0.1"/>
  </r>
  <r>
    <x v="12"/>
    <x v="6"/>
    <x v="18"/>
    <x v="3"/>
    <x v="0"/>
    <x v="0"/>
    <n v="4.96"/>
    <n v="6.35"/>
    <n v="2.08"/>
    <n v="4.46"/>
  </r>
  <r>
    <x v="12"/>
    <x v="6"/>
    <x v="18"/>
    <x v="3"/>
    <x v="4"/>
    <x v="0"/>
    <n v="6.12"/>
    <n v="7.83"/>
    <n v="1.24"/>
    <n v="5.51"/>
  </r>
  <r>
    <x v="12"/>
    <x v="6"/>
    <x v="18"/>
    <x v="3"/>
    <x v="1"/>
    <x v="0"/>
    <n v="0.06"/>
    <n v="0.08"/>
    <n v="0.01"/>
    <n v="0.05"/>
  </r>
  <r>
    <x v="12"/>
    <x v="6"/>
    <x v="18"/>
    <x v="1"/>
    <x v="2"/>
    <x v="1"/>
    <n v="3.48"/>
    <n v="4.46"/>
    <n v="0.01"/>
    <n v="3.13"/>
  </r>
  <r>
    <x v="12"/>
    <x v="6"/>
    <x v="18"/>
    <x v="4"/>
    <x v="1"/>
    <x v="0"/>
    <n v="3.51"/>
    <n v="4.49"/>
    <n v="0.17"/>
    <n v="3.16"/>
  </r>
  <r>
    <x v="12"/>
    <x v="6"/>
    <x v="18"/>
    <x v="1"/>
    <x v="0"/>
    <x v="0"/>
    <n v="10.52"/>
    <n v="13.46"/>
    <n v="5.24"/>
    <n v="9.4600000000000009"/>
  </r>
  <r>
    <x v="12"/>
    <x v="6"/>
    <x v="18"/>
    <x v="0"/>
    <x v="4"/>
    <x v="0"/>
    <n v="13.29"/>
    <n v="17.010000000000002"/>
    <n v="3.38"/>
    <n v="11.96"/>
  </r>
  <r>
    <x v="12"/>
    <x v="6"/>
    <x v="18"/>
    <x v="1"/>
    <x v="4"/>
    <x v="0"/>
    <n v="65.52"/>
    <n v="83.86"/>
    <n v="15.64"/>
    <n v="58.97"/>
  </r>
  <r>
    <x v="12"/>
    <x v="6"/>
    <x v="18"/>
    <x v="1"/>
    <x v="2"/>
    <x v="0"/>
    <n v="3.98"/>
    <n v="5.09"/>
    <n v="0.03"/>
    <n v="3.58"/>
  </r>
  <r>
    <x v="12"/>
    <x v="6"/>
    <x v="18"/>
    <x v="2"/>
    <x v="0"/>
    <x v="0"/>
    <n v="5.58"/>
    <n v="7.15"/>
    <n v="3.03"/>
    <n v="5.03"/>
  </r>
  <r>
    <x v="12"/>
    <x v="6"/>
    <x v="18"/>
    <x v="2"/>
    <x v="4"/>
    <x v="0"/>
    <n v="10.32"/>
    <n v="13.21"/>
    <n v="2.77"/>
    <n v="9.2899999999999991"/>
  </r>
  <r>
    <x v="12"/>
    <x v="6"/>
    <x v="18"/>
    <x v="4"/>
    <x v="4"/>
    <x v="0"/>
    <n v="24.59"/>
    <n v="31.47"/>
    <n v="5.59"/>
    <n v="22.13"/>
  </r>
  <r>
    <x v="12"/>
    <x v="6"/>
    <x v="18"/>
    <x v="4"/>
    <x v="1"/>
    <x v="2"/>
    <n v="0.01"/>
    <n v="0.01"/>
    <n v="0"/>
    <n v="0.01"/>
  </r>
  <r>
    <x v="12"/>
    <x v="6"/>
    <x v="18"/>
    <x v="1"/>
    <x v="1"/>
    <x v="0"/>
    <n v="16.66"/>
    <n v="21.33"/>
    <n v="1.01"/>
    <n v="15"/>
  </r>
  <r>
    <x v="12"/>
    <x v="6"/>
    <x v="18"/>
    <x v="1"/>
    <x v="1"/>
    <x v="1"/>
    <n v="0.72"/>
    <n v="0.92"/>
    <n v="0.01"/>
    <n v="0.64"/>
  </r>
  <r>
    <x v="12"/>
    <x v="6"/>
    <x v="18"/>
    <x v="4"/>
    <x v="4"/>
    <x v="2"/>
    <n v="0.01"/>
    <n v="0.01"/>
    <n v="0"/>
    <n v="0.01"/>
  </r>
  <r>
    <x v="12"/>
    <x v="6"/>
    <x v="18"/>
    <x v="1"/>
    <x v="1"/>
    <x v="2"/>
    <n v="0.37"/>
    <n v="0.48"/>
    <n v="0.01"/>
    <n v="0.33"/>
  </r>
  <r>
    <x v="12"/>
    <x v="6"/>
    <x v="18"/>
    <x v="2"/>
    <x v="3"/>
    <x v="2"/>
    <n v="7.0000000000000007E-2"/>
    <n v="0.09"/>
    <n v="0.01"/>
    <n v="0.06"/>
  </r>
  <r>
    <x v="12"/>
    <x v="6"/>
    <x v="18"/>
    <x v="2"/>
    <x v="3"/>
    <x v="3"/>
    <n v="0.73"/>
    <n v="0.93"/>
    <n v="0"/>
    <n v="0.65"/>
  </r>
  <r>
    <x v="12"/>
    <x v="6"/>
    <x v="18"/>
    <x v="4"/>
    <x v="4"/>
    <x v="1"/>
    <n v="0.03"/>
    <n v="0.03"/>
    <n v="0"/>
    <n v="0.02"/>
  </r>
  <r>
    <x v="12"/>
    <x v="6"/>
    <x v="18"/>
    <x v="4"/>
    <x v="1"/>
    <x v="1"/>
    <n v="0.02"/>
    <n v="0.03"/>
    <n v="0"/>
    <n v="0.02"/>
  </r>
  <r>
    <x v="12"/>
    <x v="6"/>
    <x v="18"/>
    <x v="0"/>
    <x v="0"/>
    <x v="1"/>
    <n v="0.83"/>
    <n v="1.06"/>
    <n v="0.02"/>
    <n v="0.75"/>
  </r>
  <r>
    <x v="12"/>
    <x v="6"/>
    <x v="18"/>
    <x v="0"/>
    <x v="4"/>
    <x v="1"/>
    <n v="0.1"/>
    <n v="0.12"/>
    <n v="0.01"/>
    <n v="0.09"/>
  </r>
  <r>
    <x v="12"/>
    <x v="6"/>
    <x v="18"/>
    <x v="4"/>
    <x v="0"/>
    <x v="1"/>
    <n v="0.11"/>
    <n v="0.14000000000000001"/>
    <n v="0.01"/>
    <n v="0.1"/>
  </r>
  <r>
    <x v="12"/>
    <x v="6"/>
    <x v="18"/>
    <x v="1"/>
    <x v="4"/>
    <x v="1"/>
    <n v="0.2"/>
    <n v="0.25"/>
    <n v="0"/>
    <n v="0.18"/>
  </r>
  <r>
    <x v="12"/>
    <x v="6"/>
    <x v="18"/>
    <x v="1"/>
    <x v="0"/>
    <x v="1"/>
    <n v="0.18"/>
    <n v="0.23"/>
    <n v="0"/>
    <n v="0.16"/>
  </r>
  <r>
    <x v="12"/>
    <x v="2"/>
    <x v="19"/>
    <x v="1"/>
    <x v="4"/>
    <x v="1"/>
    <n v="0.01"/>
    <n v="0.01"/>
    <n v="0"/>
    <n v="0.01"/>
  </r>
  <r>
    <x v="12"/>
    <x v="2"/>
    <x v="19"/>
    <x v="4"/>
    <x v="1"/>
    <x v="0"/>
    <n v="6.38"/>
    <n v="6.94"/>
    <n v="0.31"/>
    <n v="5.74"/>
  </r>
  <r>
    <x v="12"/>
    <x v="2"/>
    <x v="19"/>
    <x v="4"/>
    <x v="4"/>
    <x v="0"/>
    <n v="25.81"/>
    <n v="28.1"/>
    <n v="2.71"/>
    <n v="23.23"/>
  </r>
  <r>
    <x v="12"/>
    <x v="2"/>
    <x v="19"/>
    <x v="3"/>
    <x v="1"/>
    <x v="0"/>
    <n v="3.33"/>
    <n v="3.63"/>
    <n v="0.28000000000000003"/>
    <n v="3"/>
  </r>
  <r>
    <x v="12"/>
    <x v="2"/>
    <x v="19"/>
    <x v="3"/>
    <x v="4"/>
    <x v="0"/>
    <n v="26.46"/>
    <n v="28.81"/>
    <n v="7.89"/>
    <n v="23.82"/>
  </r>
  <r>
    <x v="12"/>
    <x v="2"/>
    <x v="19"/>
    <x v="3"/>
    <x v="0"/>
    <x v="0"/>
    <n v="22.04"/>
    <n v="23.99"/>
    <n v="4.96"/>
    <n v="19.829999999999998"/>
  </r>
  <r>
    <x v="12"/>
    <x v="2"/>
    <x v="19"/>
    <x v="1"/>
    <x v="0"/>
    <x v="1"/>
    <n v="0.01"/>
    <n v="0.01"/>
    <n v="0"/>
    <n v="0.01"/>
  </r>
  <r>
    <x v="12"/>
    <x v="2"/>
    <x v="19"/>
    <x v="1"/>
    <x v="1"/>
    <x v="1"/>
    <n v="0.03"/>
    <n v="0.03"/>
    <n v="0"/>
    <n v="0.03"/>
  </r>
  <r>
    <x v="12"/>
    <x v="2"/>
    <x v="19"/>
    <x v="0"/>
    <x v="0"/>
    <x v="0"/>
    <n v="2.44"/>
    <n v="2.65"/>
    <n v="1.38"/>
    <n v="2.19"/>
  </r>
  <r>
    <x v="12"/>
    <x v="2"/>
    <x v="19"/>
    <x v="4"/>
    <x v="2"/>
    <x v="2"/>
    <n v="0"/>
    <n v="0"/>
    <n v="0"/>
    <n v="0"/>
  </r>
  <r>
    <x v="12"/>
    <x v="2"/>
    <x v="19"/>
    <x v="0"/>
    <x v="4"/>
    <x v="1"/>
    <n v="0"/>
    <n v="0"/>
    <n v="0"/>
    <n v="0"/>
  </r>
  <r>
    <x v="12"/>
    <x v="2"/>
    <x v="19"/>
    <x v="1"/>
    <x v="2"/>
    <x v="1"/>
    <n v="0.04"/>
    <n v="0.05"/>
    <n v="0"/>
    <n v="0.04"/>
  </r>
  <r>
    <x v="12"/>
    <x v="2"/>
    <x v="19"/>
    <x v="0"/>
    <x v="4"/>
    <x v="0"/>
    <n v="30.25"/>
    <n v="32.93"/>
    <n v="5.82"/>
    <n v="27.23"/>
  </r>
  <r>
    <x v="12"/>
    <x v="2"/>
    <x v="19"/>
    <x v="0"/>
    <x v="0"/>
    <x v="1"/>
    <n v="0.01"/>
    <n v="0.01"/>
    <n v="0"/>
    <n v="0.01"/>
  </r>
  <r>
    <x v="12"/>
    <x v="2"/>
    <x v="19"/>
    <x v="1"/>
    <x v="0"/>
    <x v="0"/>
    <n v="15.14"/>
    <n v="16.48"/>
    <n v="7.54"/>
    <n v="13.62"/>
  </r>
  <r>
    <x v="12"/>
    <x v="2"/>
    <x v="19"/>
    <x v="1"/>
    <x v="4"/>
    <x v="0"/>
    <n v="191.88"/>
    <n v="208.88"/>
    <n v="26.95"/>
    <n v="172.7"/>
  </r>
  <r>
    <x v="12"/>
    <x v="2"/>
    <x v="19"/>
    <x v="1"/>
    <x v="1"/>
    <x v="0"/>
    <n v="27.52"/>
    <n v="29.96"/>
    <n v="0.98"/>
    <n v="24.77"/>
  </r>
  <r>
    <x v="12"/>
    <x v="2"/>
    <x v="19"/>
    <x v="2"/>
    <x v="0"/>
    <x v="0"/>
    <n v="5.42"/>
    <n v="5.9"/>
    <n v="2.99"/>
    <n v="4.88"/>
  </r>
  <r>
    <x v="12"/>
    <x v="2"/>
    <x v="19"/>
    <x v="4"/>
    <x v="1"/>
    <x v="2"/>
    <n v="0"/>
    <n v="0.01"/>
    <n v="0"/>
    <n v="0"/>
  </r>
  <r>
    <x v="12"/>
    <x v="2"/>
    <x v="19"/>
    <x v="4"/>
    <x v="4"/>
    <x v="2"/>
    <n v="1.97"/>
    <n v="2.14"/>
    <n v="0"/>
    <n v="1.77"/>
  </r>
  <r>
    <x v="12"/>
    <x v="2"/>
    <x v="19"/>
    <x v="2"/>
    <x v="3"/>
    <x v="0"/>
    <n v="3.67"/>
    <n v="3.99"/>
    <n v="0.03"/>
    <n v="3.3"/>
  </r>
  <r>
    <x v="12"/>
    <x v="2"/>
    <x v="19"/>
    <x v="2"/>
    <x v="4"/>
    <x v="0"/>
    <n v="11.02"/>
    <n v="11.99"/>
    <n v="1.93"/>
    <n v="9.92"/>
  </r>
  <r>
    <x v="12"/>
    <x v="2"/>
    <x v="19"/>
    <x v="1"/>
    <x v="2"/>
    <x v="0"/>
    <n v="0.64"/>
    <n v="0.69"/>
    <n v="0.01"/>
    <n v="0.56999999999999995"/>
  </r>
  <r>
    <x v="12"/>
    <x v="7"/>
    <x v="20"/>
    <x v="1"/>
    <x v="0"/>
    <x v="0"/>
    <n v="7.01"/>
    <n v="6.64"/>
    <n v="5.58"/>
    <n v="6.31"/>
  </r>
  <r>
    <x v="12"/>
    <x v="7"/>
    <x v="20"/>
    <x v="1"/>
    <x v="4"/>
    <x v="1"/>
    <n v="0.01"/>
    <n v="0.01"/>
    <n v="0"/>
    <n v="0.01"/>
  </r>
  <r>
    <x v="12"/>
    <x v="7"/>
    <x v="20"/>
    <x v="1"/>
    <x v="1"/>
    <x v="0"/>
    <n v="31.25"/>
    <n v="29.61"/>
    <n v="1.47"/>
    <n v="28.12"/>
  </r>
  <r>
    <x v="12"/>
    <x v="7"/>
    <x v="20"/>
    <x v="1"/>
    <x v="4"/>
    <x v="0"/>
    <n v="119.4"/>
    <n v="113.14"/>
    <n v="25.37"/>
    <n v="107.46"/>
  </r>
  <r>
    <x v="12"/>
    <x v="7"/>
    <x v="20"/>
    <x v="2"/>
    <x v="3"/>
    <x v="2"/>
    <n v="0"/>
    <n v="0"/>
    <n v="0"/>
    <n v="0"/>
  </r>
  <r>
    <x v="12"/>
    <x v="7"/>
    <x v="20"/>
    <x v="2"/>
    <x v="3"/>
    <x v="0"/>
    <n v="0.27"/>
    <n v="0.26"/>
    <n v="0.05"/>
    <n v="0.24"/>
  </r>
  <r>
    <x v="12"/>
    <x v="7"/>
    <x v="20"/>
    <x v="2"/>
    <x v="4"/>
    <x v="0"/>
    <n v="3.8"/>
    <n v="3.6"/>
    <n v="1.31"/>
    <n v="3.42"/>
  </r>
  <r>
    <x v="12"/>
    <x v="7"/>
    <x v="20"/>
    <x v="2"/>
    <x v="0"/>
    <x v="0"/>
    <n v="1.78"/>
    <n v="1.69"/>
    <n v="2.14"/>
    <n v="1.6"/>
  </r>
  <r>
    <x v="12"/>
    <x v="7"/>
    <x v="20"/>
    <x v="1"/>
    <x v="2"/>
    <x v="1"/>
    <n v="0.05"/>
    <n v="0.05"/>
    <n v="0"/>
    <n v="0.04"/>
  </r>
  <r>
    <x v="12"/>
    <x v="7"/>
    <x v="20"/>
    <x v="4"/>
    <x v="1"/>
    <x v="2"/>
    <n v="0"/>
    <n v="0"/>
    <n v="0"/>
    <n v="0"/>
  </r>
  <r>
    <x v="12"/>
    <x v="7"/>
    <x v="20"/>
    <x v="0"/>
    <x v="4"/>
    <x v="0"/>
    <n v="6.49"/>
    <n v="6.15"/>
    <n v="2.38"/>
    <n v="5.84"/>
  </r>
  <r>
    <x v="12"/>
    <x v="7"/>
    <x v="20"/>
    <x v="2"/>
    <x v="3"/>
    <x v="3"/>
    <n v="5.07"/>
    <n v="4.8"/>
    <n v="0"/>
    <n v="4.5599999999999996"/>
  </r>
  <r>
    <x v="12"/>
    <x v="7"/>
    <x v="20"/>
    <x v="4"/>
    <x v="0"/>
    <x v="1"/>
    <n v="0"/>
    <n v="0"/>
    <n v="0"/>
    <n v="0"/>
  </r>
  <r>
    <x v="12"/>
    <x v="7"/>
    <x v="20"/>
    <x v="4"/>
    <x v="4"/>
    <x v="1"/>
    <n v="0.01"/>
    <n v="0.01"/>
    <n v="0"/>
    <n v="0.01"/>
  </r>
  <r>
    <x v="12"/>
    <x v="7"/>
    <x v="20"/>
    <x v="0"/>
    <x v="0"/>
    <x v="1"/>
    <n v="0.06"/>
    <n v="0.05"/>
    <n v="0"/>
    <n v="0.05"/>
  </r>
  <r>
    <x v="12"/>
    <x v="7"/>
    <x v="20"/>
    <x v="0"/>
    <x v="4"/>
    <x v="1"/>
    <n v="0.01"/>
    <n v="0.01"/>
    <n v="0"/>
    <n v="0"/>
  </r>
  <r>
    <x v="12"/>
    <x v="7"/>
    <x v="20"/>
    <x v="3"/>
    <x v="1"/>
    <x v="0"/>
    <n v="0.33"/>
    <n v="0.31"/>
    <n v="0.02"/>
    <n v="0.3"/>
  </r>
  <r>
    <x v="12"/>
    <x v="7"/>
    <x v="20"/>
    <x v="0"/>
    <x v="0"/>
    <x v="0"/>
    <n v="1.6"/>
    <n v="1.51"/>
    <n v="1.06"/>
    <n v="1.44"/>
  </r>
  <r>
    <x v="12"/>
    <x v="7"/>
    <x v="20"/>
    <x v="4"/>
    <x v="4"/>
    <x v="2"/>
    <n v="0.01"/>
    <n v="0.01"/>
    <n v="0"/>
    <n v="0.01"/>
  </r>
  <r>
    <x v="12"/>
    <x v="7"/>
    <x v="20"/>
    <x v="1"/>
    <x v="0"/>
    <x v="1"/>
    <n v="0.06"/>
    <n v="0.05"/>
    <n v="0"/>
    <n v="0.05"/>
  </r>
  <r>
    <x v="12"/>
    <x v="7"/>
    <x v="20"/>
    <x v="4"/>
    <x v="4"/>
    <x v="0"/>
    <n v="93.5"/>
    <n v="88.6"/>
    <n v="11.21"/>
    <n v="84.15"/>
  </r>
  <r>
    <x v="12"/>
    <x v="7"/>
    <x v="20"/>
    <x v="3"/>
    <x v="4"/>
    <x v="0"/>
    <n v="12.92"/>
    <n v="12.24"/>
    <n v="4.34"/>
    <n v="11.62"/>
  </r>
  <r>
    <x v="12"/>
    <x v="7"/>
    <x v="20"/>
    <x v="3"/>
    <x v="0"/>
    <x v="0"/>
    <n v="6.56"/>
    <n v="6.22"/>
    <n v="1.17"/>
    <n v="5.91"/>
  </r>
  <r>
    <x v="12"/>
    <x v="7"/>
    <x v="20"/>
    <x v="2"/>
    <x v="3"/>
    <x v="1"/>
    <n v="0.05"/>
    <n v="0.05"/>
    <n v="0"/>
    <n v="0.05"/>
  </r>
  <r>
    <x v="12"/>
    <x v="7"/>
    <x v="20"/>
    <x v="1"/>
    <x v="1"/>
    <x v="1"/>
    <n v="0.06"/>
    <n v="0.06"/>
    <n v="0"/>
    <n v="0.06"/>
  </r>
  <r>
    <x v="12"/>
    <x v="7"/>
    <x v="20"/>
    <x v="4"/>
    <x v="1"/>
    <x v="0"/>
    <n v="14.57"/>
    <n v="13.81"/>
    <n v="0.78"/>
    <n v="13.11"/>
  </r>
  <r>
    <x v="12"/>
    <x v="2"/>
    <x v="21"/>
    <x v="4"/>
    <x v="1"/>
    <x v="2"/>
    <n v="0.04"/>
    <n v="0.04"/>
    <n v="0"/>
    <n v="0.04"/>
  </r>
  <r>
    <x v="12"/>
    <x v="2"/>
    <x v="21"/>
    <x v="4"/>
    <x v="4"/>
    <x v="1"/>
    <n v="0.39"/>
    <n v="0.43"/>
    <n v="0.01"/>
    <n v="0.35"/>
  </r>
  <r>
    <x v="12"/>
    <x v="2"/>
    <x v="21"/>
    <x v="0"/>
    <x v="4"/>
    <x v="1"/>
    <n v="0.45"/>
    <n v="0.49"/>
    <n v="0.05"/>
    <n v="0.4"/>
  </r>
  <r>
    <x v="12"/>
    <x v="2"/>
    <x v="21"/>
    <x v="1"/>
    <x v="0"/>
    <x v="1"/>
    <n v="0.3"/>
    <n v="0.33"/>
    <n v="0.01"/>
    <n v="0.27"/>
  </r>
  <r>
    <x v="12"/>
    <x v="2"/>
    <x v="21"/>
    <x v="0"/>
    <x v="0"/>
    <x v="1"/>
    <n v="2.39"/>
    <n v="2.61"/>
    <n v="0.06"/>
    <n v="2.16"/>
  </r>
  <r>
    <x v="12"/>
    <x v="2"/>
    <x v="21"/>
    <x v="4"/>
    <x v="1"/>
    <x v="1"/>
    <n v="0.36"/>
    <n v="0.39"/>
    <n v="0"/>
    <n v="0.32"/>
  </r>
  <r>
    <x v="12"/>
    <x v="2"/>
    <x v="21"/>
    <x v="1"/>
    <x v="4"/>
    <x v="1"/>
    <n v="0.09"/>
    <n v="0.1"/>
    <n v="0"/>
    <n v="0.09"/>
  </r>
  <r>
    <x v="12"/>
    <x v="2"/>
    <x v="21"/>
    <x v="4"/>
    <x v="0"/>
    <x v="1"/>
    <n v="0.01"/>
    <n v="0.01"/>
    <n v="0.01"/>
    <n v="0.01"/>
  </r>
  <r>
    <x v="12"/>
    <x v="2"/>
    <x v="21"/>
    <x v="2"/>
    <x v="3"/>
    <x v="3"/>
    <n v="62.38"/>
    <n v="67.91"/>
    <n v="0.04"/>
    <n v="56.14"/>
  </r>
  <r>
    <x v="12"/>
    <x v="2"/>
    <x v="21"/>
    <x v="2"/>
    <x v="3"/>
    <x v="2"/>
    <n v="2.87"/>
    <n v="3.12"/>
    <n v="0"/>
    <n v="2.58"/>
  </r>
  <r>
    <x v="12"/>
    <x v="2"/>
    <x v="21"/>
    <x v="4"/>
    <x v="2"/>
    <x v="2"/>
    <n v="0.05"/>
    <n v="0.05"/>
    <n v="0"/>
    <n v="0.04"/>
  </r>
  <r>
    <x v="12"/>
    <x v="2"/>
    <x v="21"/>
    <x v="4"/>
    <x v="4"/>
    <x v="2"/>
    <n v="0.18"/>
    <n v="0.19"/>
    <n v="0"/>
    <n v="0.16"/>
  </r>
  <r>
    <x v="12"/>
    <x v="2"/>
    <x v="21"/>
    <x v="1"/>
    <x v="1"/>
    <x v="1"/>
    <n v="1.55"/>
    <n v="1.69"/>
    <n v="0.02"/>
    <n v="1.4"/>
  </r>
  <r>
    <x v="12"/>
    <x v="2"/>
    <x v="21"/>
    <x v="0"/>
    <x v="4"/>
    <x v="0"/>
    <n v="27.51"/>
    <n v="29.95"/>
    <n v="6.57"/>
    <n v="24.76"/>
  </r>
  <r>
    <x v="12"/>
    <x v="2"/>
    <x v="21"/>
    <x v="1"/>
    <x v="4"/>
    <x v="2"/>
    <n v="0.14000000000000001"/>
    <n v="0.15"/>
    <n v="0.01"/>
    <n v="0.12"/>
  </r>
  <r>
    <x v="12"/>
    <x v="2"/>
    <x v="21"/>
    <x v="1"/>
    <x v="1"/>
    <x v="0"/>
    <n v="46.41"/>
    <n v="50.52"/>
    <n v="2.11"/>
    <n v="41.77"/>
  </r>
  <r>
    <x v="12"/>
    <x v="2"/>
    <x v="21"/>
    <x v="4"/>
    <x v="1"/>
    <x v="0"/>
    <n v="10.36"/>
    <n v="11.28"/>
    <n v="0.57999999999999996"/>
    <n v="9.33"/>
  </r>
  <r>
    <x v="12"/>
    <x v="2"/>
    <x v="21"/>
    <x v="1"/>
    <x v="2"/>
    <x v="1"/>
    <n v="2.4700000000000002"/>
    <n v="2.68"/>
    <n v="0.01"/>
    <n v="2.2200000000000002"/>
  </r>
  <r>
    <x v="12"/>
    <x v="2"/>
    <x v="21"/>
    <x v="2"/>
    <x v="3"/>
    <x v="0"/>
    <n v="4.6399999999999997"/>
    <n v="5.0599999999999996"/>
    <n v="0.04"/>
    <n v="4.18"/>
  </r>
  <r>
    <x v="12"/>
    <x v="2"/>
    <x v="21"/>
    <x v="2"/>
    <x v="4"/>
    <x v="0"/>
    <n v="19.66"/>
    <n v="21.4"/>
    <n v="2.91"/>
    <n v="17.690000000000001"/>
  </r>
  <r>
    <x v="12"/>
    <x v="2"/>
    <x v="21"/>
    <x v="1"/>
    <x v="2"/>
    <x v="0"/>
    <n v="1.95"/>
    <n v="2.12"/>
    <n v="0.03"/>
    <n v="1.75"/>
  </r>
  <r>
    <x v="12"/>
    <x v="2"/>
    <x v="21"/>
    <x v="1"/>
    <x v="4"/>
    <x v="0"/>
    <n v="324.77999999999997"/>
    <n v="353.55"/>
    <n v="51.81"/>
    <n v="292.3"/>
  </r>
  <r>
    <x v="12"/>
    <x v="2"/>
    <x v="21"/>
    <x v="1"/>
    <x v="0"/>
    <x v="0"/>
    <n v="22.95"/>
    <n v="24.99"/>
    <n v="11.2"/>
    <n v="20.66"/>
  </r>
  <r>
    <x v="12"/>
    <x v="2"/>
    <x v="21"/>
    <x v="0"/>
    <x v="0"/>
    <x v="0"/>
    <n v="8.6199999999999992"/>
    <n v="9.3800000000000008"/>
    <n v="3.79"/>
    <n v="7.75"/>
  </r>
  <r>
    <x v="12"/>
    <x v="2"/>
    <x v="21"/>
    <x v="4"/>
    <x v="4"/>
    <x v="0"/>
    <n v="75.55"/>
    <n v="82.25"/>
    <n v="8.0399999999999991"/>
    <n v="68"/>
  </r>
  <r>
    <x v="12"/>
    <x v="2"/>
    <x v="21"/>
    <x v="3"/>
    <x v="1"/>
    <x v="0"/>
    <n v="1.1499999999999999"/>
    <n v="1.25"/>
    <n v="0.1"/>
    <n v="1.04"/>
  </r>
  <r>
    <x v="12"/>
    <x v="2"/>
    <x v="21"/>
    <x v="3"/>
    <x v="4"/>
    <x v="0"/>
    <n v="45.35"/>
    <n v="49.37"/>
    <n v="9.5500000000000007"/>
    <n v="40.81"/>
  </r>
  <r>
    <x v="12"/>
    <x v="2"/>
    <x v="21"/>
    <x v="3"/>
    <x v="0"/>
    <x v="0"/>
    <n v="8.98"/>
    <n v="9.7799999999999994"/>
    <n v="1.7"/>
    <n v="8.08"/>
  </r>
  <r>
    <x v="12"/>
    <x v="2"/>
    <x v="21"/>
    <x v="2"/>
    <x v="3"/>
    <x v="1"/>
    <n v="0.03"/>
    <n v="0.03"/>
    <n v="0"/>
    <n v="0.03"/>
  </r>
  <r>
    <x v="12"/>
    <x v="2"/>
    <x v="21"/>
    <x v="2"/>
    <x v="0"/>
    <x v="0"/>
    <n v="21.13"/>
    <n v="23"/>
    <n v="9.48"/>
    <n v="19.02"/>
  </r>
  <r>
    <x v="12"/>
    <x v="8"/>
    <x v="22"/>
    <x v="4"/>
    <x v="4"/>
    <x v="2"/>
    <n v="0.1"/>
    <n v="0.11"/>
    <n v="0.01"/>
    <n v="0.09"/>
  </r>
  <r>
    <x v="12"/>
    <x v="8"/>
    <x v="22"/>
    <x v="2"/>
    <x v="0"/>
    <x v="0"/>
    <n v="460.71"/>
    <n v="523.51"/>
    <n v="95.12"/>
    <n v="414.64"/>
  </r>
  <r>
    <x v="12"/>
    <x v="8"/>
    <x v="22"/>
    <x v="0"/>
    <x v="1"/>
    <x v="0"/>
    <n v="24.34"/>
    <n v="27.66"/>
    <n v="0.99"/>
    <n v="21.9"/>
  </r>
  <r>
    <x v="12"/>
    <x v="8"/>
    <x v="22"/>
    <x v="4"/>
    <x v="1"/>
    <x v="2"/>
    <n v="0.51"/>
    <n v="0.57999999999999996"/>
    <n v="0.03"/>
    <n v="0.46"/>
  </r>
  <r>
    <x v="12"/>
    <x v="8"/>
    <x v="22"/>
    <x v="1"/>
    <x v="4"/>
    <x v="2"/>
    <n v="3.8"/>
    <n v="4.32"/>
    <n v="0.11"/>
    <n v="3.42"/>
  </r>
  <r>
    <x v="12"/>
    <x v="8"/>
    <x v="22"/>
    <x v="0"/>
    <x v="0"/>
    <x v="0"/>
    <n v="88.98"/>
    <n v="101.11"/>
    <n v="21.8"/>
    <n v="80.08"/>
  </r>
  <r>
    <x v="12"/>
    <x v="8"/>
    <x v="22"/>
    <x v="0"/>
    <x v="4"/>
    <x v="0"/>
    <n v="109.28"/>
    <n v="124.18"/>
    <n v="11.62"/>
    <n v="98.35"/>
  </r>
  <r>
    <x v="12"/>
    <x v="8"/>
    <x v="22"/>
    <x v="0"/>
    <x v="2"/>
    <x v="0"/>
    <n v="10.36"/>
    <n v="11.77"/>
    <n v="0.15"/>
    <n v="9.32"/>
  </r>
  <r>
    <x v="12"/>
    <x v="8"/>
    <x v="22"/>
    <x v="0"/>
    <x v="3"/>
    <x v="0"/>
    <n v="46.28"/>
    <n v="52.58"/>
    <n v="0.31"/>
    <n v="41.65"/>
  </r>
  <r>
    <x v="12"/>
    <x v="8"/>
    <x v="22"/>
    <x v="1"/>
    <x v="0"/>
    <x v="0"/>
    <n v="232.11"/>
    <n v="263.75"/>
    <n v="68.180000000000007"/>
    <n v="208.9"/>
  </r>
  <r>
    <x v="12"/>
    <x v="8"/>
    <x v="22"/>
    <x v="1"/>
    <x v="4"/>
    <x v="0"/>
    <n v="1160.5"/>
    <n v="1318.69"/>
    <n v="159.96"/>
    <n v="1044.45"/>
  </r>
  <r>
    <x v="12"/>
    <x v="8"/>
    <x v="22"/>
    <x v="1"/>
    <x v="1"/>
    <x v="2"/>
    <n v="0.3"/>
    <n v="0.35"/>
    <n v="0.01"/>
    <n v="0.27"/>
  </r>
  <r>
    <x v="12"/>
    <x v="8"/>
    <x v="22"/>
    <x v="4"/>
    <x v="1"/>
    <x v="0"/>
    <n v="9.11"/>
    <n v="10.35"/>
    <n v="1.36"/>
    <n v="8.1999999999999993"/>
  </r>
  <r>
    <x v="12"/>
    <x v="8"/>
    <x v="22"/>
    <x v="2"/>
    <x v="4"/>
    <x v="0"/>
    <n v="103.92"/>
    <n v="118.09"/>
    <n v="15.42"/>
    <n v="93.53"/>
  </r>
  <r>
    <x v="12"/>
    <x v="8"/>
    <x v="22"/>
    <x v="1"/>
    <x v="1"/>
    <x v="1"/>
    <n v="9.8800000000000008"/>
    <n v="11.23"/>
    <n v="0.12"/>
    <n v="8.89"/>
  </r>
  <r>
    <x v="12"/>
    <x v="8"/>
    <x v="22"/>
    <x v="1"/>
    <x v="2"/>
    <x v="0"/>
    <n v="75"/>
    <n v="85.22"/>
    <n v="0.97"/>
    <n v="67.5"/>
  </r>
  <r>
    <x v="12"/>
    <x v="8"/>
    <x v="22"/>
    <x v="1"/>
    <x v="2"/>
    <x v="2"/>
    <n v="0.14000000000000001"/>
    <n v="0.16"/>
    <n v="0"/>
    <n v="0.13"/>
  </r>
  <r>
    <x v="12"/>
    <x v="8"/>
    <x v="22"/>
    <x v="1"/>
    <x v="0"/>
    <x v="1"/>
    <n v="2.3199999999999998"/>
    <n v="2.63"/>
    <n v="0.16"/>
    <n v="2.09"/>
  </r>
  <r>
    <x v="12"/>
    <x v="8"/>
    <x v="22"/>
    <x v="2"/>
    <x v="3"/>
    <x v="2"/>
    <n v="21.32"/>
    <n v="24.23"/>
    <n v="0.01"/>
    <n v="19.190000000000001"/>
  </r>
  <r>
    <x v="12"/>
    <x v="8"/>
    <x v="22"/>
    <x v="2"/>
    <x v="0"/>
    <x v="3"/>
    <n v="0.02"/>
    <n v="0.02"/>
    <n v="0"/>
    <n v="0.02"/>
  </r>
  <r>
    <x v="12"/>
    <x v="8"/>
    <x v="22"/>
    <x v="2"/>
    <x v="4"/>
    <x v="3"/>
    <n v="0.13"/>
    <n v="0.14000000000000001"/>
    <n v="0.01"/>
    <n v="0.11"/>
  </r>
  <r>
    <x v="12"/>
    <x v="8"/>
    <x v="22"/>
    <x v="2"/>
    <x v="1"/>
    <x v="3"/>
    <n v="69.66"/>
    <n v="79.150000000000006"/>
    <n v="0.05"/>
    <n v="62.69"/>
  </r>
  <r>
    <x v="12"/>
    <x v="8"/>
    <x v="22"/>
    <x v="2"/>
    <x v="2"/>
    <x v="3"/>
    <n v="184.58"/>
    <n v="209.74"/>
    <n v="0.04"/>
    <n v="166.12"/>
  </r>
  <r>
    <x v="12"/>
    <x v="8"/>
    <x v="22"/>
    <x v="2"/>
    <x v="3"/>
    <x v="3"/>
    <n v="1.99"/>
    <n v="2.2599999999999998"/>
    <n v="0"/>
    <n v="1.79"/>
  </r>
  <r>
    <x v="12"/>
    <x v="8"/>
    <x v="22"/>
    <x v="4"/>
    <x v="0"/>
    <x v="1"/>
    <n v="2.66"/>
    <n v="3.03"/>
    <n v="0.15"/>
    <n v="2.4"/>
  </r>
  <r>
    <x v="12"/>
    <x v="8"/>
    <x v="22"/>
    <x v="2"/>
    <x v="3"/>
    <x v="1"/>
    <n v="7.12"/>
    <n v="8.09"/>
    <n v="0.01"/>
    <n v="6.4"/>
  </r>
  <r>
    <x v="12"/>
    <x v="8"/>
    <x v="22"/>
    <x v="0"/>
    <x v="4"/>
    <x v="1"/>
    <n v="1.19"/>
    <n v="1.35"/>
    <n v="0.11"/>
    <n v="1.07"/>
  </r>
  <r>
    <x v="12"/>
    <x v="8"/>
    <x v="22"/>
    <x v="4"/>
    <x v="4"/>
    <x v="0"/>
    <n v="237.97"/>
    <n v="270.41000000000003"/>
    <n v="21.69"/>
    <n v="214.17"/>
  </r>
  <r>
    <x v="12"/>
    <x v="8"/>
    <x v="22"/>
    <x v="1"/>
    <x v="4"/>
    <x v="1"/>
    <n v="0.47"/>
    <n v="0.54"/>
    <n v="0.01"/>
    <n v="0.43"/>
  </r>
  <r>
    <x v="12"/>
    <x v="8"/>
    <x v="22"/>
    <x v="1"/>
    <x v="2"/>
    <x v="1"/>
    <n v="11.51"/>
    <n v="13.08"/>
    <n v="0.04"/>
    <n v="10.36"/>
  </r>
  <r>
    <x v="12"/>
    <x v="8"/>
    <x v="22"/>
    <x v="1"/>
    <x v="1"/>
    <x v="0"/>
    <n v="17.760000000000002"/>
    <n v="20.18"/>
    <n v="4.6900000000000004"/>
    <n v="15.98"/>
  </r>
  <r>
    <x v="12"/>
    <x v="8"/>
    <x v="22"/>
    <x v="3"/>
    <x v="0"/>
    <x v="0"/>
    <n v="82.53"/>
    <n v="93.78"/>
    <n v="23.48"/>
    <n v="74.28"/>
  </r>
  <r>
    <x v="12"/>
    <x v="8"/>
    <x v="22"/>
    <x v="3"/>
    <x v="4"/>
    <x v="0"/>
    <n v="343.03"/>
    <n v="389.79"/>
    <n v="53.67"/>
    <n v="308.73"/>
  </r>
  <r>
    <x v="12"/>
    <x v="8"/>
    <x v="22"/>
    <x v="3"/>
    <x v="1"/>
    <x v="0"/>
    <n v="0.69"/>
    <n v="0.79"/>
    <n v="0.22"/>
    <n v="0.62"/>
  </r>
  <r>
    <x v="12"/>
    <x v="8"/>
    <x v="22"/>
    <x v="4"/>
    <x v="0"/>
    <x v="0"/>
    <n v="1.29"/>
    <n v="1.46"/>
    <n v="0.34"/>
    <n v="1.1599999999999999"/>
  </r>
  <r>
    <x v="12"/>
    <x v="8"/>
    <x v="22"/>
    <x v="0"/>
    <x v="0"/>
    <x v="1"/>
    <n v="22.94"/>
    <n v="26.06"/>
    <n v="0.44"/>
    <n v="20.64"/>
  </r>
  <r>
    <x v="12"/>
    <x v="6"/>
    <x v="23"/>
    <x v="4"/>
    <x v="1"/>
    <x v="1"/>
    <n v="0.08"/>
    <n v="0.1"/>
    <n v="0"/>
    <n v="7.0000000000000007E-2"/>
  </r>
  <r>
    <x v="12"/>
    <x v="6"/>
    <x v="23"/>
    <x v="1"/>
    <x v="1"/>
    <x v="0"/>
    <n v="12.77"/>
    <n v="16.02"/>
    <n v="0.67"/>
    <n v="11.49"/>
  </r>
  <r>
    <x v="12"/>
    <x v="6"/>
    <x v="23"/>
    <x v="0"/>
    <x v="4"/>
    <x v="1"/>
    <n v="0.13"/>
    <n v="0.16"/>
    <n v="0.01"/>
    <n v="0.12"/>
  </r>
  <r>
    <x v="12"/>
    <x v="6"/>
    <x v="23"/>
    <x v="1"/>
    <x v="0"/>
    <x v="1"/>
    <n v="0.15"/>
    <n v="0.18"/>
    <n v="0"/>
    <n v="0.13"/>
  </r>
  <r>
    <x v="12"/>
    <x v="6"/>
    <x v="23"/>
    <x v="1"/>
    <x v="4"/>
    <x v="1"/>
    <n v="0.12"/>
    <n v="0.15"/>
    <n v="0"/>
    <n v="0.11"/>
  </r>
  <r>
    <x v="12"/>
    <x v="6"/>
    <x v="23"/>
    <x v="1"/>
    <x v="1"/>
    <x v="1"/>
    <n v="1.66"/>
    <n v="2.08"/>
    <n v="0.01"/>
    <n v="1.49"/>
  </r>
  <r>
    <x v="12"/>
    <x v="6"/>
    <x v="23"/>
    <x v="1"/>
    <x v="2"/>
    <x v="1"/>
    <n v="2.2999999999999998"/>
    <n v="2.89"/>
    <n v="0.01"/>
    <n v="2.0699999999999998"/>
  </r>
  <r>
    <x v="12"/>
    <x v="6"/>
    <x v="23"/>
    <x v="2"/>
    <x v="3"/>
    <x v="1"/>
    <n v="0"/>
    <n v="0"/>
    <n v="0"/>
    <n v="0"/>
  </r>
  <r>
    <x v="12"/>
    <x v="6"/>
    <x v="23"/>
    <x v="3"/>
    <x v="4"/>
    <x v="0"/>
    <n v="20.2"/>
    <n v="25.35"/>
    <n v="3.33"/>
    <n v="18.18"/>
  </r>
  <r>
    <x v="12"/>
    <x v="6"/>
    <x v="23"/>
    <x v="4"/>
    <x v="4"/>
    <x v="0"/>
    <n v="10.82"/>
    <n v="13.58"/>
    <n v="2.15"/>
    <n v="9.74"/>
  </r>
  <r>
    <x v="12"/>
    <x v="6"/>
    <x v="23"/>
    <x v="4"/>
    <x v="1"/>
    <x v="0"/>
    <n v="3.26"/>
    <n v="4.09"/>
    <n v="0.16"/>
    <n v="2.93"/>
  </r>
  <r>
    <x v="12"/>
    <x v="6"/>
    <x v="23"/>
    <x v="0"/>
    <x v="0"/>
    <x v="0"/>
    <n v="3.27"/>
    <n v="4.1100000000000003"/>
    <n v="1.81"/>
    <n v="2.95"/>
  </r>
  <r>
    <x v="12"/>
    <x v="6"/>
    <x v="23"/>
    <x v="0"/>
    <x v="4"/>
    <x v="0"/>
    <n v="5.29"/>
    <n v="6.64"/>
    <n v="1.22"/>
    <n v="4.76"/>
  </r>
  <r>
    <x v="12"/>
    <x v="6"/>
    <x v="23"/>
    <x v="4"/>
    <x v="0"/>
    <x v="1"/>
    <n v="0.16"/>
    <n v="0.2"/>
    <n v="0.01"/>
    <n v="0.14000000000000001"/>
  </r>
  <r>
    <x v="12"/>
    <x v="6"/>
    <x v="23"/>
    <x v="1"/>
    <x v="4"/>
    <x v="0"/>
    <n v="88.65"/>
    <n v="111.26"/>
    <n v="18.649999999999999"/>
    <n v="79.78"/>
  </r>
  <r>
    <x v="12"/>
    <x v="6"/>
    <x v="23"/>
    <x v="4"/>
    <x v="4"/>
    <x v="2"/>
    <n v="0"/>
    <n v="0"/>
    <n v="0"/>
    <n v="0"/>
  </r>
  <r>
    <x v="12"/>
    <x v="6"/>
    <x v="23"/>
    <x v="1"/>
    <x v="2"/>
    <x v="0"/>
    <n v="3.1"/>
    <n v="3.9"/>
    <n v="0.02"/>
    <n v="2.79"/>
  </r>
  <r>
    <x v="12"/>
    <x v="6"/>
    <x v="23"/>
    <x v="2"/>
    <x v="0"/>
    <x v="0"/>
    <n v="2.16"/>
    <n v="2.71"/>
    <n v="1.05"/>
    <n v="1.95"/>
  </r>
  <r>
    <x v="12"/>
    <x v="6"/>
    <x v="23"/>
    <x v="2"/>
    <x v="4"/>
    <x v="0"/>
    <n v="7.55"/>
    <n v="9.4700000000000006"/>
    <n v="1.81"/>
    <n v="6.79"/>
  </r>
  <r>
    <x v="12"/>
    <x v="6"/>
    <x v="23"/>
    <x v="2"/>
    <x v="3"/>
    <x v="0"/>
    <n v="7.14"/>
    <n v="8.9600000000000009"/>
    <n v="0.08"/>
    <n v="6.43"/>
  </r>
  <r>
    <x v="12"/>
    <x v="6"/>
    <x v="23"/>
    <x v="0"/>
    <x v="0"/>
    <x v="1"/>
    <n v="0.6"/>
    <n v="0.75"/>
    <n v="0.01"/>
    <n v="0.54"/>
  </r>
  <r>
    <x v="12"/>
    <x v="6"/>
    <x v="23"/>
    <x v="4"/>
    <x v="4"/>
    <x v="1"/>
    <n v="7.0000000000000007E-2"/>
    <n v="0.09"/>
    <n v="0"/>
    <n v="7.0000000000000007E-2"/>
  </r>
  <r>
    <x v="12"/>
    <x v="6"/>
    <x v="23"/>
    <x v="2"/>
    <x v="3"/>
    <x v="3"/>
    <n v="2.33"/>
    <n v="2.93"/>
    <n v="0"/>
    <n v="2.1"/>
  </r>
  <r>
    <x v="12"/>
    <x v="6"/>
    <x v="23"/>
    <x v="1"/>
    <x v="2"/>
    <x v="2"/>
    <n v="0"/>
    <n v="0"/>
    <n v="0"/>
    <n v="0"/>
  </r>
  <r>
    <x v="12"/>
    <x v="6"/>
    <x v="23"/>
    <x v="4"/>
    <x v="2"/>
    <x v="2"/>
    <n v="0.01"/>
    <n v="0.02"/>
    <n v="0"/>
    <n v="0.01"/>
  </r>
  <r>
    <x v="12"/>
    <x v="6"/>
    <x v="23"/>
    <x v="4"/>
    <x v="1"/>
    <x v="2"/>
    <n v="0.03"/>
    <n v="0.04"/>
    <n v="0"/>
    <n v="0.03"/>
  </r>
  <r>
    <x v="12"/>
    <x v="6"/>
    <x v="23"/>
    <x v="1"/>
    <x v="0"/>
    <x v="0"/>
    <n v="5.35"/>
    <n v="6.71"/>
    <n v="2.73"/>
    <n v="4.8099999999999996"/>
  </r>
  <r>
    <x v="12"/>
    <x v="0"/>
    <x v="24"/>
    <x v="1"/>
    <x v="4"/>
    <x v="0"/>
    <n v="121.8"/>
    <n v="180.45"/>
    <n v="25.21"/>
    <n v="109.62"/>
  </r>
  <r>
    <x v="12"/>
    <x v="0"/>
    <x v="24"/>
    <x v="1"/>
    <x v="1"/>
    <x v="1"/>
    <n v="4.1900000000000004"/>
    <n v="6.2"/>
    <n v="0.15"/>
    <n v="3.77"/>
  </r>
  <r>
    <x v="12"/>
    <x v="0"/>
    <x v="24"/>
    <x v="4"/>
    <x v="4"/>
    <x v="2"/>
    <n v="0.12"/>
    <n v="0.18"/>
    <n v="0"/>
    <n v="0.11"/>
  </r>
  <r>
    <x v="12"/>
    <x v="0"/>
    <x v="24"/>
    <x v="4"/>
    <x v="1"/>
    <x v="2"/>
    <n v="0.13"/>
    <n v="0.2"/>
    <n v="0"/>
    <n v="0.12"/>
  </r>
  <r>
    <x v="12"/>
    <x v="0"/>
    <x v="24"/>
    <x v="4"/>
    <x v="2"/>
    <x v="2"/>
    <n v="0.13"/>
    <n v="0.19"/>
    <n v="0"/>
    <n v="0.12"/>
  </r>
  <r>
    <x v="12"/>
    <x v="0"/>
    <x v="24"/>
    <x v="1"/>
    <x v="4"/>
    <x v="2"/>
    <n v="0.43"/>
    <n v="0.64"/>
    <n v="0.02"/>
    <n v="0.39"/>
  </r>
  <r>
    <x v="12"/>
    <x v="0"/>
    <x v="24"/>
    <x v="2"/>
    <x v="3"/>
    <x v="2"/>
    <n v="1.39"/>
    <n v="2.0499999999999998"/>
    <n v="0"/>
    <n v="1.25"/>
  </r>
  <r>
    <x v="12"/>
    <x v="0"/>
    <x v="24"/>
    <x v="2"/>
    <x v="3"/>
    <x v="3"/>
    <n v="14.35"/>
    <n v="21.26"/>
    <n v="0.01"/>
    <n v="12.91"/>
  </r>
  <r>
    <x v="12"/>
    <x v="0"/>
    <x v="24"/>
    <x v="4"/>
    <x v="0"/>
    <x v="1"/>
    <n v="0.7"/>
    <n v="1.04"/>
    <n v="0.05"/>
    <n v="0.63"/>
  </r>
  <r>
    <x v="12"/>
    <x v="0"/>
    <x v="24"/>
    <x v="4"/>
    <x v="4"/>
    <x v="1"/>
    <n v="0.18"/>
    <n v="0.27"/>
    <n v="0.02"/>
    <n v="0.16"/>
  </r>
  <r>
    <x v="12"/>
    <x v="0"/>
    <x v="24"/>
    <x v="4"/>
    <x v="1"/>
    <x v="1"/>
    <n v="0.06"/>
    <n v="0.08"/>
    <n v="0.01"/>
    <n v="0.05"/>
  </r>
  <r>
    <x v="12"/>
    <x v="0"/>
    <x v="24"/>
    <x v="0"/>
    <x v="0"/>
    <x v="1"/>
    <n v="1.56"/>
    <n v="2.3199999999999998"/>
    <n v="0.04"/>
    <n v="1.41"/>
  </r>
  <r>
    <x v="12"/>
    <x v="0"/>
    <x v="24"/>
    <x v="0"/>
    <x v="4"/>
    <x v="1"/>
    <n v="0.12"/>
    <n v="0.18"/>
    <n v="0.02"/>
    <n v="0.11"/>
  </r>
  <r>
    <x v="12"/>
    <x v="0"/>
    <x v="24"/>
    <x v="1"/>
    <x v="2"/>
    <x v="0"/>
    <n v="10.41"/>
    <n v="15.43"/>
    <n v="0.14000000000000001"/>
    <n v="9.3699999999999992"/>
  </r>
  <r>
    <x v="12"/>
    <x v="0"/>
    <x v="24"/>
    <x v="1"/>
    <x v="4"/>
    <x v="1"/>
    <n v="0.28999999999999998"/>
    <n v="0.44"/>
    <n v="0.01"/>
    <n v="0.26"/>
  </r>
  <r>
    <x v="12"/>
    <x v="0"/>
    <x v="24"/>
    <x v="2"/>
    <x v="0"/>
    <x v="0"/>
    <n v="7.68"/>
    <n v="11.37"/>
    <n v="6.38"/>
    <n v="6.91"/>
  </r>
  <r>
    <x v="12"/>
    <x v="0"/>
    <x v="24"/>
    <x v="1"/>
    <x v="2"/>
    <x v="1"/>
    <n v="10.94"/>
    <n v="16.21"/>
    <n v="0.05"/>
    <n v="9.85"/>
  </r>
  <r>
    <x v="12"/>
    <x v="0"/>
    <x v="24"/>
    <x v="3"/>
    <x v="0"/>
    <x v="0"/>
    <n v="9.5"/>
    <n v="14.07"/>
    <n v="3.29"/>
    <n v="8.5500000000000007"/>
  </r>
  <r>
    <x v="12"/>
    <x v="0"/>
    <x v="24"/>
    <x v="3"/>
    <x v="4"/>
    <x v="0"/>
    <n v="12.98"/>
    <n v="19.23"/>
    <n v="4.1900000000000004"/>
    <n v="11.68"/>
  </r>
  <r>
    <x v="12"/>
    <x v="0"/>
    <x v="24"/>
    <x v="3"/>
    <x v="1"/>
    <x v="0"/>
    <n v="0.02"/>
    <n v="0.03"/>
    <n v="0"/>
    <n v="0.02"/>
  </r>
  <r>
    <x v="12"/>
    <x v="0"/>
    <x v="24"/>
    <x v="4"/>
    <x v="0"/>
    <x v="0"/>
    <n v="0.43"/>
    <n v="0.64"/>
    <n v="0.08"/>
    <n v="0.39"/>
  </r>
  <r>
    <x v="12"/>
    <x v="0"/>
    <x v="24"/>
    <x v="4"/>
    <x v="4"/>
    <x v="0"/>
    <n v="23.73"/>
    <n v="35.15"/>
    <n v="5.37"/>
    <n v="21.35"/>
  </r>
  <r>
    <x v="12"/>
    <x v="0"/>
    <x v="24"/>
    <x v="4"/>
    <x v="1"/>
    <x v="0"/>
    <n v="7.34"/>
    <n v="10.87"/>
    <n v="0.64"/>
    <n v="6.61"/>
  </r>
  <r>
    <x v="12"/>
    <x v="0"/>
    <x v="24"/>
    <x v="0"/>
    <x v="0"/>
    <x v="0"/>
    <n v="1.63"/>
    <n v="2.41"/>
    <n v="4.21"/>
    <n v="1.46"/>
  </r>
  <r>
    <x v="12"/>
    <x v="0"/>
    <x v="24"/>
    <x v="0"/>
    <x v="4"/>
    <x v="0"/>
    <n v="9.85"/>
    <n v="14.6"/>
    <n v="3.06"/>
    <n v="8.8699999999999992"/>
  </r>
  <r>
    <x v="12"/>
    <x v="0"/>
    <x v="24"/>
    <x v="1"/>
    <x v="0"/>
    <x v="0"/>
    <n v="7.85"/>
    <n v="11.62"/>
    <n v="5.78"/>
    <n v="7.06"/>
  </r>
  <r>
    <x v="12"/>
    <x v="0"/>
    <x v="24"/>
    <x v="2"/>
    <x v="4"/>
    <x v="0"/>
    <n v="6.15"/>
    <n v="9.11"/>
    <n v="1.64"/>
    <n v="5.54"/>
  </r>
  <r>
    <x v="12"/>
    <x v="0"/>
    <x v="24"/>
    <x v="1"/>
    <x v="1"/>
    <x v="0"/>
    <n v="6.91"/>
    <n v="10.24"/>
    <n v="0.56999999999999995"/>
    <n v="6.22"/>
  </r>
  <r>
    <x v="12"/>
    <x v="0"/>
    <x v="24"/>
    <x v="1"/>
    <x v="0"/>
    <x v="1"/>
    <n v="0.1"/>
    <n v="0.15"/>
    <n v="0.01"/>
    <n v="0.09"/>
  </r>
  <r>
    <x v="12"/>
    <x v="2"/>
    <x v="25"/>
    <x v="2"/>
    <x v="3"/>
    <x v="1"/>
    <n v="0.01"/>
    <n v="0.01"/>
    <n v="0"/>
    <n v="0.01"/>
  </r>
  <r>
    <x v="12"/>
    <x v="2"/>
    <x v="25"/>
    <x v="0"/>
    <x v="0"/>
    <x v="1"/>
    <n v="0.2"/>
    <n v="0.22"/>
    <n v="0.01"/>
    <n v="0.18"/>
  </r>
  <r>
    <x v="12"/>
    <x v="2"/>
    <x v="25"/>
    <x v="2"/>
    <x v="0"/>
    <x v="0"/>
    <n v="13.68"/>
    <n v="14.89"/>
    <n v="4.7300000000000004"/>
    <n v="12.31"/>
  </r>
  <r>
    <x v="12"/>
    <x v="2"/>
    <x v="25"/>
    <x v="1"/>
    <x v="2"/>
    <x v="0"/>
    <n v="2.81"/>
    <n v="3.06"/>
    <n v="0.06"/>
    <n v="2.5299999999999998"/>
  </r>
  <r>
    <x v="12"/>
    <x v="2"/>
    <x v="25"/>
    <x v="1"/>
    <x v="1"/>
    <x v="0"/>
    <n v="50.31"/>
    <n v="54.77"/>
    <n v="2.02"/>
    <n v="45.28"/>
  </r>
  <r>
    <x v="12"/>
    <x v="2"/>
    <x v="25"/>
    <x v="1"/>
    <x v="4"/>
    <x v="0"/>
    <n v="389.24"/>
    <n v="423.72"/>
    <n v="59.64"/>
    <n v="350.32"/>
  </r>
  <r>
    <x v="12"/>
    <x v="2"/>
    <x v="25"/>
    <x v="1"/>
    <x v="0"/>
    <x v="0"/>
    <n v="30.34"/>
    <n v="33.03"/>
    <n v="14.96"/>
    <n v="27.31"/>
  </r>
  <r>
    <x v="12"/>
    <x v="2"/>
    <x v="25"/>
    <x v="0"/>
    <x v="4"/>
    <x v="0"/>
    <n v="47.35"/>
    <n v="51.54"/>
    <n v="9.93"/>
    <n v="42.61"/>
  </r>
  <r>
    <x v="12"/>
    <x v="2"/>
    <x v="25"/>
    <x v="0"/>
    <x v="0"/>
    <x v="0"/>
    <n v="7.23"/>
    <n v="7.88"/>
    <n v="3.42"/>
    <n v="6.51"/>
  </r>
  <r>
    <x v="12"/>
    <x v="2"/>
    <x v="25"/>
    <x v="4"/>
    <x v="1"/>
    <x v="0"/>
    <n v="18.329999999999998"/>
    <n v="19.95"/>
    <n v="0.88"/>
    <n v="16.5"/>
  </r>
  <r>
    <x v="12"/>
    <x v="2"/>
    <x v="25"/>
    <x v="4"/>
    <x v="4"/>
    <x v="0"/>
    <n v="111.99"/>
    <n v="121.92"/>
    <n v="11.71"/>
    <n v="100.8"/>
  </r>
  <r>
    <x v="12"/>
    <x v="2"/>
    <x v="25"/>
    <x v="3"/>
    <x v="1"/>
    <x v="0"/>
    <n v="1.43"/>
    <n v="1.55"/>
    <n v="0.12"/>
    <n v="1.28"/>
  </r>
  <r>
    <x v="12"/>
    <x v="2"/>
    <x v="25"/>
    <x v="2"/>
    <x v="4"/>
    <x v="0"/>
    <n v="15.85"/>
    <n v="17.25"/>
    <n v="2.54"/>
    <n v="14.26"/>
  </r>
  <r>
    <x v="12"/>
    <x v="2"/>
    <x v="25"/>
    <x v="3"/>
    <x v="0"/>
    <x v="0"/>
    <n v="11.1"/>
    <n v="12.08"/>
    <n v="6.19"/>
    <n v="9.99"/>
  </r>
  <r>
    <x v="12"/>
    <x v="2"/>
    <x v="25"/>
    <x v="2"/>
    <x v="3"/>
    <x v="0"/>
    <n v="5.1100000000000003"/>
    <n v="5.56"/>
    <n v="0.04"/>
    <n v="4.5999999999999996"/>
  </r>
  <r>
    <x v="12"/>
    <x v="2"/>
    <x v="25"/>
    <x v="1"/>
    <x v="2"/>
    <x v="1"/>
    <n v="0.49"/>
    <n v="0.53"/>
    <n v="0"/>
    <n v="0.44"/>
  </r>
  <r>
    <x v="12"/>
    <x v="2"/>
    <x v="25"/>
    <x v="1"/>
    <x v="1"/>
    <x v="1"/>
    <n v="0.23"/>
    <n v="0.25"/>
    <n v="0"/>
    <n v="0.21"/>
  </r>
  <r>
    <x v="12"/>
    <x v="2"/>
    <x v="25"/>
    <x v="1"/>
    <x v="4"/>
    <x v="1"/>
    <n v="7.0000000000000007E-2"/>
    <n v="7.0000000000000007E-2"/>
    <n v="0"/>
    <n v="0.06"/>
  </r>
  <r>
    <x v="12"/>
    <x v="2"/>
    <x v="25"/>
    <x v="1"/>
    <x v="0"/>
    <x v="1"/>
    <n v="0.28999999999999998"/>
    <n v="0.32"/>
    <n v="0.01"/>
    <n v="0.26"/>
  </r>
  <r>
    <x v="12"/>
    <x v="2"/>
    <x v="25"/>
    <x v="0"/>
    <x v="4"/>
    <x v="1"/>
    <n v="0.08"/>
    <n v="0.09"/>
    <n v="0.01"/>
    <n v="7.0000000000000007E-2"/>
  </r>
  <r>
    <x v="12"/>
    <x v="2"/>
    <x v="25"/>
    <x v="4"/>
    <x v="4"/>
    <x v="2"/>
    <n v="0.05"/>
    <n v="0.06"/>
    <n v="0"/>
    <n v="0.05"/>
  </r>
  <r>
    <x v="12"/>
    <x v="2"/>
    <x v="25"/>
    <x v="1"/>
    <x v="4"/>
    <x v="2"/>
    <n v="0.12"/>
    <n v="0.13"/>
    <n v="0"/>
    <n v="0.11"/>
  </r>
  <r>
    <x v="12"/>
    <x v="2"/>
    <x v="25"/>
    <x v="2"/>
    <x v="3"/>
    <x v="2"/>
    <n v="1.83"/>
    <n v="1.99"/>
    <n v="0"/>
    <n v="1.64"/>
  </r>
  <r>
    <x v="12"/>
    <x v="2"/>
    <x v="25"/>
    <x v="2"/>
    <x v="3"/>
    <x v="3"/>
    <n v="23.27"/>
    <n v="25.34"/>
    <n v="0.01"/>
    <n v="20.95"/>
  </r>
  <r>
    <x v="12"/>
    <x v="2"/>
    <x v="25"/>
    <x v="4"/>
    <x v="0"/>
    <x v="1"/>
    <n v="0.01"/>
    <n v="0.01"/>
    <n v="0"/>
    <n v="0.01"/>
  </r>
  <r>
    <x v="12"/>
    <x v="2"/>
    <x v="25"/>
    <x v="4"/>
    <x v="4"/>
    <x v="1"/>
    <n v="0.08"/>
    <n v="0.08"/>
    <n v="0"/>
    <n v="7.0000000000000007E-2"/>
  </r>
  <r>
    <x v="12"/>
    <x v="2"/>
    <x v="25"/>
    <x v="4"/>
    <x v="1"/>
    <x v="1"/>
    <n v="0.06"/>
    <n v="0.06"/>
    <n v="0"/>
    <n v="0.05"/>
  </r>
  <r>
    <x v="12"/>
    <x v="2"/>
    <x v="25"/>
    <x v="3"/>
    <x v="4"/>
    <x v="0"/>
    <n v="69.260000000000005"/>
    <n v="75.400000000000006"/>
    <n v="14.07"/>
    <n v="62.34"/>
  </r>
  <r>
    <x v="12"/>
    <x v="1"/>
    <x v="26"/>
    <x v="4"/>
    <x v="1"/>
    <x v="0"/>
    <n v="0.95"/>
    <n v="1.08"/>
    <n v="0.05"/>
    <n v="0.86"/>
  </r>
  <r>
    <x v="12"/>
    <x v="1"/>
    <x v="26"/>
    <x v="2"/>
    <x v="3"/>
    <x v="1"/>
    <n v="0"/>
    <n v="0"/>
    <n v="0"/>
    <n v="0"/>
  </r>
  <r>
    <x v="12"/>
    <x v="1"/>
    <x v="26"/>
    <x v="1"/>
    <x v="2"/>
    <x v="1"/>
    <n v="0.05"/>
    <n v="0.06"/>
    <n v="0.01"/>
    <n v="0.05"/>
  </r>
  <r>
    <x v="12"/>
    <x v="1"/>
    <x v="26"/>
    <x v="1"/>
    <x v="4"/>
    <x v="1"/>
    <n v="0.09"/>
    <n v="0.1"/>
    <n v="0"/>
    <n v="0.08"/>
  </r>
  <r>
    <x v="12"/>
    <x v="1"/>
    <x v="26"/>
    <x v="4"/>
    <x v="1"/>
    <x v="1"/>
    <n v="0.01"/>
    <n v="0.01"/>
    <n v="0"/>
    <n v="0.01"/>
  </r>
  <r>
    <x v="12"/>
    <x v="1"/>
    <x v="26"/>
    <x v="4"/>
    <x v="0"/>
    <x v="1"/>
    <n v="0.01"/>
    <n v="0.01"/>
    <n v="0"/>
    <n v="0.01"/>
  </r>
  <r>
    <x v="12"/>
    <x v="1"/>
    <x v="26"/>
    <x v="2"/>
    <x v="3"/>
    <x v="3"/>
    <n v="0.01"/>
    <n v="0.01"/>
    <n v="0"/>
    <n v="0.01"/>
  </r>
  <r>
    <x v="12"/>
    <x v="1"/>
    <x v="26"/>
    <x v="1"/>
    <x v="1"/>
    <x v="2"/>
    <n v="0.01"/>
    <n v="0.01"/>
    <n v="0"/>
    <n v="0.01"/>
  </r>
  <r>
    <x v="12"/>
    <x v="1"/>
    <x v="26"/>
    <x v="3"/>
    <x v="4"/>
    <x v="0"/>
    <n v="2.08"/>
    <n v="2.35"/>
    <n v="0.65"/>
    <n v="1.88"/>
  </r>
  <r>
    <x v="12"/>
    <x v="1"/>
    <x v="26"/>
    <x v="4"/>
    <x v="4"/>
    <x v="0"/>
    <n v="10.43"/>
    <n v="11.77"/>
    <n v="1.49"/>
    <n v="9.39"/>
  </r>
  <r>
    <x v="12"/>
    <x v="1"/>
    <x v="26"/>
    <x v="1"/>
    <x v="1"/>
    <x v="1"/>
    <n v="0.11"/>
    <n v="0.12"/>
    <n v="0.01"/>
    <n v="0.1"/>
  </r>
  <r>
    <x v="12"/>
    <x v="1"/>
    <x v="26"/>
    <x v="0"/>
    <x v="0"/>
    <x v="0"/>
    <n v="0.17"/>
    <n v="0.2"/>
    <n v="0.06"/>
    <n v="0.16"/>
  </r>
  <r>
    <x v="12"/>
    <x v="1"/>
    <x v="26"/>
    <x v="0"/>
    <x v="4"/>
    <x v="0"/>
    <n v="7.29"/>
    <n v="8.23"/>
    <n v="1.96"/>
    <n v="6.56"/>
  </r>
  <r>
    <x v="12"/>
    <x v="1"/>
    <x v="26"/>
    <x v="1"/>
    <x v="0"/>
    <x v="0"/>
    <n v="2.9"/>
    <n v="3.27"/>
    <n v="1.35"/>
    <n v="2.61"/>
  </r>
  <r>
    <x v="12"/>
    <x v="1"/>
    <x v="26"/>
    <x v="1"/>
    <x v="4"/>
    <x v="0"/>
    <n v="23.43"/>
    <n v="26.44"/>
    <n v="3.39"/>
    <n v="21.08"/>
  </r>
  <r>
    <x v="12"/>
    <x v="1"/>
    <x v="26"/>
    <x v="1"/>
    <x v="1"/>
    <x v="0"/>
    <n v="2.59"/>
    <n v="2.93"/>
    <n v="0.12"/>
    <n v="2.33"/>
  </r>
  <r>
    <x v="12"/>
    <x v="1"/>
    <x v="26"/>
    <x v="1"/>
    <x v="2"/>
    <x v="0"/>
    <n v="0.08"/>
    <n v="0.09"/>
    <n v="0"/>
    <n v="7.0000000000000007E-2"/>
  </r>
  <r>
    <x v="12"/>
    <x v="1"/>
    <x v="26"/>
    <x v="2"/>
    <x v="0"/>
    <x v="0"/>
    <n v="0.85"/>
    <n v="0.96"/>
    <n v="0.44"/>
    <n v="0.76"/>
  </r>
  <r>
    <x v="12"/>
    <x v="1"/>
    <x v="26"/>
    <x v="2"/>
    <x v="4"/>
    <x v="0"/>
    <n v="3.92"/>
    <n v="4.43"/>
    <n v="0.86"/>
    <n v="3.53"/>
  </r>
  <r>
    <x v="12"/>
    <x v="1"/>
    <x v="26"/>
    <x v="4"/>
    <x v="1"/>
    <x v="2"/>
    <n v="0.01"/>
    <n v="0.01"/>
    <n v="0"/>
    <n v="0.01"/>
  </r>
  <r>
    <x v="12"/>
    <x v="1"/>
    <x v="26"/>
    <x v="3"/>
    <x v="1"/>
    <x v="0"/>
    <n v="0.01"/>
    <n v="0.02"/>
    <n v="0"/>
    <n v="0.01"/>
  </r>
  <r>
    <x v="12"/>
    <x v="1"/>
    <x v="26"/>
    <x v="0"/>
    <x v="4"/>
    <x v="1"/>
    <n v="0.01"/>
    <n v="0.01"/>
    <n v="0"/>
    <n v="0"/>
  </r>
  <r>
    <x v="12"/>
    <x v="2"/>
    <x v="27"/>
    <x v="4"/>
    <x v="1"/>
    <x v="2"/>
    <n v="0.01"/>
    <n v="0.02"/>
    <n v="0"/>
    <n v="0.01"/>
  </r>
  <r>
    <x v="12"/>
    <x v="2"/>
    <x v="27"/>
    <x v="2"/>
    <x v="3"/>
    <x v="0"/>
    <n v="2.96"/>
    <n v="3.98"/>
    <n v="0.03"/>
    <n v="2.66"/>
  </r>
  <r>
    <x v="12"/>
    <x v="2"/>
    <x v="27"/>
    <x v="2"/>
    <x v="4"/>
    <x v="0"/>
    <n v="2.88"/>
    <n v="3.87"/>
    <n v="0.35"/>
    <n v="2.59"/>
  </r>
  <r>
    <x v="12"/>
    <x v="2"/>
    <x v="27"/>
    <x v="2"/>
    <x v="0"/>
    <x v="0"/>
    <n v="1.94"/>
    <n v="2.61"/>
    <n v="0.73"/>
    <n v="1.75"/>
  </r>
  <r>
    <x v="12"/>
    <x v="2"/>
    <x v="27"/>
    <x v="1"/>
    <x v="1"/>
    <x v="0"/>
    <n v="6.17"/>
    <n v="8.3000000000000007"/>
    <n v="0.34"/>
    <n v="5.55"/>
  </r>
  <r>
    <x v="12"/>
    <x v="2"/>
    <x v="27"/>
    <x v="1"/>
    <x v="4"/>
    <x v="0"/>
    <n v="61.38"/>
    <n v="82.55"/>
    <n v="11.1"/>
    <n v="55.24"/>
  </r>
  <r>
    <x v="12"/>
    <x v="2"/>
    <x v="27"/>
    <x v="1"/>
    <x v="0"/>
    <x v="0"/>
    <n v="3.66"/>
    <n v="4.92"/>
    <n v="2.06"/>
    <n v="3.29"/>
  </r>
  <r>
    <x v="12"/>
    <x v="2"/>
    <x v="27"/>
    <x v="0"/>
    <x v="4"/>
    <x v="0"/>
    <n v="5.94"/>
    <n v="7.99"/>
    <n v="1.28"/>
    <n v="5.35"/>
  </r>
  <r>
    <x v="12"/>
    <x v="2"/>
    <x v="27"/>
    <x v="0"/>
    <x v="4"/>
    <x v="1"/>
    <n v="0.01"/>
    <n v="0.01"/>
    <n v="0"/>
    <n v="0.01"/>
  </r>
  <r>
    <x v="12"/>
    <x v="2"/>
    <x v="27"/>
    <x v="0"/>
    <x v="0"/>
    <x v="1"/>
    <n v="0.11"/>
    <n v="0.15"/>
    <n v="0"/>
    <n v="0.1"/>
  </r>
  <r>
    <x v="12"/>
    <x v="2"/>
    <x v="27"/>
    <x v="4"/>
    <x v="1"/>
    <x v="1"/>
    <n v="0.02"/>
    <n v="0.03"/>
    <n v="0"/>
    <n v="0.02"/>
  </r>
  <r>
    <x v="12"/>
    <x v="2"/>
    <x v="27"/>
    <x v="4"/>
    <x v="4"/>
    <x v="1"/>
    <n v="0.03"/>
    <n v="0.04"/>
    <n v="0"/>
    <n v="0.03"/>
  </r>
  <r>
    <x v="12"/>
    <x v="2"/>
    <x v="27"/>
    <x v="4"/>
    <x v="0"/>
    <x v="1"/>
    <n v="0"/>
    <n v="0"/>
    <n v="0"/>
    <n v="0"/>
  </r>
  <r>
    <x v="12"/>
    <x v="2"/>
    <x v="27"/>
    <x v="1"/>
    <x v="4"/>
    <x v="2"/>
    <n v="1.29"/>
    <n v="1.74"/>
    <n v="0.02"/>
    <n v="1.1599999999999999"/>
  </r>
  <r>
    <x v="12"/>
    <x v="2"/>
    <x v="27"/>
    <x v="0"/>
    <x v="0"/>
    <x v="0"/>
    <n v="1.08"/>
    <n v="1.45"/>
    <n v="0.48"/>
    <n v="0.97"/>
  </r>
  <r>
    <x v="12"/>
    <x v="2"/>
    <x v="27"/>
    <x v="1"/>
    <x v="4"/>
    <x v="1"/>
    <n v="0.02"/>
    <n v="0.03"/>
    <n v="0"/>
    <n v="0.02"/>
  </r>
  <r>
    <x v="12"/>
    <x v="2"/>
    <x v="27"/>
    <x v="1"/>
    <x v="1"/>
    <x v="1"/>
    <n v="0.04"/>
    <n v="0.05"/>
    <n v="0"/>
    <n v="0.03"/>
  </r>
  <r>
    <x v="12"/>
    <x v="2"/>
    <x v="27"/>
    <x v="1"/>
    <x v="2"/>
    <x v="1"/>
    <n v="0.02"/>
    <n v="0.03"/>
    <n v="0"/>
    <n v="0.02"/>
  </r>
  <r>
    <x v="12"/>
    <x v="2"/>
    <x v="27"/>
    <x v="2"/>
    <x v="3"/>
    <x v="1"/>
    <n v="0.01"/>
    <n v="0.01"/>
    <n v="0"/>
    <n v="0.01"/>
  </r>
  <r>
    <x v="12"/>
    <x v="2"/>
    <x v="27"/>
    <x v="3"/>
    <x v="0"/>
    <x v="0"/>
    <n v="3.11"/>
    <n v="4.18"/>
    <n v="0.61"/>
    <n v="2.8"/>
  </r>
  <r>
    <x v="12"/>
    <x v="2"/>
    <x v="27"/>
    <x v="3"/>
    <x v="4"/>
    <x v="0"/>
    <n v="4.42"/>
    <n v="5.95"/>
    <n v="1.53"/>
    <n v="3.98"/>
  </r>
  <r>
    <x v="12"/>
    <x v="2"/>
    <x v="27"/>
    <x v="4"/>
    <x v="4"/>
    <x v="2"/>
    <n v="0.13"/>
    <n v="0.18"/>
    <n v="0.01"/>
    <n v="0.12"/>
  </r>
  <r>
    <x v="12"/>
    <x v="2"/>
    <x v="27"/>
    <x v="3"/>
    <x v="1"/>
    <x v="0"/>
    <n v="0.15"/>
    <n v="0.2"/>
    <n v="0.01"/>
    <n v="0.13"/>
  </r>
  <r>
    <x v="12"/>
    <x v="2"/>
    <x v="27"/>
    <x v="1"/>
    <x v="0"/>
    <x v="1"/>
    <n v="0.05"/>
    <n v="0.06"/>
    <n v="0"/>
    <n v="0.04"/>
  </r>
  <r>
    <x v="12"/>
    <x v="2"/>
    <x v="27"/>
    <x v="4"/>
    <x v="4"/>
    <x v="0"/>
    <n v="22.68"/>
    <n v="30.5"/>
    <n v="2.31"/>
    <n v="20.41"/>
  </r>
  <r>
    <x v="12"/>
    <x v="2"/>
    <x v="27"/>
    <x v="4"/>
    <x v="1"/>
    <x v="0"/>
    <n v="3.06"/>
    <n v="4.12"/>
    <n v="0.15"/>
    <n v="2.76"/>
  </r>
  <r>
    <x v="12"/>
    <x v="2"/>
    <x v="27"/>
    <x v="2"/>
    <x v="3"/>
    <x v="3"/>
    <n v="3.94"/>
    <n v="5.3"/>
    <n v="0"/>
    <n v="3.55"/>
  </r>
  <r>
    <x v="12"/>
    <x v="5"/>
    <x v="28"/>
    <x v="0"/>
    <x v="0"/>
    <x v="0"/>
    <n v="2.93"/>
    <n v="3.15"/>
    <n v="1.55"/>
    <n v="2.63"/>
  </r>
  <r>
    <x v="12"/>
    <x v="5"/>
    <x v="28"/>
    <x v="1"/>
    <x v="0"/>
    <x v="1"/>
    <n v="0.33"/>
    <n v="0.36"/>
    <n v="0.01"/>
    <n v="0.3"/>
  </r>
  <r>
    <x v="12"/>
    <x v="5"/>
    <x v="28"/>
    <x v="1"/>
    <x v="4"/>
    <x v="1"/>
    <n v="0.01"/>
    <n v="0.01"/>
    <n v="0"/>
    <n v="0.01"/>
  </r>
  <r>
    <x v="12"/>
    <x v="5"/>
    <x v="28"/>
    <x v="1"/>
    <x v="1"/>
    <x v="1"/>
    <n v="0.21"/>
    <n v="0.23"/>
    <n v="0"/>
    <n v="0.19"/>
  </r>
  <r>
    <x v="12"/>
    <x v="5"/>
    <x v="28"/>
    <x v="1"/>
    <x v="2"/>
    <x v="1"/>
    <n v="0.61"/>
    <n v="0.66"/>
    <n v="0"/>
    <n v="0.55000000000000004"/>
  </r>
  <r>
    <x v="12"/>
    <x v="5"/>
    <x v="28"/>
    <x v="2"/>
    <x v="3"/>
    <x v="1"/>
    <n v="0.12"/>
    <n v="0.13"/>
    <n v="0"/>
    <n v="0.11"/>
  </r>
  <r>
    <x v="12"/>
    <x v="5"/>
    <x v="28"/>
    <x v="3"/>
    <x v="0"/>
    <x v="0"/>
    <n v="4.82"/>
    <n v="5.19"/>
    <n v="1.17"/>
    <n v="4.34"/>
  </r>
  <r>
    <x v="12"/>
    <x v="5"/>
    <x v="28"/>
    <x v="3"/>
    <x v="4"/>
    <x v="0"/>
    <n v="6.29"/>
    <n v="6.78"/>
    <n v="1.94"/>
    <n v="5.66"/>
  </r>
  <r>
    <x v="12"/>
    <x v="5"/>
    <x v="28"/>
    <x v="3"/>
    <x v="1"/>
    <x v="0"/>
    <n v="0"/>
    <n v="0"/>
    <n v="0"/>
    <n v="0"/>
  </r>
  <r>
    <x v="12"/>
    <x v="5"/>
    <x v="28"/>
    <x v="0"/>
    <x v="4"/>
    <x v="1"/>
    <n v="0.06"/>
    <n v="0.06"/>
    <n v="0"/>
    <n v="0.05"/>
  </r>
  <r>
    <x v="12"/>
    <x v="5"/>
    <x v="28"/>
    <x v="4"/>
    <x v="1"/>
    <x v="0"/>
    <n v="3.51"/>
    <n v="3.79"/>
    <n v="0.19"/>
    <n v="3.16"/>
  </r>
  <r>
    <x v="12"/>
    <x v="5"/>
    <x v="28"/>
    <x v="0"/>
    <x v="0"/>
    <x v="1"/>
    <n v="0.46"/>
    <n v="0.5"/>
    <n v="0.01"/>
    <n v="0.42"/>
  </r>
  <r>
    <x v="12"/>
    <x v="5"/>
    <x v="28"/>
    <x v="0"/>
    <x v="4"/>
    <x v="0"/>
    <n v="9.6300000000000008"/>
    <n v="10.38"/>
    <n v="2.6"/>
    <n v="8.67"/>
  </r>
  <r>
    <x v="12"/>
    <x v="5"/>
    <x v="28"/>
    <x v="1"/>
    <x v="0"/>
    <x v="0"/>
    <n v="9.5"/>
    <n v="10.24"/>
    <n v="5.76"/>
    <n v="8.5500000000000007"/>
  </r>
  <r>
    <x v="12"/>
    <x v="5"/>
    <x v="28"/>
    <x v="1"/>
    <x v="4"/>
    <x v="0"/>
    <n v="120.49"/>
    <n v="129.83000000000001"/>
    <n v="29.69"/>
    <n v="108.44"/>
  </r>
  <r>
    <x v="12"/>
    <x v="5"/>
    <x v="28"/>
    <x v="1"/>
    <x v="1"/>
    <x v="0"/>
    <n v="18.37"/>
    <n v="19.8"/>
    <n v="1.17"/>
    <n v="16.53"/>
  </r>
  <r>
    <x v="12"/>
    <x v="5"/>
    <x v="28"/>
    <x v="1"/>
    <x v="2"/>
    <x v="0"/>
    <n v="0.47"/>
    <n v="0.51"/>
    <n v="0.02"/>
    <n v="0.43"/>
  </r>
  <r>
    <x v="12"/>
    <x v="5"/>
    <x v="28"/>
    <x v="2"/>
    <x v="0"/>
    <x v="0"/>
    <n v="5.49"/>
    <n v="5.92"/>
    <n v="3.23"/>
    <n v="4.9400000000000004"/>
  </r>
  <r>
    <x v="12"/>
    <x v="5"/>
    <x v="28"/>
    <x v="2"/>
    <x v="4"/>
    <x v="0"/>
    <n v="5.27"/>
    <n v="5.68"/>
    <n v="0.99"/>
    <n v="4.74"/>
  </r>
  <r>
    <x v="12"/>
    <x v="5"/>
    <x v="28"/>
    <x v="2"/>
    <x v="3"/>
    <x v="0"/>
    <n v="4.58"/>
    <n v="4.9400000000000004"/>
    <n v="0.04"/>
    <n v="4.12"/>
  </r>
  <r>
    <x v="12"/>
    <x v="5"/>
    <x v="28"/>
    <x v="4"/>
    <x v="4"/>
    <x v="0"/>
    <n v="38.479999999999997"/>
    <n v="41.46"/>
    <n v="4.79"/>
    <n v="34.630000000000003"/>
  </r>
  <r>
    <x v="12"/>
    <x v="5"/>
    <x v="28"/>
    <x v="4"/>
    <x v="0"/>
    <x v="1"/>
    <n v="0.01"/>
    <n v="0.01"/>
    <n v="0"/>
    <n v="0.01"/>
  </r>
  <r>
    <x v="12"/>
    <x v="5"/>
    <x v="28"/>
    <x v="4"/>
    <x v="4"/>
    <x v="1"/>
    <n v="0.71"/>
    <n v="0.77"/>
    <n v="0.01"/>
    <n v="0.64"/>
  </r>
  <r>
    <x v="12"/>
    <x v="5"/>
    <x v="28"/>
    <x v="2"/>
    <x v="3"/>
    <x v="3"/>
    <n v="2.3199999999999998"/>
    <n v="2.5"/>
    <n v="0"/>
    <n v="2.09"/>
  </r>
  <r>
    <x v="12"/>
    <x v="5"/>
    <x v="28"/>
    <x v="2"/>
    <x v="3"/>
    <x v="2"/>
    <n v="2.88"/>
    <n v="3.1"/>
    <n v="0"/>
    <n v="2.59"/>
  </r>
  <r>
    <x v="12"/>
    <x v="5"/>
    <x v="28"/>
    <x v="1"/>
    <x v="4"/>
    <x v="2"/>
    <n v="0"/>
    <n v="0"/>
    <n v="0"/>
    <n v="0"/>
  </r>
  <r>
    <x v="12"/>
    <x v="5"/>
    <x v="28"/>
    <x v="4"/>
    <x v="2"/>
    <x v="2"/>
    <n v="0.01"/>
    <n v="0.01"/>
    <n v="0"/>
    <n v="0.01"/>
  </r>
  <r>
    <x v="12"/>
    <x v="5"/>
    <x v="28"/>
    <x v="4"/>
    <x v="1"/>
    <x v="2"/>
    <n v="0.21"/>
    <n v="0.23"/>
    <n v="0"/>
    <n v="0.19"/>
  </r>
  <r>
    <x v="12"/>
    <x v="5"/>
    <x v="28"/>
    <x v="4"/>
    <x v="4"/>
    <x v="2"/>
    <n v="0.21"/>
    <n v="0.23"/>
    <n v="0"/>
    <n v="0.19"/>
  </r>
  <r>
    <x v="12"/>
    <x v="5"/>
    <x v="28"/>
    <x v="4"/>
    <x v="1"/>
    <x v="1"/>
    <n v="0.43"/>
    <n v="0.47"/>
    <n v="0"/>
    <n v="0.39"/>
  </r>
  <r>
    <x v="12"/>
    <x v="2"/>
    <x v="29"/>
    <x v="4"/>
    <x v="2"/>
    <x v="2"/>
    <n v="0"/>
    <n v="0"/>
    <n v="0"/>
    <n v="0"/>
  </r>
  <r>
    <x v="12"/>
    <x v="2"/>
    <x v="29"/>
    <x v="2"/>
    <x v="3"/>
    <x v="0"/>
    <n v="10.97"/>
    <n v="11.94"/>
    <n v="0.09"/>
    <n v="9.8699999999999992"/>
  </r>
  <r>
    <x v="12"/>
    <x v="2"/>
    <x v="29"/>
    <x v="0"/>
    <x v="0"/>
    <x v="1"/>
    <n v="0.06"/>
    <n v="7.0000000000000007E-2"/>
    <n v="0"/>
    <n v="0.06"/>
  </r>
  <r>
    <x v="12"/>
    <x v="2"/>
    <x v="29"/>
    <x v="2"/>
    <x v="4"/>
    <x v="0"/>
    <n v="2.4300000000000002"/>
    <n v="2.64"/>
    <n v="0.31"/>
    <n v="2.1800000000000002"/>
  </r>
  <r>
    <x v="12"/>
    <x v="2"/>
    <x v="29"/>
    <x v="4"/>
    <x v="1"/>
    <x v="2"/>
    <n v="0"/>
    <n v="0"/>
    <n v="0"/>
    <n v="0"/>
  </r>
  <r>
    <x v="12"/>
    <x v="2"/>
    <x v="29"/>
    <x v="1"/>
    <x v="1"/>
    <x v="1"/>
    <n v="0.06"/>
    <n v="7.0000000000000007E-2"/>
    <n v="0"/>
    <n v="0.06"/>
  </r>
  <r>
    <x v="12"/>
    <x v="2"/>
    <x v="29"/>
    <x v="1"/>
    <x v="4"/>
    <x v="2"/>
    <n v="7.0000000000000007E-2"/>
    <n v="0.08"/>
    <n v="0"/>
    <n v="0.06"/>
  </r>
  <r>
    <x v="12"/>
    <x v="2"/>
    <x v="29"/>
    <x v="2"/>
    <x v="3"/>
    <x v="2"/>
    <n v="0.01"/>
    <n v="0.01"/>
    <n v="0"/>
    <n v="0.01"/>
  </r>
  <r>
    <x v="12"/>
    <x v="2"/>
    <x v="29"/>
    <x v="4"/>
    <x v="0"/>
    <x v="1"/>
    <n v="0"/>
    <n v="0"/>
    <n v="0"/>
    <n v="0"/>
  </r>
  <r>
    <x v="12"/>
    <x v="2"/>
    <x v="29"/>
    <x v="4"/>
    <x v="4"/>
    <x v="1"/>
    <n v="0.01"/>
    <n v="0.01"/>
    <n v="0"/>
    <n v="0.01"/>
  </r>
  <r>
    <x v="12"/>
    <x v="2"/>
    <x v="29"/>
    <x v="3"/>
    <x v="0"/>
    <x v="0"/>
    <n v="0.85"/>
    <n v="0.92"/>
    <n v="0.16"/>
    <n v="0.76"/>
  </r>
  <r>
    <x v="12"/>
    <x v="2"/>
    <x v="29"/>
    <x v="4"/>
    <x v="4"/>
    <x v="2"/>
    <n v="0.01"/>
    <n v="0.01"/>
    <n v="0"/>
    <n v="0.01"/>
  </r>
  <r>
    <x v="12"/>
    <x v="2"/>
    <x v="29"/>
    <x v="2"/>
    <x v="3"/>
    <x v="1"/>
    <n v="0"/>
    <n v="0"/>
    <n v="0"/>
    <n v="0"/>
  </r>
  <r>
    <x v="12"/>
    <x v="2"/>
    <x v="29"/>
    <x v="0"/>
    <x v="4"/>
    <x v="1"/>
    <n v="0.01"/>
    <n v="0.01"/>
    <n v="0"/>
    <n v="0.01"/>
  </r>
  <r>
    <x v="12"/>
    <x v="2"/>
    <x v="29"/>
    <x v="3"/>
    <x v="4"/>
    <x v="0"/>
    <n v="0.99"/>
    <n v="1.08"/>
    <n v="0.33"/>
    <n v="0.89"/>
  </r>
  <r>
    <x v="12"/>
    <x v="2"/>
    <x v="29"/>
    <x v="4"/>
    <x v="4"/>
    <x v="0"/>
    <n v="8.2899999999999991"/>
    <n v="9.02"/>
    <n v="0.94"/>
    <n v="7.46"/>
  </r>
  <r>
    <x v="12"/>
    <x v="2"/>
    <x v="29"/>
    <x v="4"/>
    <x v="1"/>
    <x v="0"/>
    <n v="0.11"/>
    <n v="0.12"/>
    <n v="0.01"/>
    <n v="0.1"/>
  </r>
  <r>
    <x v="12"/>
    <x v="2"/>
    <x v="29"/>
    <x v="0"/>
    <x v="0"/>
    <x v="0"/>
    <n v="1.38"/>
    <n v="1.51"/>
    <n v="0.67"/>
    <n v="1.25"/>
  </r>
  <r>
    <x v="12"/>
    <x v="2"/>
    <x v="29"/>
    <x v="0"/>
    <x v="4"/>
    <x v="0"/>
    <n v="4.16"/>
    <n v="4.53"/>
    <n v="0.94"/>
    <n v="3.74"/>
  </r>
  <r>
    <x v="12"/>
    <x v="2"/>
    <x v="29"/>
    <x v="1"/>
    <x v="4"/>
    <x v="0"/>
    <n v="36.869999999999997"/>
    <n v="40.14"/>
    <n v="6.95"/>
    <n v="33.19"/>
  </r>
  <r>
    <x v="12"/>
    <x v="2"/>
    <x v="29"/>
    <x v="1"/>
    <x v="1"/>
    <x v="0"/>
    <n v="2.14"/>
    <n v="2.33"/>
    <n v="0.19"/>
    <n v="1.92"/>
  </r>
  <r>
    <x v="12"/>
    <x v="2"/>
    <x v="29"/>
    <x v="1"/>
    <x v="2"/>
    <x v="0"/>
    <n v="0.13"/>
    <n v="0.14000000000000001"/>
    <n v="0"/>
    <n v="0.12"/>
  </r>
  <r>
    <x v="12"/>
    <x v="2"/>
    <x v="29"/>
    <x v="2"/>
    <x v="0"/>
    <x v="0"/>
    <n v="2.44"/>
    <n v="2.66"/>
    <n v="1.23"/>
    <n v="2.2000000000000002"/>
  </r>
  <r>
    <x v="12"/>
    <x v="2"/>
    <x v="29"/>
    <x v="1"/>
    <x v="4"/>
    <x v="1"/>
    <n v="0.02"/>
    <n v="0.02"/>
    <n v="0"/>
    <n v="0.01"/>
  </r>
  <r>
    <x v="12"/>
    <x v="2"/>
    <x v="29"/>
    <x v="1"/>
    <x v="0"/>
    <x v="1"/>
    <n v="0.06"/>
    <n v="0.06"/>
    <n v="0"/>
    <n v="0.05"/>
  </r>
  <r>
    <x v="12"/>
    <x v="2"/>
    <x v="29"/>
    <x v="1"/>
    <x v="0"/>
    <x v="0"/>
    <n v="3.53"/>
    <n v="3.84"/>
    <n v="1.64"/>
    <n v="3.18"/>
  </r>
  <r>
    <x v="12"/>
    <x v="2"/>
    <x v="29"/>
    <x v="1"/>
    <x v="2"/>
    <x v="1"/>
    <n v="0.1"/>
    <n v="0.11"/>
    <n v="0"/>
    <n v="0.09"/>
  </r>
  <r>
    <x v="12"/>
    <x v="5"/>
    <x v="30"/>
    <x v="2"/>
    <x v="4"/>
    <x v="0"/>
    <n v="8"/>
    <n v="8.7100000000000009"/>
    <n v="1.46"/>
    <n v="7.2"/>
  </r>
  <r>
    <x v="12"/>
    <x v="5"/>
    <x v="30"/>
    <x v="3"/>
    <x v="0"/>
    <x v="0"/>
    <n v="3.39"/>
    <n v="3.69"/>
    <n v="0.89"/>
    <n v="3.05"/>
  </r>
  <r>
    <x v="12"/>
    <x v="5"/>
    <x v="30"/>
    <x v="3"/>
    <x v="4"/>
    <x v="0"/>
    <n v="11.89"/>
    <n v="12.94"/>
    <n v="2.64"/>
    <n v="10.7"/>
  </r>
  <r>
    <x v="12"/>
    <x v="5"/>
    <x v="30"/>
    <x v="3"/>
    <x v="1"/>
    <x v="0"/>
    <n v="0.01"/>
    <n v="0.01"/>
    <n v="0"/>
    <n v="0.01"/>
  </r>
  <r>
    <x v="12"/>
    <x v="5"/>
    <x v="30"/>
    <x v="4"/>
    <x v="4"/>
    <x v="0"/>
    <n v="64.86"/>
    <n v="70.599999999999994"/>
    <n v="9"/>
    <n v="58.37"/>
  </r>
  <r>
    <x v="12"/>
    <x v="5"/>
    <x v="30"/>
    <x v="4"/>
    <x v="1"/>
    <x v="0"/>
    <n v="7.25"/>
    <n v="7.89"/>
    <n v="0.39"/>
    <n v="6.52"/>
  </r>
  <r>
    <x v="12"/>
    <x v="5"/>
    <x v="30"/>
    <x v="0"/>
    <x v="0"/>
    <x v="0"/>
    <n v="4.5999999999999996"/>
    <n v="5.01"/>
    <n v="2.86"/>
    <n v="4.1399999999999997"/>
  </r>
  <r>
    <x v="12"/>
    <x v="5"/>
    <x v="30"/>
    <x v="0"/>
    <x v="4"/>
    <x v="0"/>
    <n v="15.23"/>
    <n v="16.579999999999998"/>
    <n v="4.96"/>
    <n v="13.7"/>
  </r>
  <r>
    <x v="12"/>
    <x v="5"/>
    <x v="30"/>
    <x v="1"/>
    <x v="0"/>
    <x v="0"/>
    <n v="14.64"/>
    <n v="15.94"/>
    <n v="10.39"/>
    <n v="13.18"/>
  </r>
  <r>
    <x v="12"/>
    <x v="5"/>
    <x v="30"/>
    <x v="1"/>
    <x v="4"/>
    <x v="0"/>
    <n v="273.49"/>
    <n v="297.70999999999998"/>
    <n v="74.67"/>
    <n v="246.14"/>
  </r>
  <r>
    <x v="12"/>
    <x v="5"/>
    <x v="30"/>
    <x v="2"/>
    <x v="0"/>
    <x v="0"/>
    <n v="4.97"/>
    <n v="5.41"/>
    <n v="3.65"/>
    <n v="4.47"/>
  </r>
  <r>
    <x v="12"/>
    <x v="5"/>
    <x v="30"/>
    <x v="2"/>
    <x v="3"/>
    <x v="0"/>
    <n v="0.08"/>
    <n v="0.08"/>
    <n v="0.03"/>
    <n v="7.0000000000000007E-2"/>
  </r>
  <r>
    <x v="12"/>
    <x v="5"/>
    <x v="30"/>
    <x v="2"/>
    <x v="3"/>
    <x v="1"/>
    <n v="0.12"/>
    <n v="0.13"/>
    <n v="0"/>
    <n v="0.11"/>
  </r>
  <r>
    <x v="12"/>
    <x v="5"/>
    <x v="30"/>
    <x v="1"/>
    <x v="4"/>
    <x v="1"/>
    <n v="0.12"/>
    <n v="0.13"/>
    <n v="0"/>
    <n v="0.11"/>
  </r>
  <r>
    <x v="12"/>
    <x v="5"/>
    <x v="30"/>
    <x v="1"/>
    <x v="1"/>
    <x v="0"/>
    <n v="35.32"/>
    <n v="38.450000000000003"/>
    <n v="3.04"/>
    <n v="31.79"/>
  </r>
  <r>
    <x v="12"/>
    <x v="5"/>
    <x v="30"/>
    <x v="4"/>
    <x v="2"/>
    <x v="2"/>
    <n v="0.16"/>
    <n v="0.17"/>
    <n v="0"/>
    <n v="0.14000000000000001"/>
  </r>
  <r>
    <x v="12"/>
    <x v="5"/>
    <x v="30"/>
    <x v="1"/>
    <x v="2"/>
    <x v="1"/>
    <n v="0.69"/>
    <n v="0.75"/>
    <n v="0"/>
    <n v="0.62"/>
  </r>
  <r>
    <x v="12"/>
    <x v="5"/>
    <x v="30"/>
    <x v="4"/>
    <x v="1"/>
    <x v="2"/>
    <n v="0.2"/>
    <n v="0.22"/>
    <n v="0.01"/>
    <n v="0.18"/>
  </r>
  <r>
    <x v="12"/>
    <x v="5"/>
    <x v="30"/>
    <x v="1"/>
    <x v="4"/>
    <x v="2"/>
    <n v="0"/>
    <n v="0.01"/>
    <n v="0"/>
    <n v="0"/>
  </r>
  <r>
    <x v="12"/>
    <x v="5"/>
    <x v="30"/>
    <x v="2"/>
    <x v="3"/>
    <x v="2"/>
    <n v="7.0000000000000007E-2"/>
    <n v="0.08"/>
    <n v="0"/>
    <n v="0.06"/>
  </r>
  <r>
    <x v="12"/>
    <x v="5"/>
    <x v="30"/>
    <x v="2"/>
    <x v="3"/>
    <x v="3"/>
    <n v="1.19"/>
    <n v="1.3"/>
    <n v="0"/>
    <n v="1.08"/>
  </r>
  <r>
    <x v="12"/>
    <x v="5"/>
    <x v="30"/>
    <x v="4"/>
    <x v="0"/>
    <x v="1"/>
    <n v="0.01"/>
    <n v="0.01"/>
    <n v="0"/>
    <n v="0.01"/>
  </r>
  <r>
    <x v="12"/>
    <x v="5"/>
    <x v="30"/>
    <x v="4"/>
    <x v="1"/>
    <x v="1"/>
    <n v="0.45"/>
    <n v="0.49"/>
    <n v="0"/>
    <n v="0.41"/>
  </r>
  <r>
    <x v="12"/>
    <x v="5"/>
    <x v="30"/>
    <x v="0"/>
    <x v="0"/>
    <x v="1"/>
    <n v="0.63"/>
    <n v="0.68"/>
    <n v="0.01"/>
    <n v="0.56999999999999995"/>
  </r>
  <r>
    <x v="12"/>
    <x v="5"/>
    <x v="30"/>
    <x v="0"/>
    <x v="4"/>
    <x v="1"/>
    <n v="0.05"/>
    <n v="0.05"/>
    <n v="0"/>
    <n v="0.04"/>
  </r>
  <r>
    <x v="12"/>
    <x v="5"/>
    <x v="30"/>
    <x v="1"/>
    <x v="0"/>
    <x v="1"/>
    <n v="0.31"/>
    <n v="0.33"/>
    <n v="0.01"/>
    <n v="0.27"/>
  </r>
  <r>
    <x v="12"/>
    <x v="5"/>
    <x v="30"/>
    <x v="4"/>
    <x v="4"/>
    <x v="1"/>
    <n v="0.64"/>
    <n v="0.69"/>
    <n v="0.01"/>
    <n v="0.56999999999999995"/>
  </r>
  <r>
    <x v="12"/>
    <x v="5"/>
    <x v="30"/>
    <x v="4"/>
    <x v="4"/>
    <x v="2"/>
    <n v="0.22"/>
    <n v="0.23"/>
    <n v="0.02"/>
    <n v="0.19"/>
  </r>
  <r>
    <x v="12"/>
    <x v="5"/>
    <x v="30"/>
    <x v="1"/>
    <x v="1"/>
    <x v="1"/>
    <n v="0.19"/>
    <n v="0.21"/>
    <n v="0"/>
    <n v="0.17"/>
  </r>
  <r>
    <x v="12"/>
    <x v="6"/>
    <x v="31"/>
    <x v="4"/>
    <x v="2"/>
    <x v="2"/>
    <n v="0.04"/>
    <n v="0.04"/>
    <n v="0"/>
    <n v="0.04"/>
  </r>
  <r>
    <x v="12"/>
    <x v="6"/>
    <x v="31"/>
    <x v="1"/>
    <x v="1"/>
    <x v="1"/>
    <n v="2.61"/>
    <n v="2.61"/>
    <n v="0.02"/>
    <n v="2.35"/>
  </r>
  <r>
    <x v="12"/>
    <x v="6"/>
    <x v="31"/>
    <x v="1"/>
    <x v="4"/>
    <x v="1"/>
    <n v="0.32"/>
    <n v="0.32"/>
    <n v="0.01"/>
    <n v="0.28999999999999998"/>
  </r>
  <r>
    <x v="12"/>
    <x v="6"/>
    <x v="31"/>
    <x v="1"/>
    <x v="0"/>
    <x v="1"/>
    <n v="0.2"/>
    <n v="0.2"/>
    <n v="0.01"/>
    <n v="0.18"/>
  </r>
  <r>
    <x v="12"/>
    <x v="6"/>
    <x v="31"/>
    <x v="0"/>
    <x v="4"/>
    <x v="1"/>
    <n v="0.11"/>
    <n v="0.11"/>
    <n v="0.01"/>
    <n v="0.09"/>
  </r>
  <r>
    <x v="12"/>
    <x v="6"/>
    <x v="31"/>
    <x v="0"/>
    <x v="0"/>
    <x v="1"/>
    <n v="0.68"/>
    <n v="0.68"/>
    <n v="0.02"/>
    <n v="0.61"/>
  </r>
  <r>
    <x v="12"/>
    <x v="6"/>
    <x v="31"/>
    <x v="4"/>
    <x v="0"/>
    <x v="1"/>
    <n v="7.0000000000000007E-2"/>
    <n v="7.0000000000000007E-2"/>
    <n v="0"/>
    <n v="0.06"/>
  </r>
  <r>
    <x v="12"/>
    <x v="6"/>
    <x v="31"/>
    <x v="1"/>
    <x v="1"/>
    <x v="2"/>
    <n v="0.21"/>
    <n v="0.21"/>
    <n v="0"/>
    <n v="0.19"/>
  </r>
  <r>
    <x v="12"/>
    <x v="6"/>
    <x v="31"/>
    <x v="4"/>
    <x v="1"/>
    <x v="2"/>
    <n v="0.19"/>
    <n v="0.19"/>
    <n v="0.02"/>
    <n v="0.18"/>
  </r>
  <r>
    <x v="12"/>
    <x v="6"/>
    <x v="31"/>
    <x v="1"/>
    <x v="2"/>
    <x v="1"/>
    <n v="6.36"/>
    <n v="6.36"/>
    <n v="0.02"/>
    <n v="5.72"/>
  </r>
  <r>
    <x v="12"/>
    <x v="6"/>
    <x v="31"/>
    <x v="4"/>
    <x v="4"/>
    <x v="2"/>
    <n v="0.12"/>
    <n v="0.12"/>
    <n v="0.01"/>
    <n v="0.11"/>
  </r>
  <r>
    <x v="12"/>
    <x v="6"/>
    <x v="31"/>
    <x v="4"/>
    <x v="1"/>
    <x v="1"/>
    <n v="0.03"/>
    <n v="0.03"/>
    <n v="0"/>
    <n v="0.03"/>
  </r>
  <r>
    <x v="12"/>
    <x v="6"/>
    <x v="31"/>
    <x v="2"/>
    <x v="3"/>
    <x v="2"/>
    <n v="0.15"/>
    <n v="0.15"/>
    <n v="0"/>
    <n v="0.14000000000000001"/>
  </r>
  <r>
    <x v="12"/>
    <x v="6"/>
    <x v="31"/>
    <x v="1"/>
    <x v="1"/>
    <x v="0"/>
    <n v="19.43"/>
    <n v="19.43"/>
    <n v="1.21"/>
    <n v="17.489999999999998"/>
  </r>
  <r>
    <x v="12"/>
    <x v="6"/>
    <x v="31"/>
    <x v="2"/>
    <x v="3"/>
    <x v="3"/>
    <n v="8.08"/>
    <n v="8.08"/>
    <n v="0.01"/>
    <n v="7.28"/>
  </r>
  <r>
    <x v="12"/>
    <x v="6"/>
    <x v="31"/>
    <x v="2"/>
    <x v="4"/>
    <x v="0"/>
    <n v="17.649999999999999"/>
    <n v="17.649999999999999"/>
    <n v="4.54"/>
    <n v="15.89"/>
  </r>
  <r>
    <x v="12"/>
    <x v="6"/>
    <x v="31"/>
    <x v="3"/>
    <x v="4"/>
    <x v="0"/>
    <n v="9.58"/>
    <n v="9.58"/>
    <n v="2.64"/>
    <n v="8.6199999999999992"/>
  </r>
  <r>
    <x v="12"/>
    <x v="6"/>
    <x v="31"/>
    <x v="1"/>
    <x v="2"/>
    <x v="0"/>
    <n v="1.44"/>
    <n v="1.44"/>
    <n v="0.02"/>
    <n v="1.3"/>
  </r>
  <r>
    <x v="12"/>
    <x v="6"/>
    <x v="31"/>
    <x v="2"/>
    <x v="3"/>
    <x v="0"/>
    <n v="7.52"/>
    <n v="7.52"/>
    <n v="7.0000000000000007E-2"/>
    <n v="6.77"/>
  </r>
  <r>
    <x v="12"/>
    <x v="6"/>
    <x v="31"/>
    <x v="1"/>
    <x v="4"/>
    <x v="0"/>
    <n v="179.15"/>
    <n v="179.15"/>
    <n v="44.4"/>
    <n v="161.24"/>
  </r>
  <r>
    <x v="12"/>
    <x v="6"/>
    <x v="31"/>
    <x v="1"/>
    <x v="0"/>
    <x v="0"/>
    <n v="11.02"/>
    <n v="11.02"/>
    <n v="6.06"/>
    <n v="9.92"/>
  </r>
  <r>
    <x v="12"/>
    <x v="6"/>
    <x v="31"/>
    <x v="0"/>
    <x v="4"/>
    <x v="0"/>
    <n v="18.86"/>
    <n v="18.86"/>
    <n v="4.22"/>
    <n v="16.98"/>
  </r>
  <r>
    <x v="12"/>
    <x v="6"/>
    <x v="31"/>
    <x v="0"/>
    <x v="0"/>
    <x v="0"/>
    <n v="1.42"/>
    <n v="1.42"/>
    <n v="0.83"/>
    <n v="1.28"/>
  </r>
  <r>
    <x v="12"/>
    <x v="6"/>
    <x v="31"/>
    <x v="4"/>
    <x v="1"/>
    <x v="0"/>
    <n v="3.4"/>
    <n v="3.4"/>
    <n v="0.35"/>
    <n v="3.06"/>
  </r>
  <r>
    <x v="12"/>
    <x v="6"/>
    <x v="31"/>
    <x v="4"/>
    <x v="4"/>
    <x v="0"/>
    <n v="38.630000000000003"/>
    <n v="38.630000000000003"/>
    <n v="10.34"/>
    <n v="34.770000000000003"/>
  </r>
  <r>
    <x v="12"/>
    <x v="6"/>
    <x v="31"/>
    <x v="2"/>
    <x v="0"/>
    <x v="0"/>
    <n v="4.84"/>
    <n v="4.84"/>
    <n v="2.97"/>
    <n v="4.3600000000000003"/>
  </r>
  <r>
    <x v="12"/>
    <x v="9"/>
    <x v="32"/>
    <x v="1"/>
    <x v="2"/>
    <x v="1"/>
    <n v="0.14000000000000001"/>
    <n v="0.25"/>
    <n v="0"/>
    <n v="0.13"/>
  </r>
  <r>
    <x v="12"/>
    <x v="9"/>
    <x v="32"/>
    <x v="1"/>
    <x v="1"/>
    <x v="1"/>
    <n v="0.04"/>
    <n v="7.0000000000000007E-2"/>
    <n v="0"/>
    <n v="0.03"/>
  </r>
  <r>
    <x v="12"/>
    <x v="9"/>
    <x v="32"/>
    <x v="1"/>
    <x v="4"/>
    <x v="1"/>
    <n v="0.02"/>
    <n v="0.04"/>
    <n v="0"/>
    <n v="0.02"/>
  </r>
  <r>
    <x v="12"/>
    <x v="9"/>
    <x v="32"/>
    <x v="0"/>
    <x v="4"/>
    <x v="1"/>
    <n v="0.01"/>
    <n v="0.01"/>
    <n v="0"/>
    <n v="0"/>
  </r>
  <r>
    <x v="12"/>
    <x v="9"/>
    <x v="32"/>
    <x v="4"/>
    <x v="1"/>
    <x v="1"/>
    <n v="0.09"/>
    <n v="0.16"/>
    <n v="0"/>
    <n v="0.08"/>
  </r>
  <r>
    <x v="12"/>
    <x v="9"/>
    <x v="32"/>
    <x v="4"/>
    <x v="4"/>
    <x v="1"/>
    <n v="0.12"/>
    <n v="0.21"/>
    <n v="0"/>
    <n v="0.11"/>
  </r>
  <r>
    <x v="12"/>
    <x v="9"/>
    <x v="32"/>
    <x v="4"/>
    <x v="0"/>
    <x v="1"/>
    <n v="0"/>
    <n v="0"/>
    <n v="0"/>
    <n v="0"/>
  </r>
  <r>
    <x v="12"/>
    <x v="9"/>
    <x v="32"/>
    <x v="2"/>
    <x v="3"/>
    <x v="3"/>
    <n v="0.56000000000000005"/>
    <n v="0.99"/>
    <n v="0"/>
    <n v="0.5"/>
  </r>
  <r>
    <x v="12"/>
    <x v="9"/>
    <x v="32"/>
    <x v="2"/>
    <x v="3"/>
    <x v="2"/>
    <n v="0.02"/>
    <n v="0.03"/>
    <n v="0"/>
    <n v="0.01"/>
  </r>
  <r>
    <x v="12"/>
    <x v="9"/>
    <x v="32"/>
    <x v="2"/>
    <x v="3"/>
    <x v="1"/>
    <n v="0.01"/>
    <n v="0.02"/>
    <n v="0"/>
    <n v="0.01"/>
  </r>
  <r>
    <x v="12"/>
    <x v="9"/>
    <x v="32"/>
    <x v="4"/>
    <x v="2"/>
    <x v="2"/>
    <n v="0.04"/>
    <n v="0.08"/>
    <n v="0"/>
    <n v="0.04"/>
  </r>
  <r>
    <x v="12"/>
    <x v="9"/>
    <x v="32"/>
    <x v="1"/>
    <x v="0"/>
    <x v="0"/>
    <n v="3.64"/>
    <n v="6.48"/>
    <n v="2.41"/>
    <n v="3.28"/>
  </r>
  <r>
    <x v="12"/>
    <x v="9"/>
    <x v="32"/>
    <x v="4"/>
    <x v="1"/>
    <x v="2"/>
    <n v="0.05"/>
    <n v="0.09"/>
    <n v="0"/>
    <n v="0.05"/>
  </r>
  <r>
    <x v="12"/>
    <x v="9"/>
    <x v="32"/>
    <x v="1"/>
    <x v="4"/>
    <x v="2"/>
    <n v="0"/>
    <n v="0"/>
    <n v="0"/>
    <n v="0"/>
  </r>
  <r>
    <x v="12"/>
    <x v="9"/>
    <x v="32"/>
    <x v="3"/>
    <x v="0"/>
    <x v="0"/>
    <n v="1.4"/>
    <n v="2.48"/>
    <n v="0.34"/>
    <n v="1.26"/>
  </r>
  <r>
    <x v="12"/>
    <x v="9"/>
    <x v="32"/>
    <x v="3"/>
    <x v="4"/>
    <x v="0"/>
    <n v="4.18"/>
    <n v="7.42"/>
    <n v="1.03"/>
    <n v="3.76"/>
  </r>
  <r>
    <x v="12"/>
    <x v="9"/>
    <x v="32"/>
    <x v="3"/>
    <x v="1"/>
    <x v="0"/>
    <n v="0"/>
    <n v="0"/>
    <n v="0"/>
    <n v="0"/>
  </r>
  <r>
    <x v="12"/>
    <x v="9"/>
    <x v="32"/>
    <x v="4"/>
    <x v="4"/>
    <x v="0"/>
    <n v="16.02"/>
    <n v="28.47"/>
    <n v="2"/>
    <n v="14.42"/>
  </r>
  <r>
    <x v="12"/>
    <x v="9"/>
    <x v="32"/>
    <x v="4"/>
    <x v="1"/>
    <x v="0"/>
    <n v="1.67"/>
    <n v="2.97"/>
    <n v="0.08"/>
    <n v="1.51"/>
  </r>
  <r>
    <x v="12"/>
    <x v="9"/>
    <x v="32"/>
    <x v="0"/>
    <x v="4"/>
    <x v="0"/>
    <n v="4.22"/>
    <n v="7.49"/>
    <n v="1.28"/>
    <n v="3.79"/>
  </r>
  <r>
    <x v="12"/>
    <x v="9"/>
    <x v="32"/>
    <x v="1"/>
    <x v="4"/>
    <x v="0"/>
    <n v="68.489999999999995"/>
    <n v="121.73"/>
    <n v="17.98"/>
    <n v="61.64"/>
  </r>
  <r>
    <x v="12"/>
    <x v="9"/>
    <x v="32"/>
    <x v="1"/>
    <x v="1"/>
    <x v="0"/>
    <n v="8.77"/>
    <n v="15.6"/>
    <n v="0.7"/>
    <n v="7.9"/>
  </r>
  <r>
    <x v="12"/>
    <x v="9"/>
    <x v="32"/>
    <x v="2"/>
    <x v="0"/>
    <x v="0"/>
    <n v="0.88"/>
    <n v="1.56"/>
    <n v="0.6"/>
    <n v="0.79"/>
  </r>
  <r>
    <x v="12"/>
    <x v="9"/>
    <x v="32"/>
    <x v="2"/>
    <x v="4"/>
    <x v="0"/>
    <n v="1.87"/>
    <n v="3.32"/>
    <n v="0.32"/>
    <n v="1.68"/>
  </r>
  <r>
    <x v="12"/>
    <x v="9"/>
    <x v="32"/>
    <x v="2"/>
    <x v="3"/>
    <x v="0"/>
    <n v="0.09"/>
    <n v="0.16"/>
    <n v="0.06"/>
    <n v="0.08"/>
  </r>
  <r>
    <x v="12"/>
    <x v="9"/>
    <x v="32"/>
    <x v="0"/>
    <x v="0"/>
    <x v="1"/>
    <n v="0.12"/>
    <n v="0.21"/>
    <n v="0"/>
    <n v="0.11"/>
  </r>
  <r>
    <x v="12"/>
    <x v="9"/>
    <x v="32"/>
    <x v="4"/>
    <x v="4"/>
    <x v="2"/>
    <n v="0.05"/>
    <n v="0.1"/>
    <n v="0"/>
    <n v="0.05"/>
  </r>
  <r>
    <x v="12"/>
    <x v="9"/>
    <x v="32"/>
    <x v="0"/>
    <x v="0"/>
    <x v="0"/>
    <n v="0.88"/>
    <n v="1.56"/>
    <n v="0.51"/>
    <n v="0.79"/>
  </r>
  <r>
    <x v="12"/>
    <x v="9"/>
    <x v="32"/>
    <x v="1"/>
    <x v="0"/>
    <x v="1"/>
    <n v="0.06"/>
    <n v="0.1"/>
    <n v="0"/>
    <n v="0.05"/>
  </r>
  <r>
    <x v="12"/>
    <x v="0"/>
    <x v="33"/>
    <x v="4"/>
    <x v="1"/>
    <x v="0"/>
    <n v="18.54"/>
    <n v="18.54"/>
    <n v="1.2"/>
    <n v="16.690000000000001"/>
  </r>
  <r>
    <x v="12"/>
    <x v="0"/>
    <x v="33"/>
    <x v="4"/>
    <x v="1"/>
    <x v="2"/>
    <n v="0.04"/>
    <n v="0.04"/>
    <n v="0"/>
    <n v="0.03"/>
  </r>
  <r>
    <x v="12"/>
    <x v="0"/>
    <x v="33"/>
    <x v="2"/>
    <x v="4"/>
    <x v="0"/>
    <n v="13.57"/>
    <n v="13.57"/>
    <n v="1.94"/>
    <n v="12.21"/>
  </r>
  <r>
    <x v="12"/>
    <x v="0"/>
    <x v="33"/>
    <x v="4"/>
    <x v="4"/>
    <x v="2"/>
    <n v="0.06"/>
    <n v="0.06"/>
    <n v="0"/>
    <n v="0.05"/>
  </r>
  <r>
    <x v="12"/>
    <x v="0"/>
    <x v="33"/>
    <x v="2"/>
    <x v="0"/>
    <x v="0"/>
    <n v="6.78"/>
    <n v="6.78"/>
    <n v="4.91"/>
    <n v="6.1"/>
  </r>
  <r>
    <x v="12"/>
    <x v="0"/>
    <x v="33"/>
    <x v="1"/>
    <x v="2"/>
    <x v="0"/>
    <n v="1.27"/>
    <n v="1.27"/>
    <n v="0.02"/>
    <n v="1.1399999999999999"/>
  </r>
  <r>
    <x v="12"/>
    <x v="0"/>
    <x v="33"/>
    <x v="1"/>
    <x v="1"/>
    <x v="0"/>
    <n v="7.33"/>
    <n v="7.33"/>
    <n v="0.91"/>
    <n v="6.6"/>
  </r>
  <r>
    <x v="12"/>
    <x v="0"/>
    <x v="33"/>
    <x v="1"/>
    <x v="4"/>
    <x v="0"/>
    <n v="121.39"/>
    <n v="121.39"/>
    <n v="36.119999999999997"/>
    <n v="109.25"/>
  </r>
  <r>
    <x v="12"/>
    <x v="0"/>
    <x v="33"/>
    <x v="1"/>
    <x v="0"/>
    <x v="0"/>
    <n v="3.97"/>
    <n v="3.97"/>
    <n v="3.14"/>
    <n v="3.58"/>
  </r>
  <r>
    <x v="12"/>
    <x v="0"/>
    <x v="33"/>
    <x v="0"/>
    <x v="0"/>
    <x v="0"/>
    <n v="2.81"/>
    <n v="2.81"/>
    <n v="2.17"/>
    <n v="2.5299999999999998"/>
  </r>
  <r>
    <x v="12"/>
    <x v="0"/>
    <x v="33"/>
    <x v="4"/>
    <x v="4"/>
    <x v="0"/>
    <n v="30.18"/>
    <n v="30.18"/>
    <n v="6.78"/>
    <n v="27.16"/>
  </r>
  <r>
    <x v="12"/>
    <x v="0"/>
    <x v="33"/>
    <x v="4"/>
    <x v="0"/>
    <x v="0"/>
    <n v="0.82"/>
    <n v="0.82"/>
    <n v="0.1"/>
    <n v="0.73"/>
  </r>
  <r>
    <x v="12"/>
    <x v="0"/>
    <x v="33"/>
    <x v="3"/>
    <x v="1"/>
    <x v="0"/>
    <n v="0.01"/>
    <n v="0.01"/>
    <n v="0"/>
    <n v="0.01"/>
  </r>
  <r>
    <x v="12"/>
    <x v="0"/>
    <x v="33"/>
    <x v="3"/>
    <x v="4"/>
    <x v="0"/>
    <n v="1.94"/>
    <n v="1.94"/>
    <n v="0.54"/>
    <n v="1.74"/>
  </r>
  <r>
    <x v="12"/>
    <x v="0"/>
    <x v="33"/>
    <x v="0"/>
    <x v="4"/>
    <x v="1"/>
    <n v="0.09"/>
    <n v="0.09"/>
    <n v="0.01"/>
    <n v="0.08"/>
  </r>
  <r>
    <x v="12"/>
    <x v="0"/>
    <x v="33"/>
    <x v="2"/>
    <x v="3"/>
    <x v="3"/>
    <n v="5.72"/>
    <n v="5.72"/>
    <n v="0"/>
    <n v="5.15"/>
  </r>
  <r>
    <x v="12"/>
    <x v="0"/>
    <x v="33"/>
    <x v="1"/>
    <x v="4"/>
    <x v="2"/>
    <n v="0.04"/>
    <n v="0.04"/>
    <n v="0"/>
    <n v="0.04"/>
  </r>
  <r>
    <x v="12"/>
    <x v="0"/>
    <x v="33"/>
    <x v="0"/>
    <x v="4"/>
    <x v="0"/>
    <n v="12.65"/>
    <n v="12.65"/>
    <n v="2.61"/>
    <n v="11.39"/>
  </r>
  <r>
    <x v="12"/>
    <x v="0"/>
    <x v="33"/>
    <x v="4"/>
    <x v="2"/>
    <x v="2"/>
    <n v="0.23"/>
    <n v="0.23"/>
    <n v="0.01"/>
    <n v="0.21"/>
  </r>
  <r>
    <x v="12"/>
    <x v="0"/>
    <x v="33"/>
    <x v="3"/>
    <x v="0"/>
    <x v="0"/>
    <n v="0.38"/>
    <n v="0.38"/>
    <n v="0.3"/>
    <n v="0.34"/>
  </r>
  <r>
    <x v="12"/>
    <x v="0"/>
    <x v="33"/>
    <x v="4"/>
    <x v="4"/>
    <x v="1"/>
    <n v="0.05"/>
    <n v="0.05"/>
    <n v="0"/>
    <n v="0.04"/>
  </r>
  <r>
    <x v="12"/>
    <x v="0"/>
    <x v="33"/>
    <x v="0"/>
    <x v="0"/>
    <x v="1"/>
    <n v="0.48"/>
    <n v="0.48"/>
    <n v="0.01"/>
    <n v="0.43"/>
  </r>
  <r>
    <x v="12"/>
    <x v="0"/>
    <x v="33"/>
    <x v="4"/>
    <x v="0"/>
    <x v="1"/>
    <n v="0.17"/>
    <n v="0.17"/>
    <n v="0.01"/>
    <n v="0.16"/>
  </r>
  <r>
    <x v="12"/>
    <x v="0"/>
    <x v="33"/>
    <x v="1"/>
    <x v="0"/>
    <x v="1"/>
    <n v="0.03"/>
    <n v="0.03"/>
    <n v="0"/>
    <n v="0.02"/>
  </r>
  <r>
    <x v="12"/>
    <x v="0"/>
    <x v="33"/>
    <x v="1"/>
    <x v="4"/>
    <x v="1"/>
    <n v="0.02"/>
    <n v="0.02"/>
    <n v="0"/>
    <n v="0.01"/>
  </r>
  <r>
    <x v="12"/>
    <x v="0"/>
    <x v="33"/>
    <x v="1"/>
    <x v="1"/>
    <x v="1"/>
    <n v="0.64"/>
    <n v="0.64"/>
    <n v="0.02"/>
    <n v="0.57999999999999996"/>
  </r>
  <r>
    <x v="12"/>
    <x v="0"/>
    <x v="33"/>
    <x v="1"/>
    <x v="2"/>
    <x v="1"/>
    <n v="1.71"/>
    <n v="1.71"/>
    <n v="0.01"/>
    <n v="1.54"/>
  </r>
  <r>
    <x v="12"/>
    <x v="0"/>
    <x v="33"/>
    <x v="2"/>
    <x v="3"/>
    <x v="1"/>
    <n v="0.01"/>
    <n v="0.01"/>
    <n v="0"/>
    <n v="0.01"/>
  </r>
  <r>
    <x v="12"/>
    <x v="0"/>
    <x v="33"/>
    <x v="4"/>
    <x v="1"/>
    <x v="1"/>
    <n v="0.02"/>
    <n v="0.02"/>
    <n v="0"/>
    <n v="0.02"/>
  </r>
  <r>
    <x v="12"/>
    <x v="7"/>
    <x v="34"/>
    <x v="1"/>
    <x v="0"/>
    <x v="0"/>
    <n v="11.8"/>
    <n v="12.32"/>
    <n v="8.11"/>
    <n v="10.62"/>
  </r>
  <r>
    <x v="12"/>
    <x v="7"/>
    <x v="34"/>
    <x v="0"/>
    <x v="4"/>
    <x v="0"/>
    <n v="46.08"/>
    <n v="48.12"/>
    <n v="11.72"/>
    <n v="41.47"/>
  </r>
  <r>
    <x v="12"/>
    <x v="7"/>
    <x v="34"/>
    <x v="4"/>
    <x v="1"/>
    <x v="0"/>
    <n v="16.75"/>
    <n v="17.5"/>
    <n v="0.93"/>
    <n v="15.08"/>
  </r>
  <r>
    <x v="12"/>
    <x v="7"/>
    <x v="34"/>
    <x v="1"/>
    <x v="4"/>
    <x v="0"/>
    <n v="233.56"/>
    <n v="243.91"/>
    <n v="44.96"/>
    <n v="210.21"/>
  </r>
  <r>
    <x v="12"/>
    <x v="7"/>
    <x v="34"/>
    <x v="1"/>
    <x v="1"/>
    <x v="0"/>
    <n v="40.35"/>
    <n v="42.14"/>
    <n v="1.98"/>
    <n v="36.31"/>
  </r>
  <r>
    <x v="12"/>
    <x v="7"/>
    <x v="34"/>
    <x v="1"/>
    <x v="2"/>
    <x v="0"/>
    <n v="3.27"/>
    <n v="3.42"/>
    <n v="0.03"/>
    <n v="2.95"/>
  </r>
  <r>
    <x v="12"/>
    <x v="7"/>
    <x v="34"/>
    <x v="2"/>
    <x v="0"/>
    <x v="0"/>
    <n v="7.39"/>
    <n v="7.72"/>
    <n v="5.42"/>
    <n v="6.65"/>
  </r>
  <r>
    <x v="12"/>
    <x v="7"/>
    <x v="34"/>
    <x v="2"/>
    <x v="3"/>
    <x v="0"/>
    <n v="5.07"/>
    <n v="5.29"/>
    <n v="0.03"/>
    <n v="4.5599999999999996"/>
  </r>
  <r>
    <x v="12"/>
    <x v="7"/>
    <x v="34"/>
    <x v="4"/>
    <x v="4"/>
    <x v="0"/>
    <n v="84.38"/>
    <n v="88.12"/>
    <n v="14.53"/>
    <n v="75.94"/>
  </r>
  <r>
    <x v="12"/>
    <x v="7"/>
    <x v="34"/>
    <x v="0"/>
    <x v="0"/>
    <x v="0"/>
    <n v="11.23"/>
    <n v="11.73"/>
    <n v="5.0999999999999996"/>
    <n v="10.11"/>
  </r>
  <r>
    <x v="12"/>
    <x v="7"/>
    <x v="34"/>
    <x v="2"/>
    <x v="4"/>
    <x v="0"/>
    <n v="10.87"/>
    <n v="11.35"/>
    <n v="2.37"/>
    <n v="9.7799999999999994"/>
  </r>
  <r>
    <x v="12"/>
    <x v="7"/>
    <x v="34"/>
    <x v="4"/>
    <x v="2"/>
    <x v="2"/>
    <n v="0.41"/>
    <n v="0.43"/>
    <n v="0"/>
    <n v="0.37"/>
  </r>
  <r>
    <x v="12"/>
    <x v="7"/>
    <x v="34"/>
    <x v="4"/>
    <x v="1"/>
    <x v="2"/>
    <n v="0.52"/>
    <n v="0.54"/>
    <n v="0.01"/>
    <n v="0.47"/>
  </r>
  <r>
    <x v="12"/>
    <x v="7"/>
    <x v="34"/>
    <x v="3"/>
    <x v="1"/>
    <x v="0"/>
    <n v="0.21"/>
    <n v="0.22"/>
    <n v="0.02"/>
    <n v="0.19"/>
  </r>
  <r>
    <x v="12"/>
    <x v="7"/>
    <x v="34"/>
    <x v="1"/>
    <x v="4"/>
    <x v="2"/>
    <n v="0.03"/>
    <n v="0.03"/>
    <n v="0.01"/>
    <n v="0.03"/>
  </r>
  <r>
    <x v="12"/>
    <x v="7"/>
    <x v="34"/>
    <x v="2"/>
    <x v="3"/>
    <x v="2"/>
    <n v="2.21"/>
    <n v="2.31"/>
    <n v="0"/>
    <n v="1.99"/>
  </r>
  <r>
    <x v="12"/>
    <x v="7"/>
    <x v="34"/>
    <x v="2"/>
    <x v="3"/>
    <x v="3"/>
    <n v="6.16"/>
    <n v="6.43"/>
    <n v="0.01"/>
    <n v="5.54"/>
  </r>
  <r>
    <x v="12"/>
    <x v="7"/>
    <x v="34"/>
    <x v="4"/>
    <x v="0"/>
    <x v="1"/>
    <n v="0.01"/>
    <n v="0.01"/>
    <n v="0"/>
    <n v="0.01"/>
  </r>
  <r>
    <x v="12"/>
    <x v="7"/>
    <x v="34"/>
    <x v="4"/>
    <x v="4"/>
    <x v="1"/>
    <n v="0.61"/>
    <n v="0.64"/>
    <n v="0.01"/>
    <n v="0.55000000000000004"/>
  </r>
  <r>
    <x v="12"/>
    <x v="7"/>
    <x v="34"/>
    <x v="4"/>
    <x v="1"/>
    <x v="1"/>
    <n v="0.7"/>
    <n v="0.73"/>
    <n v="0"/>
    <n v="0.63"/>
  </r>
  <r>
    <x v="12"/>
    <x v="7"/>
    <x v="34"/>
    <x v="0"/>
    <x v="0"/>
    <x v="1"/>
    <n v="0.74"/>
    <n v="0.77"/>
    <n v="0.02"/>
    <n v="0.67"/>
  </r>
  <r>
    <x v="12"/>
    <x v="7"/>
    <x v="34"/>
    <x v="0"/>
    <x v="4"/>
    <x v="1"/>
    <n v="0.12"/>
    <n v="0.12"/>
    <n v="0.01"/>
    <n v="0.11"/>
  </r>
  <r>
    <x v="12"/>
    <x v="7"/>
    <x v="34"/>
    <x v="1"/>
    <x v="0"/>
    <x v="1"/>
    <n v="0.25"/>
    <n v="0.26"/>
    <n v="0.01"/>
    <n v="0.23"/>
  </r>
  <r>
    <x v="12"/>
    <x v="7"/>
    <x v="34"/>
    <x v="1"/>
    <x v="4"/>
    <x v="1"/>
    <n v="7.0000000000000007E-2"/>
    <n v="0.08"/>
    <n v="0"/>
    <n v="7.0000000000000007E-2"/>
  </r>
  <r>
    <x v="12"/>
    <x v="7"/>
    <x v="34"/>
    <x v="3"/>
    <x v="0"/>
    <x v="0"/>
    <n v="6.7"/>
    <n v="7"/>
    <n v="1.33"/>
    <n v="6.03"/>
  </r>
  <r>
    <x v="12"/>
    <x v="7"/>
    <x v="34"/>
    <x v="4"/>
    <x v="4"/>
    <x v="2"/>
    <n v="0.5"/>
    <n v="0.52"/>
    <n v="0.01"/>
    <n v="0.45"/>
  </r>
  <r>
    <x v="12"/>
    <x v="7"/>
    <x v="34"/>
    <x v="1"/>
    <x v="1"/>
    <x v="1"/>
    <n v="2.93"/>
    <n v="3.06"/>
    <n v="0.03"/>
    <n v="2.63"/>
  </r>
  <r>
    <x v="12"/>
    <x v="7"/>
    <x v="34"/>
    <x v="3"/>
    <x v="4"/>
    <x v="0"/>
    <n v="22.25"/>
    <n v="23.24"/>
    <n v="5.4"/>
    <n v="20.03"/>
  </r>
  <r>
    <x v="12"/>
    <x v="7"/>
    <x v="34"/>
    <x v="2"/>
    <x v="3"/>
    <x v="1"/>
    <n v="0.24"/>
    <n v="0.25"/>
    <n v="0"/>
    <n v="0.22"/>
  </r>
  <r>
    <x v="12"/>
    <x v="7"/>
    <x v="34"/>
    <x v="1"/>
    <x v="2"/>
    <x v="1"/>
    <n v="3.48"/>
    <n v="3.64"/>
    <n v="0.02"/>
    <n v="3.13"/>
  </r>
  <r>
    <x v="12"/>
    <x v="10"/>
    <x v="35"/>
    <x v="1"/>
    <x v="4"/>
    <x v="0"/>
    <n v="76"/>
    <n v="79.37"/>
    <n v="14.63"/>
    <n v="68.400000000000006"/>
  </r>
  <r>
    <x v="12"/>
    <x v="10"/>
    <x v="35"/>
    <x v="1"/>
    <x v="1"/>
    <x v="0"/>
    <n v="13.13"/>
    <n v="13.71"/>
    <n v="0.65"/>
    <n v="11.81"/>
  </r>
  <r>
    <x v="12"/>
    <x v="10"/>
    <x v="35"/>
    <x v="1"/>
    <x v="2"/>
    <x v="0"/>
    <n v="1.06"/>
    <n v="1.1100000000000001"/>
    <n v="0.01"/>
    <n v="0.96"/>
  </r>
  <r>
    <x v="12"/>
    <x v="10"/>
    <x v="35"/>
    <x v="1"/>
    <x v="4"/>
    <x v="1"/>
    <n v="0.02"/>
    <n v="0.02"/>
    <n v="0"/>
    <n v="0.02"/>
  </r>
  <r>
    <x v="12"/>
    <x v="10"/>
    <x v="35"/>
    <x v="2"/>
    <x v="0"/>
    <x v="0"/>
    <n v="2.64"/>
    <n v="2.75"/>
    <n v="1.93"/>
    <n v="2.37"/>
  </r>
  <r>
    <x v="12"/>
    <x v="10"/>
    <x v="35"/>
    <x v="3"/>
    <x v="4"/>
    <x v="0"/>
    <n v="7.2"/>
    <n v="7.52"/>
    <n v="1.75"/>
    <n v="6.48"/>
  </r>
  <r>
    <x v="12"/>
    <x v="10"/>
    <x v="35"/>
    <x v="0"/>
    <x v="4"/>
    <x v="0"/>
    <n v="14.98"/>
    <n v="15.65"/>
    <n v="3.81"/>
    <n v="13.49"/>
  </r>
  <r>
    <x v="12"/>
    <x v="10"/>
    <x v="35"/>
    <x v="0"/>
    <x v="0"/>
    <x v="0"/>
    <n v="3.65"/>
    <n v="3.81"/>
    <n v="1.66"/>
    <n v="3.29"/>
  </r>
  <r>
    <x v="12"/>
    <x v="10"/>
    <x v="35"/>
    <x v="4"/>
    <x v="1"/>
    <x v="0"/>
    <n v="5.45"/>
    <n v="5.69"/>
    <n v="0.3"/>
    <n v="4.91"/>
  </r>
  <r>
    <x v="12"/>
    <x v="10"/>
    <x v="35"/>
    <x v="4"/>
    <x v="4"/>
    <x v="0"/>
    <n v="27.47"/>
    <n v="28.68"/>
    <n v="4.7300000000000004"/>
    <n v="24.72"/>
  </r>
  <r>
    <x v="12"/>
    <x v="10"/>
    <x v="35"/>
    <x v="2"/>
    <x v="4"/>
    <x v="0"/>
    <n v="3.88"/>
    <n v="4.05"/>
    <n v="0.85"/>
    <n v="3.49"/>
  </r>
  <r>
    <x v="12"/>
    <x v="10"/>
    <x v="35"/>
    <x v="3"/>
    <x v="1"/>
    <x v="0"/>
    <n v="7.0000000000000007E-2"/>
    <n v="7.0000000000000007E-2"/>
    <n v="0"/>
    <n v="0.06"/>
  </r>
  <r>
    <x v="12"/>
    <x v="10"/>
    <x v="35"/>
    <x v="2"/>
    <x v="3"/>
    <x v="0"/>
    <n v="6.22"/>
    <n v="6.49"/>
    <n v="0.04"/>
    <n v="5.6"/>
  </r>
  <r>
    <x v="12"/>
    <x v="10"/>
    <x v="35"/>
    <x v="1"/>
    <x v="0"/>
    <x v="0"/>
    <n v="3.84"/>
    <n v="4.01"/>
    <n v="2.64"/>
    <n v="3.45"/>
  </r>
  <r>
    <x v="12"/>
    <x v="10"/>
    <x v="35"/>
    <x v="3"/>
    <x v="0"/>
    <x v="0"/>
    <n v="2.17"/>
    <n v="2.2599999999999998"/>
    <n v="0.43"/>
    <n v="1.95"/>
  </r>
  <r>
    <x v="12"/>
    <x v="10"/>
    <x v="35"/>
    <x v="2"/>
    <x v="3"/>
    <x v="1"/>
    <n v="0.06"/>
    <n v="0.06"/>
    <n v="0"/>
    <n v="0.05"/>
  </r>
  <r>
    <x v="12"/>
    <x v="10"/>
    <x v="35"/>
    <x v="1"/>
    <x v="1"/>
    <x v="1"/>
    <n v="0.7"/>
    <n v="0.74"/>
    <n v="0.01"/>
    <n v="0.63"/>
  </r>
  <r>
    <x v="12"/>
    <x v="10"/>
    <x v="35"/>
    <x v="1"/>
    <x v="0"/>
    <x v="1"/>
    <n v="0.06"/>
    <n v="0.06"/>
    <n v="0"/>
    <n v="0.05"/>
  </r>
  <r>
    <x v="12"/>
    <x v="10"/>
    <x v="35"/>
    <x v="0"/>
    <x v="4"/>
    <x v="1"/>
    <n v="0.03"/>
    <n v="0.03"/>
    <n v="0"/>
    <n v="0.03"/>
  </r>
  <r>
    <x v="12"/>
    <x v="10"/>
    <x v="35"/>
    <x v="0"/>
    <x v="0"/>
    <x v="1"/>
    <n v="0.18"/>
    <n v="0.19"/>
    <n v="0"/>
    <n v="0.16"/>
  </r>
  <r>
    <x v="12"/>
    <x v="10"/>
    <x v="35"/>
    <x v="4"/>
    <x v="1"/>
    <x v="1"/>
    <n v="0.17"/>
    <n v="0.17"/>
    <n v="0"/>
    <n v="0.15"/>
  </r>
  <r>
    <x v="12"/>
    <x v="10"/>
    <x v="35"/>
    <x v="2"/>
    <x v="3"/>
    <x v="3"/>
    <n v="3.04"/>
    <n v="3.17"/>
    <n v="0"/>
    <n v="2.73"/>
  </r>
  <r>
    <x v="12"/>
    <x v="10"/>
    <x v="35"/>
    <x v="4"/>
    <x v="0"/>
    <x v="1"/>
    <n v="0"/>
    <n v="0"/>
    <n v="0"/>
    <n v="0"/>
  </r>
  <r>
    <x v="12"/>
    <x v="10"/>
    <x v="35"/>
    <x v="2"/>
    <x v="3"/>
    <x v="2"/>
    <n v="0.56999999999999995"/>
    <n v="0.6"/>
    <n v="0"/>
    <n v="0.52"/>
  </r>
  <r>
    <x v="12"/>
    <x v="10"/>
    <x v="35"/>
    <x v="1"/>
    <x v="4"/>
    <x v="2"/>
    <n v="0.01"/>
    <n v="0.01"/>
    <n v="0"/>
    <n v="0.01"/>
  </r>
  <r>
    <x v="12"/>
    <x v="10"/>
    <x v="35"/>
    <x v="4"/>
    <x v="2"/>
    <x v="2"/>
    <n v="0.11"/>
    <n v="0.11"/>
    <n v="0"/>
    <n v="0.1"/>
  </r>
  <r>
    <x v="12"/>
    <x v="10"/>
    <x v="35"/>
    <x v="4"/>
    <x v="1"/>
    <x v="2"/>
    <n v="0.14000000000000001"/>
    <n v="0.14000000000000001"/>
    <n v="0"/>
    <n v="0.12"/>
  </r>
  <r>
    <x v="12"/>
    <x v="10"/>
    <x v="35"/>
    <x v="4"/>
    <x v="4"/>
    <x v="2"/>
    <n v="0.13"/>
    <n v="0.14000000000000001"/>
    <n v="0"/>
    <n v="0.12"/>
  </r>
  <r>
    <x v="12"/>
    <x v="10"/>
    <x v="35"/>
    <x v="1"/>
    <x v="2"/>
    <x v="1"/>
    <n v="0.84"/>
    <n v="0.87"/>
    <n v="0"/>
    <n v="0.75"/>
  </r>
  <r>
    <x v="12"/>
    <x v="10"/>
    <x v="35"/>
    <x v="4"/>
    <x v="4"/>
    <x v="1"/>
    <n v="0.15"/>
    <n v="0.15"/>
    <n v="0"/>
    <n v="0.13"/>
  </r>
  <r>
    <x v="12"/>
    <x v="2"/>
    <x v="36"/>
    <x v="4"/>
    <x v="1"/>
    <x v="2"/>
    <n v="0.01"/>
    <n v="0.02"/>
    <n v="0"/>
    <n v="0.01"/>
  </r>
  <r>
    <x v="12"/>
    <x v="2"/>
    <x v="36"/>
    <x v="4"/>
    <x v="2"/>
    <x v="2"/>
    <n v="0.02"/>
    <n v="0.02"/>
    <n v="0"/>
    <n v="0.02"/>
  </r>
  <r>
    <x v="12"/>
    <x v="2"/>
    <x v="36"/>
    <x v="1"/>
    <x v="4"/>
    <x v="2"/>
    <n v="0.03"/>
    <n v="0.03"/>
    <n v="0"/>
    <n v="0.03"/>
  </r>
  <r>
    <x v="12"/>
    <x v="2"/>
    <x v="36"/>
    <x v="1"/>
    <x v="1"/>
    <x v="2"/>
    <n v="0.01"/>
    <n v="0.01"/>
    <n v="0"/>
    <n v="0.01"/>
  </r>
  <r>
    <x v="12"/>
    <x v="2"/>
    <x v="36"/>
    <x v="2"/>
    <x v="3"/>
    <x v="2"/>
    <n v="0.09"/>
    <n v="0.1"/>
    <n v="0"/>
    <n v="0.08"/>
  </r>
  <r>
    <x v="12"/>
    <x v="2"/>
    <x v="36"/>
    <x v="2"/>
    <x v="3"/>
    <x v="3"/>
    <n v="3.18"/>
    <n v="3.47"/>
    <n v="0"/>
    <n v="2.87"/>
  </r>
  <r>
    <x v="12"/>
    <x v="2"/>
    <x v="36"/>
    <x v="4"/>
    <x v="0"/>
    <x v="1"/>
    <n v="0.01"/>
    <n v="0.01"/>
    <n v="0"/>
    <n v="0.01"/>
  </r>
  <r>
    <x v="12"/>
    <x v="2"/>
    <x v="36"/>
    <x v="4"/>
    <x v="4"/>
    <x v="1"/>
    <n v="0.1"/>
    <n v="0.11"/>
    <n v="0"/>
    <n v="0.09"/>
  </r>
  <r>
    <x v="12"/>
    <x v="2"/>
    <x v="36"/>
    <x v="4"/>
    <x v="1"/>
    <x v="1"/>
    <n v="0.02"/>
    <n v="0.02"/>
    <n v="0"/>
    <n v="0.02"/>
  </r>
  <r>
    <x v="12"/>
    <x v="2"/>
    <x v="36"/>
    <x v="0"/>
    <x v="0"/>
    <x v="1"/>
    <n v="0.14000000000000001"/>
    <n v="0.15"/>
    <n v="0"/>
    <n v="0.12"/>
  </r>
  <r>
    <x v="12"/>
    <x v="2"/>
    <x v="36"/>
    <x v="0"/>
    <x v="4"/>
    <x v="1"/>
    <n v="0.02"/>
    <n v="0.02"/>
    <n v="0"/>
    <n v="0.02"/>
  </r>
  <r>
    <x v="12"/>
    <x v="2"/>
    <x v="36"/>
    <x v="1"/>
    <x v="0"/>
    <x v="1"/>
    <n v="0.14000000000000001"/>
    <n v="0.15"/>
    <n v="0.01"/>
    <n v="0.12"/>
  </r>
  <r>
    <x v="12"/>
    <x v="2"/>
    <x v="36"/>
    <x v="1"/>
    <x v="4"/>
    <x v="1"/>
    <n v="0.04"/>
    <n v="0.04"/>
    <n v="0"/>
    <n v="0.03"/>
  </r>
  <r>
    <x v="12"/>
    <x v="2"/>
    <x v="36"/>
    <x v="4"/>
    <x v="4"/>
    <x v="2"/>
    <n v="0.06"/>
    <n v="0.06"/>
    <n v="0"/>
    <n v="0.05"/>
  </r>
  <r>
    <x v="12"/>
    <x v="2"/>
    <x v="36"/>
    <x v="0"/>
    <x v="4"/>
    <x v="0"/>
    <n v="1.94"/>
    <n v="2.12"/>
    <n v="0.41"/>
    <n v="1.75"/>
  </r>
  <r>
    <x v="12"/>
    <x v="2"/>
    <x v="36"/>
    <x v="2"/>
    <x v="3"/>
    <x v="0"/>
    <n v="12.4"/>
    <n v="13.5"/>
    <n v="0.1"/>
    <n v="11.16"/>
  </r>
  <r>
    <x v="12"/>
    <x v="2"/>
    <x v="36"/>
    <x v="2"/>
    <x v="4"/>
    <x v="0"/>
    <n v="2.48"/>
    <n v="2.7"/>
    <n v="0.27"/>
    <n v="2.23"/>
  </r>
  <r>
    <x v="12"/>
    <x v="2"/>
    <x v="36"/>
    <x v="2"/>
    <x v="0"/>
    <x v="0"/>
    <n v="1.19"/>
    <n v="1.3"/>
    <n v="0.44"/>
    <n v="1.07"/>
  </r>
  <r>
    <x v="12"/>
    <x v="2"/>
    <x v="36"/>
    <x v="1"/>
    <x v="2"/>
    <x v="0"/>
    <n v="0.57999999999999996"/>
    <n v="0.63"/>
    <n v="0"/>
    <n v="0.52"/>
  </r>
  <r>
    <x v="12"/>
    <x v="2"/>
    <x v="36"/>
    <x v="1"/>
    <x v="1"/>
    <x v="0"/>
    <n v="3.02"/>
    <n v="3.28"/>
    <n v="0.16"/>
    <n v="2.71"/>
  </r>
  <r>
    <x v="12"/>
    <x v="2"/>
    <x v="36"/>
    <x v="1"/>
    <x v="2"/>
    <x v="1"/>
    <n v="0.35"/>
    <n v="0.38"/>
    <n v="0"/>
    <n v="0.31"/>
  </r>
  <r>
    <x v="12"/>
    <x v="2"/>
    <x v="36"/>
    <x v="1"/>
    <x v="0"/>
    <x v="0"/>
    <n v="1.67"/>
    <n v="1.82"/>
    <n v="0.75"/>
    <n v="1.5"/>
  </r>
  <r>
    <x v="12"/>
    <x v="2"/>
    <x v="36"/>
    <x v="3"/>
    <x v="0"/>
    <x v="0"/>
    <n v="0.61"/>
    <n v="0.66"/>
    <n v="0.19"/>
    <n v="0.55000000000000004"/>
  </r>
  <r>
    <x v="12"/>
    <x v="2"/>
    <x v="36"/>
    <x v="0"/>
    <x v="0"/>
    <x v="0"/>
    <n v="0.56000000000000005"/>
    <n v="0.61"/>
    <n v="0.23"/>
    <n v="0.5"/>
  </r>
  <r>
    <x v="12"/>
    <x v="2"/>
    <x v="36"/>
    <x v="4"/>
    <x v="1"/>
    <x v="0"/>
    <n v="0.99"/>
    <n v="1.08"/>
    <n v="0.05"/>
    <n v="0.89"/>
  </r>
  <r>
    <x v="12"/>
    <x v="2"/>
    <x v="36"/>
    <x v="4"/>
    <x v="4"/>
    <x v="0"/>
    <n v="8.92"/>
    <n v="9.7200000000000006"/>
    <n v="0.88"/>
    <n v="8.0299999999999994"/>
  </r>
  <r>
    <x v="12"/>
    <x v="2"/>
    <x v="36"/>
    <x v="3"/>
    <x v="1"/>
    <x v="0"/>
    <n v="7.0000000000000007E-2"/>
    <n v="0.08"/>
    <n v="0.01"/>
    <n v="7.0000000000000007E-2"/>
  </r>
  <r>
    <x v="12"/>
    <x v="2"/>
    <x v="36"/>
    <x v="3"/>
    <x v="4"/>
    <x v="0"/>
    <n v="2.42"/>
    <n v="2.63"/>
    <n v="0.54"/>
    <n v="2.1800000000000002"/>
  </r>
  <r>
    <x v="12"/>
    <x v="2"/>
    <x v="36"/>
    <x v="1"/>
    <x v="1"/>
    <x v="1"/>
    <n v="0.27"/>
    <n v="0.28999999999999998"/>
    <n v="0"/>
    <n v="0.24"/>
  </r>
  <r>
    <x v="12"/>
    <x v="2"/>
    <x v="36"/>
    <x v="1"/>
    <x v="4"/>
    <x v="0"/>
    <n v="23.21"/>
    <n v="25.26"/>
    <n v="3.54"/>
    <n v="20.89"/>
  </r>
  <r>
    <x v="12"/>
    <x v="2"/>
    <x v="36"/>
    <x v="2"/>
    <x v="3"/>
    <x v="1"/>
    <n v="0.12"/>
    <n v="0.13"/>
    <n v="0"/>
    <n v="0.11"/>
  </r>
  <r>
    <x v="12"/>
    <x v="9"/>
    <x v="37"/>
    <x v="1"/>
    <x v="2"/>
    <x v="1"/>
    <n v="1.97"/>
    <n v="3.5"/>
    <n v="0.01"/>
    <n v="1.77"/>
  </r>
  <r>
    <x v="12"/>
    <x v="9"/>
    <x v="37"/>
    <x v="2"/>
    <x v="3"/>
    <x v="1"/>
    <n v="0.35"/>
    <n v="0.63"/>
    <n v="0"/>
    <n v="0.32"/>
  </r>
  <r>
    <x v="12"/>
    <x v="9"/>
    <x v="37"/>
    <x v="3"/>
    <x v="0"/>
    <x v="0"/>
    <n v="2.88"/>
    <n v="5.13"/>
    <n v="0.71"/>
    <n v="2.6"/>
  </r>
  <r>
    <x v="12"/>
    <x v="9"/>
    <x v="37"/>
    <x v="3"/>
    <x v="4"/>
    <x v="0"/>
    <n v="27.19"/>
    <n v="48.32"/>
    <n v="6.57"/>
    <n v="24.47"/>
  </r>
  <r>
    <x v="12"/>
    <x v="9"/>
    <x v="37"/>
    <x v="3"/>
    <x v="1"/>
    <x v="0"/>
    <n v="0.01"/>
    <n v="0.02"/>
    <n v="0"/>
    <n v="0.01"/>
  </r>
  <r>
    <x v="12"/>
    <x v="9"/>
    <x v="37"/>
    <x v="4"/>
    <x v="4"/>
    <x v="0"/>
    <n v="175.42"/>
    <n v="311.77999999999997"/>
    <n v="21.92"/>
    <n v="157.88"/>
  </r>
  <r>
    <x v="12"/>
    <x v="9"/>
    <x v="37"/>
    <x v="1"/>
    <x v="1"/>
    <x v="1"/>
    <n v="3.12"/>
    <n v="5.54"/>
    <n v="0.03"/>
    <n v="2.81"/>
  </r>
  <r>
    <x v="12"/>
    <x v="9"/>
    <x v="37"/>
    <x v="0"/>
    <x v="4"/>
    <x v="0"/>
    <n v="40.520000000000003"/>
    <n v="72.02"/>
    <n v="12.31"/>
    <n v="36.47"/>
  </r>
  <r>
    <x v="12"/>
    <x v="9"/>
    <x v="37"/>
    <x v="0"/>
    <x v="0"/>
    <x v="0"/>
    <n v="6.48"/>
    <n v="11.52"/>
    <n v="4"/>
    <n v="5.83"/>
  </r>
  <r>
    <x v="12"/>
    <x v="9"/>
    <x v="37"/>
    <x v="1"/>
    <x v="4"/>
    <x v="0"/>
    <n v="283.94"/>
    <n v="504.66"/>
    <n v="58.61"/>
    <n v="255.54"/>
  </r>
  <r>
    <x v="12"/>
    <x v="9"/>
    <x v="37"/>
    <x v="1"/>
    <x v="1"/>
    <x v="0"/>
    <n v="33.04"/>
    <n v="58.72"/>
    <n v="2.09"/>
    <n v="29.73"/>
  </r>
  <r>
    <x v="12"/>
    <x v="9"/>
    <x v="37"/>
    <x v="1"/>
    <x v="2"/>
    <x v="0"/>
    <n v="4.49"/>
    <n v="7.97"/>
    <n v="7.0000000000000007E-2"/>
    <n v="4.04"/>
  </r>
  <r>
    <x v="12"/>
    <x v="9"/>
    <x v="37"/>
    <x v="2"/>
    <x v="0"/>
    <x v="0"/>
    <n v="7.02"/>
    <n v="12.48"/>
    <n v="5.63"/>
    <n v="6.32"/>
  </r>
  <r>
    <x v="12"/>
    <x v="9"/>
    <x v="37"/>
    <x v="2"/>
    <x v="4"/>
    <x v="0"/>
    <n v="6.65"/>
    <n v="11.82"/>
    <n v="1.35"/>
    <n v="5.98"/>
  </r>
  <r>
    <x v="12"/>
    <x v="9"/>
    <x v="37"/>
    <x v="2"/>
    <x v="3"/>
    <x v="0"/>
    <n v="1.57"/>
    <n v="2.78"/>
    <n v="0.02"/>
    <n v="1.41"/>
  </r>
  <r>
    <x v="12"/>
    <x v="9"/>
    <x v="37"/>
    <x v="4"/>
    <x v="1"/>
    <x v="0"/>
    <n v="13.41"/>
    <n v="23.84"/>
    <n v="0.97"/>
    <n v="12.07"/>
  </r>
  <r>
    <x v="12"/>
    <x v="9"/>
    <x v="37"/>
    <x v="1"/>
    <x v="0"/>
    <x v="0"/>
    <n v="40.44"/>
    <n v="71.87"/>
    <n v="16.55"/>
    <n v="36.39"/>
  </r>
  <r>
    <x v="12"/>
    <x v="9"/>
    <x v="37"/>
    <x v="2"/>
    <x v="3"/>
    <x v="2"/>
    <n v="0.93"/>
    <n v="1.66"/>
    <n v="0"/>
    <n v="0.84"/>
  </r>
  <r>
    <x v="12"/>
    <x v="9"/>
    <x v="37"/>
    <x v="4"/>
    <x v="4"/>
    <x v="2"/>
    <n v="0.02"/>
    <n v="0.04"/>
    <n v="0"/>
    <n v="0.02"/>
  </r>
  <r>
    <x v="12"/>
    <x v="9"/>
    <x v="37"/>
    <x v="1"/>
    <x v="4"/>
    <x v="1"/>
    <n v="0.55000000000000004"/>
    <n v="0.97"/>
    <n v="0.01"/>
    <n v="0.49"/>
  </r>
  <r>
    <x v="12"/>
    <x v="9"/>
    <x v="37"/>
    <x v="1"/>
    <x v="4"/>
    <x v="2"/>
    <n v="0.01"/>
    <n v="0.02"/>
    <n v="0"/>
    <n v="0.01"/>
  </r>
  <r>
    <x v="12"/>
    <x v="9"/>
    <x v="37"/>
    <x v="2"/>
    <x v="3"/>
    <x v="3"/>
    <n v="2.2599999999999998"/>
    <n v="4.01"/>
    <n v="0"/>
    <n v="2.0299999999999998"/>
  </r>
  <r>
    <x v="12"/>
    <x v="9"/>
    <x v="37"/>
    <x v="4"/>
    <x v="4"/>
    <x v="1"/>
    <n v="3.91"/>
    <n v="6.94"/>
    <n v="0.05"/>
    <n v="3.51"/>
  </r>
  <r>
    <x v="12"/>
    <x v="9"/>
    <x v="37"/>
    <x v="4"/>
    <x v="1"/>
    <x v="1"/>
    <n v="2.08"/>
    <n v="3.69"/>
    <n v="0.01"/>
    <n v="1.87"/>
  </r>
  <r>
    <x v="12"/>
    <x v="9"/>
    <x v="37"/>
    <x v="0"/>
    <x v="0"/>
    <x v="1"/>
    <n v="3.93"/>
    <n v="6.99"/>
    <n v="7.0000000000000007E-2"/>
    <n v="3.54"/>
  </r>
  <r>
    <x v="12"/>
    <x v="9"/>
    <x v="37"/>
    <x v="0"/>
    <x v="4"/>
    <x v="1"/>
    <n v="0.37"/>
    <n v="0.66"/>
    <n v="0.05"/>
    <n v="0.33"/>
  </r>
  <r>
    <x v="12"/>
    <x v="9"/>
    <x v="37"/>
    <x v="4"/>
    <x v="0"/>
    <x v="1"/>
    <n v="0.04"/>
    <n v="7.0000000000000007E-2"/>
    <n v="0.01"/>
    <n v="0.04"/>
  </r>
  <r>
    <x v="12"/>
    <x v="9"/>
    <x v="37"/>
    <x v="1"/>
    <x v="0"/>
    <x v="1"/>
    <n v="0.32"/>
    <n v="0.56999999999999995"/>
    <n v="0.01"/>
    <n v="0.28999999999999998"/>
  </r>
  <r>
    <x v="12"/>
    <x v="7"/>
    <x v="38"/>
    <x v="1"/>
    <x v="4"/>
    <x v="2"/>
    <n v="0"/>
    <n v="0"/>
    <n v="0"/>
    <n v="0"/>
  </r>
  <r>
    <x v="12"/>
    <x v="7"/>
    <x v="38"/>
    <x v="0"/>
    <x v="4"/>
    <x v="1"/>
    <n v="0.02"/>
    <n v="0.02"/>
    <n v="0"/>
    <n v="0.02"/>
  </r>
  <r>
    <x v="12"/>
    <x v="7"/>
    <x v="38"/>
    <x v="0"/>
    <x v="0"/>
    <x v="1"/>
    <n v="0.12"/>
    <n v="0.12"/>
    <n v="0"/>
    <n v="0.11"/>
  </r>
  <r>
    <x v="12"/>
    <x v="7"/>
    <x v="38"/>
    <x v="4"/>
    <x v="1"/>
    <x v="1"/>
    <n v="0.11"/>
    <n v="0.11"/>
    <n v="0"/>
    <n v="0.1"/>
  </r>
  <r>
    <x v="12"/>
    <x v="7"/>
    <x v="38"/>
    <x v="4"/>
    <x v="4"/>
    <x v="1"/>
    <n v="0.1"/>
    <n v="0.1"/>
    <n v="0"/>
    <n v="0.09"/>
  </r>
  <r>
    <x v="12"/>
    <x v="7"/>
    <x v="38"/>
    <x v="4"/>
    <x v="0"/>
    <x v="1"/>
    <n v="0"/>
    <n v="0"/>
    <n v="0"/>
    <n v="0"/>
  </r>
  <r>
    <x v="12"/>
    <x v="7"/>
    <x v="38"/>
    <x v="4"/>
    <x v="2"/>
    <x v="2"/>
    <n v="0.06"/>
    <n v="0.06"/>
    <n v="0"/>
    <n v="0.06"/>
  </r>
  <r>
    <x v="12"/>
    <x v="7"/>
    <x v="38"/>
    <x v="2"/>
    <x v="3"/>
    <x v="2"/>
    <n v="0.34"/>
    <n v="0.34"/>
    <n v="0"/>
    <n v="0.3"/>
  </r>
  <r>
    <x v="12"/>
    <x v="7"/>
    <x v="38"/>
    <x v="1"/>
    <x v="0"/>
    <x v="1"/>
    <n v="0.04"/>
    <n v="0.04"/>
    <n v="0"/>
    <n v="0.04"/>
  </r>
  <r>
    <x v="12"/>
    <x v="7"/>
    <x v="38"/>
    <x v="3"/>
    <x v="1"/>
    <x v="0"/>
    <n v="0.03"/>
    <n v="0.03"/>
    <n v="0"/>
    <n v="0.03"/>
  </r>
  <r>
    <x v="12"/>
    <x v="7"/>
    <x v="38"/>
    <x v="2"/>
    <x v="3"/>
    <x v="3"/>
    <n v="0.61"/>
    <n v="0.61"/>
    <n v="0"/>
    <n v="0.55000000000000004"/>
  </r>
  <r>
    <x v="12"/>
    <x v="7"/>
    <x v="38"/>
    <x v="1"/>
    <x v="4"/>
    <x v="1"/>
    <n v="0.01"/>
    <n v="0.01"/>
    <n v="0"/>
    <n v="0.01"/>
  </r>
  <r>
    <x v="12"/>
    <x v="7"/>
    <x v="38"/>
    <x v="1"/>
    <x v="1"/>
    <x v="1"/>
    <n v="0.48"/>
    <n v="0.48"/>
    <n v="0"/>
    <n v="0.43"/>
  </r>
  <r>
    <x v="12"/>
    <x v="7"/>
    <x v="38"/>
    <x v="1"/>
    <x v="2"/>
    <x v="1"/>
    <n v="0.56999999999999995"/>
    <n v="0.56999999999999995"/>
    <n v="0"/>
    <n v="0.51"/>
  </r>
  <r>
    <x v="12"/>
    <x v="7"/>
    <x v="38"/>
    <x v="2"/>
    <x v="3"/>
    <x v="1"/>
    <n v="0.04"/>
    <n v="0.04"/>
    <n v="0"/>
    <n v="0.04"/>
  </r>
  <r>
    <x v="12"/>
    <x v="7"/>
    <x v="38"/>
    <x v="3"/>
    <x v="4"/>
    <x v="0"/>
    <n v="3.02"/>
    <n v="3.02"/>
    <n v="0.77"/>
    <n v="2.72"/>
  </r>
  <r>
    <x v="12"/>
    <x v="7"/>
    <x v="38"/>
    <x v="4"/>
    <x v="1"/>
    <x v="2"/>
    <n v="0.08"/>
    <n v="0.08"/>
    <n v="0"/>
    <n v="7.0000000000000007E-2"/>
  </r>
  <r>
    <x v="12"/>
    <x v="7"/>
    <x v="38"/>
    <x v="4"/>
    <x v="4"/>
    <x v="0"/>
    <n v="11.01"/>
    <n v="11"/>
    <n v="1.99"/>
    <n v="9.9"/>
  </r>
  <r>
    <x v="12"/>
    <x v="7"/>
    <x v="38"/>
    <x v="1"/>
    <x v="0"/>
    <x v="0"/>
    <n v="1.54"/>
    <n v="1.54"/>
    <n v="1.1200000000000001"/>
    <n v="1.39"/>
  </r>
  <r>
    <x v="12"/>
    <x v="7"/>
    <x v="38"/>
    <x v="0"/>
    <x v="4"/>
    <x v="0"/>
    <n v="5.82"/>
    <n v="5.82"/>
    <n v="1.56"/>
    <n v="5.24"/>
  </r>
  <r>
    <x v="12"/>
    <x v="7"/>
    <x v="38"/>
    <x v="0"/>
    <x v="0"/>
    <x v="0"/>
    <n v="1.42"/>
    <n v="1.42"/>
    <n v="0.68"/>
    <n v="1.28"/>
  </r>
  <r>
    <x v="12"/>
    <x v="7"/>
    <x v="38"/>
    <x v="4"/>
    <x v="1"/>
    <x v="0"/>
    <n v="2.19"/>
    <n v="2.19"/>
    <n v="0.13"/>
    <n v="1.97"/>
  </r>
  <r>
    <x v="12"/>
    <x v="7"/>
    <x v="38"/>
    <x v="3"/>
    <x v="0"/>
    <x v="0"/>
    <n v="0.91"/>
    <n v="0.91"/>
    <n v="0.19"/>
    <n v="0.82"/>
  </r>
  <r>
    <x v="12"/>
    <x v="7"/>
    <x v="38"/>
    <x v="2"/>
    <x v="3"/>
    <x v="0"/>
    <n v="6.08"/>
    <n v="6.08"/>
    <n v="0.04"/>
    <n v="5.47"/>
  </r>
  <r>
    <x v="12"/>
    <x v="7"/>
    <x v="38"/>
    <x v="4"/>
    <x v="4"/>
    <x v="2"/>
    <n v="0.08"/>
    <n v="0.08"/>
    <n v="0"/>
    <n v="7.0000000000000007E-2"/>
  </r>
  <r>
    <x v="12"/>
    <x v="7"/>
    <x v="38"/>
    <x v="1"/>
    <x v="4"/>
    <x v="0"/>
    <n v="30.55"/>
    <n v="30.55"/>
    <n v="6.19"/>
    <n v="27.49"/>
  </r>
  <r>
    <x v="12"/>
    <x v="7"/>
    <x v="38"/>
    <x v="1"/>
    <x v="1"/>
    <x v="0"/>
    <n v="5.28"/>
    <n v="5.28"/>
    <n v="0.27"/>
    <n v="4.76"/>
  </r>
  <r>
    <x v="12"/>
    <x v="7"/>
    <x v="38"/>
    <x v="1"/>
    <x v="2"/>
    <x v="0"/>
    <n v="0.43"/>
    <n v="0.43"/>
    <n v="0"/>
    <n v="0.39"/>
  </r>
  <r>
    <x v="12"/>
    <x v="7"/>
    <x v="38"/>
    <x v="2"/>
    <x v="0"/>
    <x v="0"/>
    <n v="1.2"/>
    <n v="1.2"/>
    <n v="0.92"/>
    <n v="1.08"/>
  </r>
  <r>
    <x v="12"/>
    <x v="7"/>
    <x v="38"/>
    <x v="2"/>
    <x v="4"/>
    <x v="0"/>
    <n v="1.76"/>
    <n v="1.76"/>
    <n v="0.4"/>
    <n v="1.59"/>
  </r>
  <r>
    <x v="12"/>
    <x v="1"/>
    <x v="39"/>
    <x v="1"/>
    <x v="4"/>
    <x v="1"/>
    <n v="0.24"/>
    <n v="0.26"/>
    <n v="0.01"/>
    <n v="0.22"/>
  </r>
  <r>
    <x v="12"/>
    <x v="1"/>
    <x v="39"/>
    <x v="2"/>
    <x v="3"/>
    <x v="1"/>
    <n v="1.39"/>
    <n v="1.47"/>
    <n v="0"/>
    <n v="1.25"/>
  </r>
  <r>
    <x v="12"/>
    <x v="1"/>
    <x v="39"/>
    <x v="4"/>
    <x v="4"/>
    <x v="2"/>
    <n v="0.05"/>
    <n v="0.05"/>
    <n v="0.01"/>
    <n v="0.04"/>
  </r>
  <r>
    <x v="12"/>
    <x v="1"/>
    <x v="39"/>
    <x v="3"/>
    <x v="0"/>
    <x v="0"/>
    <n v="5.28"/>
    <n v="5.57"/>
    <n v="1.81"/>
    <n v="4.75"/>
  </r>
  <r>
    <x v="12"/>
    <x v="1"/>
    <x v="39"/>
    <x v="3"/>
    <x v="4"/>
    <x v="0"/>
    <n v="56.77"/>
    <n v="59.96"/>
    <n v="10.51"/>
    <n v="51.09"/>
  </r>
  <r>
    <x v="12"/>
    <x v="1"/>
    <x v="39"/>
    <x v="1"/>
    <x v="1"/>
    <x v="1"/>
    <n v="1.99"/>
    <n v="2.1"/>
    <n v="0.03"/>
    <n v="1.79"/>
  </r>
  <r>
    <x v="12"/>
    <x v="1"/>
    <x v="39"/>
    <x v="4"/>
    <x v="4"/>
    <x v="0"/>
    <n v="58.71"/>
    <n v="62.02"/>
    <n v="8.64"/>
    <n v="52.84"/>
  </r>
  <r>
    <x v="12"/>
    <x v="1"/>
    <x v="39"/>
    <x v="1"/>
    <x v="2"/>
    <x v="1"/>
    <n v="1.69"/>
    <n v="1.79"/>
    <n v="0.01"/>
    <n v="1.52"/>
  </r>
  <r>
    <x v="12"/>
    <x v="1"/>
    <x v="39"/>
    <x v="4"/>
    <x v="1"/>
    <x v="0"/>
    <n v="3.47"/>
    <n v="3.67"/>
    <n v="0.16"/>
    <n v="3.13"/>
  </r>
  <r>
    <x v="12"/>
    <x v="1"/>
    <x v="39"/>
    <x v="0"/>
    <x v="0"/>
    <x v="0"/>
    <n v="1.75"/>
    <n v="1.85"/>
    <n v="0.97"/>
    <n v="1.57"/>
  </r>
  <r>
    <x v="12"/>
    <x v="1"/>
    <x v="39"/>
    <x v="2"/>
    <x v="0"/>
    <x v="0"/>
    <n v="3.28"/>
    <n v="3.46"/>
    <n v="2.5"/>
    <n v="2.95"/>
  </r>
  <r>
    <x v="12"/>
    <x v="1"/>
    <x v="39"/>
    <x v="1"/>
    <x v="2"/>
    <x v="0"/>
    <n v="8.9600000000000009"/>
    <n v="9.4700000000000006"/>
    <n v="0.05"/>
    <n v="8.07"/>
  </r>
  <r>
    <x v="12"/>
    <x v="1"/>
    <x v="39"/>
    <x v="1"/>
    <x v="1"/>
    <x v="0"/>
    <n v="28.01"/>
    <n v="29.58"/>
    <n v="1.37"/>
    <n v="25.21"/>
  </r>
  <r>
    <x v="12"/>
    <x v="1"/>
    <x v="39"/>
    <x v="1"/>
    <x v="4"/>
    <x v="0"/>
    <n v="196.98"/>
    <n v="208.07"/>
    <n v="32.75"/>
    <n v="177.29"/>
  </r>
  <r>
    <x v="12"/>
    <x v="1"/>
    <x v="39"/>
    <x v="1"/>
    <x v="0"/>
    <x v="0"/>
    <n v="8.7100000000000009"/>
    <n v="9.1999999999999993"/>
    <n v="4.8899999999999997"/>
    <n v="7.84"/>
  </r>
  <r>
    <x v="12"/>
    <x v="1"/>
    <x v="39"/>
    <x v="0"/>
    <x v="4"/>
    <x v="0"/>
    <n v="22.12"/>
    <n v="23.36"/>
    <n v="1.91"/>
    <n v="19.899999999999999"/>
  </r>
  <r>
    <x v="12"/>
    <x v="1"/>
    <x v="39"/>
    <x v="2"/>
    <x v="4"/>
    <x v="0"/>
    <n v="2.56"/>
    <n v="2.7"/>
    <n v="0.56000000000000005"/>
    <n v="2.2999999999999998"/>
  </r>
  <r>
    <x v="12"/>
    <x v="1"/>
    <x v="39"/>
    <x v="3"/>
    <x v="1"/>
    <x v="0"/>
    <n v="0.2"/>
    <n v="0.21"/>
    <n v="0.02"/>
    <n v="0.18"/>
  </r>
  <r>
    <x v="12"/>
    <x v="1"/>
    <x v="39"/>
    <x v="2"/>
    <x v="3"/>
    <x v="0"/>
    <n v="0.46"/>
    <n v="0.49"/>
    <n v="0"/>
    <n v="0.41"/>
  </r>
  <r>
    <x v="12"/>
    <x v="1"/>
    <x v="39"/>
    <x v="4"/>
    <x v="1"/>
    <x v="2"/>
    <n v="0.03"/>
    <n v="0.04"/>
    <n v="0.01"/>
    <n v="0.03"/>
  </r>
  <r>
    <x v="12"/>
    <x v="1"/>
    <x v="39"/>
    <x v="1"/>
    <x v="1"/>
    <x v="2"/>
    <n v="0.18"/>
    <n v="0.19"/>
    <n v="0.01"/>
    <n v="0.16"/>
  </r>
  <r>
    <x v="12"/>
    <x v="1"/>
    <x v="39"/>
    <x v="2"/>
    <x v="3"/>
    <x v="2"/>
    <n v="0.25"/>
    <n v="0.26"/>
    <n v="0"/>
    <n v="0.22"/>
  </r>
  <r>
    <x v="12"/>
    <x v="1"/>
    <x v="39"/>
    <x v="2"/>
    <x v="3"/>
    <x v="3"/>
    <n v="1.86"/>
    <n v="1.96"/>
    <n v="0"/>
    <n v="1.67"/>
  </r>
  <r>
    <x v="12"/>
    <x v="1"/>
    <x v="39"/>
    <x v="4"/>
    <x v="0"/>
    <x v="1"/>
    <n v="7.0000000000000007E-2"/>
    <n v="7.0000000000000007E-2"/>
    <n v="0.01"/>
    <n v="0.06"/>
  </r>
  <r>
    <x v="12"/>
    <x v="1"/>
    <x v="39"/>
    <x v="4"/>
    <x v="4"/>
    <x v="1"/>
    <n v="0.12"/>
    <n v="0.12"/>
    <n v="0.01"/>
    <n v="0.1"/>
  </r>
  <r>
    <x v="12"/>
    <x v="1"/>
    <x v="39"/>
    <x v="4"/>
    <x v="1"/>
    <x v="1"/>
    <n v="0.1"/>
    <n v="0.11"/>
    <n v="0.01"/>
    <n v="0.09"/>
  </r>
  <r>
    <x v="12"/>
    <x v="1"/>
    <x v="39"/>
    <x v="0"/>
    <x v="0"/>
    <x v="1"/>
    <n v="0.25"/>
    <n v="0.26"/>
    <n v="0.01"/>
    <n v="0.23"/>
  </r>
  <r>
    <x v="12"/>
    <x v="1"/>
    <x v="39"/>
    <x v="0"/>
    <x v="4"/>
    <x v="1"/>
    <n v="0.04"/>
    <n v="0.04"/>
    <n v="0.01"/>
    <n v="0.03"/>
  </r>
  <r>
    <x v="12"/>
    <x v="1"/>
    <x v="39"/>
    <x v="1"/>
    <x v="0"/>
    <x v="1"/>
    <n v="0.27"/>
    <n v="0.28999999999999998"/>
    <n v="0.01"/>
    <n v="0.24"/>
  </r>
  <r>
    <x v="12"/>
    <x v="10"/>
    <x v="40"/>
    <x v="3"/>
    <x v="1"/>
    <x v="0"/>
    <n v="0.1"/>
    <n v="0.12"/>
    <n v="0.01"/>
    <n v="0.09"/>
  </r>
  <r>
    <x v="12"/>
    <x v="10"/>
    <x v="40"/>
    <x v="4"/>
    <x v="0"/>
    <x v="1"/>
    <n v="0.01"/>
    <n v="0.01"/>
    <n v="0"/>
    <n v="0.01"/>
  </r>
  <r>
    <x v="12"/>
    <x v="10"/>
    <x v="40"/>
    <x v="2"/>
    <x v="3"/>
    <x v="3"/>
    <n v="11.75"/>
    <n v="14.87"/>
    <n v="0"/>
    <n v="10.58"/>
  </r>
  <r>
    <x v="12"/>
    <x v="10"/>
    <x v="40"/>
    <x v="4"/>
    <x v="4"/>
    <x v="2"/>
    <n v="0.02"/>
    <n v="0.02"/>
    <n v="0"/>
    <n v="0.02"/>
  </r>
  <r>
    <x v="12"/>
    <x v="10"/>
    <x v="40"/>
    <x v="4"/>
    <x v="1"/>
    <x v="2"/>
    <n v="7.0000000000000007E-2"/>
    <n v="0.09"/>
    <n v="0"/>
    <n v="0.06"/>
  </r>
  <r>
    <x v="12"/>
    <x v="10"/>
    <x v="40"/>
    <x v="4"/>
    <x v="2"/>
    <x v="2"/>
    <n v="0.23"/>
    <n v="0.28999999999999998"/>
    <n v="0"/>
    <n v="0.21"/>
  </r>
  <r>
    <x v="12"/>
    <x v="10"/>
    <x v="40"/>
    <x v="1"/>
    <x v="4"/>
    <x v="2"/>
    <n v="0.09"/>
    <n v="0.11"/>
    <n v="0"/>
    <n v="0.08"/>
  </r>
  <r>
    <x v="12"/>
    <x v="10"/>
    <x v="40"/>
    <x v="3"/>
    <x v="0"/>
    <x v="0"/>
    <n v="4.08"/>
    <n v="5.16"/>
    <n v="0.7"/>
    <n v="3.68"/>
  </r>
  <r>
    <x v="12"/>
    <x v="10"/>
    <x v="40"/>
    <x v="3"/>
    <x v="4"/>
    <x v="0"/>
    <n v="4.1399999999999997"/>
    <n v="5.23"/>
    <n v="1.18"/>
    <n v="3.72"/>
  </r>
  <r>
    <x v="12"/>
    <x v="10"/>
    <x v="40"/>
    <x v="2"/>
    <x v="3"/>
    <x v="1"/>
    <n v="0.28000000000000003"/>
    <n v="0.36"/>
    <n v="0"/>
    <n v="0.26"/>
  </r>
  <r>
    <x v="12"/>
    <x v="10"/>
    <x v="40"/>
    <x v="1"/>
    <x v="0"/>
    <x v="0"/>
    <n v="7.68"/>
    <n v="9.7100000000000009"/>
    <n v="5.16"/>
    <n v="6.91"/>
  </r>
  <r>
    <x v="12"/>
    <x v="10"/>
    <x v="40"/>
    <x v="1"/>
    <x v="4"/>
    <x v="0"/>
    <n v="126.06"/>
    <n v="159.41999999999999"/>
    <n v="26.82"/>
    <n v="113.45"/>
  </r>
  <r>
    <x v="12"/>
    <x v="10"/>
    <x v="40"/>
    <x v="1"/>
    <x v="1"/>
    <x v="0"/>
    <n v="10.7"/>
    <n v="13.53"/>
    <n v="1.26"/>
    <n v="9.6300000000000008"/>
  </r>
  <r>
    <x v="12"/>
    <x v="10"/>
    <x v="40"/>
    <x v="1"/>
    <x v="2"/>
    <x v="0"/>
    <n v="1.84"/>
    <n v="2.33"/>
    <n v="0.01"/>
    <n v="1.66"/>
  </r>
  <r>
    <x v="12"/>
    <x v="10"/>
    <x v="40"/>
    <x v="2"/>
    <x v="0"/>
    <x v="0"/>
    <n v="1.07"/>
    <n v="1.35"/>
    <n v="1.08"/>
    <n v="0.96"/>
  </r>
  <r>
    <x v="12"/>
    <x v="10"/>
    <x v="40"/>
    <x v="2"/>
    <x v="4"/>
    <x v="0"/>
    <n v="1.77"/>
    <n v="2.2400000000000002"/>
    <n v="0.46"/>
    <n v="1.59"/>
  </r>
  <r>
    <x v="12"/>
    <x v="10"/>
    <x v="40"/>
    <x v="0"/>
    <x v="0"/>
    <x v="0"/>
    <n v="3.15"/>
    <n v="3.98"/>
    <n v="1.4"/>
    <n v="2.83"/>
  </r>
  <r>
    <x v="12"/>
    <x v="10"/>
    <x v="40"/>
    <x v="4"/>
    <x v="1"/>
    <x v="0"/>
    <n v="6.32"/>
    <n v="8"/>
    <n v="0.32"/>
    <n v="5.69"/>
  </r>
  <r>
    <x v="12"/>
    <x v="10"/>
    <x v="40"/>
    <x v="2"/>
    <x v="3"/>
    <x v="0"/>
    <n v="0.12"/>
    <n v="0.15"/>
    <n v="0.03"/>
    <n v="0.11"/>
  </r>
  <r>
    <x v="12"/>
    <x v="10"/>
    <x v="40"/>
    <x v="2"/>
    <x v="3"/>
    <x v="2"/>
    <n v="2.56"/>
    <n v="3.24"/>
    <n v="0"/>
    <n v="2.31"/>
  </r>
  <r>
    <x v="12"/>
    <x v="10"/>
    <x v="40"/>
    <x v="4"/>
    <x v="4"/>
    <x v="0"/>
    <n v="32.950000000000003"/>
    <n v="41.67"/>
    <n v="4.96"/>
    <n v="29.65"/>
  </r>
  <r>
    <x v="12"/>
    <x v="10"/>
    <x v="40"/>
    <x v="0"/>
    <x v="4"/>
    <x v="0"/>
    <n v="11.85"/>
    <n v="14.99"/>
    <n v="2.83"/>
    <n v="10.67"/>
  </r>
  <r>
    <x v="12"/>
    <x v="10"/>
    <x v="40"/>
    <x v="1"/>
    <x v="2"/>
    <x v="1"/>
    <n v="2.06"/>
    <n v="2.61"/>
    <n v="0.01"/>
    <n v="1.86"/>
  </r>
  <r>
    <x v="12"/>
    <x v="10"/>
    <x v="40"/>
    <x v="1"/>
    <x v="1"/>
    <x v="1"/>
    <n v="0.99"/>
    <n v="1.25"/>
    <n v="0.01"/>
    <n v="0.89"/>
  </r>
  <r>
    <x v="12"/>
    <x v="10"/>
    <x v="40"/>
    <x v="1"/>
    <x v="4"/>
    <x v="1"/>
    <n v="7.0000000000000007E-2"/>
    <n v="0.09"/>
    <n v="0"/>
    <n v="0.06"/>
  </r>
  <r>
    <x v="12"/>
    <x v="10"/>
    <x v="40"/>
    <x v="1"/>
    <x v="0"/>
    <x v="1"/>
    <n v="0.52"/>
    <n v="0.66"/>
    <n v="0.02"/>
    <n v="0.47"/>
  </r>
  <r>
    <x v="12"/>
    <x v="10"/>
    <x v="40"/>
    <x v="0"/>
    <x v="4"/>
    <x v="1"/>
    <n v="7.0000000000000007E-2"/>
    <n v="0.09"/>
    <n v="0.01"/>
    <n v="7.0000000000000007E-2"/>
  </r>
  <r>
    <x v="12"/>
    <x v="10"/>
    <x v="40"/>
    <x v="0"/>
    <x v="0"/>
    <x v="1"/>
    <n v="0.7"/>
    <n v="0.89"/>
    <n v="0.02"/>
    <n v="0.63"/>
  </r>
  <r>
    <x v="12"/>
    <x v="10"/>
    <x v="40"/>
    <x v="4"/>
    <x v="1"/>
    <x v="1"/>
    <n v="0.28999999999999998"/>
    <n v="0.37"/>
    <n v="0"/>
    <n v="0.26"/>
  </r>
  <r>
    <x v="12"/>
    <x v="10"/>
    <x v="40"/>
    <x v="4"/>
    <x v="4"/>
    <x v="1"/>
    <n v="0.77"/>
    <n v="0.97"/>
    <n v="0.01"/>
    <n v="0.69"/>
  </r>
  <r>
    <x v="12"/>
    <x v="1"/>
    <x v="41"/>
    <x v="1"/>
    <x v="0"/>
    <x v="0"/>
    <n v="40.950000000000003"/>
    <n v="39.9"/>
    <n v="19.329999999999998"/>
    <n v="36.86"/>
  </r>
  <r>
    <x v="12"/>
    <x v="1"/>
    <x v="41"/>
    <x v="0"/>
    <x v="4"/>
    <x v="0"/>
    <n v="29.52"/>
    <n v="28.76"/>
    <n v="6.46"/>
    <n v="26.57"/>
  </r>
  <r>
    <x v="12"/>
    <x v="1"/>
    <x v="41"/>
    <x v="1"/>
    <x v="4"/>
    <x v="0"/>
    <n v="330.98"/>
    <n v="322.5"/>
    <n v="73.849999999999994"/>
    <n v="297.88"/>
  </r>
  <r>
    <x v="12"/>
    <x v="1"/>
    <x v="41"/>
    <x v="2"/>
    <x v="3"/>
    <x v="1"/>
    <n v="0.67"/>
    <n v="0.65"/>
    <n v="0"/>
    <n v="0.6"/>
  </r>
  <r>
    <x v="12"/>
    <x v="1"/>
    <x v="41"/>
    <x v="1"/>
    <x v="2"/>
    <x v="1"/>
    <n v="13.34"/>
    <n v="13"/>
    <n v="0.08"/>
    <n v="12.01"/>
  </r>
  <r>
    <x v="12"/>
    <x v="1"/>
    <x v="41"/>
    <x v="1"/>
    <x v="1"/>
    <x v="1"/>
    <n v="6.62"/>
    <n v="6.45"/>
    <n v="0.12"/>
    <n v="5.96"/>
  </r>
  <r>
    <x v="12"/>
    <x v="1"/>
    <x v="41"/>
    <x v="1"/>
    <x v="4"/>
    <x v="1"/>
    <n v="1.07"/>
    <n v="1.05"/>
    <n v="0.03"/>
    <n v="0.97"/>
  </r>
  <r>
    <x v="12"/>
    <x v="1"/>
    <x v="41"/>
    <x v="0"/>
    <x v="0"/>
    <x v="0"/>
    <n v="0.3"/>
    <n v="0.3"/>
    <n v="0.17"/>
    <n v="0.27"/>
  </r>
  <r>
    <x v="12"/>
    <x v="1"/>
    <x v="41"/>
    <x v="1"/>
    <x v="0"/>
    <x v="1"/>
    <n v="0.97"/>
    <n v="0.94"/>
    <n v="0.05"/>
    <n v="0.87"/>
  </r>
  <r>
    <x v="12"/>
    <x v="1"/>
    <x v="41"/>
    <x v="3"/>
    <x v="4"/>
    <x v="0"/>
    <n v="76.2"/>
    <n v="74.25"/>
    <n v="11.4"/>
    <n v="68.58"/>
  </r>
  <r>
    <x v="12"/>
    <x v="1"/>
    <x v="41"/>
    <x v="0"/>
    <x v="0"/>
    <x v="1"/>
    <n v="1.17"/>
    <n v="1.1399999999999999"/>
    <n v="0.06"/>
    <n v="1.05"/>
  </r>
  <r>
    <x v="12"/>
    <x v="1"/>
    <x v="41"/>
    <x v="4"/>
    <x v="1"/>
    <x v="1"/>
    <n v="0.42"/>
    <n v="0.41"/>
    <n v="0.03"/>
    <n v="0.38"/>
  </r>
  <r>
    <x v="12"/>
    <x v="1"/>
    <x v="41"/>
    <x v="4"/>
    <x v="4"/>
    <x v="1"/>
    <n v="0.32"/>
    <n v="0.31"/>
    <n v="0.02"/>
    <n v="0.28999999999999998"/>
  </r>
  <r>
    <x v="12"/>
    <x v="1"/>
    <x v="41"/>
    <x v="2"/>
    <x v="3"/>
    <x v="3"/>
    <n v="9.26"/>
    <n v="9.0299999999999994"/>
    <n v="0.01"/>
    <n v="8.34"/>
  </r>
  <r>
    <x v="12"/>
    <x v="1"/>
    <x v="41"/>
    <x v="2"/>
    <x v="3"/>
    <x v="2"/>
    <n v="10.46"/>
    <n v="10.19"/>
    <n v="0.02"/>
    <n v="9.41"/>
  </r>
  <r>
    <x v="12"/>
    <x v="1"/>
    <x v="41"/>
    <x v="1"/>
    <x v="1"/>
    <x v="2"/>
    <n v="0.45"/>
    <n v="0.44"/>
    <n v="0.01"/>
    <n v="0.4"/>
  </r>
  <r>
    <x v="12"/>
    <x v="1"/>
    <x v="41"/>
    <x v="4"/>
    <x v="1"/>
    <x v="2"/>
    <n v="2.11"/>
    <n v="2.0499999999999998"/>
    <n v="0.12"/>
    <n v="1.9"/>
  </r>
  <r>
    <x v="12"/>
    <x v="1"/>
    <x v="41"/>
    <x v="4"/>
    <x v="4"/>
    <x v="2"/>
    <n v="0.19"/>
    <n v="0.19"/>
    <n v="0.03"/>
    <n v="0.17"/>
  </r>
  <r>
    <x v="12"/>
    <x v="1"/>
    <x v="41"/>
    <x v="0"/>
    <x v="4"/>
    <x v="1"/>
    <n v="0.94"/>
    <n v="0.91"/>
    <n v="0.02"/>
    <n v="0.84"/>
  </r>
  <r>
    <x v="12"/>
    <x v="1"/>
    <x v="41"/>
    <x v="1"/>
    <x v="2"/>
    <x v="0"/>
    <n v="18.93"/>
    <n v="18.45"/>
    <n v="0.12"/>
    <n v="17.04"/>
  </r>
  <r>
    <x v="12"/>
    <x v="1"/>
    <x v="41"/>
    <x v="2"/>
    <x v="3"/>
    <x v="0"/>
    <n v="3.95"/>
    <n v="3.85"/>
    <n v="0.03"/>
    <n v="3.56"/>
  </r>
  <r>
    <x v="12"/>
    <x v="1"/>
    <x v="41"/>
    <x v="4"/>
    <x v="0"/>
    <x v="1"/>
    <n v="0.25"/>
    <n v="0.24"/>
    <n v="0.03"/>
    <n v="0.22"/>
  </r>
  <r>
    <x v="12"/>
    <x v="1"/>
    <x v="41"/>
    <x v="1"/>
    <x v="1"/>
    <x v="0"/>
    <n v="47.49"/>
    <n v="46.27"/>
    <n v="2.2400000000000002"/>
    <n v="42.74"/>
  </r>
  <r>
    <x v="12"/>
    <x v="1"/>
    <x v="41"/>
    <x v="2"/>
    <x v="0"/>
    <x v="0"/>
    <n v="7.94"/>
    <n v="7.74"/>
    <n v="4.5"/>
    <n v="7.14"/>
  </r>
  <r>
    <x v="12"/>
    <x v="1"/>
    <x v="41"/>
    <x v="3"/>
    <x v="1"/>
    <x v="0"/>
    <n v="2.2599999999999998"/>
    <n v="2.2000000000000002"/>
    <n v="0.17"/>
    <n v="2.0299999999999998"/>
  </r>
  <r>
    <x v="12"/>
    <x v="1"/>
    <x v="41"/>
    <x v="4"/>
    <x v="4"/>
    <x v="0"/>
    <n v="98.95"/>
    <n v="96.41"/>
    <n v="11.83"/>
    <n v="89.06"/>
  </r>
  <r>
    <x v="12"/>
    <x v="1"/>
    <x v="41"/>
    <x v="2"/>
    <x v="4"/>
    <x v="0"/>
    <n v="24.67"/>
    <n v="24.03"/>
    <n v="5.07"/>
    <n v="22.2"/>
  </r>
  <r>
    <x v="12"/>
    <x v="1"/>
    <x v="41"/>
    <x v="4"/>
    <x v="1"/>
    <x v="0"/>
    <n v="33.119999999999997"/>
    <n v="32.270000000000003"/>
    <n v="1.4"/>
    <n v="29.81"/>
  </r>
  <r>
    <x v="12"/>
    <x v="2"/>
    <x v="42"/>
    <x v="0"/>
    <x v="4"/>
    <x v="0"/>
    <n v="30.21"/>
    <n v="32.89"/>
    <n v="6.69"/>
    <n v="27.19"/>
  </r>
  <r>
    <x v="12"/>
    <x v="2"/>
    <x v="42"/>
    <x v="4"/>
    <x v="4"/>
    <x v="2"/>
    <n v="0.05"/>
    <n v="0.06"/>
    <n v="0"/>
    <n v="0.05"/>
  </r>
  <r>
    <x v="12"/>
    <x v="2"/>
    <x v="42"/>
    <x v="1"/>
    <x v="4"/>
    <x v="0"/>
    <n v="269.14999999999998"/>
    <n v="292.99"/>
    <n v="40.57"/>
    <n v="242.23"/>
  </r>
  <r>
    <x v="12"/>
    <x v="2"/>
    <x v="42"/>
    <x v="1"/>
    <x v="1"/>
    <x v="0"/>
    <n v="34.42"/>
    <n v="37.47"/>
    <n v="1.57"/>
    <n v="30.97"/>
  </r>
  <r>
    <x v="12"/>
    <x v="2"/>
    <x v="42"/>
    <x v="1"/>
    <x v="2"/>
    <x v="0"/>
    <n v="7.33"/>
    <n v="7.98"/>
    <n v="0.06"/>
    <n v="6.6"/>
  </r>
  <r>
    <x v="12"/>
    <x v="2"/>
    <x v="42"/>
    <x v="2"/>
    <x v="0"/>
    <x v="0"/>
    <n v="10.84"/>
    <n v="11.81"/>
    <n v="2.95"/>
    <n v="9.76"/>
  </r>
  <r>
    <x v="12"/>
    <x v="2"/>
    <x v="42"/>
    <x v="2"/>
    <x v="3"/>
    <x v="0"/>
    <n v="3.25"/>
    <n v="3.53"/>
    <n v="0.03"/>
    <n v="2.92"/>
  </r>
  <r>
    <x v="12"/>
    <x v="2"/>
    <x v="42"/>
    <x v="0"/>
    <x v="0"/>
    <x v="1"/>
    <n v="0.3"/>
    <n v="0.33"/>
    <n v="0.01"/>
    <n v="0.27"/>
  </r>
  <r>
    <x v="12"/>
    <x v="2"/>
    <x v="42"/>
    <x v="0"/>
    <x v="0"/>
    <x v="0"/>
    <n v="8.0399999999999991"/>
    <n v="8.75"/>
    <n v="3.87"/>
    <n v="7.23"/>
  </r>
  <r>
    <x v="12"/>
    <x v="2"/>
    <x v="42"/>
    <x v="1"/>
    <x v="4"/>
    <x v="2"/>
    <n v="0"/>
    <n v="0"/>
    <n v="0"/>
    <n v="0"/>
  </r>
  <r>
    <x v="12"/>
    <x v="2"/>
    <x v="42"/>
    <x v="4"/>
    <x v="2"/>
    <x v="2"/>
    <n v="0.03"/>
    <n v="0.03"/>
    <n v="0"/>
    <n v="0.03"/>
  </r>
  <r>
    <x v="12"/>
    <x v="2"/>
    <x v="42"/>
    <x v="4"/>
    <x v="1"/>
    <x v="2"/>
    <n v="0.01"/>
    <n v="0.01"/>
    <n v="0"/>
    <n v="0.01"/>
  </r>
  <r>
    <x v="12"/>
    <x v="2"/>
    <x v="42"/>
    <x v="2"/>
    <x v="4"/>
    <x v="0"/>
    <n v="7.48"/>
    <n v="8.15"/>
    <n v="1.07"/>
    <n v="6.73"/>
  </r>
  <r>
    <x v="12"/>
    <x v="2"/>
    <x v="42"/>
    <x v="4"/>
    <x v="1"/>
    <x v="0"/>
    <n v="14.17"/>
    <n v="15.43"/>
    <n v="0.7"/>
    <n v="12.75"/>
  </r>
  <r>
    <x v="12"/>
    <x v="2"/>
    <x v="42"/>
    <x v="0"/>
    <x v="4"/>
    <x v="1"/>
    <n v="0.04"/>
    <n v="0.04"/>
    <n v="0"/>
    <n v="0.03"/>
  </r>
  <r>
    <x v="12"/>
    <x v="2"/>
    <x v="42"/>
    <x v="1"/>
    <x v="0"/>
    <x v="1"/>
    <n v="0.25"/>
    <n v="0.27"/>
    <n v="0.01"/>
    <n v="0.22"/>
  </r>
  <r>
    <x v="12"/>
    <x v="2"/>
    <x v="42"/>
    <x v="1"/>
    <x v="4"/>
    <x v="1"/>
    <n v="0.42"/>
    <n v="0.46"/>
    <n v="0.01"/>
    <n v="0.38"/>
  </r>
  <r>
    <x v="12"/>
    <x v="2"/>
    <x v="42"/>
    <x v="1"/>
    <x v="1"/>
    <x v="1"/>
    <n v="0.48"/>
    <n v="0.52"/>
    <n v="0.01"/>
    <n v="0.43"/>
  </r>
  <r>
    <x v="12"/>
    <x v="2"/>
    <x v="42"/>
    <x v="1"/>
    <x v="2"/>
    <x v="1"/>
    <n v="0.97"/>
    <n v="1.06"/>
    <n v="0.01"/>
    <n v="0.88"/>
  </r>
  <r>
    <x v="12"/>
    <x v="2"/>
    <x v="42"/>
    <x v="2"/>
    <x v="3"/>
    <x v="1"/>
    <n v="0.02"/>
    <n v="0.02"/>
    <n v="0"/>
    <n v="0.01"/>
  </r>
  <r>
    <x v="12"/>
    <x v="2"/>
    <x v="42"/>
    <x v="3"/>
    <x v="0"/>
    <x v="0"/>
    <n v="6.24"/>
    <n v="6.79"/>
    <n v="1.03"/>
    <n v="5.62"/>
  </r>
  <r>
    <x v="12"/>
    <x v="2"/>
    <x v="42"/>
    <x v="3"/>
    <x v="4"/>
    <x v="0"/>
    <n v="31.43"/>
    <n v="34.22"/>
    <n v="6.19"/>
    <n v="28.29"/>
  </r>
  <r>
    <x v="12"/>
    <x v="2"/>
    <x v="42"/>
    <x v="1"/>
    <x v="0"/>
    <x v="0"/>
    <n v="17.510000000000002"/>
    <n v="19.059999999999999"/>
    <n v="8.08"/>
    <n v="15.76"/>
  </r>
  <r>
    <x v="12"/>
    <x v="2"/>
    <x v="42"/>
    <x v="4"/>
    <x v="4"/>
    <x v="0"/>
    <n v="65.69"/>
    <n v="71.510000000000005"/>
    <n v="7.25"/>
    <n v="59.12"/>
  </r>
  <r>
    <x v="12"/>
    <x v="2"/>
    <x v="42"/>
    <x v="2"/>
    <x v="3"/>
    <x v="2"/>
    <n v="0.99"/>
    <n v="1.08"/>
    <n v="0"/>
    <n v="0.89"/>
  </r>
  <r>
    <x v="12"/>
    <x v="2"/>
    <x v="42"/>
    <x v="4"/>
    <x v="1"/>
    <x v="1"/>
    <n v="0.09"/>
    <n v="0.09"/>
    <n v="0"/>
    <n v="0.08"/>
  </r>
  <r>
    <x v="12"/>
    <x v="2"/>
    <x v="42"/>
    <x v="4"/>
    <x v="4"/>
    <x v="1"/>
    <n v="0.06"/>
    <n v="7.0000000000000007E-2"/>
    <n v="0"/>
    <n v="0.05"/>
  </r>
  <r>
    <x v="12"/>
    <x v="2"/>
    <x v="42"/>
    <x v="4"/>
    <x v="0"/>
    <x v="1"/>
    <n v="0.01"/>
    <n v="0.01"/>
    <n v="0"/>
    <n v="0.01"/>
  </r>
  <r>
    <x v="12"/>
    <x v="2"/>
    <x v="42"/>
    <x v="2"/>
    <x v="3"/>
    <x v="3"/>
    <n v="48.06"/>
    <n v="52.32"/>
    <n v="0.03"/>
    <n v="43.25"/>
  </r>
  <r>
    <x v="12"/>
    <x v="2"/>
    <x v="42"/>
    <x v="3"/>
    <x v="1"/>
    <x v="0"/>
    <n v="0.27"/>
    <n v="0.28999999999999998"/>
    <n v="0.02"/>
    <n v="0.24"/>
  </r>
  <r>
    <x v="12"/>
    <x v="2"/>
    <x v="43"/>
    <x v="2"/>
    <x v="4"/>
    <x v="0"/>
    <n v="7.3"/>
    <n v="9.02"/>
    <n v="0.9"/>
    <n v="6.57"/>
  </r>
  <r>
    <x v="12"/>
    <x v="2"/>
    <x v="43"/>
    <x v="2"/>
    <x v="0"/>
    <x v="0"/>
    <n v="6.66"/>
    <n v="8.23"/>
    <n v="2.33"/>
    <n v="6"/>
  </r>
  <r>
    <x v="12"/>
    <x v="2"/>
    <x v="43"/>
    <x v="1"/>
    <x v="2"/>
    <x v="0"/>
    <n v="0.33"/>
    <n v="0.41"/>
    <n v="0.01"/>
    <n v="0.3"/>
  </r>
  <r>
    <x v="12"/>
    <x v="2"/>
    <x v="43"/>
    <x v="1"/>
    <x v="1"/>
    <x v="0"/>
    <n v="19.28"/>
    <n v="23.83"/>
    <n v="0.95"/>
    <n v="17.350000000000001"/>
  </r>
  <r>
    <x v="12"/>
    <x v="2"/>
    <x v="43"/>
    <x v="1"/>
    <x v="4"/>
    <x v="0"/>
    <n v="156.08000000000001"/>
    <n v="192.86"/>
    <n v="26.44"/>
    <n v="140.47"/>
  </r>
  <r>
    <x v="12"/>
    <x v="2"/>
    <x v="43"/>
    <x v="4"/>
    <x v="1"/>
    <x v="1"/>
    <n v="0.05"/>
    <n v="0.06"/>
    <n v="0"/>
    <n v="0.04"/>
  </r>
  <r>
    <x v="12"/>
    <x v="2"/>
    <x v="43"/>
    <x v="3"/>
    <x v="1"/>
    <x v="0"/>
    <n v="0.38"/>
    <n v="0.47"/>
    <n v="0.04"/>
    <n v="0.34"/>
  </r>
  <r>
    <x v="12"/>
    <x v="2"/>
    <x v="43"/>
    <x v="3"/>
    <x v="4"/>
    <x v="0"/>
    <n v="8.84"/>
    <n v="10.92"/>
    <n v="2.44"/>
    <n v="7.96"/>
  </r>
  <r>
    <x v="12"/>
    <x v="2"/>
    <x v="43"/>
    <x v="3"/>
    <x v="0"/>
    <x v="0"/>
    <n v="5.21"/>
    <n v="6.44"/>
    <n v="1.1100000000000001"/>
    <n v="4.6900000000000004"/>
  </r>
  <r>
    <x v="12"/>
    <x v="2"/>
    <x v="43"/>
    <x v="2"/>
    <x v="3"/>
    <x v="1"/>
    <n v="0"/>
    <n v="0"/>
    <n v="0"/>
    <n v="0"/>
  </r>
  <r>
    <x v="12"/>
    <x v="2"/>
    <x v="43"/>
    <x v="1"/>
    <x v="2"/>
    <x v="1"/>
    <n v="0.47"/>
    <n v="0.57999999999999996"/>
    <n v="0"/>
    <n v="0.42"/>
  </r>
  <r>
    <x v="12"/>
    <x v="2"/>
    <x v="43"/>
    <x v="1"/>
    <x v="1"/>
    <x v="1"/>
    <n v="0.66"/>
    <n v="0.82"/>
    <n v="0.01"/>
    <n v="0.6"/>
  </r>
  <r>
    <x v="12"/>
    <x v="2"/>
    <x v="43"/>
    <x v="1"/>
    <x v="4"/>
    <x v="1"/>
    <n v="7.0000000000000007E-2"/>
    <n v="0.09"/>
    <n v="0"/>
    <n v="0.06"/>
  </r>
  <r>
    <x v="12"/>
    <x v="2"/>
    <x v="43"/>
    <x v="1"/>
    <x v="0"/>
    <x v="1"/>
    <n v="0.38"/>
    <n v="0.47"/>
    <n v="0.02"/>
    <n v="0.34"/>
  </r>
  <r>
    <x v="12"/>
    <x v="2"/>
    <x v="43"/>
    <x v="4"/>
    <x v="2"/>
    <x v="2"/>
    <n v="0.04"/>
    <n v="0.05"/>
    <n v="0"/>
    <n v="0.04"/>
  </r>
  <r>
    <x v="12"/>
    <x v="2"/>
    <x v="43"/>
    <x v="0"/>
    <x v="0"/>
    <x v="1"/>
    <n v="0.32"/>
    <n v="0.39"/>
    <n v="0.01"/>
    <n v="0.28999999999999998"/>
  </r>
  <r>
    <x v="12"/>
    <x v="2"/>
    <x v="43"/>
    <x v="4"/>
    <x v="4"/>
    <x v="2"/>
    <n v="0.21"/>
    <n v="0.26"/>
    <n v="0.01"/>
    <n v="0.19"/>
  </r>
  <r>
    <x v="12"/>
    <x v="2"/>
    <x v="43"/>
    <x v="4"/>
    <x v="4"/>
    <x v="1"/>
    <n v="0.09"/>
    <n v="0.12"/>
    <n v="0"/>
    <n v="0.08"/>
  </r>
  <r>
    <x v="12"/>
    <x v="2"/>
    <x v="43"/>
    <x v="4"/>
    <x v="0"/>
    <x v="1"/>
    <n v="0"/>
    <n v="0"/>
    <n v="0"/>
    <n v="0"/>
  </r>
  <r>
    <x v="12"/>
    <x v="2"/>
    <x v="43"/>
    <x v="2"/>
    <x v="3"/>
    <x v="3"/>
    <n v="21.88"/>
    <n v="27.03"/>
    <n v="0.01"/>
    <n v="19.690000000000001"/>
  </r>
  <r>
    <x v="12"/>
    <x v="2"/>
    <x v="43"/>
    <x v="2"/>
    <x v="3"/>
    <x v="2"/>
    <n v="0.03"/>
    <n v="0.04"/>
    <n v="0"/>
    <n v="0.03"/>
  </r>
  <r>
    <x v="12"/>
    <x v="2"/>
    <x v="43"/>
    <x v="0"/>
    <x v="0"/>
    <x v="0"/>
    <n v="2.57"/>
    <n v="3.18"/>
    <n v="1.27"/>
    <n v="2.3199999999999998"/>
  </r>
  <r>
    <x v="12"/>
    <x v="2"/>
    <x v="43"/>
    <x v="1"/>
    <x v="4"/>
    <x v="2"/>
    <n v="0.69"/>
    <n v="0.86"/>
    <n v="0"/>
    <n v="0.62"/>
  </r>
  <r>
    <x v="12"/>
    <x v="2"/>
    <x v="43"/>
    <x v="2"/>
    <x v="3"/>
    <x v="0"/>
    <n v="3.75"/>
    <n v="4.63"/>
    <n v="0.03"/>
    <n v="3.37"/>
  </r>
  <r>
    <x v="12"/>
    <x v="2"/>
    <x v="43"/>
    <x v="4"/>
    <x v="1"/>
    <x v="2"/>
    <n v="0.04"/>
    <n v="0.05"/>
    <n v="0"/>
    <n v="0.03"/>
  </r>
  <r>
    <x v="12"/>
    <x v="2"/>
    <x v="43"/>
    <x v="0"/>
    <x v="4"/>
    <x v="1"/>
    <n v="0.03"/>
    <n v="0.04"/>
    <n v="0"/>
    <n v="0.03"/>
  </r>
  <r>
    <x v="12"/>
    <x v="2"/>
    <x v="43"/>
    <x v="4"/>
    <x v="4"/>
    <x v="0"/>
    <n v="60.18"/>
    <n v="74.36"/>
    <n v="6.3"/>
    <n v="54.16"/>
  </r>
  <r>
    <x v="12"/>
    <x v="2"/>
    <x v="43"/>
    <x v="4"/>
    <x v="1"/>
    <x v="0"/>
    <n v="6.04"/>
    <n v="7.47"/>
    <n v="0.28999999999999998"/>
    <n v="5.44"/>
  </r>
  <r>
    <x v="12"/>
    <x v="2"/>
    <x v="43"/>
    <x v="1"/>
    <x v="0"/>
    <x v="0"/>
    <n v="8.82"/>
    <n v="10.9"/>
    <n v="4.8099999999999996"/>
    <n v="7.94"/>
  </r>
  <r>
    <x v="12"/>
    <x v="2"/>
    <x v="43"/>
    <x v="0"/>
    <x v="4"/>
    <x v="0"/>
    <n v="16.66"/>
    <n v="20.58"/>
    <n v="3.56"/>
    <n v="14.99"/>
  </r>
  <r>
    <x v="12"/>
    <x v="2"/>
    <x v="44"/>
    <x v="0"/>
    <x v="4"/>
    <x v="0"/>
    <n v="16.440000000000001"/>
    <n v="17.04"/>
    <n v="3.92"/>
    <n v="14.8"/>
  </r>
  <r>
    <x v="12"/>
    <x v="2"/>
    <x v="44"/>
    <x v="3"/>
    <x v="0"/>
    <x v="0"/>
    <n v="3.63"/>
    <n v="3.76"/>
    <n v="0.8"/>
    <n v="3.27"/>
  </r>
  <r>
    <x v="12"/>
    <x v="2"/>
    <x v="44"/>
    <x v="3"/>
    <x v="4"/>
    <x v="0"/>
    <n v="5.6"/>
    <n v="5.81"/>
    <n v="1.39"/>
    <n v="5.04"/>
  </r>
  <r>
    <x v="12"/>
    <x v="2"/>
    <x v="44"/>
    <x v="3"/>
    <x v="1"/>
    <x v="0"/>
    <n v="0.32"/>
    <n v="0.33"/>
    <n v="0.03"/>
    <n v="0.28999999999999998"/>
  </r>
  <r>
    <x v="12"/>
    <x v="2"/>
    <x v="44"/>
    <x v="4"/>
    <x v="4"/>
    <x v="0"/>
    <n v="54.38"/>
    <n v="56.37"/>
    <n v="5.59"/>
    <n v="48.95"/>
  </r>
  <r>
    <x v="12"/>
    <x v="2"/>
    <x v="44"/>
    <x v="0"/>
    <x v="0"/>
    <x v="0"/>
    <n v="3.87"/>
    <n v="4.01"/>
    <n v="1.86"/>
    <n v="3.49"/>
  </r>
  <r>
    <x v="12"/>
    <x v="2"/>
    <x v="44"/>
    <x v="1"/>
    <x v="1"/>
    <x v="1"/>
    <n v="0.8"/>
    <n v="0.83"/>
    <n v="0.01"/>
    <n v="0.72"/>
  </r>
  <r>
    <x v="12"/>
    <x v="2"/>
    <x v="44"/>
    <x v="1"/>
    <x v="0"/>
    <x v="0"/>
    <n v="9.0299999999999994"/>
    <n v="9.36"/>
    <n v="4.3"/>
    <n v="8.1300000000000008"/>
  </r>
  <r>
    <x v="12"/>
    <x v="2"/>
    <x v="44"/>
    <x v="1"/>
    <x v="4"/>
    <x v="0"/>
    <n v="133.72"/>
    <n v="138.6"/>
    <n v="23.76"/>
    <n v="120.35"/>
  </r>
  <r>
    <x v="12"/>
    <x v="2"/>
    <x v="44"/>
    <x v="1"/>
    <x v="1"/>
    <x v="0"/>
    <n v="21.03"/>
    <n v="21.8"/>
    <n v="1.06"/>
    <n v="18.93"/>
  </r>
  <r>
    <x v="12"/>
    <x v="2"/>
    <x v="44"/>
    <x v="1"/>
    <x v="2"/>
    <x v="0"/>
    <n v="1.27"/>
    <n v="1.32"/>
    <n v="0.03"/>
    <n v="1.1399999999999999"/>
  </r>
  <r>
    <x v="12"/>
    <x v="2"/>
    <x v="44"/>
    <x v="2"/>
    <x v="0"/>
    <x v="0"/>
    <n v="2.99"/>
    <n v="3.1"/>
    <n v="1.45"/>
    <n v="2.69"/>
  </r>
  <r>
    <x v="12"/>
    <x v="2"/>
    <x v="44"/>
    <x v="2"/>
    <x v="4"/>
    <x v="0"/>
    <n v="4.0999999999999996"/>
    <n v="4.25"/>
    <n v="0.59"/>
    <n v="3.69"/>
  </r>
  <r>
    <x v="12"/>
    <x v="2"/>
    <x v="44"/>
    <x v="2"/>
    <x v="3"/>
    <x v="0"/>
    <n v="4.97"/>
    <n v="5.15"/>
    <n v="0.04"/>
    <n v="4.47"/>
  </r>
  <r>
    <x v="12"/>
    <x v="2"/>
    <x v="44"/>
    <x v="4"/>
    <x v="1"/>
    <x v="0"/>
    <n v="6.76"/>
    <n v="7"/>
    <n v="0.38"/>
    <n v="6.08"/>
  </r>
  <r>
    <x v="12"/>
    <x v="2"/>
    <x v="44"/>
    <x v="4"/>
    <x v="4"/>
    <x v="1"/>
    <n v="0.17"/>
    <n v="0.18"/>
    <n v="0"/>
    <n v="0.16"/>
  </r>
  <r>
    <x v="12"/>
    <x v="2"/>
    <x v="44"/>
    <x v="4"/>
    <x v="1"/>
    <x v="2"/>
    <n v="0.04"/>
    <n v="0.04"/>
    <n v="0"/>
    <n v="0.03"/>
  </r>
  <r>
    <x v="12"/>
    <x v="2"/>
    <x v="44"/>
    <x v="4"/>
    <x v="2"/>
    <x v="2"/>
    <n v="0.02"/>
    <n v="0.02"/>
    <n v="0"/>
    <n v="0.02"/>
  </r>
  <r>
    <x v="12"/>
    <x v="2"/>
    <x v="44"/>
    <x v="1"/>
    <x v="4"/>
    <x v="1"/>
    <n v="0.16"/>
    <n v="0.16"/>
    <n v="0.01"/>
    <n v="0.14000000000000001"/>
  </r>
  <r>
    <x v="12"/>
    <x v="2"/>
    <x v="44"/>
    <x v="1"/>
    <x v="0"/>
    <x v="1"/>
    <n v="0.52"/>
    <n v="0.54"/>
    <n v="0.02"/>
    <n v="0.47"/>
  </r>
  <r>
    <x v="12"/>
    <x v="2"/>
    <x v="44"/>
    <x v="0"/>
    <x v="4"/>
    <x v="1"/>
    <n v="0.23"/>
    <n v="0.24"/>
    <n v="0.02"/>
    <n v="0.21"/>
  </r>
  <r>
    <x v="12"/>
    <x v="2"/>
    <x v="44"/>
    <x v="4"/>
    <x v="1"/>
    <x v="1"/>
    <n v="0.15"/>
    <n v="0.16"/>
    <n v="0"/>
    <n v="0.14000000000000001"/>
  </r>
  <r>
    <x v="12"/>
    <x v="2"/>
    <x v="44"/>
    <x v="2"/>
    <x v="3"/>
    <x v="1"/>
    <n v="0.02"/>
    <n v="0.02"/>
    <n v="0"/>
    <n v="0.01"/>
  </r>
  <r>
    <x v="12"/>
    <x v="2"/>
    <x v="44"/>
    <x v="4"/>
    <x v="0"/>
    <x v="1"/>
    <n v="0.02"/>
    <n v="0.02"/>
    <n v="0"/>
    <n v="0.02"/>
  </r>
  <r>
    <x v="12"/>
    <x v="2"/>
    <x v="44"/>
    <x v="2"/>
    <x v="3"/>
    <x v="3"/>
    <n v="13.56"/>
    <n v="14.06"/>
    <n v="0.01"/>
    <n v="12.2"/>
  </r>
  <r>
    <x v="12"/>
    <x v="2"/>
    <x v="44"/>
    <x v="2"/>
    <x v="3"/>
    <x v="2"/>
    <n v="0.2"/>
    <n v="0.21"/>
    <n v="0"/>
    <n v="0.18"/>
  </r>
  <r>
    <x v="12"/>
    <x v="2"/>
    <x v="44"/>
    <x v="1"/>
    <x v="4"/>
    <x v="2"/>
    <n v="5.01"/>
    <n v="5.2"/>
    <n v="7.0000000000000007E-2"/>
    <n v="4.51"/>
  </r>
  <r>
    <x v="12"/>
    <x v="2"/>
    <x v="44"/>
    <x v="4"/>
    <x v="4"/>
    <x v="2"/>
    <n v="0.15"/>
    <n v="0.15"/>
    <n v="0"/>
    <n v="0.13"/>
  </r>
  <r>
    <x v="12"/>
    <x v="2"/>
    <x v="44"/>
    <x v="1"/>
    <x v="2"/>
    <x v="1"/>
    <n v="3.2"/>
    <n v="3.32"/>
    <n v="0.02"/>
    <n v="2.88"/>
  </r>
  <r>
    <x v="12"/>
    <x v="2"/>
    <x v="44"/>
    <x v="0"/>
    <x v="0"/>
    <x v="1"/>
    <n v="1.02"/>
    <n v="1.06"/>
    <n v="0.03"/>
    <n v="0.92"/>
  </r>
  <r>
    <x v="12"/>
    <x v="4"/>
    <x v="45"/>
    <x v="2"/>
    <x v="0"/>
    <x v="0"/>
    <n v="19.55"/>
    <n v="19.37"/>
    <n v="8.2799999999999994"/>
    <n v="17.600000000000001"/>
  </r>
  <r>
    <x v="12"/>
    <x v="4"/>
    <x v="45"/>
    <x v="0"/>
    <x v="0"/>
    <x v="0"/>
    <n v="0.92"/>
    <n v="0.91"/>
    <n v="0.52"/>
    <n v="0.82"/>
  </r>
  <r>
    <x v="12"/>
    <x v="4"/>
    <x v="45"/>
    <x v="1"/>
    <x v="1"/>
    <x v="0"/>
    <n v="45.67"/>
    <n v="45.26"/>
    <n v="3.08"/>
    <n v="41.11"/>
  </r>
  <r>
    <x v="12"/>
    <x v="4"/>
    <x v="45"/>
    <x v="1"/>
    <x v="4"/>
    <x v="2"/>
    <n v="0.01"/>
    <n v="0.01"/>
    <n v="0.01"/>
    <n v="0.01"/>
  </r>
  <r>
    <x v="12"/>
    <x v="4"/>
    <x v="45"/>
    <x v="2"/>
    <x v="4"/>
    <x v="0"/>
    <n v="21.68"/>
    <n v="21.49"/>
    <n v="5.7"/>
    <n v="19.52"/>
  </r>
  <r>
    <x v="12"/>
    <x v="4"/>
    <x v="45"/>
    <x v="1"/>
    <x v="2"/>
    <x v="0"/>
    <n v="17.07"/>
    <n v="16.91"/>
    <n v="0.14000000000000001"/>
    <n v="15.36"/>
  </r>
  <r>
    <x v="12"/>
    <x v="4"/>
    <x v="45"/>
    <x v="1"/>
    <x v="4"/>
    <x v="0"/>
    <n v="166.43"/>
    <n v="164.91"/>
    <n v="43.26"/>
    <n v="149.79"/>
  </r>
  <r>
    <x v="12"/>
    <x v="4"/>
    <x v="45"/>
    <x v="0"/>
    <x v="4"/>
    <x v="0"/>
    <n v="9.19"/>
    <n v="9.11"/>
    <n v="2.19"/>
    <n v="8.27"/>
  </r>
  <r>
    <x v="12"/>
    <x v="4"/>
    <x v="45"/>
    <x v="4"/>
    <x v="1"/>
    <x v="0"/>
    <n v="8.7899999999999991"/>
    <n v="8.7100000000000009"/>
    <n v="0.44"/>
    <n v="7.91"/>
  </r>
  <r>
    <x v="12"/>
    <x v="4"/>
    <x v="45"/>
    <x v="4"/>
    <x v="4"/>
    <x v="0"/>
    <n v="21.54"/>
    <n v="21.34"/>
    <n v="2.78"/>
    <n v="19.38"/>
  </r>
  <r>
    <x v="12"/>
    <x v="4"/>
    <x v="45"/>
    <x v="3"/>
    <x v="1"/>
    <x v="0"/>
    <n v="0.37"/>
    <n v="0.37"/>
    <n v="0.04"/>
    <n v="0.33"/>
  </r>
  <r>
    <x v="12"/>
    <x v="4"/>
    <x v="45"/>
    <x v="3"/>
    <x v="4"/>
    <x v="0"/>
    <n v="13.29"/>
    <n v="13.17"/>
    <n v="7.16"/>
    <n v="11.96"/>
  </r>
  <r>
    <x v="12"/>
    <x v="4"/>
    <x v="45"/>
    <x v="3"/>
    <x v="0"/>
    <x v="0"/>
    <n v="1.3"/>
    <n v="1.29"/>
    <n v="1.08"/>
    <n v="1.17"/>
  </r>
  <r>
    <x v="12"/>
    <x v="4"/>
    <x v="45"/>
    <x v="2"/>
    <x v="3"/>
    <x v="1"/>
    <n v="3.12"/>
    <n v="3.09"/>
    <n v="0.01"/>
    <n v="2.81"/>
  </r>
  <r>
    <x v="12"/>
    <x v="4"/>
    <x v="45"/>
    <x v="1"/>
    <x v="2"/>
    <x v="2"/>
    <n v="0.05"/>
    <n v="0.05"/>
    <n v="0"/>
    <n v="0.05"/>
  </r>
  <r>
    <x v="12"/>
    <x v="4"/>
    <x v="45"/>
    <x v="1"/>
    <x v="0"/>
    <x v="0"/>
    <n v="13.7"/>
    <n v="13.57"/>
    <n v="9.24"/>
    <n v="12.33"/>
  </r>
  <r>
    <x v="12"/>
    <x v="4"/>
    <x v="45"/>
    <x v="1"/>
    <x v="1"/>
    <x v="2"/>
    <n v="0.12"/>
    <n v="0.12"/>
    <n v="0.02"/>
    <n v="0.11"/>
  </r>
  <r>
    <x v="12"/>
    <x v="4"/>
    <x v="45"/>
    <x v="1"/>
    <x v="2"/>
    <x v="1"/>
    <n v="2.4900000000000002"/>
    <n v="2.46"/>
    <n v="0.04"/>
    <n v="2.2400000000000002"/>
  </r>
  <r>
    <x v="12"/>
    <x v="4"/>
    <x v="45"/>
    <x v="1"/>
    <x v="3"/>
    <x v="2"/>
    <n v="3.95"/>
    <n v="3.92"/>
    <n v="0.01"/>
    <n v="3.56"/>
  </r>
  <r>
    <x v="12"/>
    <x v="4"/>
    <x v="45"/>
    <x v="2"/>
    <x v="3"/>
    <x v="2"/>
    <n v="0.23"/>
    <n v="0.22"/>
    <n v="0"/>
    <n v="0.2"/>
  </r>
  <r>
    <x v="12"/>
    <x v="4"/>
    <x v="45"/>
    <x v="2"/>
    <x v="3"/>
    <x v="3"/>
    <n v="6.42"/>
    <n v="6.36"/>
    <n v="0.01"/>
    <n v="5.78"/>
  </r>
  <r>
    <x v="12"/>
    <x v="4"/>
    <x v="45"/>
    <x v="4"/>
    <x v="4"/>
    <x v="1"/>
    <n v="0.14000000000000001"/>
    <n v="0.14000000000000001"/>
    <n v="0.01"/>
    <n v="0.13"/>
  </r>
  <r>
    <x v="12"/>
    <x v="4"/>
    <x v="45"/>
    <x v="4"/>
    <x v="1"/>
    <x v="1"/>
    <n v="0.06"/>
    <n v="0.06"/>
    <n v="0.01"/>
    <n v="0.06"/>
  </r>
  <r>
    <x v="12"/>
    <x v="4"/>
    <x v="45"/>
    <x v="1"/>
    <x v="0"/>
    <x v="1"/>
    <n v="0.11"/>
    <n v="0.11"/>
    <n v="7.0000000000000007E-2"/>
    <n v="0.1"/>
  </r>
  <r>
    <x v="12"/>
    <x v="4"/>
    <x v="45"/>
    <x v="1"/>
    <x v="4"/>
    <x v="1"/>
    <n v="0.04"/>
    <n v="0.04"/>
    <n v="0.02"/>
    <n v="0.04"/>
  </r>
  <r>
    <x v="12"/>
    <x v="4"/>
    <x v="45"/>
    <x v="1"/>
    <x v="1"/>
    <x v="1"/>
    <n v="9.26"/>
    <n v="9.18"/>
    <n v="0.06"/>
    <n v="8.34"/>
  </r>
  <r>
    <x v="12"/>
    <x v="4"/>
    <x v="45"/>
    <x v="4"/>
    <x v="0"/>
    <x v="1"/>
    <n v="0.03"/>
    <n v="0.03"/>
    <n v="0.01"/>
    <n v="0.03"/>
  </r>
  <r>
    <x v="12"/>
    <x v="6"/>
    <x v="46"/>
    <x v="1"/>
    <x v="2"/>
    <x v="0"/>
    <n v="4.41"/>
    <n v="4.58"/>
    <n v="0.03"/>
    <n v="3.97"/>
  </r>
  <r>
    <x v="12"/>
    <x v="6"/>
    <x v="46"/>
    <x v="3"/>
    <x v="4"/>
    <x v="0"/>
    <n v="2.68"/>
    <n v="2.78"/>
    <n v="0.75"/>
    <n v="2.41"/>
  </r>
  <r>
    <x v="12"/>
    <x v="6"/>
    <x v="46"/>
    <x v="4"/>
    <x v="4"/>
    <x v="0"/>
    <n v="19.89"/>
    <n v="20.65"/>
    <n v="3.83"/>
    <n v="17.899999999999999"/>
  </r>
  <r>
    <x v="12"/>
    <x v="6"/>
    <x v="46"/>
    <x v="4"/>
    <x v="1"/>
    <x v="0"/>
    <n v="0.61"/>
    <n v="0.64"/>
    <n v="0.05"/>
    <n v="0.55000000000000004"/>
  </r>
  <r>
    <x v="12"/>
    <x v="6"/>
    <x v="46"/>
    <x v="0"/>
    <x v="0"/>
    <x v="0"/>
    <n v="4.04"/>
    <n v="4.1900000000000004"/>
    <n v="2"/>
    <n v="3.63"/>
  </r>
  <r>
    <x v="12"/>
    <x v="6"/>
    <x v="46"/>
    <x v="0"/>
    <x v="4"/>
    <x v="0"/>
    <n v="13.45"/>
    <n v="13.96"/>
    <n v="3.14"/>
    <n v="12.11"/>
  </r>
  <r>
    <x v="12"/>
    <x v="6"/>
    <x v="46"/>
    <x v="1"/>
    <x v="0"/>
    <x v="0"/>
    <n v="6.75"/>
    <n v="7.01"/>
    <n v="3.29"/>
    <n v="6.08"/>
  </r>
  <r>
    <x v="12"/>
    <x v="6"/>
    <x v="46"/>
    <x v="2"/>
    <x v="3"/>
    <x v="0"/>
    <n v="2.59"/>
    <n v="2.69"/>
    <n v="0.02"/>
    <n v="2.34"/>
  </r>
  <r>
    <x v="12"/>
    <x v="6"/>
    <x v="46"/>
    <x v="1"/>
    <x v="4"/>
    <x v="0"/>
    <n v="110.68"/>
    <n v="114.89"/>
    <n v="22.99"/>
    <n v="99.61"/>
  </r>
  <r>
    <x v="12"/>
    <x v="6"/>
    <x v="46"/>
    <x v="2"/>
    <x v="0"/>
    <x v="0"/>
    <n v="1.56"/>
    <n v="1.62"/>
    <n v="0.82"/>
    <n v="1.41"/>
  </r>
  <r>
    <x v="12"/>
    <x v="6"/>
    <x v="46"/>
    <x v="1"/>
    <x v="1"/>
    <x v="0"/>
    <n v="15.38"/>
    <n v="15.96"/>
    <n v="0.8"/>
    <n v="13.84"/>
  </r>
  <r>
    <x v="12"/>
    <x v="6"/>
    <x v="46"/>
    <x v="0"/>
    <x v="4"/>
    <x v="1"/>
    <n v="0.23"/>
    <n v="0.24"/>
    <n v="0.02"/>
    <n v="0.2"/>
  </r>
  <r>
    <x v="12"/>
    <x v="6"/>
    <x v="46"/>
    <x v="2"/>
    <x v="3"/>
    <x v="1"/>
    <n v="0.62"/>
    <n v="0.65"/>
    <n v="0"/>
    <n v="0.56000000000000005"/>
  </r>
  <r>
    <x v="12"/>
    <x v="6"/>
    <x v="46"/>
    <x v="2"/>
    <x v="4"/>
    <x v="0"/>
    <n v="4.99"/>
    <n v="5.18"/>
    <n v="1.23"/>
    <n v="4.49"/>
  </r>
  <r>
    <x v="12"/>
    <x v="6"/>
    <x v="46"/>
    <x v="4"/>
    <x v="4"/>
    <x v="1"/>
    <n v="0.1"/>
    <n v="0.1"/>
    <n v="0.01"/>
    <n v="0.09"/>
  </r>
  <r>
    <x v="12"/>
    <x v="6"/>
    <x v="46"/>
    <x v="4"/>
    <x v="4"/>
    <x v="2"/>
    <n v="0.02"/>
    <n v="0.02"/>
    <n v="0"/>
    <n v="0.01"/>
  </r>
  <r>
    <x v="12"/>
    <x v="6"/>
    <x v="46"/>
    <x v="4"/>
    <x v="1"/>
    <x v="2"/>
    <n v="0.04"/>
    <n v="0.04"/>
    <n v="0"/>
    <n v="0.04"/>
  </r>
  <r>
    <x v="12"/>
    <x v="6"/>
    <x v="46"/>
    <x v="1"/>
    <x v="4"/>
    <x v="2"/>
    <n v="0.01"/>
    <n v="0.01"/>
    <n v="0"/>
    <n v="0.01"/>
  </r>
  <r>
    <x v="12"/>
    <x v="6"/>
    <x v="46"/>
    <x v="1"/>
    <x v="1"/>
    <x v="2"/>
    <n v="0.42"/>
    <n v="0.43"/>
    <n v="0"/>
    <n v="0.37"/>
  </r>
  <r>
    <x v="12"/>
    <x v="6"/>
    <x v="46"/>
    <x v="2"/>
    <x v="3"/>
    <x v="2"/>
    <n v="1.78"/>
    <n v="1.85"/>
    <n v="0.01"/>
    <n v="1.6"/>
  </r>
  <r>
    <x v="12"/>
    <x v="6"/>
    <x v="46"/>
    <x v="2"/>
    <x v="3"/>
    <x v="3"/>
    <n v="0.8"/>
    <n v="0.83"/>
    <n v="0"/>
    <n v="0.72"/>
  </r>
  <r>
    <x v="12"/>
    <x v="6"/>
    <x v="46"/>
    <x v="1"/>
    <x v="4"/>
    <x v="1"/>
    <n v="0.25"/>
    <n v="0.26"/>
    <n v="0.01"/>
    <n v="0.22"/>
  </r>
  <r>
    <x v="12"/>
    <x v="6"/>
    <x v="46"/>
    <x v="4"/>
    <x v="0"/>
    <x v="1"/>
    <n v="0.12"/>
    <n v="0.12"/>
    <n v="0.01"/>
    <n v="0.1"/>
  </r>
  <r>
    <x v="12"/>
    <x v="6"/>
    <x v="46"/>
    <x v="2"/>
    <x v="4"/>
    <x v="1"/>
    <n v="0.13"/>
    <n v="0.14000000000000001"/>
    <n v="0"/>
    <n v="0.12"/>
  </r>
  <r>
    <x v="12"/>
    <x v="6"/>
    <x v="46"/>
    <x v="1"/>
    <x v="0"/>
    <x v="1"/>
    <n v="0.26"/>
    <n v="0.27"/>
    <n v="0.01"/>
    <n v="0.23"/>
  </r>
  <r>
    <x v="12"/>
    <x v="6"/>
    <x v="46"/>
    <x v="1"/>
    <x v="2"/>
    <x v="1"/>
    <n v="0.18"/>
    <n v="0.19"/>
    <n v="0.02"/>
    <n v="0.16"/>
  </r>
  <r>
    <x v="12"/>
    <x v="6"/>
    <x v="46"/>
    <x v="1"/>
    <x v="1"/>
    <x v="1"/>
    <n v="0.63"/>
    <n v="0.65"/>
    <n v="0.02"/>
    <n v="0.56000000000000005"/>
  </r>
  <r>
    <x v="12"/>
    <x v="6"/>
    <x v="46"/>
    <x v="4"/>
    <x v="1"/>
    <x v="1"/>
    <n v="7.0000000000000007E-2"/>
    <n v="0.08"/>
    <n v="0"/>
    <n v="7.0000000000000007E-2"/>
  </r>
  <r>
    <x v="12"/>
    <x v="6"/>
    <x v="46"/>
    <x v="0"/>
    <x v="0"/>
    <x v="1"/>
    <n v="1.0900000000000001"/>
    <n v="1.1299999999999999"/>
    <n v="0.02"/>
    <n v="0.98"/>
  </r>
  <r>
    <x v="12"/>
    <x v="7"/>
    <x v="47"/>
    <x v="1"/>
    <x v="4"/>
    <x v="1"/>
    <n v="0.02"/>
    <n v="0.03"/>
    <n v="0"/>
    <n v="0.01"/>
  </r>
  <r>
    <x v="12"/>
    <x v="7"/>
    <x v="47"/>
    <x v="1"/>
    <x v="2"/>
    <x v="1"/>
    <n v="0.11"/>
    <n v="0.22"/>
    <n v="0"/>
    <n v="0.1"/>
  </r>
  <r>
    <x v="12"/>
    <x v="7"/>
    <x v="47"/>
    <x v="3"/>
    <x v="0"/>
    <x v="0"/>
    <n v="0.7"/>
    <n v="1.39"/>
    <n v="0.18"/>
    <n v="0.63"/>
  </r>
  <r>
    <x v="12"/>
    <x v="7"/>
    <x v="47"/>
    <x v="3"/>
    <x v="4"/>
    <x v="0"/>
    <n v="5.26"/>
    <n v="10.41"/>
    <n v="1.94"/>
    <n v="4.7300000000000004"/>
  </r>
  <r>
    <x v="12"/>
    <x v="7"/>
    <x v="47"/>
    <x v="3"/>
    <x v="1"/>
    <x v="0"/>
    <n v="0.01"/>
    <n v="0.01"/>
    <n v="0"/>
    <n v="0.01"/>
  </r>
  <r>
    <x v="12"/>
    <x v="7"/>
    <x v="47"/>
    <x v="4"/>
    <x v="4"/>
    <x v="0"/>
    <n v="20.86"/>
    <n v="41.29"/>
    <n v="3.87"/>
    <n v="18.78"/>
  </r>
  <r>
    <x v="12"/>
    <x v="7"/>
    <x v="47"/>
    <x v="4"/>
    <x v="1"/>
    <x v="0"/>
    <n v="2.98"/>
    <n v="5.9"/>
    <n v="0.23"/>
    <n v="2.68"/>
  </r>
  <r>
    <x v="12"/>
    <x v="7"/>
    <x v="47"/>
    <x v="0"/>
    <x v="4"/>
    <x v="0"/>
    <n v="11.8"/>
    <n v="23.35"/>
    <n v="3.84"/>
    <n v="10.62"/>
  </r>
  <r>
    <x v="12"/>
    <x v="7"/>
    <x v="47"/>
    <x v="1"/>
    <x v="0"/>
    <x v="1"/>
    <n v="0.01"/>
    <n v="0.02"/>
    <n v="0"/>
    <n v="0.01"/>
  </r>
  <r>
    <x v="12"/>
    <x v="7"/>
    <x v="47"/>
    <x v="2"/>
    <x v="0"/>
    <x v="0"/>
    <n v="2.17"/>
    <n v="4.3"/>
    <n v="2.5"/>
    <n v="1.96"/>
  </r>
  <r>
    <x v="12"/>
    <x v="7"/>
    <x v="47"/>
    <x v="1"/>
    <x v="1"/>
    <x v="1"/>
    <n v="0.25"/>
    <n v="0.49"/>
    <n v="0"/>
    <n v="0.22"/>
  </r>
  <r>
    <x v="12"/>
    <x v="7"/>
    <x v="47"/>
    <x v="2"/>
    <x v="3"/>
    <x v="0"/>
    <n v="0.11"/>
    <n v="0.22"/>
    <n v="0.04"/>
    <n v="0.1"/>
  </r>
  <r>
    <x v="12"/>
    <x v="7"/>
    <x v="47"/>
    <x v="2"/>
    <x v="4"/>
    <x v="0"/>
    <n v="0.33"/>
    <n v="0.65"/>
    <n v="1.23"/>
    <n v="0.28999999999999998"/>
  </r>
  <r>
    <x v="12"/>
    <x v="7"/>
    <x v="47"/>
    <x v="1"/>
    <x v="0"/>
    <x v="0"/>
    <n v="5.68"/>
    <n v="11.24"/>
    <n v="4.6399999999999997"/>
    <n v="5.1100000000000003"/>
  </r>
  <r>
    <x v="12"/>
    <x v="7"/>
    <x v="47"/>
    <x v="1"/>
    <x v="4"/>
    <x v="0"/>
    <n v="64.14"/>
    <n v="126.93"/>
    <n v="15.88"/>
    <n v="57.73"/>
  </r>
  <r>
    <x v="12"/>
    <x v="7"/>
    <x v="47"/>
    <x v="1"/>
    <x v="1"/>
    <x v="0"/>
    <n v="9.5"/>
    <n v="18.8"/>
    <n v="0.59"/>
    <n v="8.5500000000000007"/>
  </r>
  <r>
    <x v="12"/>
    <x v="7"/>
    <x v="47"/>
    <x v="1"/>
    <x v="2"/>
    <x v="0"/>
    <n v="2.69"/>
    <n v="5.32"/>
    <n v="0.04"/>
    <n v="2.42"/>
  </r>
  <r>
    <x v="12"/>
    <x v="7"/>
    <x v="47"/>
    <x v="0"/>
    <x v="0"/>
    <x v="0"/>
    <n v="2.99"/>
    <n v="5.91"/>
    <n v="1.87"/>
    <n v="2.69"/>
  </r>
  <r>
    <x v="12"/>
    <x v="7"/>
    <x v="47"/>
    <x v="1"/>
    <x v="4"/>
    <x v="2"/>
    <n v="0.09"/>
    <n v="0.18"/>
    <n v="0"/>
    <n v="0.08"/>
  </r>
  <r>
    <x v="12"/>
    <x v="7"/>
    <x v="47"/>
    <x v="0"/>
    <x v="4"/>
    <x v="1"/>
    <n v="0.01"/>
    <n v="0.01"/>
    <n v="0"/>
    <n v="0.01"/>
  </r>
  <r>
    <x v="12"/>
    <x v="7"/>
    <x v="47"/>
    <x v="4"/>
    <x v="1"/>
    <x v="2"/>
    <n v="0"/>
    <n v="0"/>
    <n v="0"/>
    <n v="0"/>
  </r>
  <r>
    <x v="12"/>
    <x v="7"/>
    <x v="47"/>
    <x v="2"/>
    <x v="3"/>
    <x v="1"/>
    <n v="0.02"/>
    <n v="0.05"/>
    <n v="0"/>
    <n v="0.02"/>
  </r>
  <r>
    <x v="12"/>
    <x v="7"/>
    <x v="47"/>
    <x v="1"/>
    <x v="1"/>
    <x v="2"/>
    <n v="0"/>
    <n v="0"/>
    <n v="0"/>
    <n v="0"/>
  </r>
  <r>
    <x v="12"/>
    <x v="7"/>
    <x v="47"/>
    <x v="2"/>
    <x v="3"/>
    <x v="2"/>
    <n v="0.02"/>
    <n v="0.04"/>
    <n v="0"/>
    <n v="0.02"/>
  </r>
  <r>
    <x v="12"/>
    <x v="7"/>
    <x v="47"/>
    <x v="2"/>
    <x v="3"/>
    <x v="3"/>
    <n v="6.45"/>
    <n v="12.76"/>
    <n v="0.01"/>
    <n v="5.8"/>
  </r>
  <r>
    <x v="12"/>
    <x v="7"/>
    <x v="47"/>
    <x v="4"/>
    <x v="0"/>
    <x v="1"/>
    <n v="0"/>
    <n v="0"/>
    <n v="0"/>
    <n v="0"/>
  </r>
  <r>
    <x v="12"/>
    <x v="7"/>
    <x v="47"/>
    <x v="4"/>
    <x v="4"/>
    <x v="1"/>
    <n v="0.03"/>
    <n v="0.05"/>
    <n v="0"/>
    <n v="0.02"/>
  </r>
  <r>
    <x v="12"/>
    <x v="7"/>
    <x v="47"/>
    <x v="4"/>
    <x v="1"/>
    <x v="1"/>
    <n v="0.04"/>
    <n v="0.08"/>
    <n v="0"/>
    <n v="0.04"/>
  </r>
  <r>
    <x v="12"/>
    <x v="7"/>
    <x v="47"/>
    <x v="0"/>
    <x v="0"/>
    <x v="1"/>
    <n v="0.08"/>
    <n v="0.15"/>
    <n v="0"/>
    <n v="7.0000000000000007E-2"/>
  </r>
  <r>
    <x v="12"/>
    <x v="7"/>
    <x v="47"/>
    <x v="4"/>
    <x v="4"/>
    <x v="2"/>
    <n v="7.0000000000000007E-2"/>
    <n v="0.13"/>
    <n v="0"/>
    <n v="0.06"/>
  </r>
  <r>
    <x v="12"/>
    <x v="2"/>
    <x v="48"/>
    <x v="0"/>
    <x v="4"/>
    <x v="0"/>
    <n v="26.61"/>
    <n v="30.1"/>
    <n v="7.17"/>
    <n v="23.95"/>
  </r>
  <r>
    <x v="12"/>
    <x v="2"/>
    <x v="48"/>
    <x v="2"/>
    <x v="4"/>
    <x v="0"/>
    <n v="20.63"/>
    <n v="23.33"/>
    <n v="2.2799999999999998"/>
    <n v="18.57"/>
  </r>
  <r>
    <x v="12"/>
    <x v="2"/>
    <x v="48"/>
    <x v="2"/>
    <x v="0"/>
    <x v="0"/>
    <n v="16.05"/>
    <n v="18.16"/>
    <n v="7.3"/>
    <n v="14.45"/>
  </r>
  <r>
    <x v="12"/>
    <x v="2"/>
    <x v="48"/>
    <x v="1"/>
    <x v="2"/>
    <x v="0"/>
    <n v="30.17"/>
    <n v="34.130000000000003"/>
    <n v="0.28000000000000003"/>
    <n v="27.16"/>
  </r>
  <r>
    <x v="12"/>
    <x v="2"/>
    <x v="48"/>
    <x v="1"/>
    <x v="1"/>
    <x v="0"/>
    <n v="87.14"/>
    <n v="98.57"/>
    <n v="5.29"/>
    <n v="78.430000000000007"/>
  </r>
  <r>
    <x v="12"/>
    <x v="2"/>
    <x v="48"/>
    <x v="1"/>
    <x v="4"/>
    <x v="0"/>
    <n v="637.98"/>
    <n v="721.67"/>
    <n v="107.28"/>
    <n v="574.17999999999995"/>
  </r>
  <r>
    <x v="12"/>
    <x v="2"/>
    <x v="48"/>
    <x v="1"/>
    <x v="0"/>
    <x v="0"/>
    <n v="39"/>
    <n v="44.11"/>
    <n v="21.23"/>
    <n v="35.1"/>
  </r>
  <r>
    <x v="12"/>
    <x v="2"/>
    <x v="48"/>
    <x v="2"/>
    <x v="3"/>
    <x v="0"/>
    <n v="1.75"/>
    <n v="1.97"/>
    <n v="0.01"/>
    <n v="1.57"/>
  </r>
  <r>
    <x v="12"/>
    <x v="2"/>
    <x v="48"/>
    <x v="0"/>
    <x v="0"/>
    <x v="0"/>
    <n v="5.65"/>
    <n v="6.39"/>
    <n v="3.14"/>
    <n v="5.09"/>
  </r>
  <r>
    <x v="12"/>
    <x v="2"/>
    <x v="48"/>
    <x v="4"/>
    <x v="1"/>
    <x v="0"/>
    <n v="47.51"/>
    <n v="53.74"/>
    <n v="2.2000000000000002"/>
    <n v="42.76"/>
  </r>
  <r>
    <x v="12"/>
    <x v="2"/>
    <x v="48"/>
    <x v="2"/>
    <x v="3"/>
    <x v="1"/>
    <n v="6.67"/>
    <n v="7.55"/>
    <n v="0.01"/>
    <n v="6.01"/>
  </r>
  <r>
    <x v="12"/>
    <x v="2"/>
    <x v="48"/>
    <x v="3"/>
    <x v="1"/>
    <x v="0"/>
    <n v="5.78"/>
    <n v="6.53"/>
    <n v="0.39"/>
    <n v="5.2"/>
  </r>
  <r>
    <x v="12"/>
    <x v="2"/>
    <x v="48"/>
    <x v="1"/>
    <x v="2"/>
    <x v="1"/>
    <n v="9.86"/>
    <n v="11.15"/>
    <n v="0.09"/>
    <n v="8.8699999999999992"/>
  </r>
  <r>
    <x v="12"/>
    <x v="2"/>
    <x v="48"/>
    <x v="3"/>
    <x v="4"/>
    <x v="0"/>
    <n v="133.66999999999999"/>
    <n v="151.21"/>
    <n v="25.71"/>
    <n v="120.31"/>
  </r>
  <r>
    <x v="12"/>
    <x v="2"/>
    <x v="48"/>
    <x v="4"/>
    <x v="4"/>
    <x v="0"/>
    <n v="268.2"/>
    <n v="303.39"/>
    <n v="27.11"/>
    <n v="241.38"/>
  </r>
  <r>
    <x v="12"/>
    <x v="2"/>
    <x v="48"/>
    <x v="1"/>
    <x v="1"/>
    <x v="2"/>
    <n v="0"/>
    <n v="0"/>
    <n v="0"/>
    <n v="0"/>
  </r>
  <r>
    <x v="12"/>
    <x v="2"/>
    <x v="48"/>
    <x v="4"/>
    <x v="4"/>
    <x v="2"/>
    <n v="0.77"/>
    <n v="0.88"/>
    <n v="0.02"/>
    <n v="0.7"/>
  </r>
  <r>
    <x v="12"/>
    <x v="2"/>
    <x v="48"/>
    <x v="4"/>
    <x v="1"/>
    <x v="2"/>
    <n v="0.24"/>
    <n v="0.27"/>
    <n v="0"/>
    <n v="0.21"/>
  </r>
  <r>
    <x v="12"/>
    <x v="2"/>
    <x v="48"/>
    <x v="3"/>
    <x v="0"/>
    <x v="0"/>
    <n v="19.7"/>
    <n v="22.28"/>
    <n v="10.68"/>
    <n v="17.73"/>
  </r>
  <r>
    <x v="12"/>
    <x v="2"/>
    <x v="48"/>
    <x v="1"/>
    <x v="4"/>
    <x v="2"/>
    <n v="0.55000000000000004"/>
    <n v="0.62"/>
    <n v="0.01"/>
    <n v="0.49"/>
  </r>
  <r>
    <x v="12"/>
    <x v="2"/>
    <x v="48"/>
    <x v="2"/>
    <x v="3"/>
    <x v="2"/>
    <n v="0.39"/>
    <n v="0.44"/>
    <n v="0"/>
    <n v="0.35"/>
  </r>
  <r>
    <x v="12"/>
    <x v="2"/>
    <x v="48"/>
    <x v="2"/>
    <x v="3"/>
    <x v="3"/>
    <n v="88.71"/>
    <n v="100.35"/>
    <n v="0.06"/>
    <n v="79.84"/>
  </r>
  <r>
    <x v="12"/>
    <x v="2"/>
    <x v="48"/>
    <x v="4"/>
    <x v="0"/>
    <x v="1"/>
    <n v="0.56000000000000005"/>
    <n v="0.64"/>
    <n v="0.05"/>
    <n v="0.51"/>
  </r>
  <r>
    <x v="12"/>
    <x v="2"/>
    <x v="48"/>
    <x v="4"/>
    <x v="1"/>
    <x v="1"/>
    <n v="0.27"/>
    <n v="0.31"/>
    <n v="0.02"/>
    <n v="0.25"/>
  </r>
  <r>
    <x v="12"/>
    <x v="2"/>
    <x v="48"/>
    <x v="0"/>
    <x v="0"/>
    <x v="1"/>
    <n v="5.04"/>
    <n v="5.7"/>
    <n v="0.13"/>
    <n v="4.53"/>
  </r>
  <r>
    <x v="12"/>
    <x v="2"/>
    <x v="48"/>
    <x v="0"/>
    <x v="4"/>
    <x v="1"/>
    <n v="0.55000000000000004"/>
    <n v="0.62"/>
    <n v="7.0000000000000007E-2"/>
    <n v="0.5"/>
  </r>
  <r>
    <x v="12"/>
    <x v="2"/>
    <x v="48"/>
    <x v="1"/>
    <x v="0"/>
    <x v="1"/>
    <n v="2.78"/>
    <n v="3.14"/>
    <n v="0.17"/>
    <n v="2.5"/>
  </r>
  <r>
    <x v="12"/>
    <x v="2"/>
    <x v="48"/>
    <x v="1"/>
    <x v="4"/>
    <x v="1"/>
    <n v="2.17"/>
    <n v="2.46"/>
    <n v="0.11"/>
    <n v="1.95"/>
  </r>
  <r>
    <x v="12"/>
    <x v="2"/>
    <x v="48"/>
    <x v="1"/>
    <x v="1"/>
    <x v="1"/>
    <n v="3.4"/>
    <n v="3.85"/>
    <n v="0.06"/>
    <n v="3.06"/>
  </r>
  <r>
    <x v="12"/>
    <x v="2"/>
    <x v="48"/>
    <x v="4"/>
    <x v="4"/>
    <x v="1"/>
    <n v="3"/>
    <n v="3.39"/>
    <n v="0.06"/>
    <n v="2.7"/>
  </r>
  <r>
    <x v="12"/>
    <x v="2"/>
    <x v="48"/>
    <x v="4"/>
    <x v="2"/>
    <x v="2"/>
    <n v="0.05"/>
    <n v="0.06"/>
    <n v="0"/>
    <n v="0.05"/>
  </r>
  <r>
    <x v="12"/>
    <x v="3"/>
    <x v="49"/>
    <x v="4"/>
    <x v="3"/>
    <x v="0"/>
    <n v="107.72"/>
    <n v="107.72"/>
    <n v="1.76"/>
    <n v="96.95"/>
  </r>
  <r>
    <x v="12"/>
    <x v="3"/>
    <x v="49"/>
    <x v="0"/>
    <x v="0"/>
    <x v="0"/>
    <n v="12.07"/>
    <n v="12.07"/>
    <n v="4.04"/>
    <n v="10.87"/>
  </r>
  <r>
    <x v="12"/>
    <x v="3"/>
    <x v="49"/>
    <x v="0"/>
    <x v="4"/>
    <x v="0"/>
    <n v="308.02"/>
    <n v="308.02"/>
    <n v="151.32"/>
    <n v="277.22000000000003"/>
  </r>
  <r>
    <x v="12"/>
    <x v="3"/>
    <x v="49"/>
    <x v="1"/>
    <x v="0"/>
    <x v="0"/>
    <n v="261.82"/>
    <n v="261.82"/>
    <n v="250.06"/>
    <n v="235.64"/>
  </r>
  <r>
    <x v="12"/>
    <x v="3"/>
    <x v="49"/>
    <x v="1"/>
    <x v="4"/>
    <x v="0"/>
    <n v="7413.45"/>
    <n v="7413.45"/>
    <n v="1719.3"/>
    <n v="6672.1"/>
  </r>
  <r>
    <x v="12"/>
    <x v="3"/>
    <x v="49"/>
    <x v="1"/>
    <x v="1"/>
    <x v="0"/>
    <n v="661.16"/>
    <n v="661.16"/>
    <n v="60.48"/>
    <n v="595.04"/>
  </r>
  <r>
    <x v="12"/>
    <x v="3"/>
    <x v="49"/>
    <x v="1"/>
    <x v="2"/>
    <x v="0"/>
    <n v="328.06"/>
    <n v="328.06"/>
    <n v="2.73"/>
    <n v="295.26"/>
  </r>
  <r>
    <x v="12"/>
    <x v="3"/>
    <x v="49"/>
    <x v="2"/>
    <x v="0"/>
    <x v="0"/>
    <n v="130.30000000000001"/>
    <n v="130.30000000000001"/>
    <n v="113.4"/>
    <n v="117.27"/>
  </r>
  <r>
    <x v="12"/>
    <x v="3"/>
    <x v="49"/>
    <x v="2"/>
    <x v="2"/>
    <x v="0"/>
    <n v="0.72"/>
    <n v="0.72"/>
    <n v="0.08"/>
    <n v="0.65"/>
  </r>
  <r>
    <x v="12"/>
    <x v="3"/>
    <x v="49"/>
    <x v="4"/>
    <x v="0"/>
    <x v="1"/>
    <n v="3.15"/>
    <n v="3.15"/>
    <n v="0.64"/>
    <n v="2.83"/>
  </r>
  <r>
    <x v="12"/>
    <x v="3"/>
    <x v="49"/>
    <x v="2"/>
    <x v="4"/>
    <x v="0"/>
    <n v="355.73"/>
    <n v="355.73"/>
    <n v="103.2"/>
    <n v="320.16000000000003"/>
  </r>
  <r>
    <x v="12"/>
    <x v="3"/>
    <x v="49"/>
    <x v="1"/>
    <x v="0"/>
    <x v="1"/>
    <n v="9.81"/>
    <n v="9.81"/>
    <n v="0.64"/>
    <n v="8.83"/>
  </r>
  <r>
    <x v="12"/>
    <x v="3"/>
    <x v="49"/>
    <x v="4"/>
    <x v="4"/>
    <x v="2"/>
    <n v="6.4"/>
    <n v="6.4"/>
    <n v="0.21"/>
    <n v="5.76"/>
  </r>
  <r>
    <x v="12"/>
    <x v="3"/>
    <x v="49"/>
    <x v="4"/>
    <x v="1"/>
    <x v="2"/>
    <n v="3.1"/>
    <n v="3.1"/>
    <n v="0.04"/>
    <n v="2.79"/>
  </r>
  <r>
    <x v="12"/>
    <x v="3"/>
    <x v="49"/>
    <x v="4"/>
    <x v="2"/>
    <x v="2"/>
    <n v="4.9400000000000004"/>
    <n v="4.9400000000000004"/>
    <n v="0.04"/>
    <n v="4.45"/>
  </r>
  <r>
    <x v="12"/>
    <x v="3"/>
    <x v="49"/>
    <x v="1"/>
    <x v="4"/>
    <x v="2"/>
    <n v="1.1499999999999999"/>
    <n v="1.1499999999999999"/>
    <n v="0.06"/>
    <n v="1.04"/>
  </r>
  <r>
    <x v="12"/>
    <x v="3"/>
    <x v="49"/>
    <x v="1"/>
    <x v="1"/>
    <x v="2"/>
    <n v="0.28999999999999998"/>
    <n v="0.28999999999999998"/>
    <n v="0.02"/>
    <n v="0.26"/>
  </r>
  <r>
    <x v="12"/>
    <x v="3"/>
    <x v="49"/>
    <x v="1"/>
    <x v="2"/>
    <x v="2"/>
    <n v="0.05"/>
    <n v="0.05"/>
    <n v="0"/>
    <n v="0.04"/>
  </r>
  <r>
    <x v="12"/>
    <x v="3"/>
    <x v="49"/>
    <x v="2"/>
    <x v="1"/>
    <x v="2"/>
    <n v="1.02"/>
    <n v="1.02"/>
    <n v="0"/>
    <n v="0.92"/>
  </r>
  <r>
    <x v="12"/>
    <x v="3"/>
    <x v="49"/>
    <x v="2"/>
    <x v="3"/>
    <x v="2"/>
    <n v="44.35"/>
    <n v="44.35"/>
    <n v="0.05"/>
    <n v="39.92"/>
  </r>
  <r>
    <x v="12"/>
    <x v="3"/>
    <x v="49"/>
    <x v="2"/>
    <x v="3"/>
    <x v="3"/>
    <n v="1278.75"/>
    <n v="1278.75"/>
    <n v="0.42"/>
    <n v="1150.8699999999999"/>
  </r>
  <r>
    <x v="12"/>
    <x v="3"/>
    <x v="49"/>
    <x v="4"/>
    <x v="4"/>
    <x v="1"/>
    <n v="10.62"/>
    <n v="10.62"/>
    <n v="0.82"/>
    <n v="9.56"/>
  </r>
  <r>
    <x v="12"/>
    <x v="3"/>
    <x v="49"/>
    <x v="4"/>
    <x v="1"/>
    <x v="1"/>
    <n v="2.41"/>
    <n v="2.41"/>
    <n v="0.19"/>
    <n v="2.17"/>
  </r>
  <r>
    <x v="12"/>
    <x v="3"/>
    <x v="49"/>
    <x v="0"/>
    <x v="4"/>
    <x v="1"/>
    <n v="1.88"/>
    <n v="1.88"/>
    <n v="0.08"/>
    <n v="1.69"/>
  </r>
  <r>
    <x v="12"/>
    <x v="3"/>
    <x v="49"/>
    <x v="4"/>
    <x v="1"/>
    <x v="0"/>
    <n v="420.71"/>
    <n v="420.71"/>
    <n v="20.85"/>
    <n v="378.64"/>
  </r>
  <r>
    <x v="12"/>
    <x v="3"/>
    <x v="49"/>
    <x v="1"/>
    <x v="4"/>
    <x v="1"/>
    <n v="3.24"/>
    <n v="3.24"/>
    <n v="0.15"/>
    <n v="2.92"/>
  </r>
  <r>
    <x v="12"/>
    <x v="3"/>
    <x v="49"/>
    <x v="1"/>
    <x v="1"/>
    <x v="1"/>
    <n v="25.02"/>
    <n v="25.02"/>
    <n v="0.52"/>
    <n v="22.52"/>
  </r>
  <r>
    <x v="12"/>
    <x v="3"/>
    <x v="49"/>
    <x v="1"/>
    <x v="2"/>
    <x v="1"/>
    <n v="73.78"/>
    <n v="73.78"/>
    <n v="0.42"/>
    <n v="66.400000000000006"/>
  </r>
  <r>
    <x v="12"/>
    <x v="3"/>
    <x v="49"/>
    <x v="2"/>
    <x v="4"/>
    <x v="1"/>
    <n v="0.18"/>
    <n v="0.18"/>
    <n v="0"/>
    <n v="0.16"/>
  </r>
  <r>
    <x v="12"/>
    <x v="3"/>
    <x v="49"/>
    <x v="2"/>
    <x v="3"/>
    <x v="1"/>
    <n v="15.03"/>
    <n v="15.03"/>
    <n v="0.03"/>
    <n v="13.53"/>
  </r>
  <r>
    <x v="12"/>
    <x v="3"/>
    <x v="49"/>
    <x v="3"/>
    <x v="0"/>
    <x v="0"/>
    <n v="500.75"/>
    <n v="500.75"/>
    <n v="356.33"/>
    <n v="450.68"/>
  </r>
  <r>
    <x v="12"/>
    <x v="3"/>
    <x v="49"/>
    <x v="3"/>
    <x v="4"/>
    <x v="0"/>
    <n v="8159.01"/>
    <n v="8159.01"/>
    <n v="2359.64"/>
    <n v="7343.11"/>
  </r>
  <r>
    <x v="12"/>
    <x v="3"/>
    <x v="49"/>
    <x v="3"/>
    <x v="1"/>
    <x v="0"/>
    <n v="197.85"/>
    <n v="197.85"/>
    <n v="21.55"/>
    <n v="178.06"/>
  </r>
  <r>
    <x v="12"/>
    <x v="3"/>
    <x v="49"/>
    <x v="4"/>
    <x v="0"/>
    <x v="0"/>
    <n v="1.19"/>
    <n v="1.19"/>
    <n v="1.25"/>
    <n v="1.07"/>
  </r>
  <r>
    <x v="12"/>
    <x v="3"/>
    <x v="49"/>
    <x v="4"/>
    <x v="4"/>
    <x v="0"/>
    <n v="1824.34"/>
    <n v="1824.34"/>
    <n v="228.51"/>
    <n v="1641.9"/>
  </r>
  <r>
    <x v="12"/>
    <x v="3"/>
    <x v="49"/>
    <x v="0"/>
    <x v="0"/>
    <x v="1"/>
    <n v="8.3000000000000007"/>
    <n v="8.3000000000000007"/>
    <n v="0.36"/>
    <n v="7.47"/>
  </r>
</pivotCacheRecords>
</file>

<file path=xl/pivotCache/pivotCacheRecords3.xml><?xml version="1.0" encoding="utf-8"?>
<pivotCacheRecords xmlns="http://schemas.openxmlformats.org/spreadsheetml/2006/main" xmlns:r="http://schemas.openxmlformats.org/officeDocument/2006/relationships" count="5128">
  <r>
    <x v="0"/>
    <x v="0"/>
    <x v="0"/>
    <x v="0"/>
    <x v="0"/>
    <n v="1.0183610110000001"/>
    <n v="1.0183610110000001"/>
    <n v="1.4338E-2"/>
    <n v="0.96864558300000003"/>
  </r>
  <r>
    <x v="0"/>
    <x v="1"/>
    <x v="1"/>
    <x v="0"/>
    <x v="0"/>
    <n v="64.760405019999993"/>
    <n v="64.760405019999993"/>
    <n v="11.61764522"/>
    <n v="61.195872090000002"/>
  </r>
  <r>
    <x v="0"/>
    <x v="1"/>
    <x v="2"/>
    <x v="0"/>
    <x v="0"/>
    <n v="5.8765981629999997"/>
    <n v="5.8765981629999997"/>
    <n v="0.36771525599999999"/>
    <n v="5.5531392899999998"/>
  </r>
  <r>
    <x v="0"/>
    <x v="2"/>
    <x v="0"/>
    <x v="0"/>
    <x v="0"/>
    <n v="0.28812610500000002"/>
    <n v="0.28812610500000002"/>
    <n v="3.3999999999999998E-3"/>
    <n v="0.27215204300000001"/>
  </r>
  <r>
    <x v="0"/>
    <x v="0"/>
    <x v="2"/>
    <x v="0"/>
    <x v="0"/>
    <n v="26.47558235"/>
    <n v="26.47558235"/>
    <n v="0.47208435900000001"/>
    <n v="25.183069289999999"/>
  </r>
  <r>
    <x v="0"/>
    <x v="0"/>
    <x v="3"/>
    <x v="0"/>
    <x v="0"/>
    <n v="0.12314412700000001"/>
    <n v="0.12314412700000001"/>
    <n v="1.919675E-3"/>
    <n v="0.117132346"/>
  </r>
  <r>
    <x v="0"/>
    <x v="3"/>
    <x v="0"/>
    <x v="0"/>
    <x v="0"/>
    <n v="11.618811239999999"/>
    <n v="11.618811239999999"/>
    <n v="6.269195E-3"/>
    <n v="10.893775120000001"/>
  </r>
  <r>
    <x v="0"/>
    <x v="3"/>
    <x v="3"/>
    <x v="0"/>
    <x v="0"/>
    <n v="0.85369026999999997"/>
    <n v="0.85369026999999997"/>
    <n v="4.5030599999999998E-4"/>
    <n v="0.80041835900000002"/>
  </r>
  <r>
    <x v="0"/>
    <x v="2"/>
    <x v="2"/>
    <x v="0"/>
    <x v="0"/>
    <n v="9.7756824800000004"/>
    <n v="9.7756824800000004"/>
    <n v="8.9389066000000003E-2"/>
    <n v="9.2337067529999999"/>
  </r>
  <r>
    <x v="0"/>
    <x v="1"/>
    <x v="3"/>
    <x v="0"/>
    <x v="0"/>
    <n v="25.934181389999999"/>
    <n v="25.934181389999999"/>
    <n v="4.7285395299999999"/>
    <n v="24.5067159"/>
  </r>
  <r>
    <x v="0"/>
    <x v="0"/>
    <x v="0"/>
    <x v="1"/>
    <x v="1"/>
    <n v="8.5242103670000002"/>
    <n v="8.5242103670000002"/>
    <n v="0.02"/>
    <n v="7.3535411140000004"/>
  </r>
  <r>
    <x v="0"/>
    <x v="2"/>
    <x v="3"/>
    <x v="1"/>
    <x v="1"/>
    <n v="2.0768086719999999"/>
    <n v="2.0768086719999999"/>
    <n v="6.4549999999999996E-2"/>
    <n v="1.9993383330000001"/>
  </r>
  <r>
    <x v="0"/>
    <x v="2"/>
    <x v="2"/>
    <x v="1"/>
    <x v="1"/>
    <n v="16.67467731"/>
    <n v="16.67467731"/>
    <n v="0.11445"/>
    <n v="16.05266868"/>
  </r>
  <r>
    <x v="0"/>
    <x v="3"/>
    <x v="3"/>
    <x v="1"/>
    <x v="1"/>
    <n v="3.110303906"/>
    <n v="3.110303906"/>
    <n v="1.7179999999999999E-3"/>
    <n v="2.811309123"/>
  </r>
  <r>
    <x v="0"/>
    <x v="0"/>
    <x v="3"/>
    <x v="1"/>
    <x v="1"/>
    <n v="4.3649199999999999E-2"/>
    <n v="4.3649199999999999E-2"/>
    <n v="2E-3"/>
    <n v="3.7654653000000003E-2"/>
  </r>
  <r>
    <x v="0"/>
    <x v="0"/>
    <x v="2"/>
    <x v="1"/>
    <x v="1"/>
    <n v="98.223339179999996"/>
    <n v="98.223339179999996"/>
    <n v="1.5449999999999999"/>
    <n v="84.733873509999995"/>
  </r>
  <r>
    <x v="0"/>
    <x v="1"/>
    <x v="3"/>
    <x v="1"/>
    <x v="1"/>
    <n v="117.90530510000001"/>
    <n v="117.90530510000001"/>
    <n v="24.617470999999998"/>
    <n v="104.66021120000001"/>
  </r>
  <r>
    <x v="0"/>
    <x v="1"/>
    <x v="2"/>
    <x v="1"/>
    <x v="1"/>
    <n v="27.76389889"/>
    <n v="27.76389889"/>
    <n v="1.6116900000000001"/>
    <n v="24.644993880000001"/>
  </r>
  <r>
    <x v="0"/>
    <x v="1"/>
    <x v="1"/>
    <x v="1"/>
    <x v="1"/>
    <n v="405.7229476"/>
    <n v="405.7229476"/>
    <n v="79.245839000000004"/>
    <n v="360.14536720000001"/>
  </r>
  <r>
    <x v="0"/>
    <x v="3"/>
    <x v="0"/>
    <x v="1"/>
    <x v="1"/>
    <n v="43.901269849999998"/>
    <n v="43.901269849999998"/>
    <n v="2.1281999999999999E-2"/>
    <n v="39.68102288"/>
  </r>
  <r>
    <x v="0"/>
    <x v="3"/>
    <x v="3"/>
    <x v="2"/>
    <x v="2"/>
    <n v="2.1693199879999998"/>
    <n v="2.1693199879999998"/>
    <n v="1.288665E-3"/>
    <n v="2.1693199879999998"/>
  </r>
  <r>
    <x v="0"/>
    <x v="2"/>
    <x v="1"/>
    <x v="2"/>
    <x v="2"/>
    <n v="3.5687219999999999E-3"/>
    <n v="3.5687219999999999E-3"/>
    <n v="1.7000000000000001E-4"/>
    <n v="3.286906E-3"/>
  </r>
  <r>
    <x v="0"/>
    <x v="0"/>
    <x v="2"/>
    <x v="2"/>
    <x v="2"/>
    <n v="11.67840455"/>
    <n v="11.67840455"/>
    <n v="0.244173906"/>
    <n v="10.725344979999999"/>
  </r>
  <r>
    <x v="0"/>
    <x v="2"/>
    <x v="3"/>
    <x v="2"/>
    <x v="2"/>
    <n v="1.5522338E-2"/>
    <n v="1.5522338E-2"/>
    <n v="7.2000000000000005E-4"/>
    <n v="1.4296563999999999E-2"/>
  </r>
  <r>
    <x v="0"/>
    <x v="2"/>
    <x v="0"/>
    <x v="2"/>
    <x v="2"/>
    <n v="2.4545389289999999"/>
    <n v="2.4545389289999999"/>
    <n v="2.3800000000000002E-3"/>
    <n v="2.2607079149999998"/>
  </r>
  <r>
    <x v="0"/>
    <x v="2"/>
    <x v="2"/>
    <x v="2"/>
    <x v="2"/>
    <n v="2.4028059210000001"/>
    <n v="2.4028059210000001"/>
    <n v="4.573E-2"/>
    <n v="2.2130601799999998"/>
  </r>
  <r>
    <x v="0"/>
    <x v="1"/>
    <x v="3"/>
    <x v="2"/>
    <x v="2"/>
    <n v="40.41938691"/>
    <n v="40.41938691"/>
    <n v="7.3178087769999998"/>
    <n v="37.206905450000001"/>
  </r>
  <r>
    <x v="0"/>
    <x v="0"/>
    <x v="3"/>
    <x v="2"/>
    <x v="2"/>
    <n v="0.28174872499999998"/>
    <n v="0.28174872499999998"/>
    <n v="5.0163289999999999E-3"/>
    <n v="0.25875557399999999"/>
  </r>
  <r>
    <x v="0"/>
    <x v="0"/>
    <x v="0"/>
    <x v="2"/>
    <x v="2"/>
    <n v="0.50029055600000005"/>
    <n v="0.50029055600000005"/>
    <n v="9.3907839999999992E-3"/>
    <n v="0.45946248699999998"/>
  </r>
  <r>
    <x v="0"/>
    <x v="1"/>
    <x v="1"/>
    <x v="2"/>
    <x v="2"/>
    <n v="127.72126470000001"/>
    <n v="127.72126470000001"/>
    <n v="25.14256215"/>
    <n v="117.57014100000001"/>
  </r>
  <r>
    <x v="0"/>
    <x v="1"/>
    <x v="2"/>
    <x v="2"/>
    <x v="2"/>
    <n v="5.6343445340000002"/>
    <n v="5.6343445340000002"/>
    <n v="0.36538147799999998"/>
    <n v="5.1865339969999997"/>
  </r>
  <r>
    <x v="0"/>
    <x v="1"/>
    <x v="0"/>
    <x v="2"/>
    <x v="2"/>
    <n v="3.1644495830000001"/>
    <n v="3.1644495830000001"/>
    <n v="0.77018964199999995"/>
    <n v="2.9129431549999998"/>
  </r>
  <r>
    <x v="0"/>
    <x v="3"/>
    <x v="0"/>
    <x v="2"/>
    <x v="2"/>
    <n v="11.585289530000001"/>
    <n v="11.585289530000001"/>
    <n v="6.9739520000000003E-3"/>
    <n v="11.585289530000001"/>
  </r>
  <r>
    <x v="0"/>
    <x v="2"/>
    <x v="3"/>
    <x v="2"/>
    <x v="3"/>
    <n v="0.16327191199999999"/>
    <n v="0.16327191199999999"/>
    <n v="1.2693800000000001E-3"/>
    <n v="0.14594453399999999"/>
  </r>
  <r>
    <x v="0"/>
    <x v="2"/>
    <x v="2"/>
    <x v="2"/>
    <x v="3"/>
    <n v="38.429730650000003"/>
    <n v="38.429730650000003"/>
    <n v="0.16754909300000001"/>
    <n v="34.35134111"/>
  </r>
  <r>
    <x v="0"/>
    <x v="2"/>
    <x v="1"/>
    <x v="2"/>
    <x v="3"/>
    <n v="7.6689226999999999E-2"/>
    <n v="7.6689226999999999E-2"/>
    <n v="2.5387599999999999E-4"/>
    <n v="6.8550514000000007E-2"/>
  </r>
  <r>
    <x v="0"/>
    <x v="3"/>
    <x v="3"/>
    <x v="2"/>
    <x v="3"/>
    <n v="1.104473815"/>
    <n v="1.104473815"/>
    <n v="5.8045500000000001E-4"/>
    <n v="1.1031863399999999"/>
  </r>
  <r>
    <x v="0"/>
    <x v="3"/>
    <x v="0"/>
    <x v="2"/>
    <x v="3"/>
    <n v="9.4758454870000008"/>
    <n v="9.4758454870000008"/>
    <n v="5.6598589999999997E-3"/>
    <n v="9.4647995849999997"/>
  </r>
  <r>
    <x v="0"/>
    <x v="0"/>
    <x v="3"/>
    <x v="2"/>
    <x v="3"/>
    <n v="0.41948881300000002"/>
    <n v="0.41948881300000002"/>
    <n v="6.7310959999999998E-3"/>
    <n v="0.38837410300000003"/>
  </r>
  <r>
    <x v="0"/>
    <x v="0"/>
    <x v="0"/>
    <x v="2"/>
    <x v="3"/>
    <n v="0.62392297600000002"/>
    <n v="0.62392297600000002"/>
    <n v="1.106771E-2"/>
    <n v="0.57764478699999999"/>
  </r>
  <r>
    <x v="0"/>
    <x v="0"/>
    <x v="2"/>
    <x v="2"/>
    <x v="3"/>
    <n v="16.795842310000001"/>
    <n v="16.795842310000001"/>
    <n v="0.32482999299999998"/>
    <n v="15.550045649999999"/>
  </r>
  <r>
    <x v="0"/>
    <x v="1"/>
    <x v="1"/>
    <x v="2"/>
    <x v="3"/>
    <n v="140.39038450000001"/>
    <n v="140.39038450000001"/>
    <n v="27.160261760000001"/>
    <n v="129.64870010000001"/>
  </r>
  <r>
    <x v="0"/>
    <x v="1"/>
    <x v="0"/>
    <x v="2"/>
    <x v="3"/>
    <n v="7.3033367839999999"/>
    <n v="7.3033367839999999"/>
    <n v="0.46975740900000001"/>
    <n v="6.7445368400000003"/>
  </r>
  <r>
    <x v="0"/>
    <x v="1"/>
    <x v="2"/>
    <x v="2"/>
    <x v="3"/>
    <n v="5.080421136"/>
    <n v="5.080421136"/>
    <n v="0.377630295"/>
    <n v="4.6917030569999998"/>
  </r>
  <r>
    <x v="0"/>
    <x v="2"/>
    <x v="0"/>
    <x v="2"/>
    <x v="3"/>
    <n v="2.2186665209999998"/>
    <n v="2.2186665209999998"/>
    <n v="3.2006510000000001E-3"/>
    <n v="1.983208552"/>
  </r>
  <r>
    <x v="0"/>
    <x v="1"/>
    <x v="3"/>
    <x v="2"/>
    <x v="3"/>
    <n v="35.913818679999999"/>
    <n v="35.913818679999999"/>
    <n v="6.7951599790000001"/>
    <n v="33.165945970000003"/>
  </r>
  <r>
    <x v="0"/>
    <x v="2"/>
    <x v="3"/>
    <x v="0"/>
    <x v="4"/>
    <n v="4.6082199999999997E-2"/>
    <n v="4.6082199999999997E-2"/>
    <n v="0.01"/>
    <n v="4.4335305999999998E-2"/>
  </r>
  <r>
    <x v="0"/>
    <x v="1"/>
    <x v="1"/>
    <x v="0"/>
    <x v="4"/>
    <n v="447.94242450000002"/>
    <n v="447.94242450000002"/>
    <n v="130.9462111"/>
    <n v="434.3186005"/>
  </r>
  <r>
    <x v="0"/>
    <x v="1"/>
    <x v="2"/>
    <x v="0"/>
    <x v="4"/>
    <n v="20.35679944"/>
    <n v="20.35679944"/>
    <n v="3.40096547"/>
    <n v="19.737663059999999"/>
  </r>
  <r>
    <x v="0"/>
    <x v="1"/>
    <x v="0"/>
    <x v="0"/>
    <x v="4"/>
    <n v="1.7238656750000001"/>
    <n v="1.7238656750000001"/>
    <n v="0.1777195"/>
    <n v="1.671435628"/>
  </r>
  <r>
    <x v="0"/>
    <x v="1"/>
    <x v="3"/>
    <x v="0"/>
    <x v="4"/>
    <n v="151.31981680000001"/>
    <n v="151.31981680000001"/>
    <n v="43.013636849999997"/>
    <n v="146.71754110000001"/>
  </r>
  <r>
    <x v="0"/>
    <x v="0"/>
    <x v="2"/>
    <x v="0"/>
    <x v="4"/>
    <n v="176.2813179"/>
    <n v="176.2813179"/>
    <n v="2.2294400749999999"/>
    <n v="168.04170920000001"/>
  </r>
  <r>
    <x v="0"/>
    <x v="0"/>
    <x v="0"/>
    <x v="0"/>
    <x v="4"/>
    <n v="8.7375499080000001"/>
    <n v="8.7375499080000001"/>
    <n v="0.123320797"/>
    <n v="8.3291459240000005"/>
  </r>
  <r>
    <x v="0"/>
    <x v="0"/>
    <x v="3"/>
    <x v="0"/>
    <x v="4"/>
    <n v="2.1325673470000002"/>
    <n v="2.1325673470000002"/>
    <n v="2.1235447000000001E-2"/>
    <n v="2.0328884889999999"/>
  </r>
  <r>
    <x v="0"/>
    <x v="3"/>
    <x v="0"/>
    <x v="0"/>
    <x v="4"/>
    <n v="552.79959740000004"/>
    <n v="552.79959740000004"/>
    <n v="0.30774018600000003"/>
    <n v="539.8433569"/>
  </r>
  <r>
    <x v="0"/>
    <x v="3"/>
    <x v="3"/>
    <x v="0"/>
    <x v="4"/>
    <n v="39.788220109999997"/>
    <n v="39.788220109999997"/>
    <n v="2.1172702000000002E-2"/>
    <n v="38.8556837"/>
  </r>
  <r>
    <x v="0"/>
    <x v="2"/>
    <x v="0"/>
    <x v="0"/>
    <x v="4"/>
    <n v="0.25871175000000002"/>
    <n v="0.25871175000000002"/>
    <n v="1E-3"/>
    <n v="0.248904451"/>
  </r>
  <r>
    <x v="0"/>
    <x v="2"/>
    <x v="2"/>
    <x v="0"/>
    <x v="4"/>
    <n v="18.455530899999999"/>
    <n v="18.455530899999999"/>
    <n v="0.14858297200000001"/>
    <n v="17.755914780000001"/>
  </r>
  <r>
    <x v="0"/>
    <x v="1"/>
    <x v="2"/>
    <x v="3"/>
    <x v="5"/>
    <n v="94.255274249999999"/>
    <n v="94.255274249999999"/>
    <n v="6.4129920909999996"/>
    <n v="89.984893670000005"/>
  </r>
  <r>
    <x v="0"/>
    <x v="2"/>
    <x v="1"/>
    <x v="3"/>
    <x v="5"/>
    <n v="2.3007960000000001E-2"/>
    <n v="2.3007960000000001E-2"/>
    <n v="1.8899999999999999E-5"/>
    <n v="2.1181829999999999E-2"/>
  </r>
  <r>
    <x v="0"/>
    <x v="1"/>
    <x v="1"/>
    <x v="3"/>
    <x v="5"/>
    <n v="636.11221350000005"/>
    <n v="636.11221350000005"/>
    <n v="171.78962139999999"/>
    <n v="607.29216859999997"/>
  </r>
  <r>
    <x v="0"/>
    <x v="1"/>
    <x v="3"/>
    <x v="3"/>
    <x v="5"/>
    <n v="326.78042160000001"/>
    <n v="326.78042160000001"/>
    <n v="87.692238360000005"/>
    <n v="311.9751306"/>
  </r>
  <r>
    <x v="0"/>
    <x v="0"/>
    <x v="2"/>
    <x v="3"/>
    <x v="5"/>
    <n v="166.3421827"/>
    <n v="166.3421827"/>
    <n v="2.2497929650000001"/>
    <n v="152.86318700000001"/>
  </r>
  <r>
    <x v="0"/>
    <x v="0"/>
    <x v="0"/>
    <x v="3"/>
    <x v="5"/>
    <n v="3.4677563130000002"/>
    <n v="3.4677563130000002"/>
    <n v="1.0137719999999999E-2"/>
    <n v="3.1867580009999998"/>
  </r>
  <r>
    <x v="0"/>
    <x v="0"/>
    <x v="3"/>
    <x v="3"/>
    <x v="5"/>
    <n v="0.392168766"/>
    <n v="0.392168766"/>
    <n v="1.365811E-3"/>
    <n v="0.36039064999999998"/>
  </r>
  <r>
    <x v="0"/>
    <x v="3"/>
    <x v="0"/>
    <x v="3"/>
    <x v="5"/>
    <n v="101.72927799999999"/>
    <n v="101.72927799999999"/>
    <n v="5.2981338000000003E-2"/>
    <n v="100.8897913"/>
  </r>
  <r>
    <x v="0"/>
    <x v="3"/>
    <x v="3"/>
    <x v="3"/>
    <x v="5"/>
    <n v="5.9005380130000002"/>
    <n v="5.9005380130000002"/>
    <n v="3.9092670000000001E-3"/>
    <n v="5.8518458019999997"/>
  </r>
  <r>
    <x v="0"/>
    <x v="1"/>
    <x v="0"/>
    <x v="3"/>
    <x v="5"/>
    <n v="14.149817759999999"/>
    <n v="14.149817759999999"/>
    <n v="1.9703148100000001"/>
    <n v="13.50873844"/>
  </r>
  <r>
    <x v="0"/>
    <x v="2"/>
    <x v="2"/>
    <x v="3"/>
    <x v="5"/>
    <n v="27.006514460000002"/>
    <n v="27.006514460000002"/>
    <n v="0.335536206"/>
    <n v="24.863020720000002"/>
  </r>
  <r>
    <x v="0"/>
    <x v="2"/>
    <x v="3"/>
    <x v="3"/>
    <x v="5"/>
    <n v="2.3007960000000001E-2"/>
    <n v="2.3007960000000001E-2"/>
    <n v="1.8899999999999999E-5"/>
    <n v="2.1181829999999999E-2"/>
  </r>
  <r>
    <x v="0"/>
    <x v="2"/>
    <x v="0"/>
    <x v="3"/>
    <x v="5"/>
    <n v="11.987447209999999"/>
    <n v="11.987447209999999"/>
    <n v="1.9548900000000001E-2"/>
    <n v="11.036009440000001"/>
  </r>
  <r>
    <x v="0"/>
    <x v="2"/>
    <x v="0"/>
    <x v="0"/>
    <x v="6"/>
    <n v="0.55845327099999997"/>
    <n v="0.55845327099999997"/>
    <n v="3.0000000000000001E-3"/>
    <n v="0.52647183399999997"/>
  </r>
  <r>
    <x v="0"/>
    <x v="2"/>
    <x v="3"/>
    <x v="0"/>
    <x v="6"/>
    <n v="6.0291717000000002E-2"/>
    <n v="6.0291717000000002E-2"/>
    <n v="2.0018689999999999E-3"/>
    <n v="5.6838937999999999E-2"/>
  </r>
  <r>
    <x v="0"/>
    <x v="1"/>
    <x v="2"/>
    <x v="0"/>
    <x v="6"/>
    <n v="12.703671140000001"/>
    <n v="12.703671140000001"/>
    <n v="0.67630690299999996"/>
    <n v="12.02044272"/>
  </r>
  <r>
    <x v="0"/>
    <x v="1"/>
    <x v="0"/>
    <x v="0"/>
    <x v="6"/>
    <n v="0.11416931399999999"/>
    <n v="0.11416931399999999"/>
    <n v="4.7219999999999998E-2"/>
    <n v="0.10802906399999999"/>
  </r>
  <r>
    <x v="0"/>
    <x v="2"/>
    <x v="2"/>
    <x v="0"/>
    <x v="6"/>
    <n v="5.5120814139999998"/>
    <n v="5.5120814139999998"/>
    <n v="6.6395213999999994E-2"/>
    <n v="5.1964161769999997"/>
  </r>
  <r>
    <x v="0"/>
    <x v="3"/>
    <x v="3"/>
    <x v="0"/>
    <x v="6"/>
    <n v="0.14594030299999999"/>
    <n v="0.14594030299999999"/>
    <n v="1.31335E-4"/>
    <n v="0.14251982699999999"/>
  </r>
  <r>
    <x v="0"/>
    <x v="1"/>
    <x v="1"/>
    <x v="0"/>
    <x v="6"/>
    <n v="59.104524990000002"/>
    <n v="59.104524990000002"/>
    <n v="14.35679697"/>
    <n v="55.925767399999998"/>
  </r>
  <r>
    <x v="0"/>
    <x v="2"/>
    <x v="1"/>
    <x v="0"/>
    <x v="6"/>
    <n v="1.3678263E-2"/>
    <n v="1.3678263E-2"/>
    <n v="9.9252299999999993E-4"/>
    <n v="1.2894938E-2"/>
  </r>
  <r>
    <x v="0"/>
    <x v="1"/>
    <x v="3"/>
    <x v="0"/>
    <x v="6"/>
    <n v="22.37009948"/>
    <n v="22.37009948"/>
    <n v="5.022426147"/>
    <n v="21.166991540000001"/>
  </r>
  <r>
    <x v="0"/>
    <x v="0"/>
    <x v="2"/>
    <x v="0"/>
    <x v="6"/>
    <n v="34.63396479"/>
    <n v="34.63396479"/>
    <n v="0.85649146600000003"/>
    <n v="32.855627660000003"/>
  </r>
  <r>
    <x v="0"/>
    <x v="3"/>
    <x v="0"/>
    <x v="0"/>
    <x v="6"/>
    <n v="6.9614938070000001"/>
    <n v="6.9614938070000001"/>
    <n v="6.4085210000000004E-3"/>
    <n v="6.7983337959999997"/>
  </r>
  <r>
    <x v="0"/>
    <x v="0"/>
    <x v="0"/>
    <x v="0"/>
    <x v="6"/>
    <n v="0.92710687000000003"/>
    <n v="0.92710687000000003"/>
    <n v="1.4050411E-2"/>
    <n v="0.87950306300000003"/>
  </r>
  <r>
    <x v="0"/>
    <x v="0"/>
    <x v="3"/>
    <x v="0"/>
    <x v="6"/>
    <n v="8.0104763999999995E-2"/>
    <n v="8.0104763999999995E-2"/>
    <n v="1.2874679999999999E-3"/>
    <n v="7.5991655000000005E-2"/>
  </r>
  <r>
    <x v="0"/>
    <x v="2"/>
    <x v="1"/>
    <x v="4"/>
    <x v="7"/>
    <n v="15.9070164"/>
    <n v="15.9070164"/>
    <n v="0.23888000000000001"/>
    <n v="14.618021799999999"/>
  </r>
  <r>
    <x v="0"/>
    <x v="2"/>
    <x v="2"/>
    <x v="4"/>
    <x v="7"/>
    <n v="163.5908905"/>
    <n v="163.5908905"/>
    <n v="3.06854"/>
    <n v="150.33461610000001"/>
  </r>
  <r>
    <x v="0"/>
    <x v="3"/>
    <x v="0"/>
    <x v="4"/>
    <x v="7"/>
    <n v="351.97916279999998"/>
    <n v="351.97916279999998"/>
    <n v="0.1745168"/>
    <n v="351.97916279999998"/>
  </r>
  <r>
    <x v="0"/>
    <x v="0"/>
    <x v="3"/>
    <x v="4"/>
    <x v="7"/>
    <n v="22.10501541"/>
    <n v="22.10501541"/>
    <n v="0.39957680000000001"/>
    <n v="18.31739293"/>
  </r>
  <r>
    <x v="0"/>
    <x v="0"/>
    <x v="0"/>
    <x v="4"/>
    <x v="7"/>
    <n v="39.948807709999997"/>
    <n v="39.948807709999997"/>
    <n v="0.50685400000000003"/>
    <n v="33.103709459999997"/>
  </r>
  <r>
    <x v="0"/>
    <x v="0"/>
    <x v="2"/>
    <x v="4"/>
    <x v="7"/>
    <n v="1071.7579290000001"/>
    <n v="1071.7579290000001"/>
    <n v="14.565569200000001"/>
    <n v="888.11569450000002"/>
  </r>
  <r>
    <x v="0"/>
    <x v="1"/>
    <x v="3"/>
    <x v="4"/>
    <x v="7"/>
    <n v="1550.823623"/>
    <n v="1550.823623"/>
    <n v="508.25441599999999"/>
    <n v="1409.5160840000001"/>
  </r>
  <r>
    <x v="0"/>
    <x v="1"/>
    <x v="2"/>
    <x v="4"/>
    <x v="7"/>
    <n v="81.674148450000004"/>
    <n v="81.674148450000004"/>
    <n v="2.3980049999999999"/>
    <n v="74.232184849999996"/>
  </r>
  <r>
    <x v="0"/>
    <x v="1"/>
    <x v="1"/>
    <x v="4"/>
    <x v="7"/>
    <n v="3939.5878389999998"/>
    <n v="3939.5878389999998"/>
    <n v="1140.779579"/>
    <n v="3580.6215090000001"/>
  </r>
  <r>
    <x v="0"/>
    <x v="2"/>
    <x v="3"/>
    <x v="4"/>
    <x v="7"/>
    <n v="4.3031422849999998"/>
    <n v="4.3031422849999998"/>
    <n v="0.13358"/>
    <n v="3.9544453939999999"/>
  </r>
  <r>
    <x v="0"/>
    <x v="3"/>
    <x v="3"/>
    <x v="4"/>
    <x v="7"/>
    <n v="35.848889200000002"/>
    <n v="35.848889200000002"/>
    <n v="1.44832E-2"/>
    <n v="35.848889200000002"/>
  </r>
  <r>
    <x v="0"/>
    <x v="0"/>
    <x v="3"/>
    <x v="0"/>
    <x v="8"/>
    <n v="0.359266213"/>
    <n v="0.359266213"/>
    <n v="6.0343860000000001E-3"/>
    <n v="0.34217889499999998"/>
  </r>
  <r>
    <x v="0"/>
    <x v="1"/>
    <x v="1"/>
    <x v="0"/>
    <x v="8"/>
    <n v="79.454113609999993"/>
    <n v="79.454113609999993"/>
    <n v="18.938752260000001"/>
    <n v="73.950953139999996"/>
  </r>
  <r>
    <x v="0"/>
    <x v="1"/>
    <x v="2"/>
    <x v="0"/>
    <x v="8"/>
    <n v="7.3201526550000002"/>
    <n v="7.3201526550000002"/>
    <n v="0.66987795500000002"/>
    <n v="6.813143352"/>
  </r>
  <r>
    <x v="0"/>
    <x v="1"/>
    <x v="0"/>
    <x v="0"/>
    <x v="8"/>
    <n v="0.44663585900000002"/>
    <n v="0.44663585900000002"/>
    <n v="0.1082325"/>
    <n v="0.41570091199999998"/>
  </r>
  <r>
    <x v="0"/>
    <x v="1"/>
    <x v="3"/>
    <x v="0"/>
    <x v="8"/>
    <n v="28.579282899999999"/>
    <n v="28.579282899999999"/>
    <n v="6.4175372749999999"/>
    <n v="26.59982114"/>
  </r>
  <r>
    <x v="0"/>
    <x v="0"/>
    <x v="0"/>
    <x v="0"/>
    <x v="8"/>
    <n v="2.315443771"/>
    <n v="2.315443771"/>
    <n v="3.4165431000000003E-2"/>
    <n v="2.2053172889999999"/>
  </r>
  <r>
    <x v="0"/>
    <x v="3"/>
    <x v="3"/>
    <x v="0"/>
    <x v="8"/>
    <n v="0.23637796899999999"/>
    <n v="0.23637796899999999"/>
    <n v="1.04586E-4"/>
    <n v="0.23083786000000001"/>
  </r>
  <r>
    <x v="0"/>
    <x v="2"/>
    <x v="2"/>
    <x v="0"/>
    <x v="8"/>
    <n v="6.7080720380000001"/>
    <n v="6.7080720380000001"/>
    <n v="4.1489901000000003E-2"/>
    <n v="6.3528459249999996"/>
  </r>
  <r>
    <x v="0"/>
    <x v="2"/>
    <x v="0"/>
    <x v="0"/>
    <x v="8"/>
    <n v="1.1431052209999999"/>
    <n v="1.1431052209999999"/>
    <n v="3.5999999999999999E-3"/>
    <n v="1.0825720569999999"/>
  </r>
  <r>
    <x v="0"/>
    <x v="2"/>
    <x v="3"/>
    <x v="0"/>
    <x v="8"/>
    <n v="2.3158657999999999E-2"/>
    <n v="2.3158657999999999E-2"/>
    <n v="4.1775800000000001E-4"/>
    <n v="2.1932291E-2"/>
  </r>
  <r>
    <x v="0"/>
    <x v="3"/>
    <x v="0"/>
    <x v="0"/>
    <x v="8"/>
    <n v="2.9288711169999999"/>
    <n v="2.9288711169999999"/>
    <n v="1.2970970000000001E-3"/>
    <n v="2.8602257"/>
  </r>
  <r>
    <x v="0"/>
    <x v="0"/>
    <x v="2"/>
    <x v="0"/>
    <x v="8"/>
    <n v="52.641219200000002"/>
    <n v="52.641219200000002"/>
    <n v="0.82320231499999996"/>
    <n v="50.13751242"/>
  </r>
  <r>
    <x v="0"/>
    <x v="1"/>
    <x v="3"/>
    <x v="5"/>
    <x v="9"/>
    <n v="26.207494560000001"/>
    <n v="26.207494560000001"/>
    <n v="7.0313070990000002"/>
    <n v="24.458032150000001"/>
  </r>
  <r>
    <x v="0"/>
    <x v="2"/>
    <x v="3"/>
    <x v="5"/>
    <x v="9"/>
    <n v="4.0178294000000003E-2"/>
    <n v="4.0178294000000003E-2"/>
    <n v="5.9999999999999995E-4"/>
    <n v="3.5663009000000002E-2"/>
  </r>
  <r>
    <x v="0"/>
    <x v="2"/>
    <x v="0"/>
    <x v="5"/>
    <x v="9"/>
    <n v="4.8965913999999999E-2"/>
    <n v="4.8965913999999999E-2"/>
    <n v="7.2000000000000005E-4"/>
    <n v="4.3463065000000002E-2"/>
  </r>
  <r>
    <x v="0"/>
    <x v="2"/>
    <x v="2"/>
    <x v="5"/>
    <x v="9"/>
    <n v="5.8215540250000002"/>
    <n v="5.8215540250000002"/>
    <n v="7.1400000000000005E-2"/>
    <n v="5.1673207489999999"/>
  </r>
  <r>
    <x v="0"/>
    <x v="2"/>
    <x v="1"/>
    <x v="5"/>
    <x v="9"/>
    <n v="3.0034808999999999E-2"/>
    <n v="3.0034808999999999E-2"/>
    <n v="2.7999999999999998E-4"/>
    <n v="2.6659460999999999E-2"/>
  </r>
  <r>
    <x v="0"/>
    <x v="0"/>
    <x v="3"/>
    <x v="5"/>
    <x v="9"/>
    <n v="0.260281339"/>
    <n v="0.260281339"/>
    <n v="4.269152E-3"/>
    <n v="0.24542784500000001"/>
  </r>
  <r>
    <x v="0"/>
    <x v="0"/>
    <x v="2"/>
    <x v="5"/>
    <x v="9"/>
    <n v="9.1924800720000004"/>
    <n v="9.1924800720000004"/>
    <n v="0.18883982099999999"/>
    <n v="8.6678921560000006"/>
  </r>
  <r>
    <x v="0"/>
    <x v="1"/>
    <x v="0"/>
    <x v="5"/>
    <x v="9"/>
    <n v="1.4453476510000001"/>
    <n v="1.4453476510000001"/>
    <n v="0.381745634"/>
    <n v="1.3488645109999999"/>
  </r>
  <r>
    <x v="0"/>
    <x v="1"/>
    <x v="2"/>
    <x v="5"/>
    <x v="9"/>
    <n v="3.44665701"/>
    <n v="3.44665701"/>
    <n v="0.40347843799999999"/>
    <n v="3.2165779059999999"/>
  </r>
  <r>
    <x v="0"/>
    <x v="1"/>
    <x v="1"/>
    <x v="5"/>
    <x v="9"/>
    <n v="90.625916309999994"/>
    <n v="90.625916309999994"/>
    <n v="22.283614109999998"/>
    <n v="84.576248579999998"/>
  </r>
  <r>
    <x v="0"/>
    <x v="0"/>
    <x v="0"/>
    <x v="5"/>
    <x v="9"/>
    <n v="0.35040649200000001"/>
    <n v="0.35040649200000001"/>
    <n v="6.405984E-3"/>
    <n v="0.33040982000000002"/>
  </r>
  <r>
    <x v="0"/>
    <x v="1"/>
    <x v="0"/>
    <x v="2"/>
    <x v="10"/>
    <n v="2.278961083"/>
    <n v="2.278961083"/>
    <n v="0.323142074"/>
    <n v="2.1133168640000002"/>
  </r>
  <r>
    <x v="0"/>
    <x v="1"/>
    <x v="3"/>
    <x v="2"/>
    <x v="10"/>
    <n v="36.691593349999998"/>
    <n v="36.691593349999998"/>
    <n v="6.8611427699999998"/>
    <n v="34.024698180000001"/>
  </r>
  <r>
    <x v="0"/>
    <x v="0"/>
    <x v="2"/>
    <x v="2"/>
    <x v="10"/>
    <n v="10.12731061"/>
    <n v="10.12731061"/>
    <n v="0.21371010300000001"/>
    <n v="9.2831729650000003"/>
  </r>
  <r>
    <x v="0"/>
    <x v="1"/>
    <x v="1"/>
    <x v="2"/>
    <x v="10"/>
    <n v="113.1289096"/>
    <n v="113.1289096"/>
    <n v="20.624456460000001"/>
    <n v="104.90623739999999"/>
  </r>
  <r>
    <x v="0"/>
    <x v="2"/>
    <x v="3"/>
    <x v="2"/>
    <x v="10"/>
    <n v="3.7721161000000003E-2"/>
    <n v="3.7721161000000003E-2"/>
    <n v="8.2120299999999995E-4"/>
    <n v="3.6430335000000001E-2"/>
  </r>
  <r>
    <x v="0"/>
    <x v="1"/>
    <x v="2"/>
    <x v="2"/>
    <x v="10"/>
    <n v="3.982093952"/>
    <n v="3.982093952"/>
    <n v="0.341896319"/>
    <n v="3.6926590670000001"/>
  </r>
  <r>
    <x v="0"/>
    <x v="0"/>
    <x v="0"/>
    <x v="2"/>
    <x v="10"/>
    <n v="0.74723633499999997"/>
    <n v="0.74723633499999997"/>
    <n v="9.5082559999999997E-3"/>
    <n v="0.68495224600000004"/>
  </r>
  <r>
    <x v="0"/>
    <x v="0"/>
    <x v="3"/>
    <x v="2"/>
    <x v="10"/>
    <n v="0.23336557099999999"/>
    <n v="0.23336557099999999"/>
    <n v="4.4168139999999998E-3"/>
    <n v="0.21391394399999999"/>
  </r>
  <r>
    <x v="0"/>
    <x v="3"/>
    <x v="0"/>
    <x v="2"/>
    <x v="10"/>
    <n v="8.3948777620000001"/>
    <n v="8.3948777620000001"/>
    <n v="4.9270599999999996E-3"/>
    <n v="8.3948777620000001"/>
  </r>
  <r>
    <x v="0"/>
    <x v="3"/>
    <x v="3"/>
    <x v="2"/>
    <x v="10"/>
    <n v="1.355418405"/>
    <n v="1.355418405"/>
    <n v="7.85737E-4"/>
    <n v="1.355418405"/>
  </r>
  <r>
    <x v="0"/>
    <x v="2"/>
    <x v="1"/>
    <x v="2"/>
    <x v="10"/>
    <n v="1.7903591999999999E-2"/>
    <n v="1.7903591999999999E-2"/>
    <n v="1.38405E-4"/>
    <n v="1.7290927000000001E-2"/>
  </r>
  <r>
    <x v="0"/>
    <x v="2"/>
    <x v="2"/>
    <x v="2"/>
    <x v="10"/>
    <n v="3.3018058469999998"/>
    <n v="3.3018058469999998"/>
    <n v="5.5039055000000003E-2"/>
    <n v="3.188817335"/>
  </r>
  <r>
    <x v="0"/>
    <x v="2"/>
    <x v="0"/>
    <x v="2"/>
    <x v="10"/>
    <n v="9.4719923700000006"/>
    <n v="9.4719923700000006"/>
    <n v="3.8116736999999998E-2"/>
    <n v="9.1478587390000001"/>
  </r>
  <r>
    <x v="0"/>
    <x v="0"/>
    <x v="3"/>
    <x v="2"/>
    <x v="11"/>
    <n v="0.21488897500000001"/>
    <n v="0.21488897500000001"/>
    <n v="3.275498E-3"/>
    <n v="0.19786900800000001"/>
  </r>
  <r>
    <x v="0"/>
    <x v="1"/>
    <x v="2"/>
    <x v="2"/>
    <x v="11"/>
    <n v="2.9819763500000001"/>
    <n v="2.9819763500000001"/>
    <n v="0.38087177"/>
    <n v="2.7403888529999998"/>
  </r>
  <r>
    <x v="0"/>
    <x v="1"/>
    <x v="0"/>
    <x v="2"/>
    <x v="11"/>
    <n v="2.1562300219999999"/>
    <n v="2.1562300219999999"/>
    <n v="0.35446998400000002"/>
    <n v="1.9815411060000001"/>
  </r>
  <r>
    <x v="0"/>
    <x v="1"/>
    <x v="3"/>
    <x v="2"/>
    <x v="11"/>
    <n v="34.950232409999998"/>
    <n v="34.950232409999998"/>
    <n v="7.567124153"/>
    <n v="32.118707880000002"/>
  </r>
  <r>
    <x v="0"/>
    <x v="0"/>
    <x v="0"/>
    <x v="2"/>
    <x v="11"/>
    <n v="0.39089477500000003"/>
    <n v="0.39089477500000003"/>
    <n v="6.7860899999999998E-3"/>
    <n v="0.35993452500000001"/>
  </r>
  <r>
    <x v="0"/>
    <x v="1"/>
    <x v="1"/>
    <x v="2"/>
    <x v="11"/>
    <n v="131.50336279999999"/>
    <n v="131.50336279999999"/>
    <n v="25.713812409999999"/>
    <n v="120.84949949999999"/>
  </r>
  <r>
    <x v="0"/>
    <x v="3"/>
    <x v="3"/>
    <x v="2"/>
    <x v="11"/>
    <n v="0.14525685199999999"/>
    <n v="0.14525685199999999"/>
    <n v="8.5607999999999998E-5"/>
    <n v="0.14525685199999999"/>
  </r>
  <r>
    <x v="0"/>
    <x v="2"/>
    <x v="1"/>
    <x v="2"/>
    <x v="11"/>
    <n v="9.9328230000000003E-3"/>
    <n v="9.9328230000000003E-3"/>
    <n v="5.0000000000000002E-5"/>
    <n v="8.6372370000000007E-3"/>
  </r>
  <r>
    <x v="0"/>
    <x v="2"/>
    <x v="2"/>
    <x v="2"/>
    <x v="11"/>
    <n v="6.5459789109999997"/>
    <n v="6.5459789109999997"/>
    <n v="9.4960000000000003E-2"/>
    <n v="5.6921555750000001"/>
  </r>
  <r>
    <x v="0"/>
    <x v="2"/>
    <x v="0"/>
    <x v="2"/>
    <x v="11"/>
    <n v="3.0929097999999999E-2"/>
    <n v="3.0929097999999999E-2"/>
    <n v="6.8000000000000005E-4"/>
    <n v="2.6894867999999999E-2"/>
  </r>
  <r>
    <x v="0"/>
    <x v="2"/>
    <x v="3"/>
    <x v="2"/>
    <x v="11"/>
    <n v="2.7583348000000001E-2"/>
    <n v="2.7583348000000001E-2"/>
    <n v="3.1E-4"/>
    <n v="2.398552E-2"/>
  </r>
  <r>
    <x v="0"/>
    <x v="3"/>
    <x v="0"/>
    <x v="2"/>
    <x v="11"/>
    <n v="0.72051800799999999"/>
    <n v="0.72051800799999999"/>
    <n v="4.1476000000000002E-4"/>
    <n v="0.72051800799999999"/>
  </r>
  <r>
    <x v="0"/>
    <x v="0"/>
    <x v="2"/>
    <x v="2"/>
    <x v="11"/>
    <n v="9.7091145670000003"/>
    <n v="9.7091145670000003"/>
    <n v="0.20244395900000001"/>
    <n v="8.9401183310000008"/>
  </r>
  <r>
    <x v="0"/>
    <x v="2"/>
    <x v="2"/>
    <x v="2"/>
    <x v="12"/>
    <n v="29.10701761"/>
    <n v="29.10701761"/>
    <n v="0.28864560500000003"/>
    <n v="25.85806947"/>
  </r>
  <r>
    <x v="0"/>
    <x v="1"/>
    <x v="1"/>
    <x v="2"/>
    <x v="12"/>
    <n v="806.47335029999999"/>
    <n v="806.47335029999999"/>
    <n v="170.18145849999999"/>
    <n v="759.79803300000003"/>
  </r>
  <r>
    <x v="0"/>
    <x v="1"/>
    <x v="2"/>
    <x v="2"/>
    <x v="12"/>
    <n v="25.267629830000001"/>
    <n v="25.267629830000001"/>
    <n v="2.4926187450000001"/>
    <n v="23.805244699999999"/>
  </r>
  <r>
    <x v="0"/>
    <x v="1"/>
    <x v="0"/>
    <x v="2"/>
    <x v="12"/>
    <n v="41.387959449999997"/>
    <n v="41.387959449999997"/>
    <n v="2.7339234320000001"/>
    <n v="38.992596800000001"/>
  </r>
  <r>
    <x v="0"/>
    <x v="1"/>
    <x v="3"/>
    <x v="2"/>
    <x v="12"/>
    <n v="273.28110020000003"/>
    <n v="273.28110020000003"/>
    <n v="52.627076160000001"/>
    <n v="257.46472879999999"/>
  </r>
  <r>
    <x v="0"/>
    <x v="0"/>
    <x v="2"/>
    <x v="2"/>
    <x v="12"/>
    <n v="235.40760900000001"/>
    <n v="235.40760900000001"/>
    <n v="3.5009183250000002"/>
    <n v="223.3808453"/>
  </r>
  <r>
    <x v="0"/>
    <x v="0"/>
    <x v="0"/>
    <x v="2"/>
    <x v="12"/>
    <n v="5.1403951279999998"/>
    <n v="5.1403951279999998"/>
    <n v="9.3061289000000005E-2"/>
    <n v="4.8777769500000003"/>
  </r>
  <r>
    <x v="0"/>
    <x v="0"/>
    <x v="3"/>
    <x v="2"/>
    <x v="12"/>
    <n v="2.5300499369999998"/>
    <n v="2.5300499369999998"/>
    <n v="4.2385887999999997E-2"/>
    <n v="2.4007919539999998"/>
  </r>
  <r>
    <x v="0"/>
    <x v="3"/>
    <x v="0"/>
    <x v="2"/>
    <x v="12"/>
    <n v="164.1594192"/>
    <n v="164.1594192"/>
    <n v="0.103033083"/>
    <n v="164.1594192"/>
  </r>
  <r>
    <x v="0"/>
    <x v="2"/>
    <x v="1"/>
    <x v="2"/>
    <x v="12"/>
    <n v="8.5184993000000001E-2"/>
    <n v="8.5184993000000001E-2"/>
    <n v="1.0594700000000001E-3"/>
    <n v="7.5676576999999995E-2"/>
  </r>
  <r>
    <x v="0"/>
    <x v="2"/>
    <x v="0"/>
    <x v="2"/>
    <x v="12"/>
    <n v="0.11795155"/>
    <n v="0.11795155"/>
    <n v="1.61919E-3"/>
    <n v="0.10478570500000001"/>
  </r>
  <r>
    <x v="0"/>
    <x v="2"/>
    <x v="3"/>
    <x v="2"/>
    <x v="12"/>
    <n v="0.20506698400000001"/>
    <n v="0.20506698400000001"/>
    <n v="5.5272350000000001E-3"/>
    <n v="0.18217724599999999"/>
  </r>
  <r>
    <x v="0"/>
    <x v="3"/>
    <x v="3"/>
    <x v="2"/>
    <x v="12"/>
    <n v="24.310477670000001"/>
    <n v="24.310477670000001"/>
    <n v="1.4377722000000001E-2"/>
    <n v="24.310477670000001"/>
  </r>
  <r>
    <x v="0"/>
    <x v="0"/>
    <x v="3"/>
    <x v="2"/>
    <x v="13"/>
    <n v="9.2580599350000004"/>
    <n v="9.2580599350000004"/>
    <n v="0.26171512499999999"/>
    <n v="8.8403502490000001"/>
  </r>
  <r>
    <x v="0"/>
    <x v="2"/>
    <x v="3"/>
    <x v="2"/>
    <x v="13"/>
    <n v="0.143651317"/>
    <n v="0.143651317"/>
    <n v="7.3800000000000003E-3"/>
    <n v="0.123803355"/>
  </r>
  <r>
    <x v="0"/>
    <x v="1"/>
    <x v="1"/>
    <x v="2"/>
    <x v="13"/>
    <n v="1199.4269220000001"/>
    <n v="1199.4269220000001"/>
    <n v="245.2284483"/>
    <n v="1114.5224860000001"/>
  </r>
  <r>
    <x v="0"/>
    <x v="3"/>
    <x v="3"/>
    <x v="2"/>
    <x v="13"/>
    <n v="23.518181680000001"/>
    <n v="23.518181680000001"/>
    <n v="1.3729699E-2"/>
    <n v="23.313650389999999"/>
  </r>
  <r>
    <x v="0"/>
    <x v="3"/>
    <x v="0"/>
    <x v="2"/>
    <x v="13"/>
    <n v="410.23525560000002"/>
    <n v="410.23525560000002"/>
    <n v="0.23035550900000001"/>
    <n v="406.66755000000001"/>
  </r>
  <r>
    <x v="0"/>
    <x v="0"/>
    <x v="0"/>
    <x v="2"/>
    <x v="13"/>
    <n v="13.066433139999999"/>
    <n v="13.066433139999999"/>
    <n v="0.156707452"/>
    <n v="12.4768954"/>
  </r>
  <r>
    <x v="0"/>
    <x v="2"/>
    <x v="1"/>
    <x v="2"/>
    <x v="13"/>
    <n v="2.0952736999999999E-2"/>
    <n v="2.0952736999999999E-2"/>
    <n v="6.4999999999999997E-4"/>
    <n v="1.8057746999999999E-2"/>
  </r>
  <r>
    <x v="0"/>
    <x v="1"/>
    <x v="3"/>
    <x v="2"/>
    <x v="13"/>
    <n v="476.38705449999998"/>
    <n v="476.38705449999998"/>
    <n v="123.08212829999999"/>
    <n v="442.66480480000001"/>
  </r>
  <r>
    <x v="0"/>
    <x v="1"/>
    <x v="0"/>
    <x v="2"/>
    <x v="13"/>
    <n v="28.523257829999999"/>
    <n v="28.523257829999999"/>
    <n v="5.1606470450000002"/>
    <n v="26.504167649999999"/>
  </r>
  <r>
    <x v="0"/>
    <x v="1"/>
    <x v="2"/>
    <x v="2"/>
    <x v="13"/>
    <n v="63.094307520000001"/>
    <n v="63.094307520000001"/>
    <n v="4.2502431740000004"/>
    <n v="58.628019080000001"/>
  </r>
  <r>
    <x v="0"/>
    <x v="0"/>
    <x v="2"/>
    <x v="2"/>
    <x v="13"/>
    <n v="218.94063779999999"/>
    <n v="218.94063779999999"/>
    <n v="4.0610450250000003"/>
    <n v="209.06236680000001"/>
  </r>
  <r>
    <x v="0"/>
    <x v="2"/>
    <x v="0"/>
    <x v="2"/>
    <x v="13"/>
    <n v="28.23249744"/>
    <n v="28.23249744"/>
    <n v="4.6010000000000002E-2"/>
    <n v="24.331680200000001"/>
  </r>
  <r>
    <x v="0"/>
    <x v="2"/>
    <x v="2"/>
    <x v="2"/>
    <x v="13"/>
    <n v="33.574525149999999"/>
    <n v="33.574525149999999"/>
    <n v="0.33395999999999998"/>
    <n v="28.93561261"/>
  </r>
  <r>
    <x v="0"/>
    <x v="0"/>
    <x v="3"/>
    <x v="2"/>
    <x v="14"/>
    <n v="0.24818657999999999"/>
    <n v="0.24818657999999999"/>
    <n v="3.6912049999999999E-3"/>
    <n v="0.22632162"/>
  </r>
  <r>
    <x v="0"/>
    <x v="1"/>
    <x v="1"/>
    <x v="2"/>
    <x v="14"/>
    <n v="36.11048607"/>
    <n v="36.11048607"/>
    <n v="8.9326677149999991"/>
    <n v="33.664095629999998"/>
  </r>
  <r>
    <x v="0"/>
    <x v="2"/>
    <x v="0"/>
    <x v="2"/>
    <x v="14"/>
    <n v="2.2802183E-2"/>
    <n v="2.2802183E-2"/>
    <n v="9.3499999999999996E-5"/>
    <n v="2.0244324000000001E-2"/>
  </r>
  <r>
    <x v="0"/>
    <x v="1"/>
    <x v="2"/>
    <x v="2"/>
    <x v="14"/>
    <n v="1.3592768900000001"/>
    <n v="1.3592768900000001"/>
    <n v="0.148162922"/>
    <n v="1.2671894560000001"/>
  </r>
  <r>
    <x v="0"/>
    <x v="1"/>
    <x v="0"/>
    <x v="2"/>
    <x v="14"/>
    <n v="0.68786641199999998"/>
    <n v="0.68786641199999998"/>
    <n v="0.16491275499999999"/>
    <n v="0.64126527200000005"/>
  </r>
  <r>
    <x v="0"/>
    <x v="1"/>
    <x v="3"/>
    <x v="2"/>
    <x v="14"/>
    <n v="10.27308446"/>
    <n v="10.27308446"/>
    <n v="2.8905123540000002"/>
    <n v="9.5771100100000002"/>
  </r>
  <r>
    <x v="0"/>
    <x v="0"/>
    <x v="2"/>
    <x v="2"/>
    <x v="14"/>
    <n v="4.166647663"/>
    <n v="4.166647663"/>
    <n v="8.0570019000000007E-2"/>
    <n v="3.7995706579999999"/>
  </r>
  <r>
    <x v="0"/>
    <x v="0"/>
    <x v="0"/>
    <x v="2"/>
    <x v="14"/>
    <n v="0.20829065599999999"/>
    <n v="0.20829065599999999"/>
    <n v="3.42779E-3"/>
    <n v="0.18994048199999999"/>
  </r>
  <r>
    <x v="0"/>
    <x v="2"/>
    <x v="2"/>
    <x v="2"/>
    <x v="14"/>
    <n v="2.389595108"/>
    <n v="2.389595108"/>
    <n v="2.3253449999999998E-2"/>
    <n v="2.1215397440000001"/>
  </r>
  <r>
    <x v="0"/>
    <x v="2"/>
    <x v="1"/>
    <x v="2"/>
    <x v="14"/>
    <n v="2.7194600000000001E-4"/>
    <n v="2.7194600000000001E-4"/>
    <n v="9.3500000000000003E-6"/>
    <n v="2.4143999999999999E-4"/>
  </r>
  <r>
    <x v="0"/>
    <x v="3"/>
    <x v="3"/>
    <x v="2"/>
    <x v="14"/>
    <n v="0.81790693699999995"/>
    <n v="0.81790693699999995"/>
    <n v="4.7540599999999999E-4"/>
    <n v="0.81790693699999995"/>
  </r>
  <r>
    <x v="0"/>
    <x v="3"/>
    <x v="0"/>
    <x v="2"/>
    <x v="14"/>
    <n v="5.3080913809999997"/>
    <n v="5.3080913809999997"/>
    <n v="3.1751230000000002E-3"/>
    <n v="5.3080913809999997"/>
  </r>
  <r>
    <x v="0"/>
    <x v="2"/>
    <x v="3"/>
    <x v="2"/>
    <x v="14"/>
    <n v="5.4389300000000005E-4"/>
    <n v="5.4389300000000005E-4"/>
    <n v="1.8700000000000001E-5"/>
    <n v="4.82881E-4"/>
  </r>
  <r>
    <x v="0"/>
    <x v="0"/>
    <x v="2"/>
    <x v="4"/>
    <x v="15"/>
    <n v="68.560252750000004"/>
    <n v="68.560252750000004"/>
    <n v="0.58599999999999997"/>
    <n v="58.247733850000003"/>
  </r>
  <r>
    <x v="0"/>
    <x v="2"/>
    <x v="3"/>
    <x v="4"/>
    <x v="15"/>
    <n v="0.75857297700000004"/>
    <n v="0.75857297700000004"/>
    <n v="1.7600000000000001E-2"/>
    <n v="0.61672599800000005"/>
  </r>
  <r>
    <x v="0"/>
    <x v="2"/>
    <x v="2"/>
    <x v="4"/>
    <x v="15"/>
    <n v="3.4270779729999998"/>
    <n v="3.4270779729999998"/>
    <n v="9.4E-2"/>
    <n v="2.7862422549999999"/>
  </r>
  <r>
    <x v="0"/>
    <x v="2"/>
    <x v="1"/>
    <x v="4"/>
    <x v="15"/>
    <n v="0.18964324399999999"/>
    <n v="0.18964324399999999"/>
    <n v="4.4000000000000003E-3"/>
    <n v="0.154181499"/>
  </r>
  <r>
    <x v="0"/>
    <x v="1"/>
    <x v="3"/>
    <x v="4"/>
    <x v="15"/>
    <n v="74.241507319999997"/>
    <n v="74.241507319999997"/>
    <n v="21.810079999999999"/>
    <n v="68.815304769999997"/>
  </r>
  <r>
    <x v="0"/>
    <x v="1"/>
    <x v="2"/>
    <x v="4"/>
    <x v="15"/>
    <n v="9.1715284409999995"/>
    <n v="9.1715284409999995"/>
    <n v="0.85055000000000003"/>
    <n v="8.5011949199999997"/>
  </r>
  <r>
    <x v="0"/>
    <x v="1"/>
    <x v="1"/>
    <x v="4"/>
    <x v="15"/>
    <n v="271.82800959999997"/>
    <n v="271.82800959999997"/>
    <n v="72.426370000000006"/>
    <n v="251.96050030000001"/>
  </r>
  <r>
    <x v="0"/>
    <x v="3"/>
    <x v="0"/>
    <x v="4"/>
    <x v="15"/>
    <n v="31.498837819999999"/>
    <n v="31.498837819999999"/>
    <n v="1.9E-2"/>
    <n v="29.544658999999999"/>
  </r>
  <r>
    <x v="0"/>
    <x v="0"/>
    <x v="0"/>
    <x v="4"/>
    <x v="15"/>
    <n v="0.493782995"/>
    <n v="0.493782995"/>
    <n v="1E-3"/>
    <n v="0.41951042100000002"/>
  </r>
  <r>
    <x v="0"/>
    <x v="2"/>
    <x v="0"/>
    <x v="5"/>
    <x v="16"/>
    <n v="1.2626414000000001E-2"/>
    <n v="1.2626414000000001E-2"/>
    <n v="2.3000000000000001E-4"/>
    <n v="1.1168294E-2"/>
  </r>
  <r>
    <x v="0"/>
    <x v="0"/>
    <x v="0"/>
    <x v="5"/>
    <x v="16"/>
    <n v="0.29521504599999998"/>
    <n v="0.29521504599999998"/>
    <n v="5.583986E-3"/>
    <n v="0.27797776299999999"/>
  </r>
  <r>
    <x v="0"/>
    <x v="1"/>
    <x v="3"/>
    <x v="5"/>
    <x v="16"/>
    <n v="17.802751010000001"/>
    <n v="17.802751010000001"/>
    <n v="5.5763530699999997"/>
    <n v="16.503422489999998"/>
  </r>
  <r>
    <x v="0"/>
    <x v="0"/>
    <x v="3"/>
    <x v="5"/>
    <x v="16"/>
    <n v="8.1571823000000002E-2"/>
    <n v="8.1571823000000002E-2"/>
    <n v="1.5193819999999999E-3"/>
    <n v="7.6808933999999995E-2"/>
  </r>
  <r>
    <x v="0"/>
    <x v="3"/>
    <x v="0"/>
    <x v="5"/>
    <x v="16"/>
    <n v="0.23149562600000001"/>
    <n v="0.23149562600000001"/>
    <n v="1.20969E-4"/>
    <n v="0.23149562600000001"/>
  </r>
  <r>
    <x v="0"/>
    <x v="3"/>
    <x v="3"/>
    <x v="5"/>
    <x v="16"/>
    <n v="3.3672787000000003E-2"/>
    <n v="3.3672787000000003E-2"/>
    <n v="1.8315E-5"/>
    <n v="3.3672787000000003E-2"/>
  </r>
  <r>
    <x v="0"/>
    <x v="0"/>
    <x v="2"/>
    <x v="5"/>
    <x v="16"/>
    <n v="8.2005030479999999"/>
    <n v="8.2005030479999999"/>
    <n v="0.180022181"/>
    <n v="7.7216846649999997"/>
  </r>
  <r>
    <x v="0"/>
    <x v="2"/>
    <x v="2"/>
    <x v="5"/>
    <x v="16"/>
    <n v="2.2355809500000001"/>
    <n v="2.2355809500000001"/>
    <n v="2.3460000000000002E-2"/>
    <n v="1.9774122730000001"/>
  </r>
  <r>
    <x v="0"/>
    <x v="1"/>
    <x v="0"/>
    <x v="5"/>
    <x v="16"/>
    <n v="0.946008399"/>
    <n v="0.946008399"/>
    <n v="0.21370252100000001"/>
    <n v="0.87696425600000005"/>
  </r>
  <r>
    <x v="0"/>
    <x v="1"/>
    <x v="2"/>
    <x v="5"/>
    <x v="16"/>
    <n v="2.024427153"/>
    <n v="2.024427153"/>
    <n v="0.26920162199999997"/>
    <n v="1.876674935"/>
  </r>
  <r>
    <x v="0"/>
    <x v="1"/>
    <x v="1"/>
    <x v="5"/>
    <x v="16"/>
    <n v="62.509659460000002"/>
    <n v="62.509659460000002"/>
    <n v="14.743711060000001"/>
    <n v="57.947410419999997"/>
  </r>
  <r>
    <x v="0"/>
    <x v="2"/>
    <x v="3"/>
    <x v="5"/>
    <x v="16"/>
    <n v="3.5376752999999997E-2"/>
    <n v="3.5376752999999997E-2"/>
    <n v="2.0000000000000001E-4"/>
    <n v="3.1291385999999997E-2"/>
  </r>
  <r>
    <x v="0"/>
    <x v="2"/>
    <x v="1"/>
    <x v="5"/>
    <x v="16"/>
    <n v="2.3198915000000001E-2"/>
    <n v="2.3198915000000001E-2"/>
    <n v="1.1E-4"/>
    <n v="2.0519865000000002E-2"/>
  </r>
  <r>
    <x v="0"/>
    <x v="1"/>
    <x v="3"/>
    <x v="6"/>
    <x v="17"/>
    <n v="103.04864329999999"/>
    <n v="103.04864329999999"/>
    <n v="29.043467"/>
    <n v="93.65238755"/>
  </r>
  <r>
    <x v="0"/>
    <x v="1"/>
    <x v="2"/>
    <x v="6"/>
    <x v="17"/>
    <n v="18.624861750000001"/>
    <n v="18.624861750000001"/>
    <n v="1.01498"/>
    <n v="16.92659617"/>
  </r>
  <r>
    <x v="0"/>
    <x v="0"/>
    <x v="2"/>
    <x v="6"/>
    <x v="17"/>
    <n v="102.7070867"/>
    <n v="102.7070867"/>
    <n v="1.3350375000000001"/>
    <n v="88.87980761"/>
  </r>
  <r>
    <x v="0"/>
    <x v="0"/>
    <x v="0"/>
    <x v="6"/>
    <x v="17"/>
    <n v="6.6429448119999996"/>
    <n v="6.6429448119999996"/>
    <n v="1.7962499999999999E-2"/>
    <n v="5.748616535"/>
  </r>
  <r>
    <x v="0"/>
    <x v="0"/>
    <x v="3"/>
    <x v="6"/>
    <x v="17"/>
    <n v="0.24183198"/>
    <n v="0.24183198"/>
    <n v="7.0000000000000001E-3"/>
    <n v="0.209274555"/>
  </r>
  <r>
    <x v="0"/>
    <x v="3"/>
    <x v="0"/>
    <x v="6"/>
    <x v="17"/>
    <n v="3.2096038199999999"/>
    <n v="3.2096038199999999"/>
    <n v="2E-3"/>
    <n v="2.6094339999999998"/>
  </r>
  <r>
    <x v="0"/>
    <x v="2"/>
    <x v="2"/>
    <x v="6"/>
    <x v="17"/>
    <n v="38.619843750000001"/>
    <n v="38.619843750000001"/>
    <n v="0.51119999999999999"/>
    <n v="36.870046600000002"/>
  </r>
  <r>
    <x v="0"/>
    <x v="2"/>
    <x v="3"/>
    <x v="6"/>
    <x v="17"/>
    <n v="2.2123938729999999"/>
    <n v="2.2123938729999999"/>
    <n v="9.0800000000000006E-2"/>
    <n v="2.1121542"/>
  </r>
  <r>
    <x v="0"/>
    <x v="1"/>
    <x v="1"/>
    <x v="6"/>
    <x v="17"/>
    <n v="394.30837480000002"/>
    <n v="394.30837480000002"/>
    <n v="91.999553000000006"/>
    <n v="358.354264"/>
  </r>
  <r>
    <x v="0"/>
    <x v="2"/>
    <x v="2"/>
    <x v="6"/>
    <x v="18"/>
    <n v="11.773147529999999"/>
    <n v="11.773147529999999"/>
    <n v="0.11675000000000001"/>
    <n v="9.8109562720000003"/>
  </r>
  <r>
    <x v="0"/>
    <x v="3"/>
    <x v="0"/>
    <x v="6"/>
    <x v="18"/>
    <n v="4.875"/>
    <n v="4.875"/>
    <n v="2E-3"/>
    <n v="3.9"/>
  </r>
  <r>
    <x v="0"/>
    <x v="0"/>
    <x v="0"/>
    <x v="6"/>
    <x v="18"/>
    <n v="2.1216445369999999"/>
    <n v="2.1216445369999999"/>
    <n v="5.5360000000000001E-3"/>
    <n v="1.8403188159999999"/>
  </r>
  <r>
    <x v="0"/>
    <x v="0"/>
    <x v="2"/>
    <x v="6"/>
    <x v="18"/>
    <n v="37.74310122"/>
    <n v="37.74310122"/>
    <n v="0.45846399999999998"/>
    <n v="32.738443289999999"/>
  </r>
  <r>
    <x v="0"/>
    <x v="1"/>
    <x v="3"/>
    <x v="6"/>
    <x v="18"/>
    <n v="22.20786279"/>
    <n v="22.20786279"/>
    <n v="7.9854690000000002"/>
    <n v="19.020199210000001"/>
  </r>
  <r>
    <x v="0"/>
    <x v="1"/>
    <x v="2"/>
    <x v="6"/>
    <x v="18"/>
    <n v="8.5634313090000003"/>
    <n v="8.5634313090000003"/>
    <n v="1.52166"/>
    <n v="7.3342568349999997"/>
  </r>
  <r>
    <x v="0"/>
    <x v="1"/>
    <x v="1"/>
    <x v="6"/>
    <x v="18"/>
    <n v="127.9161105"/>
    <n v="127.9161105"/>
    <n v="32.064870999999997"/>
    <n v="109.5553376"/>
  </r>
  <r>
    <x v="0"/>
    <x v="2"/>
    <x v="1"/>
    <x v="6"/>
    <x v="18"/>
    <n v="0.87776109899999999"/>
    <n v="0.87776109899999999"/>
    <n v="1.77E-2"/>
    <n v="0.73146758199999995"/>
  </r>
  <r>
    <x v="0"/>
    <x v="2"/>
    <x v="3"/>
    <x v="6"/>
    <x v="18"/>
    <n v="0.51586761800000003"/>
    <n v="0.51586761800000003"/>
    <n v="1.155E-2"/>
    <n v="0.429889682"/>
  </r>
  <r>
    <x v="0"/>
    <x v="1"/>
    <x v="0"/>
    <x v="2"/>
    <x v="19"/>
    <n v="3.156675946"/>
    <n v="3.156675946"/>
    <n v="0.59569799199999995"/>
    <n v="2.999360748"/>
  </r>
  <r>
    <x v="0"/>
    <x v="2"/>
    <x v="0"/>
    <x v="2"/>
    <x v="19"/>
    <n v="4.756875E-2"/>
    <n v="4.756875E-2"/>
    <n v="2.31E-3"/>
    <n v="4.1707555E-2"/>
  </r>
  <r>
    <x v="0"/>
    <x v="2"/>
    <x v="2"/>
    <x v="2"/>
    <x v="19"/>
    <n v="4.0566221770000004"/>
    <n v="4.0566221770000004"/>
    <n v="0.22176000000000001"/>
    <n v="3.5567845039999999"/>
  </r>
  <r>
    <x v="0"/>
    <x v="3"/>
    <x v="3"/>
    <x v="2"/>
    <x v="19"/>
    <n v="1.8941692999999999E-2"/>
    <n v="1.8941692999999999E-2"/>
    <n v="1.1199999999999999E-5"/>
    <n v="1.8941692999999999E-2"/>
  </r>
  <r>
    <x v="0"/>
    <x v="0"/>
    <x v="3"/>
    <x v="2"/>
    <x v="19"/>
    <n v="5.7519666999999997E-2"/>
    <n v="5.7519666999999997E-2"/>
    <n v="1.1005539999999999E-3"/>
    <n v="5.3355418000000002E-2"/>
  </r>
  <r>
    <x v="0"/>
    <x v="0"/>
    <x v="0"/>
    <x v="2"/>
    <x v="19"/>
    <n v="0.166277918"/>
    <n v="0.166277918"/>
    <n v="3.1367809999999999E-3"/>
    <n v="0.15423990300000001"/>
  </r>
  <r>
    <x v="0"/>
    <x v="2"/>
    <x v="3"/>
    <x v="2"/>
    <x v="19"/>
    <n v="0.100987313"/>
    <n v="0.100987313"/>
    <n v="3.5200000000000001E-3"/>
    <n v="8.8544136999999995E-2"/>
  </r>
  <r>
    <x v="0"/>
    <x v="1"/>
    <x v="3"/>
    <x v="2"/>
    <x v="19"/>
    <n v="53.241224099999997"/>
    <n v="53.241224099999997"/>
    <n v="15.74308639"/>
    <n v="50.587909709999998"/>
  </r>
  <r>
    <x v="0"/>
    <x v="2"/>
    <x v="1"/>
    <x v="2"/>
    <x v="19"/>
    <n v="2.1070159000000001E-2"/>
    <n v="2.1070159000000001E-2"/>
    <n v="4.0999999999999999E-4"/>
    <n v="1.8473994000000001E-2"/>
  </r>
  <r>
    <x v="0"/>
    <x v="1"/>
    <x v="2"/>
    <x v="2"/>
    <x v="19"/>
    <n v="3.9707274319999999"/>
    <n v="3.9707274319999999"/>
    <n v="0.64522993399999995"/>
    <n v="3.7728433969999999"/>
  </r>
  <r>
    <x v="0"/>
    <x v="1"/>
    <x v="1"/>
    <x v="2"/>
    <x v="19"/>
    <n v="233.06638799999999"/>
    <n v="233.06638799999999"/>
    <n v="51.775031650000003"/>
    <n v="221.45135830000001"/>
  </r>
  <r>
    <x v="0"/>
    <x v="0"/>
    <x v="2"/>
    <x v="2"/>
    <x v="19"/>
    <n v="4.8687946740000001"/>
    <n v="4.8687946740000001"/>
    <n v="0.11083652400000001"/>
    <n v="4.5163087769999999"/>
  </r>
  <r>
    <x v="0"/>
    <x v="3"/>
    <x v="0"/>
    <x v="2"/>
    <x v="19"/>
    <n v="8.3880827000000005E-2"/>
    <n v="8.3880827000000005E-2"/>
    <n v="4.7067000000000002E-5"/>
    <n v="8.3880827000000005E-2"/>
  </r>
  <r>
    <x v="0"/>
    <x v="2"/>
    <x v="2"/>
    <x v="7"/>
    <x v="20"/>
    <n v="0.79119345799999996"/>
    <n v="0.79119345799999996"/>
    <n v="2.639E-2"/>
    <n v="0.69875843299999996"/>
  </r>
  <r>
    <x v="0"/>
    <x v="2"/>
    <x v="0"/>
    <x v="7"/>
    <x v="20"/>
    <n v="2.1694610000000001E-3"/>
    <n v="2.1694610000000001E-3"/>
    <n v="6.9999999999999994E-5"/>
    <n v="1.9160030000000001E-3"/>
  </r>
  <r>
    <x v="0"/>
    <x v="2"/>
    <x v="1"/>
    <x v="7"/>
    <x v="20"/>
    <n v="1.502609E-3"/>
    <n v="1.502609E-3"/>
    <n v="6.9999999999999994E-5"/>
    <n v="1.327059E-3"/>
  </r>
  <r>
    <x v="0"/>
    <x v="3"/>
    <x v="3"/>
    <x v="7"/>
    <x v="20"/>
    <n v="0.79636616000000005"/>
    <n v="0.79636616000000005"/>
    <n v="4.6756599999999999E-4"/>
    <n v="0.79636616000000005"/>
  </r>
  <r>
    <x v="0"/>
    <x v="3"/>
    <x v="0"/>
    <x v="7"/>
    <x v="20"/>
    <n v="4.5041082660000002"/>
    <n v="4.5041082660000002"/>
    <n v="2.664015E-3"/>
    <n v="4.5041082660000002"/>
  </r>
  <r>
    <x v="0"/>
    <x v="0"/>
    <x v="3"/>
    <x v="7"/>
    <x v="20"/>
    <n v="0.161401341"/>
    <n v="0.161401341"/>
    <n v="2.6316920000000001E-3"/>
    <n v="0.152314228"/>
  </r>
  <r>
    <x v="0"/>
    <x v="0"/>
    <x v="2"/>
    <x v="7"/>
    <x v="20"/>
    <n v="5.824462392"/>
    <n v="5.824462392"/>
    <n v="0.13831334100000001"/>
    <n v="5.4965372989999999"/>
  </r>
  <r>
    <x v="0"/>
    <x v="1"/>
    <x v="3"/>
    <x v="7"/>
    <x v="20"/>
    <n v="70.690433290000001"/>
    <n v="70.690433290000001"/>
    <n v="13.633925100000001"/>
    <n v="65.479815919999993"/>
  </r>
  <r>
    <x v="0"/>
    <x v="1"/>
    <x v="0"/>
    <x v="7"/>
    <x v="20"/>
    <n v="3.6792560129999998"/>
    <n v="3.6792560129999998"/>
    <n v="0.58687433700000002"/>
    <n v="3.4080567230000001"/>
  </r>
  <r>
    <x v="0"/>
    <x v="1"/>
    <x v="2"/>
    <x v="7"/>
    <x v="20"/>
    <n v="5.3214995549999999"/>
    <n v="5.3214995549999999"/>
    <n v="0.65054312599999997"/>
    <n v="4.9292499010000004"/>
  </r>
  <r>
    <x v="0"/>
    <x v="1"/>
    <x v="1"/>
    <x v="7"/>
    <x v="20"/>
    <n v="175.95541489999999"/>
    <n v="175.95541489999999"/>
    <n v="32.917748690000003"/>
    <n v="162.9856777"/>
  </r>
  <r>
    <x v="0"/>
    <x v="0"/>
    <x v="0"/>
    <x v="7"/>
    <x v="20"/>
    <n v="0.18419802199999999"/>
    <n v="0.18419802199999999"/>
    <n v="3.3606650000000001E-3"/>
    <n v="0.17382742500000001"/>
  </r>
  <r>
    <x v="0"/>
    <x v="2"/>
    <x v="3"/>
    <x v="7"/>
    <x v="20"/>
    <n v="9.9813699999999998E-3"/>
    <n v="9.9813699999999998E-3"/>
    <n v="4.6999999999999999E-4"/>
    <n v="8.8152479999999995E-3"/>
  </r>
  <r>
    <x v="0"/>
    <x v="1"/>
    <x v="2"/>
    <x v="2"/>
    <x v="21"/>
    <n v="14.995294380000001"/>
    <n v="14.995294380000001"/>
    <n v="1.43096318"/>
    <n v="13.89482011"/>
  </r>
  <r>
    <x v="0"/>
    <x v="2"/>
    <x v="1"/>
    <x v="2"/>
    <x v="21"/>
    <n v="6.3585899999999999E-3"/>
    <n v="6.3585899999999999E-3"/>
    <n v="2.4885E-4"/>
    <n v="5.7252500000000003E-3"/>
  </r>
  <r>
    <x v="0"/>
    <x v="3"/>
    <x v="3"/>
    <x v="2"/>
    <x v="21"/>
    <n v="8.8564223589999997"/>
    <n v="8.8564223589999997"/>
    <n v="5.2897789999999997E-3"/>
    <n v="8.8564223589999997"/>
  </r>
  <r>
    <x v="0"/>
    <x v="3"/>
    <x v="0"/>
    <x v="2"/>
    <x v="21"/>
    <n v="58.190041669999999"/>
    <n v="58.190041669999999"/>
    <n v="3.7125720000000001E-2"/>
    <n v="58.190041669999999"/>
  </r>
  <r>
    <x v="0"/>
    <x v="0"/>
    <x v="3"/>
    <x v="2"/>
    <x v="21"/>
    <n v="1.3955582929999999"/>
    <n v="1.3955582929999999"/>
    <n v="2.2620657999999998E-2"/>
    <n v="1.261663346"/>
  </r>
  <r>
    <x v="0"/>
    <x v="0"/>
    <x v="0"/>
    <x v="2"/>
    <x v="21"/>
    <n v="2.2190436070000001"/>
    <n v="2.2190436070000001"/>
    <n v="3.9645966999999997E-2"/>
    <n v="2.0061404789999999"/>
  </r>
  <r>
    <x v="0"/>
    <x v="0"/>
    <x v="2"/>
    <x v="2"/>
    <x v="21"/>
    <n v="43.945659489999997"/>
    <n v="43.945659489999997"/>
    <n v="0.87859843599999998"/>
    <n v="39.729352830000003"/>
  </r>
  <r>
    <x v="0"/>
    <x v="1"/>
    <x v="0"/>
    <x v="2"/>
    <x v="21"/>
    <n v="9.8151880570000003"/>
    <n v="9.8151880570000003"/>
    <n v="1.8942283150000001"/>
    <n v="9.0948712920000006"/>
  </r>
  <r>
    <x v="0"/>
    <x v="2"/>
    <x v="3"/>
    <x v="2"/>
    <x v="21"/>
    <n v="3.3477508000000003E-2"/>
    <n v="3.3477508000000003E-2"/>
    <n v="1.224342E-3"/>
    <n v="3.014302E-2"/>
  </r>
  <r>
    <x v="0"/>
    <x v="1"/>
    <x v="3"/>
    <x v="2"/>
    <x v="21"/>
    <n v="107.0442979"/>
    <n v="107.0442979"/>
    <n v="25.466513840000001"/>
    <n v="99.188533759999999"/>
  </r>
  <r>
    <x v="0"/>
    <x v="1"/>
    <x v="1"/>
    <x v="2"/>
    <x v="21"/>
    <n v="334.18719160000001"/>
    <n v="334.18719160000001"/>
    <n v="76.814984129999999"/>
    <n v="309.66187070000001"/>
  </r>
  <r>
    <x v="0"/>
    <x v="2"/>
    <x v="0"/>
    <x v="2"/>
    <x v="21"/>
    <n v="3.9804608680000002"/>
    <n v="3.9804608680000002"/>
    <n v="9.6155640000000001E-3"/>
    <n v="3.5839916719999998"/>
  </r>
  <r>
    <x v="0"/>
    <x v="2"/>
    <x v="2"/>
    <x v="2"/>
    <x v="21"/>
    <n v="20.773517439999999"/>
    <n v="20.773517439999999"/>
    <n v="0.16609244400000001"/>
    <n v="18.704395290000001"/>
  </r>
  <r>
    <x v="0"/>
    <x v="2"/>
    <x v="1"/>
    <x v="8"/>
    <x v="22"/>
    <n v="0.154932715"/>
    <n v="0.154932715"/>
    <n v="4.8700000000000002E-3"/>
    <n v="0.149154337"/>
  </r>
  <r>
    <x v="0"/>
    <x v="3"/>
    <x v="3"/>
    <x v="8"/>
    <x v="22"/>
    <n v="52.801228299999998"/>
    <n v="52.801228299999998"/>
    <n v="3.2525546000000002E-2"/>
    <n v="51.459558610000002"/>
  </r>
  <r>
    <x v="0"/>
    <x v="3"/>
    <x v="0"/>
    <x v="8"/>
    <x v="22"/>
    <n v="845.01965749999999"/>
    <n v="845.01965749999999"/>
    <n v="0.43047445400000001"/>
    <n v="823.54786030000002"/>
  </r>
  <r>
    <x v="0"/>
    <x v="0"/>
    <x v="3"/>
    <x v="8"/>
    <x v="22"/>
    <n v="14.19105412"/>
    <n v="14.19105412"/>
    <n v="0.34335971300000001"/>
    <n v="12.955214379999999"/>
  </r>
  <r>
    <x v="0"/>
    <x v="0"/>
    <x v="0"/>
    <x v="8"/>
    <x v="22"/>
    <n v="20.48708517"/>
    <n v="20.48708517"/>
    <n v="0.40189188399999998"/>
    <n v="18.702950340000001"/>
  </r>
  <r>
    <x v="0"/>
    <x v="0"/>
    <x v="2"/>
    <x v="8"/>
    <x v="22"/>
    <n v="357.77446309999999"/>
    <n v="357.77446309999999"/>
    <n v="9.7577484030000008"/>
    <n v="326.61737670000002"/>
  </r>
  <r>
    <x v="0"/>
    <x v="1"/>
    <x v="1"/>
    <x v="8"/>
    <x v="22"/>
    <n v="2147.545556"/>
    <n v="2147.545556"/>
    <n v="391.59506010000001"/>
    <n v="1948.4947219999999"/>
  </r>
  <r>
    <x v="0"/>
    <x v="1"/>
    <x v="2"/>
    <x v="8"/>
    <x v="22"/>
    <n v="96.489721270000004"/>
    <n v="96.489721270000004"/>
    <n v="6.9019499910000004"/>
    <n v="87.546320980000004"/>
  </r>
  <r>
    <x v="0"/>
    <x v="1"/>
    <x v="0"/>
    <x v="8"/>
    <x v="22"/>
    <n v="52.140408389999997"/>
    <n v="52.140408389999997"/>
    <n v="0.59222399999999997"/>
    <n v="47.307639289999997"/>
  </r>
  <r>
    <x v="0"/>
    <x v="2"/>
    <x v="0"/>
    <x v="8"/>
    <x v="22"/>
    <n v="56.809590759999999"/>
    <n v="56.809590759999999"/>
    <n v="6.6000000000000003E-2"/>
    <n v="54.690817510000002"/>
  </r>
  <r>
    <x v="0"/>
    <x v="2"/>
    <x v="3"/>
    <x v="8"/>
    <x v="22"/>
    <n v="0.414552845"/>
    <n v="0.414552845"/>
    <n v="1.345E-2"/>
    <n v="0.39909166200000001"/>
  </r>
  <r>
    <x v="0"/>
    <x v="1"/>
    <x v="3"/>
    <x v="8"/>
    <x v="22"/>
    <n v="759.13238269999999"/>
    <n v="759.13238269999999"/>
    <n v="123.0707659"/>
    <n v="688.77022720000002"/>
  </r>
  <r>
    <x v="0"/>
    <x v="2"/>
    <x v="2"/>
    <x v="8"/>
    <x v="22"/>
    <n v="139.02347030000001"/>
    <n v="139.02347030000001"/>
    <n v="2.2796799999999999"/>
    <n v="133.83844429999999"/>
  </r>
  <r>
    <x v="0"/>
    <x v="1"/>
    <x v="1"/>
    <x v="6"/>
    <x v="23"/>
    <n v="124.9991771"/>
    <n v="124.9991771"/>
    <n v="25.477519999999998"/>
    <n v="110.5020009"/>
  </r>
  <r>
    <x v="0"/>
    <x v="1"/>
    <x v="2"/>
    <x v="6"/>
    <x v="23"/>
    <n v="7.531669226"/>
    <n v="7.531669226"/>
    <n v="0.25469999999999998"/>
    <n v="6.6581599880000004"/>
  </r>
  <r>
    <x v="0"/>
    <x v="1"/>
    <x v="3"/>
    <x v="6"/>
    <x v="23"/>
    <n v="32.596515670000002"/>
    <n v="32.596515670000002"/>
    <n v="8.3387799999999999"/>
    <n v="28.816031330000001"/>
  </r>
  <r>
    <x v="0"/>
    <x v="0"/>
    <x v="2"/>
    <x v="6"/>
    <x v="23"/>
    <n v="30.160959460000001"/>
    <n v="30.160959460000001"/>
    <n v="0.39951799999999998"/>
    <n v="24.992918110000002"/>
  </r>
  <r>
    <x v="0"/>
    <x v="0"/>
    <x v="0"/>
    <x v="6"/>
    <x v="23"/>
    <n v="0.77118623399999997"/>
    <n v="0.77118623399999997"/>
    <n v="4.8200000000000001E-4"/>
    <n v="0.63904447099999995"/>
  </r>
  <r>
    <x v="0"/>
    <x v="3"/>
    <x v="0"/>
    <x v="6"/>
    <x v="23"/>
    <n v="11.058634"/>
    <n v="11.058634"/>
    <n v="6.0000000000000001E-3"/>
    <n v="10.873852960000001"/>
  </r>
  <r>
    <x v="0"/>
    <x v="3"/>
    <x v="3"/>
    <x v="6"/>
    <x v="23"/>
    <n v="1.7965519999999999"/>
    <n v="1.7965519999999999"/>
    <n v="1E-3"/>
    <n v="1.766533036"/>
  </r>
  <r>
    <x v="0"/>
    <x v="2"/>
    <x v="2"/>
    <x v="6"/>
    <x v="23"/>
    <n v="5.277547652"/>
    <n v="5.277547652"/>
    <n v="8.5000000000000006E-2"/>
    <n v="4.8993238589999999"/>
  </r>
  <r>
    <x v="0"/>
    <x v="0"/>
    <x v="2"/>
    <x v="0"/>
    <x v="24"/>
    <n v="71.911410380000007"/>
    <n v="71.911410380000007"/>
    <n v="1.3261266469999999"/>
    <n v="68.412142650000007"/>
  </r>
  <r>
    <x v="0"/>
    <x v="2"/>
    <x v="3"/>
    <x v="0"/>
    <x v="24"/>
    <n v="1.3517006E-2"/>
    <n v="1.3517006E-2"/>
    <n v="1.020094E-3"/>
    <n v="1.3142901E-2"/>
  </r>
  <r>
    <x v="0"/>
    <x v="1"/>
    <x v="1"/>
    <x v="0"/>
    <x v="24"/>
    <n v="203.2663451"/>
    <n v="203.2663451"/>
    <n v="46.883794020000003"/>
    <n v="196.06046649999999"/>
  </r>
  <r>
    <x v="0"/>
    <x v="3"/>
    <x v="3"/>
    <x v="0"/>
    <x v="24"/>
    <n v="3.7607431419999999"/>
    <n v="3.7607431419999999"/>
    <n v="1.9766470000000002E-3"/>
    <n v="3.6726007250000001"/>
  </r>
  <r>
    <x v="0"/>
    <x v="2"/>
    <x v="1"/>
    <x v="0"/>
    <x v="24"/>
    <n v="0.30092179200000002"/>
    <n v="0.30092179200000002"/>
    <n v="4.1903740000000002E-3"/>
    <n v="0.29259330099999997"/>
  </r>
  <r>
    <x v="0"/>
    <x v="2"/>
    <x v="0"/>
    <x v="0"/>
    <x v="24"/>
    <n v="8.1177451000000005"/>
    <n v="8.1177451000000005"/>
    <n v="9.4000000000000004E-3"/>
    <n v="7.8930735399999996"/>
  </r>
  <r>
    <x v="0"/>
    <x v="3"/>
    <x v="0"/>
    <x v="0"/>
    <x v="24"/>
    <n v="52.994289670000001"/>
    <n v="52.994289670000001"/>
    <n v="2.9380301000000001E-2"/>
    <n v="51.752236009999997"/>
  </r>
  <r>
    <x v="0"/>
    <x v="1"/>
    <x v="0"/>
    <x v="0"/>
    <x v="24"/>
    <n v="2.6149454560000001"/>
    <n v="2.6149454560000001"/>
    <n v="0.12803149999999999"/>
    <n v="2.5222445250000001"/>
  </r>
  <r>
    <x v="0"/>
    <x v="0"/>
    <x v="3"/>
    <x v="0"/>
    <x v="24"/>
    <n v="0.440570925"/>
    <n v="0.440570925"/>
    <n v="7.2116009999999998E-3"/>
    <n v="0.419132385"/>
  </r>
  <r>
    <x v="0"/>
    <x v="0"/>
    <x v="0"/>
    <x v="0"/>
    <x v="24"/>
    <n v="3.4571410729999998"/>
    <n v="3.4571410729999998"/>
    <n v="4.1590070999999999E-2"/>
    <n v="3.2889137759999998"/>
  </r>
  <r>
    <x v="0"/>
    <x v="1"/>
    <x v="3"/>
    <x v="0"/>
    <x v="24"/>
    <n v="68.630721359999995"/>
    <n v="68.630721359999995"/>
    <n v="15.31291178"/>
    <n v="66.197733040000003"/>
  </r>
  <r>
    <x v="0"/>
    <x v="1"/>
    <x v="2"/>
    <x v="0"/>
    <x v="24"/>
    <n v="16.253459599999999"/>
    <n v="16.253459599999999"/>
    <n v="1.41391274"/>
    <n v="15.67726753"/>
  </r>
  <r>
    <x v="0"/>
    <x v="2"/>
    <x v="2"/>
    <x v="0"/>
    <x v="24"/>
    <n v="20.33840446"/>
    <n v="20.33840446"/>
    <n v="0.147247989"/>
    <n v="19.775506629999999"/>
  </r>
  <r>
    <x v="0"/>
    <x v="1"/>
    <x v="1"/>
    <x v="2"/>
    <x v="25"/>
    <n v="426.19790460000002"/>
    <n v="426.19790460000002"/>
    <n v="89.066300650000002"/>
    <n v="397.14873829999999"/>
  </r>
  <r>
    <x v="0"/>
    <x v="0"/>
    <x v="3"/>
    <x v="2"/>
    <x v="25"/>
    <n v="0.87196948699999999"/>
    <n v="0.87196948699999999"/>
    <n v="1.2913948999999999E-2"/>
    <n v="0.80415464800000003"/>
  </r>
  <r>
    <x v="0"/>
    <x v="0"/>
    <x v="0"/>
    <x v="2"/>
    <x v="25"/>
    <n v="2.566096581"/>
    <n v="2.566096581"/>
    <n v="1.6275446999999998E-2"/>
    <n v="2.3665260360000002"/>
  </r>
  <r>
    <x v="0"/>
    <x v="1"/>
    <x v="2"/>
    <x v="2"/>
    <x v="25"/>
    <n v="11.40323551"/>
    <n v="11.40323551"/>
    <n v="1.204613288"/>
    <n v="10.626003900000001"/>
  </r>
  <r>
    <x v="0"/>
    <x v="1"/>
    <x v="0"/>
    <x v="2"/>
    <x v="25"/>
    <n v="5.8712367429999999"/>
    <n v="5.8712367429999999"/>
    <n v="0.96226641099999999"/>
    <n v="5.4710598990000001"/>
  </r>
  <r>
    <x v="0"/>
    <x v="1"/>
    <x v="3"/>
    <x v="2"/>
    <x v="25"/>
    <n v="114.3956354"/>
    <n v="114.3956354"/>
    <n v="25.898969820000001"/>
    <n v="106.5985585"/>
  </r>
  <r>
    <x v="0"/>
    <x v="3"/>
    <x v="3"/>
    <x v="2"/>
    <x v="25"/>
    <n v="1.4224031669999999"/>
    <n v="1.4224031669999999"/>
    <n v="8.6818599999999996E-4"/>
    <n v="1.4224031669999999"/>
  </r>
  <r>
    <x v="0"/>
    <x v="2"/>
    <x v="1"/>
    <x v="2"/>
    <x v="25"/>
    <n v="1.7975166000000001E-2"/>
    <n v="1.7975166000000001E-2"/>
    <n v="1.7000000000000001E-4"/>
    <n v="1.5667463999999999E-2"/>
  </r>
  <r>
    <x v="0"/>
    <x v="2"/>
    <x v="2"/>
    <x v="2"/>
    <x v="25"/>
    <n v="6.7112074750000001"/>
    <n v="6.7112074750000001"/>
    <n v="5.2720000000000003E-2"/>
    <n v="5.8496037660000004"/>
  </r>
  <r>
    <x v="0"/>
    <x v="2"/>
    <x v="0"/>
    <x v="2"/>
    <x v="25"/>
    <n v="4.8227998760000004"/>
    <n v="4.8227998760000004"/>
    <n v="1.3390000000000001E-2"/>
    <n v="4.2036352509999997"/>
  </r>
  <r>
    <x v="0"/>
    <x v="2"/>
    <x v="3"/>
    <x v="2"/>
    <x v="25"/>
    <n v="8.0566998000000001E-2"/>
    <n v="8.0566998000000001E-2"/>
    <n v="7.2000000000000005E-4"/>
    <n v="7.0223579999999994E-2"/>
  </r>
  <r>
    <x v="0"/>
    <x v="0"/>
    <x v="2"/>
    <x v="2"/>
    <x v="25"/>
    <n v="21.125843060000001"/>
    <n v="21.125843060000001"/>
    <n v="0.36160530400000002"/>
    <n v="19.482843320000001"/>
  </r>
  <r>
    <x v="0"/>
    <x v="3"/>
    <x v="0"/>
    <x v="2"/>
    <x v="25"/>
    <n v="22.27346155"/>
    <n v="22.27346155"/>
    <n v="1.5994999999999999E-2"/>
    <n v="22.27346155"/>
  </r>
  <r>
    <x v="0"/>
    <x v="3"/>
    <x v="0"/>
    <x v="1"/>
    <x v="26"/>
    <n v="2.405516"/>
    <n v="2.405516"/>
    <n v="1E-3"/>
    <n v="2.405516"/>
  </r>
  <r>
    <x v="0"/>
    <x v="1"/>
    <x v="2"/>
    <x v="1"/>
    <x v="26"/>
    <n v="2.3926671599999998"/>
    <n v="2.3926671599999998"/>
    <n v="0.212615"/>
    <n v="2.0882840840000001"/>
  </r>
  <r>
    <x v="0"/>
    <x v="1"/>
    <x v="1"/>
    <x v="1"/>
    <x v="26"/>
    <n v="53.267041159999998"/>
    <n v="53.267041159999998"/>
    <n v="10.257565"/>
    <n v="46.490676239999999"/>
  </r>
  <r>
    <x v="0"/>
    <x v="0"/>
    <x v="2"/>
    <x v="1"/>
    <x v="26"/>
    <n v="5.6982931309999998"/>
    <n v="5.6982931309999998"/>
    <n v="0.107"/>
    <n v="5.0729880659999997"/>
  </r>
  <r>
    <x v="0"/>
    <x v="1"/>
    <x v="3"/>
    <x v="1"/>
    <x v="26"/>
    <n v="8.9441746309999992"/>
    <n v="8.9441746309999992"/>
    <n v="1.69682"/>
    <n v="7.806341744"/>
  </r>
  <r>
    <x v="0"/>
    <x v="0"/>
    <x v="3"/>
    <x v="1"/>
    <x v="26"/>
    <n v="7.6517000000000002E-2"/>
    <n v="7.6517000000000002E-2"/>
    <n v="2E-3"/>
    <n v="6.8120368000000001E-2"/>
  </r>
  <r>
    <x v="0"/>
    <x v="2"/>
    <x v="2"/>
    <x v="1"/>
    <x v="26"/>
    <n v="1.5618619090000001"/>
    <n v="1.5618619090000001"/>
    <n v="2.5999999999999999E-2"/>
    <n v="1.339296872"/>
  </r>
  <r>
    <x v="0"/>
    <x v="0"/>
    <x v="0"/>
    <x v="1"/>
    <x v="26"/>
    <n v="1.8953156309999999"/>
    <n v="1.8953156309999999"/>
    <n v="5.0000000000000001E-3"/>
    <n v="1.6873322159999999"/>
  </r>
  <r>
    <x v="0"/>
    <x v="1"/>
    <x v="0"/>
    <x v="2"/>
    <x v="27"/>
    <n v="1.4872978050000001"/>
    <n v="1.4872978050000001"/>
    <n v="0.26338032099999997"/>
    <n v="1.379581835"/>
  </r>
  <r>
    <x v="0"/>
    <x v="1"/>
    <x v="2"/>
    <x v="2"/>
    <x v="27"/>
    <n v="1.5913813560000001"/>
    <n v="1.5913813560000001"/>
    <n v="0.244797282"/>
    <n v="1.476127245"/>
  </r>
  <r>
    <x v="0"/>
    <x v="1"/>
    <x v="3"/>
    <x v="2"/>
    <x v="27"/>
    <n v="26.85649682"/>
    <n v="26.85649682"/>
    <n v="6.0877295089999999"/>
    <n v="24.91144345"/>
  </r>
  <r>
    <x v="0"/>
    <x v="0"/>
    <x v="0"/>
    <x v="2"/>
    <x v="27"/>
    <n v="0.247169109"/>
    <n v="0.247169109"/>
    <n v="4.7236719999999999E-3"/>
    <n v="0.22782369599999999"/>
  </r>
  <r>
    <x v="0"/>
    <x v="3"/>
    <x v="0"/>
    <x v="2"/>
    <x v="27"/>
    <n v="2.256517095"/>
    <n v="2.256517095"/>
    <n v="1.4256659999999999E-3"/>
    <n v="2.256517095"/>
  </r>
  <r>
    <x v="0"/>
    <x v="0"/>
    <x v="3"/>
    <x v="2"/>
    <x v="27"/>
    <n v="0.110058168"/>
    <n v="0.110058168"/>
    <n v="2.0967350000000002E-3"/>
    <n v="0.101444144"/>
  </r>
  <r>
    <x v="0"/>
    <x v="1"/>
    <x v="1"/>
    <x v="2"/>
    <x v="27"/>
    <n v="96.051662289999996"/>
    <n v="96.051662289999996"/>
    <n v="19.013267330000001"/>
    <n v="89.095222280000002"/>
  </r>
  <r>
    <x v="0"/>
    <x v="2"/>
    <x v="2"/>
    <x v="2"/>
    <x v="27"/>
    <n v="2.4611541770000001"/>
    <n v="2.4611541770000001"/>
    <n v="5.9130000000000002E-2"/>
    <n v="2.140134067"/>
  </r>
  <r>
    <x v="0"/>
    <x v="0"/>
    <x v="2"/>
    <x v="2"/>
    <x v="27"/>
    <n v="7.1453354850000004"/>
    <n v="7.1453354850000004"/>
    <n v="0.110947189"/>
    <n v="6.5860849090000002"/>
  </r>
  <r>
    <x v="0"/>
    <x v="2"/>
    <x v="0"/>
    <x v="2"/>
    <x v="27"/>
    <n v="1.5913316E-2"/>
    <n v="1.5913316E-2"/>
    <n v="4.8000000000000001E-4"/>
    <n v="1.3837666E-2"/>
  </r>
  <r>
    <x v="0"/>
    <x v="2"/>
    <x v="1"/>
    <x v="2"/>
    <x v="27"/>
    <n v="4.6305970000000002E-3"/>
    <n v="4.6305970000000002E-3"/>
    <n v="6.0000000000000002E-5"/>
    <n v="4.0266060000000003E-3"/>
  </r>
  <r>
    <x v="0"/>
    <x v="3"/>
    <x v="3"/>
    <x v="2"/>
    <x v="27"/>
    <n v="0.29586249100000001"/>
    <n v="0.29586249100000001"/>
    <n v="1.73492E-4"/>
    <n v="0.29586249100000001"/>
  </r>
  <r>
    <x v="0"/>
    <x v="2"/>
    <x v="3"/>
    <x v="2"/>
    <x v="27"/>
    <n v="2.6894932E-2"/>
    <n v="2.6894932E-2"/>
    <n v="3.3E-4"/>
    <n v="2.3386897E-2"/>
  </r>
  <r>
    <x v="0"/>
    <x v="1"/>
    <x v="2"/>
    <x v="5"/>
    <x v="28"/>
    <n v="5.1977595819999998"/>
    <n v="5.1977595819999998"/>
    <n v="0.78761092600000004"/>
    <n v="4.8550302509999996"/>
  </r>
  <r>
    <x v="0"/>
    <x v="1"/>
    <x v="0"/>
    <x v="5"/>
    <x v="28"/>
    <n v="3.4879082060000002"/>
    <n v="3.4879082060000002"/>
    <n v="0.86529468200000004"/>
    <n v="3.2579228769999999"/>
  </r>
  <r>
    <x v="0"/>
    <x v="2"/>
    <x v="0"/>
    <x v="5"/>
    <x v="28"/>
    <n v="4.5688935E-2"/>
    <n v="4.5688935E-2"/>
    <n v="1.2999999999999999E-3"/>
    <n v="4.0436255999999997E-2"/>
  </r>
  <r>
    <x v="0"/>
    <x v="0"/>
    <x v="0"/>
    <x v="5"/>
    <x v="28"/>
    <n v="1.0930561110000001"/>
    <n v="1.0930561110000001"/>
    <n v="1.9564695999999999E-2"/>
    <n v="1.017641327"/>
  </r>
  <r>
    <x v="0"/>
    <x v="1"/>
    <x v="1"/>
    <x v="5"/>
    <x v="28"/>
    <n v="175.65935429999999"/>
    <n v="175.65935429999999"/>
    <n v="44.689477959999998"/>
    <n v="164.07674600000001"/>
  </r>
  <r>
    <x v="0"/>
    <x v="2"/>
    <x v="3"/>
    <x v="5"/>
    <x v="28"/>
    <n v="9.3093861999999999E-2"/>
    <n v="9.3093861999999999E-2"/>
    <n v="2.1700000000000001E-3"/>
    <n v="8.2391223999999999E-2"/>
  </r>
  <r>
    <x v="0"/>
    <x v="0"/>
    <x v="3"/>
    <x v="5"/>
    <x v="28"/>
    <n v="0.869730483"/>
    <n v="0.869730483"/>
    <n v="1.3789968E-2"/>
    <n v="0.80972392299999996"/>
  </r>
  <r>
    <x v="0"/>
    <x v="0"/>
    <x v="2"/>
    <x v="5"/>
    <x v="28"/>
    <n v="22.764481799999999"/>
    <n v="22.764481799999999"/>
    <n v="0.45322483600000002"/>
    <n v="21.193859329999999"/>
  </r>
  <r>
    <x v="0"/>
    <x v="2"/>
    <x v="2"/>
    <x v="5"/>
    <x v="28"/>
    <n v="18.29013883"/>
    <n v="18.29013883"/>
    <n v="0.129805"/>
    <n v="16.187392989999999"/>
  </r>
  <r>
    <x v="0"/>
    <x v="2"/>
    <x v="1"/>
    <x v="5"/>
    <x v="28"/>
    <n v="3.2833618000000002E-2"/>
    <n v="3.2833618000000002E-2"/>
    <n v="7.2499999999999995E-4"/>
    <n v="2.9058865E-2"/>
  </r>
  <r>
    <x v="0"/>
    <x v="3"/>
    <x v="3"/>
    <x v="5"/>
    <x v="28"/>
    <n v="1.427347578"/>
    <n v="1.427347578"/>
    <n v="7.6317599999999996E-4"/>
    <n v="1.427347578"/>
  </r>
  <r>
    <x v="0"/>
    <x v="3"/>
    <x v="0"/>
    <x v="5"/>
    <x v="28"/>
    <n v="11.839303620000001"/>
    <n v="11.839303620000001"/>
    <n v="6.5015699999999999E-3"/>
    <n v="11.839303620000001"/>
  </r>
  <r>
    <x v="0"/>
    <x v="1"/>
    <x v="3"/>
    <x v="5"/>
    <x v="28"/>
    <n v="52.697806290000003"/>
    <n v="52.697806290000003"/>
    <n v="17.135070970000001"/>
    <n v="49.223023810000001"/>
  </r>
  <r>
    <x v="0"/>
    <x v="2"/>
    <x v="0"/>
    <x v="2"/>
    <x v="29"/>
    <n v="0.13855841899999999"/>
    <n v="0.13855841899999999"/>
    <n v="2.32E-3"/>
    <n v="0.122268577"/>
  </r>
  <r>
    <x v="0"/>
    <x v="2"/>
    <x v="2"/>
    <x v="2"/>
    <x v="29"/>
    <n v="1.680967332"/>
    <n v="1.680967332"/>
    <n v="3.6560000000000002E-2"/>
    <n v="1.4833417170000001"/>
  </r>
  <r>
    <x v="0"/>
    <x v="2"/>
    <x v="1"/>
    <x v="2"/>
    <x v="29"/>
    <n v="1.9727699999999999E-4"/>
    <n v="1.9727699999999999E-4"/>
    <n v="1.0000000000000001E-5"/>
    <n v="1.74084E-4"/>
  </r>
  <r>
    <x v="0"/>
    <x v="3"/>
    <x v="3"/>
    <x v="2"/>
    <x v="29"/>
    <n v="0.121169427"/>
    <n v="0.121169427"/>
    <n v="9.1576999999999994E-5"/>
    <n v="0.121169427"/>
  </r>
  <r>
    <x v="0"/>
    <x v="3"/>
    <x v="0"/>
    <x v="2"/>
    <x v="29"/>
    <n v="3.2131194920000001"/>
    <n v="3.2131194920000001"/>
    <n v="2.627683E-3"/>
    <n v="3.2131194920000001"/>
  </r>
  <r>
    <x v="0"/>
    <x v="0"/>
    <x v="3"/>
    <x v="2"/>
    <x v="29"/>
    <n v="8.3506830000000004E-2"/>
    <n v="8.3506830000000004E-2"/>
    <n v="1.5310949999999999E-3"/>
    <n v="7.8255638000000002E-2"/>
  </r>
  <r>
    <x v="0"/>
    <x v="0"/>
    <x v="0"/>
    <x v="2"/>
    <x v="29"/>
    <n v="0.15758375199999999"/>
    <n v="0.15758375199999999"/>
    <n v="2.9802539999999999E-3"/>
    <n v="0.14767435300000001"/>
  </r>
  <r>
    <x v="0"/>
    <x v="1"/>
    <x v="1"/>
    <x v="2"/>
    <x v="29"/>
    <n v="45.945764079999996"/>
    <n v="45.945764079999996"/>
    <n v="12.06735709"/>
    <n v="42.365604910000002"/>
  </r>
  <r>
    <x v="0"/>
    <x v="1"/>
    <x v="2"/>
    <x v="2"/>
    <x v="29"/>
    <n v="1.569540046"/>
    <n v="1.569540046"/>
    <n v="0.174496548"/>
    <n v="1.4472392569999999"/>
  </r>
  <r>
    <x v="0"/>
    <x v="2"/>
    <x v="3"/>
    <x v="2"/>
    <x v="29"/>
    <n v="2.1700449999999998E-3"/>
    <n v="2.1700449999999998E-3"/>
    <n v="1.1E-4"/>
    <n v="1.9149200000000001E-3"/>
  </r>
  <r>
    <x v="0"/>
    <x v="0"/>
    <x v="2"/>
    <x v="2"/>
    <x v="29"/>
    <n v="4.7447147699999999"/>
    <n v="4.7447147699999999"/>
    <n v="0.107571823"/>
    <n v="4.4463510670000002"/>
  </r>
  <r>
    <x v="0"/>
    <x v="1"/>
    <x v="3"/>
    <x v="2"/>
    <x v="29"/>
    <n v="11.839108169999999"/>
    <n v="11.839108169999999"/>
    <n v="3.3908229759999999"/>
    <n v="10.91658805"/>
  </r>
  <r>
    <x v="0"/>
    <x v="1"/>
    <x v="0"/>
    <x v="2"/>
    <x v="29"/>
    <n v="0.62710000700000001"/>
    <n v="0.62710000700000001"/>
    <n v="0.21016110099999999"/>
    <n v="0.57823548400000002"/>
  </r>
  <r>
    <x v="0"/>
    <x v="0"/>
    <x v="0"/>
    <x v="5"/>
    <x v="30"/>
    <n v="1.011402782"/>
    <n v="1.011402782"/>
    <n v="1.9782787E-2"/>
    <n v="0.94109590700000001"/>
  </r>
  <r>
    <x v="0"/>
    <x v="1"/>
    <x v="1"/>
    <x v="5"/>
    <x v="30"/>
    <n v="223.88172549999999"/>
    <n v="223.88172549999999"/>
    <n v="62.803024059999998"/>
    <n v="206.59485950000001"/>
  </r>
  <r>
    <x v="0"/>
    <x v="1"/>
    <x v="2"/>
    <x v="5"/>
    <x v="30"/>
    <n v="7.4685905349999997"/>
    <n v="7.4685905349999997"/>
    <n v="1.136805979"/>
    <n v="6.8919087010000002"/>
  </r>
  <r>
    <x v="0"/>
    <x v="1"/>
    <x v="0"/>
    <x v="5"/>
    <x v="30"/>
    <n v="4.1033542929999998"/>
    <n v="4.1033542929999998"/>
    <n v="1.08231743"/>
    <n v="3.7865167500000001"/>
  </r>
  <r>
    <x v="0"/>
    <x v="0"/>
    <x v="2"/>
    <x v="5"/>
    <x v="30"/>
    <n v="22.077767349999998"/>
    <n v="22.077767349999998"/>
    <n v="0.48433642500000001"/>
    <n v="20.543048590000001"/>
  </r>
  <r>
    <x v="0"/>
    <x v="0"/>
    <x v="3"/>
    <x v="5"/>
    <x v="30"/>
    <n v="0.55740339400000005"/>
    <n v="0.55740339400000005"/>
    <n v="1.050886E-2"/>
    <n v="0.51865593200000004"/>
  </r>
  <r>
    <x v="0"/>
    <x v="3"/>
    <x v="0"/>
    <x v="5"/>
    <x v="30"/>
    <n v="9.1035009720000009"/>
    <n v="9.1035009720000009"/>
    <n v="6.4832079999999999E-3"/>
    <n v="9.1035009720000009"/>
  </r>
  <r>
    <x v="0"/>
    <x v="3"/>
    <x v="3"/>
    <x v="5"/>
    <x v="30"/>
    <n v="0.597092607"/>
    <n v="0.597092607"/>
    <n v="3.6152599999999998E-4"/>
    <n v="0.597092607"/>
  </r>
  <r>
    <x v="0"/>
    <x v="2"/>
    <x v="1"/>
    <x v="5"/>
    <x v="30"/>
    <n v="8.7927260000000007E-3"/>
    <n v="8.7927260000000007E-3"/>
    <n v="2.8439999999999997E-4"/>
    <n v="7.827156E-3"/>
  </r>
  <r>
    <x v="0"/>
    <x v="2"/>
    <x v="2"/>
    <x v="5"/>
    <x v="30"/>
    <n v="14.430252279999999"/>
    <n v="14.430252279999999"/>
    <n v="9.2769699999999997E-2"/>
    <n v="12.845598259999999"/>
  </r>
  <r>
    <x v="0"/>
    <x v="2"/>
    <x v="0"/>
    <x v="5"/>
    <x v="30"/>
    <n v="3.6496159210000001"/>
    <n v="3.6496159210000001"/>
    <n v="8.6189000000000005E-3"/>
    <n v="3.2488343949999998"/>
  </r>
  <r>
    <x v="0"/>
    <x v="2"/>
    <x v="3"/>
    <x v="5"/>
    <x v="30"/>
    <n v="3.4642900999999997E-2"/>
    <n v="3.4642900999999997E-2"/>
    <n v="1.0269999999999999E-3"/>
    <n v="3.0838601E-2"/>
  </r>
  <r>
    <x v="0"/>
    <x v="1"/>
    <x v="3"/>
    <x v="5"/>
    <x v="30"/>
    <n v="75.360187969999998"/>
    <n v="75.360187969999998"/>
    <n v="30.035140899999998"/>
    <n v="69.541305379999997"/>
  </r>
  <r>
    <x v="0"/>
    <x v="2"/>
    <x v="3"/>
    <x v="6"/>
    <x v="31"/>
    <n v="2.6564391E-2"/>
    <n v="2.6564391E-2"/>
    <n v="5.9999999999999995E-4"/>
    <n v="2.1561857E-2"/>
  </r>
  <r>
    <x v="0"/>
    <x v="1"/>
    <x v="3"/>
    <x v="6"/>
    <x v="31"/>
    <n v="37.764279420000001"/>
    <n v="37.764279420000001"/>
    <n v="10.97591005"/>
    <n v="33.619426169999997"/>
  </r>
  <r>
    <x v="0"/>
    <x v="1"/>
    <x v="1"/>
    <x v="6"/>
    <x v="31"/>
    <n v="178.6712244"/>
    <n v="178.6712244"/>
    <n v="48.947648890000004"/>
    <n v="159.0609997"/>
  </r>
  <r>
    <x v="0"/>
    <x v="1"/>
    <x v="2"/>
    <x v="6"/>
    <x v="31"/>
    <n v="6.3822437680000004"/>
    <n v="6.3822437680000004"/>
    <n v="0.30429"/>
    <n v="5.6817547279999996"/>
  </r>
  <r>
    <x v="0"/>
    <x v="0"/>
    <x v="2"/>
    <x v="6"/>
    <x v="31"/>
    <n v="27.163126729999998"/>
    <n v="27.163126729999998"/>
    <n v="0.60599999999999998"/>
    <n v="22.382339099999999"/>
  </r>
  <r>
    <x v="0"/>
    <x v="3"/>
    <x v="0"/>
    <x v="6"/>
    <x v="31"/>
    <n v="12.272870729999999"/>
    <n v="12.272870729999999"/>
    <n v="6.4999999999999997E-3"/>
    <n v="10.52129515"/>
  </r>
  <r>
    <x v="0"/>
    <x v="2"/>
    <x v="2"/>
    <x v="6"/>
    <x v="31"/>
    <n v="6.2872101909999998"/>
    <n v="6.2872101909999998"/>
    <n v="9.4399999999999998E-2"/>
    <n v="5.1032199049999996"/>
  </r>
  <r>
    <x v="0"/>
    <x v="3"/>
    <x v="3"/>
    <x v="6"/>
    <x v="31"/>
    <n v="0.84085743499999999"/>
    <n v="0.84085743499999999"/>
    <n v="5.0000000000000001E-4"/>
    <n v="0.72085084700000002"/>
  </r>
  <r>
    <x v="0"/>
    <x v="1"/>
    <x v="3"/>
    <x v="9"/>
    <x v="32"/>
    <n v="20.010582450000001"/>
    <n v="20.010582450000001"/>
    <n v="7.984024797"/>
    <n v="18.46547975"/>
  </r>
  <r>
    <x v="0"/>
    <x v="2"/>
    <x v="3"/>
    <x v="9"/>
    <x v="32"/>
    <n v="9.1895669999999992E-3"/>
    <n v="9.1895669999999992E-3"/>
    <n v="2.7300000000000002E-4"/>
    <n v="8.1804170000000006E-3"/>
  </r>
  <r>
    <x v="0"/>
    <x v="2"/>
    <x v="0"/>
    <x v="9"/>
    <x v="32"/>
    <n v="0.96811719600000001"/>
    <n v="0.96811719600000001"/>
    <n v="2.2910999999999999E-3"/>
    <n v="0.86180368399999996"/>
  </r>
  <r>
    <x v="0"/>
    <x v="2"/>
    <x v="2"/>
    <x v="9"/>
    <x v="32"/>
    <n v="3.8379479239999998"/>
    <n v="3.8379479239999998"/>
    <n v="2.46603E-2"/>
    <n v="3.4164847730000001"/>
  </r>
  <r>
    <x v="0"/>
    <x v="3"/>
    <x v="0"/>
    <x v="9"/>
    <x v="32"/>
    <n v="2.4199179790000001"/>
    <n v="2.4199179790000001"/>
    <n v="1.7233839999999999E-3"/>
    <n v="2.4199179790000001"/>
  </r>
  <r>
    <x v="0"/>
    <x v="3"/>
    <x v="3"/>
    <x v="9"/>
    <x v="32"/>
    <n v="0.15872082000000001"/>
    <n v="0.15872082000000001"/>
    <n v="9.6101900000000002E-5"/>
    <n v="0.15872082000000001"/>
  </r>
  <r>
    <x v="0"/>
    <x v="0"/>
    <x v="3"/>
    <x v="9"/>
    <x v="32"/>
    <n v="0.14831973300000001"/>
    <n v="0.14831973300000001"/>
    <n v="2.7934940000000001E-3"/>
    <n v="0.138009403"/>
  </r>
  <r>
    <x v="0"/>
    <x v="0"/>
    <x v="0"/>
    <x v="9"/>
    <x v="32"/>
    <n v="0.26912464400000002"/>
    <n v="0.26912464400000002"/>
    <n v="5.2587149999999997E-3"/>
    <n v="0.25041665400000002"/>
  </r>
  <r>
    <x v="0"/>
    <x v="0"/>
    <x v="2"/>
    <x v="9"/>
    <x v="32"/>
    <n v="5.8683536480000003"/>
    <n v="5.8683536480000003"/>
    <n v="0.12874765799999999"/>
    <n v="5.4604196260000002"/>
  </r>
  <r>
    <x v="0"/>
    <x v="1"/>
    <x v="2"/>
    <x v="9"/>
    <x v="32"/>
    <n v="1.987421393"/>
    <n v="1.987421393"/>
    <n v="0.30218893099999999"/>
    <n v="1.8339640829999999"/>
  </r>
  <r>
    <x v="0"/>
    <x v="1"/>
    <x v="1"/>
    <x v="9"/>
    <x v="32"/>
    <n v="59.531482779999997"/>
    <n v="59.531482779999997"/>
    <n v="16.694474750000001"/>
    <n v="54.934802249999997"/>
  </r>
  <r>
    <x v="0"/>
    <x v="2"/>
    <x v="1"/>
    <x v="9"/>
    <x v="32"/>
    <n v="2.3324069999999999E-3"/>
    <n v="2.3324069999999999E-3"/>
    <n v="7.5599999999999994E-5"/>
    <n v="2.0762739999999999E-3"/>
  </r>
  <r>
    <x v="0"/>
    <x v="1"/>
    <x v="0"/>
    <x v="9"/>
    <x v="32"/>
    <n v="1.091918758"/>
    <n v="1.091918758"/>
    <n v="0.28770463299999999"/>
    <n v="1.007607038"/>
  </r>
  <r>
    <x v="0"/>
    <x v="0"/>
    <x v="3"/>
    <x v="0"/>
    <x v="33"/>
    <n v="0.36954707399999998"/>
    <n v="0.36954707399999998"/>
    <n v="5.9961759999999998E-3"/>
    <n v="0.35244318200000002"/>
  </r>
  <r>
    <x v="0"/>
    <x v="1"/>
    <x v="3"/>
    <x v="0"/>
    <x v="33"/>
    <n v="60.683860240000001"/>
    <n v="60.683860240000001"/>
    <n v="16.784879879999998"/>
    <n v="57.255160340000003"/>
  </r>
  <r>
    <x v="0"/>
    <x v="0"/>
    <x v="0"/>
    <x v="0"/>
    <x v="33"/>
    <n v="3.2611896200000001"/>
    <n v="3.2611896200000001"/>
    <n v="4.8854571999999999E-2"/>
    <n v="3.1102506989999998"/>
  </r>
  <r>
    <x v="0"/>
    <x v="3"/>
    <x v="0"/>
    <x v="0"/>
    <x v="33"/>
    <n v="22.875452559999999"/>
    <n v="22.875452559999999"/>
    <n v="1.2468379999999999E-2"/>
    <n v="21.746053700000001"/>
  </r>
  <r>
    <x v="0"/>
    <x v="3"/>
    <x v="3"/>
    <x v="0"/>
    <x v="33"/>
    <n v="1.569462253"/>
    <n v="1.569462253"/>
    <n v="7.6445300000000001E-4"/>
    <n v="1.491975311"/>
  </r>
  <r>
    <x v="0"/>
    <x v="2"/>
    <x v="2"/>
    <x v="0"/>
    <x v="33"/>
    <n v="9.6329426460000001"/>
    <n v="9.6329426460000001"/>
    <n v="0.17323184"/>
    <n v="9.2810791740000003"/>
  </r>
  <r>
    <x v="0"/>
    <x v="2"/>
    <x v="0"/>
    <x v="0"/>
    <x v="33"/>
    <n v="4.8401608969999996"/>
    <n v="4.8401608969999996"/>
    <n v="1.0999999999999999E-2"/>
    <n v="4.6633638499999996"/>
  </r>
  <r>
    <x v="0"/>
    <x v="1"/>
    <x v="0"/>
    <x v="0"/>
    <x v="33"/>
    <n v="0.37846180800000001"/>
    <n v="0.37846180800000001"/>
    <n v="0.10809149999999999"/>
    <n v="0.35707833"/>
  </r>
  <r>
    <x v="0"/>
    <x v="0"/>
    <x v="2"/>
    <x v="0"/>
    <x v="33"/>
    <n v="63.746938739999997"/>
    <n v="63.746938739999997"/>
    <n v="0.74265111500000003"/>
    <n v="60.796514119999998"/>
  </r>
  <r>
    <x v="0"/>
    <x v="1"/>
    <x v="2"/>
    <x v="0"/>
    <x v="33"/>
    <n v="5.2501571900000004"/>
    <n v="5.2501571900000004"/>
    <n v="1.261643887"/>
    <n v="4.9535179620000003"/>
  </r>
  <r>
    <x v="0"/>
    <x v="1"/>
    <x v="1"/>
    <x v="0"/>
    <x v="33"/>
    <n v="173.50767500000001"/>
    <n v="173.50767500000001"/>
    <n v="50.015863109999998"/>
    <n v="163.7043147"/>
  </r>
  <r>
    <x v="0"/>
    <x v="2"/>
    <x v="0"/>
    <x v="7"/>
    <x v="34"/>
    <n v="1.062781993"/>
    <n v="1.062781993"/>
    <n v="1.13096E-2"/>
    <n v="0.94283938899999997"/>
  </r>
  <r>
    <x v="0"/>
    <x v="2"/>
    <x v="2"/>
    <x v="7"/>
    <x v="34"/>
    <n v="21.442285210000001"/>
    <n v="21.442285210000001"/>
    <n v="0.2967631"/>
    <n v="19.022368849999999"/>
  </r>
  <r>
    <x v="0"/>
    <x v="2"/>
    <x v="1"/>
    <x v="7"/>
    <x v="34"/>
    <n v="3.3466471999999997E-2"/>
    <n v="3.3466471999999997E-2"/>
    <n v="1.0116999999999999E-3"/>
    <n v="2.968954E-2"/>
  </r>
  <r>
    <x v="0"/>
    <x v="3"/>
    <x v="3"/>
    <x v="7"/>
    <x v="34"/>
    <n v="0.71295703499999996"/>
    <n v="0.71295703499999996"/>
    <n v="4.7969700000000001E-4"/>
    <n v="0.71295703499999996"/>
  </r>
  <r>
    <x v="0"/>
    <x v="0"/>
    <x v="0"/>
    <x v="7"/>
    <x v="34"/>
    <n v="2.2739305879999998"/>
    <n v="2.2739305879999998"/>
    <n v="3.9705710999999998E-2"/>
    <n v="2.1134243069999998"/>
  </r>
  <r>
    <x v="0"/>
    <x v="0"/>
    <x v="2"/>
    <x v="7"/>
    <x v="34"/>
    <n v="46.98704644"/>
    <n v="46.98704644"/>
    <n v="0.86452875399999995"/>
    <n v="43.670447359999997"/>
  </r>
  <r>
    <x v="0"/>
    <x v="2"/>
    <x v="3"/>
    <x v="7"/>
    <x v="34"/>
    <n v="0.28712638099999999"/>
    <n v="0.28712638099999999"/>
    <n v="9.8355999999999999E-3"/>
    <n v="0.25472210000000001"/>
  </r>
  <r>
    <x v="0"/>
    <x v="0"/>
    <x v="3"/>
    <x v="7"/>
    <x v="34"/>
    <n v="1.7796235760000001"/>
    <n v="1.7796235760000001"/>
    <n v="2.7067085000000001E-2"/>
    <n v="1.654008149"/>
  </r>
  <r>
    <x v="0"/>
    <x v="3"/>
    <x v="0"/>
    <x v="7"/>
    <x v="34"/>
    <n v="8.2676737029999998"/>
    <n v="8.2676737029999998"/>
    <n v="6.525589E-3"/>
    <n v="8.2676737029999998"/>
  </r>
  <r>
    <x v="0"/>
    <x v="1"/>
    <x v="2"/>
    <x v="7"/>
    <x v="34"/>
    <n v="8.3867168969999994"/>
    <n v="8.3867168969999994"/>
    <n v="1.2294516719999999"/>
    <n v="7.7989823879999998"/>
  </r>
  <r>
    <x v="0"/>
    <x v="1"/>
    <x v="0"/>
    <x v="7"/>
    <x v="34"/>
    <n v="5.1075260910000004"/>
    <n v="5.1075260910000004"/>
    <n v="1.135379396"/>
    <n v="4.7495946880000002"/>
  </r>
  <r>
    <x v="0"/>
    <x v="1"/>
    <x v="3"/>
    <x v="7"/>
    <x v="34"/>
    <n v="90.208403050000001"/>
    <n v="90.208403050000001"/>
    <n v="23.016372220000001"/>
    <n v="83.886669280000007"/>
  </r>
  <r>
    <x v="0"/>
    <x v="1"/>
    <x v="1"/>
    <x v="7"/>
    <x v="34"/>
    <n v="317.53916650000002"/>
    <n v="317.53916650000002"/>
    <n v="74.113925760000001"/>
    <n v="295.286272"/>
  </r>
  <r>
    <x v="0"/>
    <x v="1"/>
    <x v="1"/>
    <x v="10"/>
    <x v="35"/>
    <n v="104.266592"/>
    <n v="104.266592"/>
    <n v="24.335915920000001"/>
    <n v="96.959671409999999"/>
  </r>
  <r>
    <x v="0"/>
    <x v="1"/>
    <x v="2"/>
    <x v="10"/>
    <x v="35"/>
    <n v="2.753847339"/>
    <n v="2.753847339"/>
    <n v="0.40370054900000002"/>
    <n v="2.5608598890000001"/>
  </r>
  <r>
    <x v="0"/>
    <x v="1"/>
    <x v="3"/>
    <x v="10"/>
    <x v="35"/>
    <n v="29.62066965"/>
    <n v="29.62066965"/>
    <n v="7.5576147579999997"/>
    <n v="27.544876479999999"/>
  </r>
  <r>
    <x v="0"/>
    <x v="2"/>
    <x v="3"/>
    <x v="10"/>
    <x v="35"/>
    <n v="9.4280303999999995E-2"/>
    <n v="9.4280303999999995E-2"/>
    <n v="3.2296E-3"/>
    <n v="8.3640091999999999E-2"/>
  </r>
  <r>
    <x v="0"/>
    <x v="1"/>
    <x v="0"/>
    <x v="10"/>
    <x v="35"/>
    <n v="1.6770981199999999"/>
    <n v="1.6770981199999999"/>
    <n v="0.37281114500000001"/>
    <n v="1.5595684059999999"/>
  </r>
  <r>
    <x v="0"/>
    <x v="0"/>
    <x v="0"/>
    <x v="10"/>
    <x v="35"/>
    <n v="0.74666377500000003"/>
    <n v="0.74666377500000003"/>
    <n v="1.3037696E-2"/>
    <n v="0.69396022000000002"/>
  </r>
  <r>
    <x v="0"/>
    <x v="0"/>
    <x v="3"/>
    <x v="10"/>
    <x v="35"/>
    <n v="0.58435400999999998"/>
    <n v="0.58435400999999998"/>
    <n v="8.8876990000000006E-3"/>
    <n v="0.54310715300000001"/>
  </r>
  <r>
    <x v="0"/>
    <x v="3"/>
    <x v="0"/>
    <x v="10"/>
    <x v="35"/>
    <n v="2.714758529"/>
    <n v="2.714758529"/>
    <n v="2.1427310000000001E-3"/>
    <n v="2.714758529"/>
  </r>
  <r>
    <x v="0"/>
    <x v="3"/>
    <x v="3"/>
    <x v="10"/>
    <x v="35"/>
    <n v="0.23410529499999999"/>
    <n v="0.23410529499999999"/>
    <n v="1.5751200000000001E-4"/>
    <n v="0.23410529499999999"/>
  </r>
  <r>
    <x v="0"/>
    <x v="2"/>
    <x v="1"/>
    <x v="10"/>
    <x v="35"/>
    <n v="1.0988991E-2"/>
    <n v="1.0988991E-2"/>
    <n v="3.322E-4"/>
    <n v="9.7488039999999998E-3"/>
  </r>
  <r>
    <x v="0"/>
    <x v="2"/>
    <x v="0"/>
    <x v="10"/>
    <x v="35"/>
    <n v="0.34897319199999999"/>
    <n v="0.34897319199999999"/>
    <n v="3.7136000000000001E-3"/>
    <n v="0.309589053"/>
  </r>
  <r>
    <x v="0"/>
    <x v="0"/>
    <x v="2"/>
    <x v="10"/>
    <x v="35"/>
    <n v="15.428582410000001"/>
    <n v="15.428582410000001"/>
    <n v="0.28387511399999998"/>
    <n v="14.33954988"/>
  </r>
  <r>
    <x v="0"/>
    <x v="2"/>
    <x v="2"/>
    <x v="10"/>
    <x v="35"/>
    <n v="7.0407503690000004"/>
    <n v="7.0407503690000004"/>
    <n v="9.7444600000000006E-2"/>
    <n v="6.2461509670000002"/>
  </r>
  <r>
    <x v="0"/>
    <x v="2"/>
    <x v="3"/>
    <x v="2"/>
    <x v="36"/>
    <n v="2.2036093E-2"/>
    <n v="2.2036093E-2"/>
    <n v="2.89704E-4"/>
    <n v="1.9974080000000002E-2"/>
  </r>
  <r>
    <x v="0"/>
    <x v="1"/>
    <x v="1"/>
    <x v="2"/>
    <x v="36"/>
    <n v="35.600268649999997"/>
    <n v="35.600268649999997"/>
    <n v="7.008794269"/>
    <n v="33.023618290000002"/>
  </r>
  <r>
    <x v="0"/>
    <x v="1"/>
    <x v="2"/>
    <x v="2"/>
    <x v="36"/>
    <n v="1.309329191"/>
    <n v="1.309329191"/>
    <n v="0.106860602"/>
    <n v="1.214563515"/>
  </r>
  <r>
    <x v="0"/>
    <x v="1"/>
    <x v="0"/>
    <x v="2"/>
    <x v="36"/>
    <n v="1.1564592380000001"/>
    <n v="1.1564592380000001"/>
    <n v="0.114926214"/>
    <n v="1.0727578719999999"/>
  </r>
  <r>
    <x v="0"/>
    <x v="1"/>
    <x v="3"/>
    <x v="2"/>
    <x v="36"/>
    <n v="10.545267150000001"/>
    <n v="10.545267150000001"/>
    <n v="2.1585526150000001"/>
    <n v="9.7820294699999994"/>
  </r>
  <r>
    <x v="0"/>
    <x v="0"/>
    <x v="0"/>
    <x v="2"/>
    <x v="36"/>
    <n v="0.24247201700000001"/>
    <n v="0.24247201700000001"/>
    <n v="3.6115280000000001E-3"/>
    <n v="0.22421722899999999"/>
  </r>
  <r>
    <x v="0"/>
    <x v="3"/>
    <x v="0"/>
    <x v="2"/>
    <x v="36"/>
    <n v="3.2264055549999999"/>
    <n v="3.2264055549999999"/>
    <n v="1.9115829999999999E-3"/>
    <n v="3.2252910720000001"/>
  </r>
  <r>
    <x v="0"/>
    <x v="3"/>
    <x v="3"/>
    <x v="2"/>
    <x v="36"/>
    <n v="0.447649676"/>
    <n v="0.447649676"/>
    <n v="2.5189500000000003E-4"/>
    <n v="0.44749504600000001"/>
  </r>
  <r>
    <x v="0"/>
    <x v="2"/>
    <x v="1"/>
    <x v="2"/>
    <x v="36"/>
    <n v="9.8859440000000007E-3"/>
    <n v="9.8859440000000007E-3"/>
    <n v="4.6802999999999999E-5"/>
    <n v="8.9608729999999994E-3"/>
  </r>
  <r>
    <x v="0"/>
    <x v="2"/>
    <x v="0"/>
    <x v="2"/>
    <x v="36"/>
    <n v="1.1129857190000001"/>
    <n v="1.1129857190000001"/>
    <n v="3.675733E-3"/>
    <n v="1.0088388180000001"/>
  </r>
  <r>
    <x v="0"/>
    <x v="0"/>
    <x v="3"/>
    <x v="2"/>
    <x v="36"/>
    <n v="0.15150427799999999"/>
    <n v="0.15150427799999999"/>
    <n v="3.1207959999999999E-3"/>
    <n v="0.140098102"/>
  </r>
  <r>
    <x v="0"/>
    <x v="2"/>
    <x v="2"/>
    <x v="2"/>
    <x v="36"/>
    <n v="4.7104805350000003"/>
    <n v="4.7104805350000003"/>
    <n v="2.724356E-2"/>
    <n v="4.2697004400000003"/>
  </r>
  <r>
    <x v="0"/>
    <x v="0"/>
    <x v="2"/>
    <x v="2"/>
    <x v="36"/>
    <n v="5.0125487849999999"/>
    <n v="5.0125487849999999"/>
    <n v="9.8034441E-2"/>
    <n v="4.6351732170000002"/>
  </r>
  <r>
    <x v="0"/>
    <x v="0"/>
    <x v="2"/>
    <x v="9"/>
    <x v="37"/>
    <n v="71.043258780000002"/>
    <n v="71.043258780000002"/>
    <n v="1.231083886"/>
    <n v="65.652559920000002"/>
  </r>
  <r>
    <x v="0"/>
    <x v="1"/>
    <x v="2"/>
    <x v="9"/>
    <x v="37"/>
    <n v="11.003847629999999"/>
    <n v="11.003847629999999"/>
    <n v="1.4415278199999999"/>
    <n v="10.297676750000001"/>
  </r>
  <r>
    <x v="0"/>
    <x v="1"/>
    <x v="1"/>
    <x v="9"/>
    <x v="37"/>
    <n v="530.18538560000002"/>
    <n v="530.18538560000002"/>
    <n v="117.323128"/>
    <n v="496.16078859999999"/>
  </r>
  <r>
    <x v="0"/>
    <x v="1"/>
    <x v="3"/>
    <x v="9"/>
    <x v="37"/>
    <n v="128.0447724"/>
    <n v="128.0447724"/>
    <n v="29.877798389999999"/>
    <n v="119.8275112"/>
  </r>
  <r>
    <x v="0"/>
    <x v="0"/>
    <x v="0"/>
    <x v="9"/>
    <x v="37"/>
    <n v="3.5675268280000001"/>
    <n v="3.5675268280000001"/>
    <n v="6.2943674000000005E-2"/>
    <n v="3.2968260869999999"/>
  </r>
  <r>
    <x v="0"/>
    <x v="0"/>
    <x v="3"/>
    <x v="9"/>
    <x v="37"/>
    <n v="4.7167868659999996"/>
    <n v="4.7167868659999996"/>
    <n v="0.15815612200000001"/>
    <n v="4.3588813030000004"/>
  </r>
  <r>
    <x v="0"/>
    <x v="3"/>
    <x v="0"/>
    <x v="9"/>
    <x v="37"/>
    <n v="12.059360249999999"/>
    <n v="12.059360249999999"/>
    <n v="7.6856440000000002E-3"/>
    <n v="12.059360249999999"/>
  </r>
  <r>
    <x v="0"/>
    <x v="3"/>
    <x v="3"/>
    <x v="9"/>
    <x v="37"/>
    <n v="1.187515517"/>
    <n v="1.187515517"/>
    <n v="6.7985599999999995E-4"/>
    <n v="1.187515517"/>
  </r>
  <r>
    <x v="0"/>
    <x v="2"/>
    <x v="1"/>
    <x v="9"/>
    <x v="37"/>
    <n v="0.15742431800000001"/>
    <n v="0.15742431800000001"/>
    <n v="3.6000000000000002E-4"/>
    <n v="0.139368626"/>
  </r>
  <r>
    <x v="0"/>
    <x v="2"/>
    <x v="2"/>
    <x v="9"/>
    <x v="37"/>
    <n v="20.41490391"/>
    <n v="20.41490391"/>
    <n v="0.12132999999999999"/>
    <n v="18.073428289999999"/>
  </r>
  <r>
    <x v="0"/>
    <x v="2"/>
    <x v="0"/>
    <x v="9"/>
    <x v="37"/>
    <n v="2.6573751E-2"/>
    <n v="2.6573751E-2"/>
    <n v="7.6999999999999996E-4"/>
    <n v="2.3525890000000001E-2"/>
  </r>
  <r>
    <x v="0"/>
    <x v="2"/>
    <x v="3"/>
    <x v="9"/>
    <x v="37"/>
    <n v="0.273240386"/>
    <n v="0.273240386"/>
    <n v="1.5399999999999999E-3"/>
    <n v="0.24190123799999999"/>
  </r>
  <r>
    <x v="0"/>
    <x v="1"/>
    <x v="0"/>
    <x v="9"/>
    <x v="37"/>
    <n v="8.2500786129999995"/>
    <n v="8.2500786129999995"/>
    <n v="2.587880121"/>
    <n v="7.7206305989999997"/>
  </r>
  <r>
    <x v="0"/>
    <x v="1"/>
    <x v="0"/>
    <x v="7"/>
    <x v="38"/>
    <n v="0.83854905999999996"/>
    <n v="0.83854905999999996"/>
    <n v="0.18640557299999999"/>
    <n v="0.77978420299999995"/>
  </r>
  <r>
    <x v="0"/>
    <x v="2"/>
    <x v="3"/>
    <x v="7"/>
    <x v="38"/>
    <n v="4.7140151999999998E-2"/>
    <n v="4.7140151999999998E-2"/>
    <n v="1.6148E-3"/>
    <n v="4.1820046E-2"/>
  </r>
  <r>
    <x v="0"/>
    <x v="2"/>
    <x v="0"/>
    <x v="7"/>
    <x v="38"/>
    <n v="0.17448659599999999"/>
    <n v="0.17448659599999999"/>
    <n v="1.8568E-3"/>
    <n v="0.15479452699999999"/>
  </r>
  <r>
    <x v="0"/>
    <x v="2"/>
    <x v="2"/>
    <x v="7"/>
    <x v="38"/>
    <n v="3.5203751849999998"/>
    <n v="3.5203751849999998"/>
    <n v="4.8722300000000003E-2"/>
    <n v="3.1230754840000001"/>
  </r>
  <r>
    <x v="0"/>
    <x v="2"/>
    <x v="1"/>
    <x v="7"/>
    <x v="38"/>
    <n v="5.4944950000000003E-3"/>
    <n v="5.4944950000000003E-3"/>
    <n v="1.661E-4"/>
    <n v="4.8744019999999999E-3"/>
  </r>
  <r>
    <x v="0"/>
    <x v="3"/>
    <x v="3"/>
    <x v="7"/>
    <x v="38"/>
    <n v="0.117052648"/>
    <n v="0.117052648"/>
    <n v="7.8756200000000003E-5"/>
    <n v="0.117052648"/>
  </r>
  <r>
    <x v="0"/>
    <x v="3"/>
    <x v="0"/>
    <x v="7"/>
    <x v="38"/>
    <n v="1.357379264"/>
    <n v="1.357379264"/>
    <n v="1.0713649999999999E-3"/>
    <n v="1.357379264"/>
  </r>
  <r>
    <x v="0"/>
    <x v="0"/>
    <x v="3"/>
    <x v="7"/>
    <x v="38"/>
    <n v="0.29217700499999999"/>
    <n v="0.29217700499999999"/>
    <n v="4.4438500000000001E-3"/>
    <n v="0.27155357699999999"/>
  </r>
  <r>
    <x v="0"/>
    <x v="0"/>
    <x v="0"/>
    <x v="7"/>
    <x v="38"/>
    <n v="0.373331888"/>
    <n v="0.373331888"/>
    <n v="6.5188479999999998E-3"/>
    <n v="0.34698011000000001"/>
  </r>
  <r>
    <x v="0"/>
    <x v="1"/>
    <x v="3"/>
    <x v="7"/>
    <x v="38"/>
    <n v="14.81033483"/>
    <n v="14.81033483"/>
    <n v="3.7788073789999999"/>
    <n v="13.77243824"/>
  </r>
  <r>
    <x v="0"/>
    <x v="1"/>
    <x v="2"/>
    <x v="7"/>
    <x v="38"/>
    <n v="1.37692367"/>
    <n v="1.37692367"/>
    <n v="0.201850275"/>
    <n v="1.2804299450000001"/>
  </r>
  <r>
    <x v="0"/>
    <x v="1"/>
    <x v="1"/>
    <x v="7"/>
    <x v="38"/>
    <n v="52.133295990000001"/>
    <n v="52.133295990000001"/>
    <n v="12.167957960000001"/>
    <n v="48.479835700000002"/>
  </r>
  <r>
    <x v="0"/>
    <x v="0"/>
    <x v="2"/>
    <x v="7"/>
    <x v="38"/>
    <n v="7.7142912060000004"/>
    <n v="7.7142912060000004"/>
    <n v="0.14193755699999999"/>
    <n v="7.1697749389999998"/>
  </r>
  <r>
    <x v="0"/>
    <x v="0"/>
    <x v="0"/>
    <x v="1"/>
    <x v="39"/>
    <n v="6.7243702000000001"/>
    <n v="6.7243702000000001"/>
    <n v="2.0505800000000001E-2"/>
    <n v="5.6776106420000003"/>
  </r>
  <r>
    <x v="0"/>
    <x v="1"/>
    <x v="1"/>
    <x v="1"/>
    <x v="39"/>
    <n v="218.78993059999999"/>
    <n v="218.78993059999999"/>
    <n v="40.942692000000001"/>
    <n v="190.85349640000001"/>
  </r>
  <r>
    <x v="0"/>
    <x v="1"/>
    <x v="2"/>
    <x v="1"/>
    <x v="39"/>
    <n v="15.0820536"/>
    <n v="15.0820536"/>
    <n v="1.3885000000000001"/>
    <n v="13.15628491"/>
  </r>
  <r>
    <x v="0"/>
    <x v="0"/>
    <x v="2"/>
    <x v="1"/>
    <x v="39"/>
    <n v="70.252848799999995"/>
    <n v="70.252848799999995"/>
    <n v="0.63149420000000001"/>
    <n v="59.3168297"/>
  </r>
  <r>
    <x v="0"/>
    <x v="3"/>
    <x v="0"/>
    <x v="1"/>
    <x v="39"/>
    <n v="3.5198904"/>
    <n v="3.5198904"/>
    <n v="2E-3"/>
    <n v="2.707608"/>
  </r>
  <r>
    <x v="0"/>
    <x v="2"/>
    <x v="1"/>
    <x v="1"/>
    <x v="39"/>
    <n v="0.66176571900000003"/>
    <n v="0.66176571900000003"/>
    <n v="1.1900000000000001E-2"/>
    <n v="0.60206906699999996"/>
  </r>
  <r>
    <x v="0"/>
    <x v="2"/>
    <x v="2"/>
    <x v="1"/>
    <x v="39"/>
    <n v="9.6039028959999992"/>
    <n v="9.6039028959999992"/>
    <n v="0.1701"/>
    <n v="8.7375527230000003"/>
  </r>
  <r>
    <x v="0"/>
    <x v="1"/>
    <x v="3"/>
    <x v="1"/>
    <x v="39"/>
    <n v="53.779858310000002"/>
    <n v="53.779858310000002"/>
    <n v="10.096807999999999"/>
    <n v="46.912917649999997"/>
  </r>
  <r>
    <x v="0"/>
    <x v="2"/>
    <x v="1"/>
    <x v="10"/>
    <x v="40"/>
    <n v="6.0817100000000002E-4"/>
    <n v="6.0817100000000002E-4"/>
    <n v="2.0000000000000002E-5"/>
    <n v="5.3378799999999999E-4"/>
  </r>
  <r>
    <x v="0"/>
    <x v="2"/>
    <x v="3"/>
    <x v="10"/>
    <x v="40"/>
    <n v="3.649027E-3"/>
    <n v="3.649027E-3"/>
    <n v="1.2E-4"/>
    <n v="3.2027280000000002E-3"/>
  </r>
  <r>
    <x v="0"/>
    <x v="2"/>
    <x v="2"/>
    <x v="10"/>
    <x v="40"/>
    <n v="4.1518242499999998"/>
    <n v="4.1518242499999998"/>
    <n v="3.1620000000000002E-2"/>
    <n v="3.6440301490000002"/>
  </r>
  <r>
    <x v="0"/>
    <x v="2"/>
    <x v="0"/>
    <x v="10"/>
    <x v="40"/>
    <n v="0.40130502400000001"/>
    <n v="0.40130502400000001"/>
    <n v="1.24E-3"/>
    <n v="0.35222290699999997"/>
  </r>
  <r>
    <x v="0"/>
    <x v="0"/>
    <x v="2"/>
    <x v="10"/>
    <x v="40"/>
    <n v="13.86671608"/>
    <n v="13.86671608"/>
    <n v="0.28520813"/>
    <n v="12.95517338"/>
  </r>
  <r>
    <x v="0"/>
    <x v="3"/>
    <x v="3"/>
    <x v="10"/>
    <x v="40"/>
    <n v="4.5088314059999997"/>
    <n v="4.5088314059999997"/>
    <n v="2.4503839999999999E-3"/>
    <n v="4.5088314059999997"/>
  </r>
  <r>
    <x v="0"/>
    <x v="3"/>
    <x v="0"/>
    <x v="10"/>
    <x v="40"/>
    <n v="37.523322989999997"/>
    <n v="37.523322989999997"/>
    <n v="2.1085178E-2"/>
    <n v="37.523322989999997"/>
  </r>
  <r>
    <x v="0"/>
    <x v="1"/>
    <x v="0"/>
    <x v="10"/>
    <x v="40"/>
    <n v="2.0331498689999998"/>
    <n v="2.0331498689999998"/>
    <n v="0.46438669799999999"/>
    <n v="1.898549601"/>
  </r>
  <r>
    <x v="0"/>
    <x v="1"/>
    <x v="3"/>
    <x v="10"/>
    <x v="40"/>
    <n v="38.720339060000001"/>
    <n v="38.720339060000001"/>
    <n v="11.049584339999999"/>
    <n v="36.156943179999999"/>
  </r>
  <r>
    <x v="0"/>
    <x v="1"/>
    <x v="2"/>
    <x v="10"/>
    <x v="40"/>
    <n v="5.3256792480000001"/>
    <n v="5.3256792480000001"/>
    <n v="0.57321245600000004"/>
    <n v="4.9731042289999996"/>
  </r>
  <r>
    <x v="0"/>
    <x v="0"/>
    <x v="0"/>
    <x v="10"/>
    <x v="40"/>
    <n v="0.60823216899999999"/>
    <n v="0.60823216899999999"/>
    <n v="1.1163462000000001E-2"/>
    <n v="0.56824940800000001"/>
  </r>
  <r>
    <x v="0"/>
    <x v="0"/>
    <x v="3"/>
    <x v="10"/>
    <x v="40"/>
    <n v="0.46323355799999999"/>
    <n v="0.46323355799999999"/>
    <n v="7.667587E-3"/>
    <n v="0.432782428"/>
  </r>
  <r>
    <x v="0"/>
    <x v="1"/>
    <x v="1"/>
    <x v="10"/>
    <x v="40"/>
    <n v="144.04744030000001"/>
    <n v="144.04744030000001"/>
    <n v="33.418045630000002"/>
    <n v="134.51109260000001"/>
  </r>
  <r>
    <x v="0"/>
    <x v="2"/>
    <x v="2"/>
    <x v="1"/>
    <x v="41"/>
    <n v="112.8396484"/>
    <n v="112.8396484"/>
    <n v="1.56568"/>
    <n v="108.3667238"/>
  </r>
  <r>
    <x v="0"/>
    <x v="2"/>
    <x v="1"/>
    <x v="1"/>
    <x v="41"/>
    <n v="0.82140676700000004"/>
    <n v="0.82140676700000004"/>
    <n v="3.1449999999999999E-2"/>
    <n v="0.78884648700000004"/>
  </r>
  <r>
    <x v="0"/>
    <x v="2"/>
    <x v="3"/>
    <x v="1"/>
    <x v="41"/>
    <n v="0.49284405999999997"/>
    <n v="0.49284405999999997"/>
    <n v="1.8870000000000001E-2"/>
    <n v="0.47330789200000001"/>
  </r>
  <r>
    <x v="0"/>
    <x v="1"/>
    <x v="2"/>
    <x v="1"/>
    <x v="41"/>
    <n v="22.311231339999999"/>
    <n v="22.311231339999999"/>
    <n v="1.6511899999999999"/>
    <n v="20.231523939999999"/>
  </r>
  <r>
    <x v="0"/>
    <x v="1"/>
    <x v="3"/>
    <x v="1"/>
    <x v="41"/>
    <n v="67.162637570000001"/>
    <n v="67.162637570000001"/>
    <n v="17.442226000000002"/>
    <n v="60.90217475"/>
  </r>
  <r>
    <x v="0"/>
    <x v="0"/>
    <x v="2"/>
    <x v="1"/>
    <x v="41"/>
    <n v="226.03700230000001"/>
    <n v="226.03700230000001"/>
    <n v="2.7069999999999999"/>
    <n v="190.34855970000001"/>
  </r>
  <r>
    <x v="0"/>
    <x v="0"/>
    <x v="0"/>
    <x v="1"/>
    <x v="41"/>
    <n v="5.4489752710000001"/>
    <n v="5.4489752710000001"/>
    <n v="5.0000000000000001E-3"/>
    <n v="4.5886495749999998"/>
  </r>
  <r>
    <x v="0"/>
    <x v="0"/>
    <x v="3"/>
    <x v="1"/>
    <x v="41"/>
    <n v="0.76658400000000004"/>
    <n v="0.76658400000000004"/>
    <n v="3.5000000000000003E-2"/>
    <n v="0.64554988300000005"/>
  </r>
  <r>
    <x v="0"/>
    <x v="3"/>
    <x v="0"/>
    <x v="1"/>
    <x v="41"/>
    <n v="51.462032999999998"/>
    <n v="51.462032999999998"/>
    <n v="0.03"/>
    <n v="51.462032999999998"/>
  </r>
  <r>
    <x v="0"/>
    <x v="1"/>
    <x v="1"/>
    <x v="1"/>
    <x v="41"/>
    <n v="401.27863530000002"/>
    <n v="401.27863530000002"/>
    <n v="97.843584000000007"/>
    <n v="363.87405940000002"/>
  </r>
  <r>
    <x v="0"/>
    <x v="0"/>
    <x v="2"/>
    <x v="2"/>
    <x v="42"/>
    <n v="33.219915139999998"/>
    <n v="33.219915139999998"/>
    <n v="0.64062730099999998"/>
    <n v="30.7447394"/>
  </r>
  <r>
    <x v="0"/>
    <x v="1"/>
    <x v="0"/>
    <x v="2"/>
    <x v="42"/>
    <n v="4.257339172"/>
    <n v="4.257339172"/>
    <n v="0.94687949699999996"/>
    <n v="3.9280848960000001"/>
  </r>
  <r>
    <x v="0"/>
    <x v="0"/>
    <x v="0"/>
    <x v="2"/>
    <x v="42"/>
    <n v="6.728384159"/>
    <n v="6.728384159"/>
    <n v="2.5290251999999999E-2"/>
    <n v="6.2270603839999996"/>
  </r>
  <r>
    <x v="0"/>
    <x v="0"/>
    <x v="3"/>
    <x v="2"/>
    <x v="42"/>
    <n v="0.29806208200000001"/>
    <n v="0.29806208200000001"/>
    <n v="5.9320609999999998E-3"/>
    <n v="0.27585383600000002"/>
  </r>
  <r>
    <x v="0"/>
    <x v="3"/>
    <x v="0"/>
    <x v="2"/>
    <x v="42"/>
    <n v="52.689111850000003"/>
    <n v="52.689111850000003"/>
    <n v="3.4381003E-2"/>
    <n v="52.689111850000003"/>
  </r>
  <r>
    <x v="0"/>
    <x v="3"/>
    <x v="3"/>
    <x v="2"/>
    <x v="42"/>
    <n v="5.326162257"/>
    <n v="5.326162257"/>
    <n v="3.0986989999999999E-3"/>
    <n v="5.326162257"/>
  </r>
  <r>
    <x v="0"/>
    <x v="2"/>
    <x v="1"/>
    <x v="2"/>
    <x v="42"/>
    <n v="5.5629837000000001E-2"/>
    <n v="5.5629837000000001E-2"/>
    <n v="2.5924599999999998E-4"/>
    <n v="4.9409043999999999E-2"/>
  </r>
  <r>
    <x v="0"/>
    <x v="2"/>
    <x v="2"/>
    <x v="2"/>
    <x v="42"/>
    <n v="15.757880549999999"/>
    <n v="15.757880549999999"/>
    <n v="0.18599903400000001"/>
    <n v="13.99575939"/>
  </r>
  <r>
    <x v="0"/>
    <x v="2"/>
    <x v="0"/>
    <x v="2"/>
    <x v="42"/>
    <n v="3.7329400999999998E-2"/>
    <n v="3.7329400999999998E-2"/>
    <n v="1.1865490000000001E-3"/>
    <n v="3.3155049999999998E-2"/>
  </r>
  <r>
    <x v="0"/>
    <x v="2"/>
    <x v="3"/>
    <x v="2"/>
    <x v="42"/>
    <n v="0.128918279"/>
    <n v="0.128918279"/>
    <n v="1.007071E-3"/>
    <n v="0.11450202399999999"/>
  </r>
  <r>
    <x v="0"/>
    <x v="1"/>
    <x v="3"/>
    <x v="2"/>
    <x v="42"/>
    <n v="73.950862139999998"/>
    <n v="73.950862139999998"/>
    <n v="16.16618527"/>
    <n v="68.231647249999995"/>
  </r>
  <r>
    <x v="0"/>
    <x v="1"/>
    <x v="1"/>
    <x v="2"/>
    <x v="42"/>
    <n v="273.47284079999997"/>
    <n v="273.47284079999997"/>
    <n v="62.131074650000002"/>
    <n v="252.3229867"/>
  </r>
  <r>
    <x v="0"/>
    <x v="1"/>
    <x v="2"/>
    <x v="2"/>
    <x v="42"/>
    <n v="13.07379809"/>
    <n v="13.07379809"/>
    <n v="0.97874112599999996"/>
    <n v="12.06269614"/>
  </r>
  <r>
    <x v="0"/>
    <x v="0"/>
    <x v="3"/>
    <x v="2"/>
    <x v="43"/>
    <n v="0.29856830299999998"/>
    <n v="0.29856830299999998"/>
    <n v="4.7570099999999999E-3"/>
    <n v="0.27656962400000001"/>
  </r>
  <r>
    <x v="0"/>
    <x v="2"/>
    <x v="3"/>
    <x v="2"/>
    <x v="43"/>
    <n v="1.8192972000000002E-2"/>
    <n v="1.8192972000000002E-2"/>
    <n v="5.1999999999999995E-4"/>
    <n v="1.6418143E-2"/>
  </r>
  <r>
    <x v="0"/>
    <x v="2"/>
    <x v="0"/>
    <x v="2"/>
    <x v="43"/>
    <n v="2.3725853790000002"/>
    <n v="2.3725853790000002"/>
    <n v="4.3600000000000002E-3"/>
    <n v="2.1411260099999998"/>
  </r>
  <r>
    <x v="0"/>
    <x v="2"/>
    <x v="2"/>
    <x v="2"/>
    <x v="43"/>
    <n v="6.9669442410000002"/>
    <n v="6.9669442410000002"/>
    <n v="6.9889999999999994E-2"/>
    <n v="6.2872787040000002"/>
  </r>
  <r>
    <x v="0"/>
    <x v="2"/>
    <x v="1"/>
    <x v="2"/>
    <x v="43"/>
    <n v="8.6445549999999999E-3"/>
    <n v="8.6445549999999999E-3"/>
    <n v="2.3000000000000001E-4"/>
    <n v="7.8012289999999998E-3"/>
  </r>
  <r>
    <x v="0"/>
    <x v="3"/>
    <x v="0"/>
    <x v="2"/>
    <x v="43"/>
    <n v="15.03804264"/>
    <n v="15.03804264"/>
    <n v="8.278634E-3"/>
    <n v="15.03804264"/>
  </r>
  <r>
    <x v="0"/>
    <x v="0"/>
    <x v="0"/>
    <x v="2"/>
    <x v="43"/>
    <n v="0.57197572500000005"/>
    <n v="0.57197572500000005"/>
    <n v="1.0164360000000001E-2"/>
    <n v="0.52983223400000001"/>
  </r>
  <r>
    <x v="0"/>
    <x v="0"/>
    <x v="2"/>
    <x v="2"/>
    <x v="43"/>
    <n v="15.51096467"/>
    <n v="15.51096467"/>
    <n v="0.39215975800000002"/>
    <n v="14.36810813"/>
  </r>
  <r>
    <x v="0"/>
    <x v="1"/>
    <x v="3"/>
    <x v="2"/>
    <x v="43"/>
    <n v="56.330053900000003"/>
    <n v="56.330053900000003"/>
    <n v="12.353061820000001"/>
    <n v="52.004317700000001"/>
  </r>
  <r>
    <x v="0"/>
    <x v="1"/>
    <x v="0"/>
    <x v="2"/>
    <x v="43"/>
    <n v="3.054678139"/>
    <n v="3.054678139"/>
    <n v="0.47294911499999998"/>
    <n v="2.8201011970000001"/>
  </r>
  <r>
    <x v="0"/>
    <x v="1"/>
    <x v="2"/>
    <x v="2"/>
    <x v="43"/>
    <n v="8.0882917049999996"/>
    <n v="8.0882917049999996"/>
    <n v="0.69915031599999999"/>
    <n v="7.4671700520000002"/>
  </r>
  <r>
    <x v="0"/>
    <x v="3"/>
    <x v="3"/>
    <x v="2"/>
    <x v="43"/>
    <n v="1.9060211869999999"/>
    <n v="1.9060211869999999"/>
    <n v="1.0350260000000001E-3"/>
    <n v="1.9060211869999999"/>
  </r>
  <r>
    <x v="0"/>
    <x v="1"/>
    <x v="1"/>
    <x v="2"/>
    <x v="43"/>
    <n v="213.80727429999999"/>
    <n v="213.80727429999999"/>
    <n v="43.046740919999998"/>
    <n v="197.38843919999999"/>
  </r>
  <r>
    <x v="0"/>
    <x v="2"/>
    <x v="2"/>
    <x v="2"/>
    <x v="44"/>
    <n v="7.5130100689999999"/>
    <n v="7.5130100689999999"/>
    <n v="0.13379754299999999"/>
    <n v="6.792899609"/>
  </r>
  <r>
    <x v="0"/>
    <x v="1"/>
    <x v="1"/>
    <x v="2"/>
    <x v="44"/>
    <n v="197.53296080000001"/>
    <n v="197.53296080000001"/>
    <n v="39.451324139999997"/>
    <n v="182.94212039999999"/>
  </r>
  <r>
    <x v="0"/>
    <x v="0"/>
    <x v="2"/>
    <x v="2"/>
    <x v="44"/>
    <n v="68.687812500000007"/>
    <n v="68.687812500000007"/>
    <n v="1.309412867"/>
    <n v="62.693181240000001"/>
  </r>
  <r>
    <x v="0"/>
    <x v="1"/>
    <x v="3"/>
    <x v="2"/>
    <x v="44"/>
    <n v="63.980654090000002"/>
    <n v="63.980654090000002"/>
    <n v="12.899078449999999"/>
    <n v="59.254700990000003"/>
  </r>
  <r>
    <x v="0"/>
    <x v="1"/>
    <x v="0"/>
    <x v="2"/>
    <x v="44"/>
    <n v="3.2331770190000002"/>
    <n v="3.2331770190000002"/>
    <n v="0.63715964599999997"/>
    <n v="2.9943572820000002"/>
  </r>
  <r>
    <x v="0"/>
    <x v="0"/>
    <x v="0"/>
    <x v="2"/>
    <x v="44"/>
    <n v="3.4730706869999999"/>
    <n v="3.4730706869999999"/>
    <n v="5.8195777999999997E-2"/>
    <n v="3.1699633760000001"/>
  </r>
  <r>
    <x v="0"/>
    <x v="2"/>
    <x v="0"/>
    <x v="2"/>
    <x v="44"/>
    <n v="2.0314455530000002"/>
    <n v="2.0314455530000002"/>
    <n v="5.4037620000000003E-3"/>
    <n v="1.836734621"/>
  </r>
  <r>
    <x v="0"/>
    <x v="0"/>
    <x v="3"/>
    <x v="2"/>
    <x v="44"/>
    <n v="3.4568862980000001"/>
    <n v="3.4568862980000001"/>
    <n v="5.1626538E-2"/>
    <n v="3.1551914569999999"/>
  </r>
  <r>
    <x v="0"/>
    <x v="3"/>
    <x v="0"/>
    <x v="2"/>
    <x v="44"/>
    <n v="23.574204900000002"/>
    <n v="23.574204900000002"/>
    <n v="1.2699461E-2"/>
    <n v="23.574204900000002"/>
  </r>
  <r>
    <x v="0"/>
    <x v="1"/>
    <x v="2"/>
    <x v="2"/>
    <x v="44"/>
    <n v="7.3077830119999998"/>
    <n v="7.3077830119999998"/>
    <n v="0.63799938499999997"/>
    <n v="6.7679910980000004"/>
  </r>
  <r>
    <x v="0"/>
    <x v="3"/>
    <x v="3"/>
    <x v="2"/>
    <x v="44"/>
    <n v="3.6580280780000001"/>
    <n v="3.6580280780000001"/>
    <n v="2.0375039999999999E-3"/>
    <n v="3.6580280780000001"/>
  </r>
  <r>
    <x v="0"/>
    <x v="2"/>
    <x v="1"/>
    <x v="2"/>
    <x v="44"/>
    <n v="1.4294167E-2"/>
    <n v="1.4294167E-2"/>
    <n v="2.7711599999999999E-4"/>
    <n v="1.2924092999999999E-2"/>
  </r>
  <r>
    <x v="0"/>
    <x v="2"/>
    <x v="3"/>
    <x v="2"/>
    <x v="44"/>
    <n v="5.0429345E-2"/>
    <n v="5.0429345E-2"/>
    <n v="1.058979E-3"/>
    <n v="4.5595770000000001E-2"/>
  </r>
  <r>
    <x v="0"/>
    <x v="0"/>
    <x v="2"/>
    <x v="4"/>
    <x v="45"/>
    <n v="56.325345159999998"/>
    <n v="56.325345159999998"/>
    <n v="0.78644700000000001"/>
    <n v="48.839510240000003"/>
  </r>
  <r>
    <x v="0"/>
    <x v="0"/>
    <x v="0"/>
    <x v="4"/>
    <x v="45"/>
    <n v="6.483292702"/>
    <n v="6.483292702"/>
    <n v="1.4E-2"/>
    <n v="5.6216404779999998"/>
  </r>
  <r>
    <x v="0"/>
    <x v="0"/>
    <x v="3"/>
    <x v="4"/>
    <x v="45"/>
    <n v="0.43366858899999999"/>
    <n v="0.43366858899999999"/>
    <n v="1.4553E-2"/>
    <n v="0.37603251999999998"/>
  </r>
  <r>
    <x v="0"/>
    <x v="3"/>
    <x v="0"/>
    <x v="4"/>
    <x v="45"/>
    <n v="10.353448999999999"/>
    <n v="10.353448999999999"/>
    <n v="7.4999999999999997E-3"/>
    <n v="10.353448999999999"/>
  </r>
  <r>
    <x v="0"/>
    <x v="3"/>
    <x v="3"/>
    <x v="4"/>
    <x v="45"/>
    <n v="0.86873900000000004"/>
    <n v="0.86873900000000004"/>
    <n v="5.0000000000000001E-4"/>
    <n v="0.86873900000000004"/>
  </r>
  <r>
    <x v="0"/>
    <x v="1"/>
    <x v="2"/>
    <x v="4"/>
    <x v="45"/>
    <n v="5.0412047429999998"/>
    <n v="5.0412047429999998"/>
    <n v="0.16700000000000001"/>
    <n v="4.4322319190000004"/>
  </r>
  <r>
    <x v="0"/>
    <x v="2"/>
    <x v="1"/>
    <x v="4"/>
    <x v="45"/>
    <n v="2.4264434110000002"/>
    <n v="2.4264434110000002"/>
    <n v="0.10150000000000001"/>
    <n v="2.1767513790000002"/>
  </r>
  <r>
    <x v="0"/>
    <x v="2"/>
    <x v="2"/>
    <x v="4"/>
    <x v="45"/>
    <n v="4.0064449450000001"/>
    <n v="4.0064449450000001"/>
    <n v="4.4999999999999998E-2"/>
    <n v="3.5941635879999998"/>
  </r>
  <r>
    <x v="0"/>
    <x v="2"/>
    <x v="3"/>
    <x v="4"/>
    <x v="45"/>
    <n v="0.46581358699999997"/>
    <n v="0.46581358699999997"/>
    <n v="1.95E-2"/>
    <n v="0.41787925599999998"/>
  </r>
  <r>
    <x v="0"/>
    <x v="1"/>
    <x v="1"/>
    <x v="4"/>
    <x v="45"/>
    <n v="212.61979489999999"/>
    <n v="212.61979489999999"/>
    <n v="56.402724999999997"/>
    <n v="186.9355223"/>
  </r>
  <r>
    <x v="0"/>
    <x v="1"/>
    <x v="3"/>
    <x v="4"/>
    <x v="45"/>
    <n v="41.308567699999998"/>
    <n v="41.308567699999998"/>
    <n v="12.063275000000001"/>
    <n v="36.318531309999997"/>
  </r>
  <r>
    <x v="0"/>
    <x v="0"/>
    <x v="0"/>
    <x v="6"/>
    <x v="46"/>
    <n v="2.7258741400000002"/>
    <n v="2.7258741400000002"/>
    <n v="5.3749999999999996E-3"/>
    <n v="2.3257397050000002"/>
  </r>
  <r>
    <x v="0"/>
    <x v="2"/>
    <x v="2"/>
    <x v="6"/>
    <x v="46"/>
    <n v="7.124476445"/>
    <n v="7.124476445"/>
    <n v="0.11559999999999999"/>
    <n v="5.9370637039999998"/>
  </r>
  <r>
    <x v="0"/>
    <x v="3"/>
    <x v="0"/>
    <x v="6"/>
    <x v="46"/>
    <n v="2.1892572000000001"/>
    <n v="2.1892572000000001"/>
    <n v="2E-3"/>
    <n v="1.824381"/>
  </r>
  <r>
    <x v="0"/>
    <x v="0"/>
    <x v="2"/>
    <x v="6"/>
    <x v="46"/>
    <n v="51.463417049999997"/>
    <n v="51.463417049999997"/>
    <n v="0.46162500000000001"/>
    <n v="43.909038430000003"/>
  </r>
  <r>
    <x v="0"/>
    <x v="2"/>
    <x v="3"/>
    <x v="6"/>
    <x v="46"/>
    <n v="0.51637570700000002"/>
    <n v="0.51637570700000002"/>
    <n v="1.26E-2"/>
    <n v="0.43031308899999998"/>
  </r>
  <r>
    <x v="0"/>
    <x v="1"/>
    <x v="3"/>
    <x v="6"/>
    <x v="46"/>
    <n v="27.210131959999998"/>
    <n v="27.210131959999998"/>
    <n v="6.6331499999999997"/>
    <n v="23.79808306"/>
  </r>
  <r>
    <x v="0"/>
    <x v="1"/>
    <x v="2"/>
    <x v="6"/>
    <x v="46"/>
    <n v="4.4058147270000001"/>
    <n v="4.4058147270000001"/>
    <n v="0.82896000000000003"/>
    <n v="3.8533420199999999"/>
  </r>
  <r>
    <x v="0"/>
    <x v="1"/>
    <x v="1"/>
    <x v="6"/>
    <x v="46"/>
    <n v="122.4918224"/>
    <n v="122.4918224"/>
    <n v="35.401890000000002"/>
    <n v="107.1318055"/>
  </r>
  <r>
    <x v="0"/>
    <x v="2"/>
    <x v="1"/>
    <x v="6"/>
    <x v="46"/>
    <n v="1.8353671039999999"/>
    <n v="1.8353671039999999"/>
    <n v="4.48E-2"/>
    <n v="1.5294725870000001"/>
  </r>
  <r>
    <x v="0"/>
    <x v="1"/>
    <x v="0"/>
    <x v="7"/>
    <x v="47"/>
    <n v="1.7668469499999999"/>
    <n v="1.7668469499999999"/>
    <n v="0.38934913900000001"/>
    <n v="1.6403531280000001"/>
  </r>
  <r>
    <x v="0"/>
    <x v="2"/>
    <x v="3"/>
    <x v="7"/>
    <x v="47"/>
    <n v="6.4019150999999996E-2"/>
    <n v="6.4019150999999996E-2"/>
    <n v="1.1900000000000001E-3"/>
    <n v="5.6471576000000002E-2"/>
  </r>
  <r>
    <x v="0"/>
    <x v="2"/>
    <x v="0"/>
    <x v="7"/>
    <x v="47"/>
    <n v="2.0202369999999998E-3"/>
    <n v="2.0202369999999998E-3"/>
    <n v="6.0000000000000002E-5"/>
    <n v="1.78206E-3"/>
  </r>
  <r>
    <x v="0"/>
    <x v="2"/>
    <x v="2"/>
    <x v="7"/>
    <x v="47"/>
    <n v="3.5494464520000002"/>
    <n v="3.5494464520000002"/>
    <n v="2.8539999999999999E-2"/>
    <n v="3.1309823859999999"/>
  </r>
  <r>
    <x v="0"/>
    <x v="2"/>
    <x v="1"/>
    <x v="7"/>
    <x v="47"/>
    <n v="1.0965608999999999E-2"/>
    <n v="1.0965608999999999E-2"/>
    <n v="2.1000000000000001E-4"/>
    <n v="9.6728119999999994E-3"/>
  </r>
  <r>
    <x v="0"/>
    <x v="3"/>
    <x v="3"/>
    <x v="7"/>
    <x v="47"/>
    <n v="2.0551226800000002"/>
    <n v="2.0551226800000002"/>
    <n v="1.1494980000000001E-3"/>
    <n v="2.0551226800000002"/>
  </r>
  <r>
    <x v="0"/>
    <x v="3"/>
    <x v="0"/>
    <x v="7"/>
    <x v="47"/>
    <n v="16.441797789999999"/>
    <n v="16.441797789999999"/>
    <n v="9.6190919999999992E-3"/>
    <n v="16.441797789999999"/>
  </r>
  <r>
    <x v="0"/>
    <x v="0"/>
    <x v="3"/>
    <x v="7"/>
    <x v="47"/>
    <n v="0.42558700300000002"/>
    <n v="0.42558700300000002"/>
    <n v="6.8336810000000003E-3"/>
    <n v="0.39580714700000003"/>
  </r>
  <r>
    <x v="0"/>
    <x v="0"/>
    <x v="0"/>
    <x v="7"/>
    <x v="47"/>
    <n v="0.60700526099999996"/>
    <n v="0.60700526099999996"/>
    <n v="1.0994909000000001E-2"/>
    <n v="0.56453091600000005"/>
  </r>
  <r>
    <x v="0"/>
    <x v="1"/>
    <x v="3"/>
    <x v="7"/>
    <x v="47"/>
    <n v="35.518218619999999"/>
    <n v="35.518218619999999"/>
    <n v="8.4740539360000007"/>
    <n v="32.975363829999999"/>
  </r>
  <r>
    <x v="0"/>
    <x v="1"/>
    <x v="1"/>
    <x v="7"/>
    <x v="47"/>
    <n v="122.1151366"/>
    <n v="122.1151366"/>
    <n v="30.308139319999999"/>
    <n v="113.3725512"/>
  </r>
  <r>
    <x v="0"/>
    <x v="1"/>
    <x v="2"/>
    <x v="7"/>
    <x v="47"/>
    <n v="5.4247549829999997"/>
    <n v="5.4247549829999997"/>
    <n v="0.590066286"/>
    <n v="5.0363806579999997"/>
  </r>
  <r>
    <x v="0"/>
    <x v="0"/>
    <x v="2"/>
    <x v="7"/>
    <x v="47"/>
    <n v="12.53972926"/>
    <n v="12.53972926"/>
    <n v="0.25829738299999999"/>
    <n v="11.66227922"/>
  </r>
  <r>
    <x v="0"/>
    <x v="1"/>
    <x v="0"/>
    <x v="2"/>
    <x v="48"/>
    <n v="14.184420709999999"/>
    <n v="14.184420709999999"/>
    <n v="2.2402714509999999"/>
    <n v="13.32444604"/>
  </r>
  <r>
    <x v="0"/>
    <x v="2"/>
    <x v="3"/>
    <x v="2"/>
    <x v="48"/>
    <n v="0.23077906200000001"/>
    <n v="0.23077906200000001"/>
    <n v="1.7463386000000001E-2"/>
    <n v="0.198799794"/>
  </r>
  <r>
    <x v="0"/>
    <x v="2"/>
    <x v="0"/>
    <x v="2"/>
    <x v="48"/>
    <n v="13.073801380000001"/>
    <n v="13.073801380000001"/>
    <n v="1.0928314E-2"/>
    <n v="11.26215264"/>
  </r>
  <r>
    <x v="0"/>
    <x v="2"/>
    <x v="2"/>
    <x v="2"/>
    <x v="48"/>
    <n v="20.637894459999998"/>
    <n v="20.637894459999998"/>
    <n v="0.24375021599999999"/>
    <n v="17.778082349999998"/>
  </r>
  <r>
    <x v="0"/>
    <x v="2"/>
    <x v="1"/>
    <x v="2"/>
    <x v="48"/>
    <n v="2.4439223999999999E-2"/>
    <n v="2.4439223999999999E-2"/>
    <n v="8.1688400000000003E-4"/>
    <n v="2.1052657999999998E-2"/>
  </r>
  <r>
    <x v="0"/>
    <x v="3"/>
    <x v="3"/>
    <x v="2"/>
    <x v="48"/>
    <n v="14.926664990000001"/>
    <n v="14.926664990000001"/>
    <n v="8.2411429999999994E-3"/>
    <n v="14.926664990000001"/>
  </r>
  <r>
    <x v="0"/>
    <x v="0"/>
    <x v="3"/>
    <x v="2"/>
    <x v="48"/>
    <n v="7.0720565889999998"/>
    <n v="7.0720565889999998"/>
    <n v="0.29394496599999997"/>
    <n v="6.6748238769999997"/>
  </r>
  <r>
    <x v="0"/>
    <x v="1"/>
    <x v="3"/>
    <x v="2"/>
    <x v="48"/>
    <n v="406.17226790000001"/>
    <n v="406.17226790000001"/>
    <n v="93.933245290000002"/>
    <n v="381.54680930000001"/>
  </r>
  <r>
    <x v="0"/>
    <x v="3"/>
    <x v="0"/>
    <x v="2"/>
    <x v="48"/>
    <n v="112.5755961"/>
    <n v="112.5755961"/>
    <n v="6.3025315999999998E-2"/>
    <n v="112.5755961"/>
  </r>
  <r>
    <x v="0"/>
    <x v="1"/>
    <x v="2"/>
    <x v="2"/>
    <x v="48"/>
    <n v="42.58414578"/>
    <n v="42.58414578"/>
    <n v="3.0707280589999999"/>
    <n v="40.002349330000001"/>
  </r>
  <r>
    <x v="0"/>
    <x v="1"/>
    <x v="1"/>
    <x v="2"/>
    <x v="48"/>
    <n v="1144.9055330000001"/>
    <n v="1144.9055330000001"/>
    <n v="218.57935879999999"/>
    <n v="1075.49207"/>
  </r>
  <r>
    <x v="0"/>
    <x v="0"/>
    <x v="2"/>
    <x v="2"/>
    <x v="48"/>
    <n v="265.78864959999999"/>
    <n v="265.78864959999999"/>
    <n v="5.1913173629999996"/>
    <n v="250.859478"/>
  </r>
  <r>
    <x v="0"/>
    <x v="0"/>
    <x v="0"/>
    <x v="2"/>
    <x v="48"/>
    <n v="8.5592541349999998"/>
    <n v="8.5592541349999998"/>
    <n v="0.13863376099999999"/>
    <n v="8.0784865260000007"/>
  </r>
  <r>
    <x v="0"/>
    <x v="2"/>
    <x v="0"/>
    <x v="3"/>
    <x v="49"/>
    <n v="84.964739420000001"/>
    <n v="84.964739420000001"/>
    <n v="0.14582999999999999"/>
    <n v="78.176306960000005"/>
  </r>
  <r>
    <x v="0"/>
    <x v="1"/>
    <x v="0"/>
    <x v="3"/>
    <x v="49"/>
    <n v="341.81635699999998"/>
    <n v="341.81635699999998"/>
    <n v="52.980977080000002"/>
    <n v="327.67861950000002"/>
  </r>
  <r>
    <x v="0"/>
    <x v="1"/>
    <x v="2"/>
    <x v="3"/>
    <x v="49"/>
    <n v="606.21921250000003"/>
    <n v="606.21921250000003"/>
    <n v="80.070752619999993"/>
    <n v="581.1456081"/>
  </r>
  <r>
    <x v="0"/>
    <x v="2"/>
    <x v="3"/>
    <x v="3"/>
    <x v="49"/>
    <n v="0.24958548"/>
    <n v="0.24958548"/>
    <n v="1.7999999999999999E-2"/>
    <n v="0.229644335"/>
  </r>
  <r>
    <x v="0"/>
    <x v="2"/>
    <x v="2"/>
    <x v="3"/>
    <x v="49"/>
    <n v="206.41592940000001"/>
    <n v="206.41592940000001"/>
    <n v="2.5577460379999999"/>
    <n v="189.92390449999999"/>
  </r>
  <r>
    <x v="0"/>
    <x v="3"/>
    <x v="3"/>
    <x v="3"/>
    <x v="49"/>
    <n v="197.1275168"/>
    <n v="197.1275168"/>
    <n v="0.15715926299999999"/>
    <n v="195.29658140000001"/>
  </r>
  <r>
    <x v="0"/>
    <x v="0"/>
    <x v="3"/>
    <x v="3"/>
    <x v="49"/>
    <n v="39.365551539999998"/>
    <n v="39.365551539999998"/>
    <n v="0.98244483500000002"/>
    <n v="35.701195259999999"/>
  </r>
  <r>
    <x v="0"/>
    <x v="0"/>
    <x v="0"/>
    <x v="3"/>
    <x v="49"/>
    <n v="31.81147756"/>
    <n v="31.81147756"/>
    <n v="0.14672700599999999"/>
    <n v="28.85029493"/>
  </r>
  <r>
    <x v="0"/>
    <x v="0"/>
    <x v="2"/>
    <x v="3"/>
    <x v="49"/>
    <n v="1354.69229"/>
    <n v="1354.69229"/>
    <n v="31.143746969999999"/>
    <n v="1228.590279"/>
  </r>
  <r>
    <x v="0"/>
    <x v="1"/>
    <x v="3"/>
    <x v="3"/>
    <x v="49"/>
    <n v="6223.4785609999999"/>
    <n v="6223.4785609999999"/>
    <n v="1756.7738300000001"/>
    <n v="5966.0716089999996"/>
  </r>
  <r>
    <x v="0"/>
    <x v="3"/>
    <x v="0"/>
    <x v="3"/>
    <x v="49"/>
    <n v="1572.5314169999999"/>
    <n v="1572.5314169999999"/>
    <n v="1.1976939820000001"/>
    <n v="1557.9256250000001"/>
  </r>
  <r>
    <x v="0"/>
    <x v="1"/>
    <x v="1"/>
    <x v="3"/>
    <x v="49"/>
    <n v="9311.2772199999999"/>
    <n v="9311.2772199999999"/>
    <n v="2034.753064"/>
    <n v="8926.1569909999998"/>
  </r>
  <r>
    <x v="1"/>
    <x v="0"/>
    <x v="3"/>
    <x v="0"/>
    <x v="0"/>
    <n v="0.30639068699999999"/>
    <n v="0.45456621899999999"/>
    <n v="2.425852E-3"/>
    <n v="0.29149342499999997"/>
  </r>
  <r>
    <x v="1"/>
    <x v="2"/>
    <x v="2"/>
    <x v="0"/>
    <x v="0"/>
    <n v="1.9151637079999999"/>
    <n v="2.8413681070000001"/>
    <n v="2.2372511000000001E-2"/>
    <n v="1.8058197469999999"/>
  </r>
  <r>
    <x v="1"/>
    <x v="1"/>
    <x v="1"/>
    <x v="0"/>
    <x v="0"/>
    <n v="64.526152879999998"/>
    <n v="95.732052620000005"/>
    <n v="11.956803649999999"/>
    <n v="61.02094692"/>
  </r>
  <r>
    <x v="1"/>
    <x v="1"/>
    <x v="2"/>
    <x v="0"/>
    <x v="0"/>
    <n v="7.2252293889999999"/>
    <n v="10.71946814"/>
    <n v="0.39031269299999999"/>
    <n v="6.832738655"/>
  </r>
  <r>
    <x v="1"/>
    <x v="1"/>
    <x v="3"/>
    <x v="0"/>
    <x v="0"/>
    <n v="25.154994720000001"/>
    <n v="37.320360360000002"/>
    <n v="3.9465156270000001"/>
    <n v="23.788518750000001"/>
  </r>
  <r>
    <x v="1"/>
    <x v="0"/>
    <x v="2"/>
    <x v="0"/>
    <x v="0"/>
    <n v="30.63040621"/>
    <n v="45.443770129999997"/>
    <n v="0.48914327099999999"/>
    <n v="29.141101219999999"/>
  </r>
  <r>
    <x v="1"/>
    <x v="3"/>
    <x v="0"/>
    <x v="0"/>
    <x v="0"/>
    <n v="9.7968521860000006"/>
    <n v="14.53476966"/>
    <n v="3.7093680000000002E-3"/>
    <n v="9.1621576329999996"/>
  </r>
  <r>
    <x v="1"/>
    <x v="3"/>
    <x v="3"/>
    <x v="0"/>
    <x v="0"/>
    <n v="1.8538361839999999"/>
    <n v="2.7503815920000001"/>
    <n v="7.9463699999999995E-4"/>
    <n v="1.733734369"/>
  </r>
  <r>
    <x v="1"/>
    <x v="0"/>
    <x v="0"/>
    <x v="0"/>
    <x v="0"/>
    <n v="1.119410496"/>
    <n v="1.6607756659999999"/>
    <n v="8.4933409999999997E-3"/>
    <n v="1.064982761"/>
  </r>
  <r>
    <x v="1"/>
    <x v="2"/>
    <x v="2"/>
    <x v="1"/>
    <x v="1"/>
    <n v="1.1848207369999999"/>
    <n v="1.2683174399999999"/>
    <n v="2.845E-2"/>
    <n v="0.99016543199999996"/>
  </r>
  <r>
    <x v="1"/>
    <x v="1"/>
    <x v="1"/>
    <x v="1"/>
    <x v="1"/>
    <n v="425.20323459999997"/>
    <n v="455.16816299999999"/>
    <n v="80.871489699999998"/>
    <n v="376.7373662"/>
  </r>
  <r>
    <x v="1"/>
    <x v="1"/>
    <x v="2"/>
    <x v="1"/>
    <x v="1"/>
    <n v="23.910213370000001"/>
    <n v="25.59521427"/>
    <n v="1.4596668850000001"/>
    <n v="21.18485956"/>
  </r>
  <r>
    <x v="1"/>
    <x v="1"/>
    <x v="3"/>
    <x v="1"/>
    <x v="1"/>
    <n v="143.03717459999999"/>
    <n v="153.1172924"/>
    <n v="27.554647030000002"/>
    <n v="126.73339249999999"/>
  </r>
  <r>
    <x v="1"/>
    <x v="0"/>
    <x v="2"/>
    <x v="1"/>
    <x v="1"/>
    <n v="80.090197290000006"/>
    <n v="85.734314810000001"/>
    <n v="1.57437918"/>
    <n v="69.79844473"/>
  </r>
  <r>
    <x v="1"/>
    <x v="0"/>
    <x v="0"/>
    <x v="1"/>
    <x v="1"/>
    <n v="9.6695970449999997"/>
    <n v="10.351033019999999"/>
    <n v="1.7000000000000001E-2"/>
    <n v="8.4270342409999994"/>
  </r>
  <r>
    <x v="1"/>
    <x v="0"/>
    <x v="3"/>
    <x v="1"/>
    <x v="1"/>
    <n v="0.25929377100000001"/>
    <n v="0.27756672500000001"/>
    <n v="3.7447140000000001E-3"/>
    <n v="0.22597399600000001"/>
  </r>
  <r>
    <x v="1"/>
    <x v="3"/>
    <x v="3"/>
    <x v="1"/>
    <x v="1"/>
    <n v="4.4653395419999997"/>
    <n v="4.7800210139999999"/>
    <n v="2.470023E-3"/>
    <n v="3.9043663789999998"/>
  </r>
  <r>
    <x v="1"/>
    <x v="2"/>
    <x v="3"/>
    <x v="1"/>
    <x v="1"/>
    <n v="0.81657031800000002"/>
    <n v="0.87411567300000004"/>
    <n v="1.8550000000000001E-2"/>
    <n v="0.68241521800000005"/>
  </r>
  <r>
    <x v="1"/>
    <x v="3"/>
    <x v="0"/>
    <x v="1"/>
    <x v="1"/>
    <n v="17.94067051"/>
    <n v="19.204985700000002"/>
    <n v="1.0529976999999999E-2"/>
    <n v="15.68681398"/>
  </r>
  <r>
    <x v="1"/>
    <x v="2"/>
    <x v="2"/>
    <x v="2"/>
    <x v="2"/>
    <n v="2.0157549060000002"/>
    <n v="2.016845591"/>
    <n v="3.5700000000000003E-2"/>
    <n v="1.752830353"/>
  </r>
  <r>
    <x v="1"/>
    <x v="1"/>
    <x v="3"/>
    <x v="2"/>
    <x v="2"/>
    <n v="39.749554580000002"/>
    <n v="39.771062290000003"/>
    <n v="7.0153127990000002"/>
    <n v="36.446231539999999"/>
  </r>
  <r>
    <x v="1"/>
    <x v="1"/>
    <x v="1"/>
    <x v="2"/>
    <x v="2"/>
    <n v="130.14682210000001"/>
    <n v="130.217242"/>
    <n v="24.122122569999998"/>
    <n v="119.33117900000001"/>
  </r>
  <r>
    <x v="1"/>
    <x v="1"/>
    <x v="2"/>
    <x v="2"/>
    <x v="2"/>
    <n v="5.516030132"/>
    <n v="5.519014748"/>
    <n v="0.32223596599999998"/>
    <n v="5.0576292870000001"/>
  </r>
  <r>
    <x v="1"/>
    <x v="2"/>
    <x v="0"/>
    <x v="2"/>
    <x v="2"/>
    <n v="1.0906154E-2"/>
    <n v="1.0912055E-2"/>
    <n v="2.9999999999999997E-4"/>
    <n v="9.4836120000000006E-3"/>
  </r>
  <r>
    <x v="1"/>
    <x v="1"/>
    <x v="0"/>
    <x v="2"/>
    <x v="2"/>
    <n v="2.8022498250000001"/>
    <n v="2.8037660679999998"/>
    <n v="0.64990865200000003"/>
    <n v="2.5693733440000002"/>
  </r>
  <r>
    <x v="1"/>
    <x v="0"/>
    <x v="2"/>
    <x v="2"/>
    <x v="2"/>
    <n v="11.3921647"/>
    <n v="11.39832878"/>
    <n v="0.21018507"/>
    <n v="10.343120000000001"/>
  </r>
  <r>
    <x v="1"/>
    <x v="0"/>
    <x v="0"/>
    <x v="2"/>
    <x v="2"/>
    <n v="0.336108305"/>
    <n v="0.33629016699999997"/>
    <n v="5.9526739999999998E-3"/>
    <n v="0.30515785400000001"/>
  </r>
  <r>
    <x v="1"/>
    <x v="0"/>
    <x v="3"/>
    <x v="2"/>
    <x v="2"/>
    <n v="0.36978846900000001"/>
    <n v="0.36998855400000003"/>
    <n v="5.8692090000000002E-3"/>
    <n v="0.335736588"/>
  </r>
  <r>
    <x v="1"/>
    <x v="3"/>
    <x v="0"/>
    <x v="2"/>
    <x v="2"/>
    <n v="4.9616086230000001"/>
    <n v="4.964293252"/>
    <n v="3.5884129999999999E-3"/>
    <n v="4.9348501059999998"/>
  </r>
  <r>
    <x v="1"/>
    <x v="3"/>
    <x v="3"/>
    <x v="2"/>
    <x v="2"/>
    <n v="0.50571956600000001"/>
    <n v="0.505993201"/>
    <n v="3.0836699999999998E-4"/>
    <n v="0.50299216300000005"/>
  </r>
  <r>
    <x v="1"/>
    <x v="3"/>
    <x v="3"/>
    <x v="2"/>
    <x v="3"/>
    <n v="2.706999674"/>
    <n v="2.708464379"/>
    <n v="2.13013E-3"/>
    <n v="2.699676728"/>
  </r>
  <r>
    <x v="1"/>
    <x v="1"/>
    <x v="0"/>
    <x v="2"/>
    <x v="3"/>
    <n v="7.5721438489999997"/>
    <n v="7.5762409880000003"/>
    <n v="0.35083377399999999"/>
    <n v="7.0134717990000004"/>
  </r>
  <r>
    <x v="1"/>
    <x v="1"/>
    <x v="1"/>
    <x v="2"/>
    <x v="3"/>
    <n v="139.4688069"/>
    <n v="139.5442707"/>
    <n v="23.803537899999998"/>
    <n v="129.17881159999999"/>
  </r>
  <r>
    <x v="1"/>
    <x v="1"/>
    <x v="3"/>
    <x v="2"/>
    <x v="3"/>
    <n v="37.982405759999999"/>
    <n v="38.002957299999998"/>
    <n v="6.7916202229999998"/>
    <n v="35.180067489999999"/>
  </r>
  <r>
    <x v="1"/>
    <x v="0"/>
    <x v="2"/>
    <x v="2"/>
    <x v="3"/>
    <n v="20.544950329999999"/>
    <n v="20.5560668"/>
    <n v="0.31217042099999998"/>
    <n v="18.89429569"/>
  </r>
  <r>
    <x v="1"/>
    <x v="0"/>
    <x v="0"/>
    <x v="2"/>
    <x v="3"/>
    <n v="0.53308030500000003"/>
    <n v="0.53336874400000001"/>
    <n v="8.6520179999999992E-3"/>
    <n v="0.490250731"/>
  </r>
  <r>
    <x v="1"/>
    <x v="1"/>
    <x v="2"/>
    <x v="2"/>
    <x v="3"/>
    <n v="4.9090679250000004"/>
    <n v="4.9117241260000002"/>
    <n v="0.31963127499999999"/>
    <n v="4.546877362"/>
  </r>
  <r>
    <x v="1"/>
    <x v="2"/>
    <x v="2"/>
    <x v="2"/>
    <x v="3"/>
    <n v="32.497814460000001"/>
    <n v="32.515398400000002"/>
    <n v="0.143875156"/>
    <n v="28.917997329999999"/>
  </r>
  <r>
    <x v="1"/>
    <x v="2"/>
    <x v="0"/>
    <x v="2"/>
    <x v="3"/>
    <n v="1.0599254000000001E-2"/>
    <n v="1.0604989E-2"/>
    <n v="2.9014399999999999E-4"/>
    <n v="9.4316869999999994E-3"/>
  </r>
  <r>
    <x v="1"/>
    <x v="3"/>
    <x v="0"/>
    <x v="2"/>
    <x v="3"/>
    <n v="22.508464669999999"/>
    <n v="22.52064356"/>
    <n v="1.6622187E-2"/>
    <n v="22.447575019999999"/>
  </r>
  <r>
    <x v="1"/>
    <x v="0"/>
    <x v="3"/>
    <x v="2"/>
    <x v="3"/>
    <n v="0.49407670999999997"/>
    <n v="0.49434404500000001"/>
    <n v="7.5741209999999996E-3"/>
    <n v="0.45438082400000002"/>
  </r>
  <r>
    <x v="1"/>
    <x v="0"/>
    <x v="3"/>
    <x v="0"/>
    <x v="4"/>
    <n v="1.5784837920000001"/>
    <n v="1.7217160380000001"/>
    <n v="1.0712889E-2"/>
    <n v="1.5044074000000001"/>
  </r>
  <r>
    <x v="1"/>
    <x v="1"/>
    <x v="2"/>
    <x v="0"/>
    <x v="4"/>
    <n v="21.328035289999999"/>
    <n v="23.263349689999998"/>
    <n v="2.6195370229999999"/>
    <n v="20.618183009999999"/>
  </r>
  <r>
    <x v="1"/>
    <x v="1"/>
    <x v="0"/>
    <x v="0"/>
    <x v="4"/>
    <n v="1.663139736"/>
    <n v="1.8140536970000001"/>
    <n v="0.12757199999999999"/>
    <n v="1.6077861360000001"/>
  </r>
  <r>
    <x v="1"/>
    <x v="1"/>
    <x v="3"/>
    <x v="0"/>
    <x v="4"/>
    <n v="137.8392857"/>
    <n v="150.34687729999999"/>
    <n v="29.863554270000002"/>
    <n v="133.25163710000001"/>
  </r>
  <r>
    <x v="1"/>
    <x v="1"/>
    <x v="1"/>
    <x v="0"/>
    <x v="4"/>
    <n v="424.96276"/>
    <n v="463.5240498"/>
    <n v="106.5831886"/>
    <n v="410.8188983"/>
  </r>
  <r>
    <x v="1"/>
    <x v="0"/>
    <x v="2"/>
    <x v="0"/>
    <x v="4"/>
    <n v="177.0598482"/>
    <n v="193.12632919999999"/>
    <n v="1.9444799829999999"/>
    <n v="168.75063729999999"/>
  </r>
  <r>
    <x v="1"/>
    <x v="0"/>
    <x v="0"/>
    <x v="0"/>
    <x v="4"/>
    <n v="7.8862670189999999"/>
    <n v="8.6018700219999999"/>
    <n v="6.3304184999999999E-2"/>
    <n v="7.5161737630000003"/>
  </r>
  <r>
    <x v="1"/>
    <x v="3"/>
    <x v="0"/>
    <x v="0"/>
    <x v="4"/>
    <n v="274.74449479999998"/>
    <n v="299.67491940000002"/>
    <n v="0.101559897"/>
    <n v="268.30517070000002"/>
  </r>
  <r>
    <x v="1"/>
    <x v="3"/>
    <x v="3"/>
    <x v="0"/>
    <x v="4"/>
    <n v="43.717857780000003"/>
    <n v="47.684833570000002"/>
    <n v="1.6333673999999999E-2"/>
    <n v="42.693220490000002"/>
  </r>
  <r>
    <x v="1"/>
    <x v="2"/>
    <x v="2"/>
    <x v="0"/>
    <x v="4"/>
    <n v="6.2931477490000001"/>
    <n v="6.8641904770000002"/>
    <n v="7.4633360999999995E-2"/>
    <n v="6.0689959699999996"/>
  </r>
  <r>
    <x v="1"/>
    <x v="2"/>
    <x v="0"/>
    <x v="0"/>
    <x v="4"/>
    <n v="0.50233504100000004"/>
    <n v="0.54791712199999998"/>
    <n v="4.0000000000000001E-3"/>
    <n v="0.48444267699999999"/>
  </r>
  <r>
    <x v="1"/>
    <x v="3"/>
    <x v="0"/>
    <x v="3"/>
    <x v="5"/>
    <n v="128.88888610000001"/>
    <n v="138.1993396"/>
    <n v="8.2591124000000002E-2"/>
    <n v="128.0721629"/>
  </r>
  <r>
    <x v="1"/>
    <x v="2"/>
    <x v="0"/>
    <x v="3"/>
    <x v="5"/>
    <n v="7.4197574729999998"/>
    <n v="7.9557331419999997"/>
    <n v="1.2359999999999999E-2"/>
    <n v="6.8271867210000003"/>
  </r>
  <r>
    <x v="1"/>
    <x v="1"/>
    <x v="1"/>
    <x v="3"/>
    <x v="5"/>
    <n v="671.03631959999996"/>
    <n v="719.50948630000005"/>
    <n v="186.545029"/>
    <n v="644.00382679999996"/>
  </r>
  <r>
    <x v="1"/>
    <x v="1"/>
    <x v="2"/>
    <x v="3"/>
    <x v="5"/>
    <n v="89.373796049999996"/>
    <n v="95.829826499999996"/>
    <n v="5.8065176679999997"/>
    <n v="85.773400030000005"/>
  </r>
  <r>
    <x v="1"/>
    <x v="1"/>
    <x v="0"/>
    <x v="3"/>
    <x v="5"/>
    <n v="12.83270478"/>
    <n v="13.75969162"/>
    <n v="1.6570665550000001"/>
    <n v="12.3157432"/>
  </r>
  <r>
    <x v="1"/>
    <x v="1"/>
    <x v="3"/>
    <x v="3"/>
    <x v="5"/>
    <n v="301.88120400000003"/>
    <n v="323.6879788"/>
    <n v="93.490016760000003"/>
    <n v="289.72001210000002"/>
  </r>
  <r>
    <x v="1"/>
    <x v="0"/>
    <x v="2"/>
    <x v="3"/>
    <x v="5"/>
    <n v="106.4249152"/>
    <n v="114.112655"/>
    <n v="2.3228208129999999"/>
    <n v="97.843085459999998"/>
  </r>
  <r>
    <x v="1"/>
    <x v="0"/>
    <x v="0"/>
    <x v="3"/>
    <x v="5"/>
    <n v="1.1865201599999999"/>
    <n v="1.2722299619999999"/>
    <n v="3.8999999999999998E-3"/>
    <n v="1.090842246"/>
  </r>
  <r>
    <x v="1"/>
    <x v="2"/>
    <x v="2"/>
    <x v="3"/>
    <x v="5"/>
    <n v="17.625672470000001"/>
    <n v="18.898885459999999"/>
    <n v="0.25513999999999998"/>
    <n v="16.218017570000001"/>
  </r>
  <r>
    <x v="1"/>
    <x v="3"/>
    <x v="3"/>
    <x v="3"/>
    <x v="5"/>
    <n v="4.1785310740000003"/>
    <n v="4.4803726089999998"/>
    <n v="3.8318699999999998E-3"/>
    <n v="4.1520532049999996"/>
  </r>
  <r>
    <x v="1"/>
    <x v="0"/>
    <x v="3"/>
    <x v="3"/>
    <x v="5"/>
    <n v="9.0214126000000006E-2"/>
    <n v="9.6730859000000002E-2"/>
    <n v="1.8630780999999999E-2"/>
    <n v="8.2939492000000004E-2"/>
  </r>
  <r>
    <x v="1"/>
    <x v="2"/>
    <x v="2"/>
    <x v="0"/>
    <x v="6"/>
    <n v="8.2438899219999993"/>
    <n v="9.5006339440000005"/>
    <n v="0.103188866"/>
    <n v="7.74074171"/>
  </r>
  <r>
    <x v="1"/>
    <x v="1"/>
    <x v="1"/>
    <x v="0"/>
    <x v="6"/>
    <n v="60.087717400000002"/>
    <n v="69.247820259999997"/>
    <n v="13.98052644"/>
    <n v="56.75409054"/>
  </r>
  <r>
    <x v="1"/>
    <x v="1"/>
    <x v="2"/>
    <x v="0"/>
    <x v="6"/>
    <n v="15.619328680000001"/>
    <n v="18.000425239999998"/>
    <n v="0.61321552999999995"/>
    <n v="14.752778640000001"/>
  </r>
  <r>
    <x v="1"/>
    <x v="1"/>
    <x v="0"/>
    <x v="0"/>
    <x v="6"/>
    <n v="8.6219013999999997E-2"/>
    <n v="9.9362716000000004E-2"/>
    <n v="2.4099300000000001E-2"/>
    <n v="8.1435640000000004E-2"/>
  </r>
  <r>
    <x v="1"/>
    <x v="1"/>
    <x v="3"/>
    <x v="0"/>
    <x v="6"/>
    <n v="23.96641404"/>
    <n v="27.619986310000002"/>
    <n v="4.4276924119999999"/>
    <n v="22.636773219999998"/>
  </r>
  <r>
    <x v="1"/>
    <x v="0"/>
    <x v="0"/>
    <x v="0"/>
    <x v="6"/>
    <n v="1.052856064"/>
    <n v="1.213359246"/>
    <n v="7.7886759999999996E-3"/>
    <n v="0.99921986699999998"/>
  </r>
  <r>
    <x v="1"/>
    <x v="3"/>
    <x v="0"/>
    <x v="0"/>
    <x v="6"/>
    <n v="25.054160939999999"/>
    <n v="28.873555339999999"/>
    <n v="6.8107410000000004E-3"/>
    <n v="24.466954040000001"/>
  </r>
  <r>
    <x v="1"/>
    <x v="3"/>
    <x v="3"/>
    <x v="0"/>
    <x v="6"/>
    <n v="3.7316964170000002"/>
    <n v="4.300576789"/>
    <n v="1.0180619999999999E-3"/>
    <n v="3.6442347819999998"/>
  </r>
  <r>
    <x v="1"/>
    <x v="0"/>
    <x v="3"/>
    <x v="0"/>
    <x v="6"/>
    <n v="0.31152254600000001"/>
    <n v="0.35901275999999999"/>
    <n v="2.352977E-3"/>
    <n v="0.29565248999999999"/>
  </r>
  <r>
    <x v="1"/>
    <x v="0"/>
    <x v="2"/>
    <x v="0"/>
    <x v="6"/>
    <n v="41.694085510000001"/>
    <n v="48.05016174"/>
    <n v="0.96147588100000003"/>
    <n v="39.570041920000001"/>
  </r>
  <r>
    <x v="1"/>
    <x v="0"/>
    <x v="3"/>
    <x v="4"/>
    <x v="7"/>
    <n v="18.60777886"/>
    <n v="18.64512302"/>
    <n v="0.40757822399999999"/>
    <n v="15.39375257"/>
  </r>
  <r>
    <x v="1"/>
    <x v="1"/>
    <x v="1"/>
    <x v="4"/>
    <x v="7"/>
    <n v="4634.9806060000001"/>
    <n v="4644.2825999999995"/>
    <n v="1311.400414"/>
    <n v="4239.67022"/>
  </r>
  <r>
    <x v="1"/>
    <x v="2"/>
    <x v="1"/>
    <x v="4"/>
    <x v="7"/>
    <n v="14.48148851"/>
    <n v="14.510551570000001"/>
    <n v="0.16003000000000001"/>
    <n v="13.71322743"/>
  </r>
  <r>
    <x v="1"/>
    <x v="1"/>
    <x v="2"/>
    <x v="4"/>
    <x v="7"/>
    <n v="57.204967580000002"/>
    <n v="57.319772870000001"/>
    <n v="1.9635360449999999"/>
    <n v="52.326043660000003"/>
  </r>
  <r>
    <x v="1"/>
    <x v="1"/>
    <x v="3"/>
    <x v="4"/>
    <x v="7"/>
    <n v="2152.9129119999998"/>
    <n v="2157.2336169999999"/>
    <n v="628.36218759999997"/>
    <n v="1969.2942720000001"/>
  </r>
  <r>
    <x v="1"/>
    <x v="0"/>
    <x v="0"/>
    <x v="4"/>
    <x v="7"/>
    <n v="12.319999190000001"/>
    <n v="12.34472433"/>
    <n v="0.179727307"/>
    <n v="10.192028860000001"/>
  </r>
  <r>
    <x v="1"/>
    <x v="3"/>
    <x v="0"/>
    <x v="4"/>
    <x v="7"/>
    <n v="236.08880550000001"/>
    <n v="236.56261470000001"/>
    <n v="0.15377331299999999"/>
    <n v="236.08880550000001"/>
  </r>
  <r>
    <x v="1"/>
    <x v="3"/>
    <x v="3"/>
    <x v="4"/>
    <x v="7"/>
    <n v="21.77257518"/>
    <n v="21.816270800000002"/>
    <n v="1.5226686999999999E-2"/>
    <n v="21.77257518"/>
  </r>
  <r>
    <x v="1"/>
    <x v="2"/>
    <x v="3"/>
    <x v="4"/>
    <x v="7"/>
    <n v="2.2350251120000002"/>
    <n v="2.2395106089999999"/>
    <n v="7.1779999999999997E-2"/>
    <n v="2.1164542339999999"/>
  </r>
  <r>
    <x v="1"/>
    <x v="2"/>
    <x v="2"/>
    <x v="4"/>
    <x v="7"/>
    <n v="176.9570942"/>
    <n v="177.3122314"/>
    <n v="2.3591899999999999"/>
    <n v="167.569299"/>
  </r>
  <r>
    <x v="1"/>
    <x v="0"/>
    <x v="2"/>
    <x v="4"/>
    <x v="7"/>
    <n v="933.59293179999997"/>
    <n v="935.46656989999997"/>
    <n v="10.68919668"/>
    <n v="772.33820860000003"/>
  </r>
  <r>
    <x v="1"/>
    <x v="1"/>
    <x v="0"/>
    <x v="0"/>
    <x v="8"/>
    <n v="0.39424267000000002"/>
    <n v="0.42243238900000002"/>
    <n v="7.7322000000000002E-2"/>
    <n v="0.36594235800000002"/>
  </r>
  <r>
    <x v="1"/>
    <x v="1"/>
    <x v="3"/>
    <x v="0"/>
    <x v="8"/>
    <n v="26.081766259999998"/>
    <n v="27.946703020000001"/>
    <n v="5.8874606140000001"/>
    <n v="24.209513000000001"/>
  </r>
  <r>
    <x v="1"/>
    <x v="0"/>
    <x v="2"/>
    <x v="0"/>
    <x v="8"/>
    <n v="32.313776060000002"/>
    <n v="34.624323140000001"/>
    <n v="0.52285580600000003"/>
    <n v="30.73013693"/>
  </r>
  <r>
    <x v="1"/>
    <x v="1"/>
    <x v="2"/>
    <x v="0"/>
    <x v="8"/>
    <n v="8.7340279429999992"/>
    <n v="9.3585412389999991"/>
    <n v="0.67100657600000002"/>
    <n v="8.1070645639999999"/>
  </r>
  <r>
    <x v="1"/>
    <x v="0"/>
    <x v="3"/>
    <x v="0"/>
    <x v="8"/>
    <n v="0.32164226499999998"/>
    <n v="0.344640803"/>
    <n v="1.91248E-3"/>
    <n v="0.30587916500000001"/>
  </r>
  <r>
    <x v="1"/>
    <x v="0"/>
    <x v="0"/>
    <x v="0"/>
    <x v="8"/>
    <n v="1.0722436200000001"/>
    <n v="1.148912758"/>
    <n v="6.8560299999999999E-3"/>
    <n v="1.019694919"/>
  </r>
  <r>
    <x v="1"/>
    <x v="1"/>
    <x v="1"/>
    <x v="0"/>
    <x v="8"/>
    <n v="70.832867899999997"/>
    <n v="75.89766367"/>
    <n v="17.894202920000001"/>
    <n v="65.748201980000005"/>
  </r>
  <r>
    <x v="1"/>
    <x v="2"/>
    <x v="2"/>
    <x v="0"/>
    <x v="8"/>
    <n v="4.1494088790000001"/>
    <n v="4.4461060080000001"/>
    <n v="5.0355199000000003E-2"/>
    <n v="3.8802980850000002"/>
  </r>
  <r>
    <x v="1"/>
    <x v="0"/>
    <x v="0"/>
    <x v="5"/>
    <x v="9"/>
    <n v="0.12060313"/>
    <n v="0.12800510700000001"/>
    <n v="1.9680209999999999E-3"/>
    <n v="0.1122953"/>
  </r>
  <r>
    <x v="1"/>
    <x v="2"/>
    <x v="2"/>
    <x v="5"/>
    <x v="9"/>
    <n v="3.9437195950000001"/>
    <n v="4.1857640790000001"/>
    <n v="5.7419999999999999E-2"/>
    <n v="3.494527583"/>
  </r>
  <r>
    <x v="1"/>
    <x v="3"/>
    <x v="3"/>
    <x v="5"/>
    <x v="9"/>
    <n v="0.182069965"/>
    <n v="0.19324444900000001"/>
    <n v="1.4189300000000001E-4"/>
    <n v="0.182069965"/>
  </r>
  <r>
    <x v="1"/>
    <x v="0"/>
    <x v="3"/>
    <x v="5"/>
    <x v="9"/>
    <n v="9.9180753999999996E-2"/>
    <n v="0.10526794"/>
    <n v="1.530755E-3"/>
    <n v="9.2348619000000007E-2"/>
  </r>
  <r>
    <x v="1"/>
    <x v="0"/>
    <x v="2"/>
    <x v="5"/>
    <x v="9"/>
    <n v="3.709956976"/>
    <n v="3.937654357"/>
    <n v="7.2531447999999998E-2"/>
    <n v="3.4543940289999999"/>
  </r>
  <r>
    <x v="1"/>
    <x v="1"/>
    <x v="3"/>
    <x v="5"/>
    <x v="9"/>
    <n v="24.791869689999999"/>
    <n v="26.313462489999999"/>
    <n v="6.7992919379999996"/>
    <n v="23.119108789999999"/>
  </r>
  <r>
    <x v="1"/>
    <x v="1"/>
    <x v="0"/>
    <x v="5"/>
    <x v="9"/>
    <n v="1.284432083"/>
    <n v="1.363263677"/>
    <n v="0.358081602"/>
    <n v="1.1977686809999999"/>
  </r>
  <r>
    <x v="1"/>
    <x v="1"/>
    <x v="2"/>
    <x v="5"/>
    <x v="9"/>
    <n v="3.2539357020000002"/>
    <n v="3.4536449290000002"/>
    <n v="0.36008162999999999"/>
    <n v="3.034385645"/>
  </r>
  <r>
    <x v="1"/>
    <x v="1"/>
    <x v="1"/>
    <x v="5"/>
    <x v="9"/>
    <n v="91.070134240000002"/>
    <n v="96.659533569999994"/>
    <n v="21.44809673"/>
    <n v="84.925435930000006"/>
  </r>
  <r>
    <x v="1"/>
    <x v="2"/>
    <x v="0"/>
    <x v="5"/>
    <x v="9"/>
    <n v="3.9835550999999997E-2"/>
    <n v="4.2280445E-2"/>
    <n v="5.8E-4"/>
    <n v="3.5298257999999999E-2"/>
  </r>
  <r>
    <x v="1"/>
    <x v="3"/>
    <x v="0"/>
    <x v="5"/>
    <x v="9"/>
    <n v="0.92866326099999996"/>
    <n v="0.98565966100000002"/>
    <n v="7.0413300000000002E-4"/>
    <n v="0.92866326099999996"/>
  </r>
  <r>
    <x v="1"/>
    <x v="1"/>
    <x v="3"/>
    <x v="2"/>
    <x v="10"/>
    <n v="45.563872670000002"/>
    <n v="45.567196320000001"/>
    <n v="7.0986693379999997"/>
    <n v="42.219638779999997"/>
  </r>
  <r>
    <x v="1"/>
    <x v="1"/>
    <x v="0"/>
    <x v="2"/>
    <x v="10"/>
    <n v="2.0473842439999999"/>
    <n v="2.04753359"/>
    <n v="0.27646193000000002"/>
    <n v="1.897113177"/>
  </r>
  <r>
    <x v="1"/>
    <x v="1"/>
    <x v="2"/>
    <x v="2"/>
    <x v="10"/>
    <n v="3.9072576030000001"/>
    <n v="3.9075426169999998"/>
    <n v="0.29658458100000001"/>
    <n v="3.6204781320000001"/>
  </r>
  <r>
    <x v="1"/>
    <x v="1"/>
    <x v="1"/>
    <x v="2"/>
    <x v="10"/>
    <n v="127.55070809999999"/>
    <n v="127.5600123"/>
    <n v="19.992179579999998"/>
    <n v="118.1889183"/>
  </r>
  <r>
    <x v="1"/>
    <x v="2"/>
    <x v="0"/>
    <x v="2"/>
    <x v="10"/>
    <n v="8.0407755410000004"/>
    <n v="8.0413620740000002"/>
    <n v="2.9729393999999999E-2"/>
    <n v="7.8161976510000004"/>
  </r>
  <r>
    <x v="1"/>
    <x v="0"/>
    <x v="0"/>
    <x v="2"/>
    <x v="10"/>
    <n v="0.36241509999999999"/>
    <n v="0.36244153600000001"/>
    <n v="6.3247299999999998E-3"/>
    <n v="0.32724656600000002"/>
  </r>
  <r>
    <x v="1"/>
    <x v="2"/>
    <x v="2"/>
    <x v="2"/>
    <x v="10"/>
    <n v="2.1820375350000001"/>
    <n v="2.1821967029999998"/>
    <n v="4.6854706000000003E-2"/>
    <n v="2.1210934899999998"/>
  </r>
  <r>
    <x v="1"/>
    <x v="0"/>
    <x v="2"/>
    <x v="2"/>
    <x v="10"/>
    <n v="10.11263673"/>
    <n v="10.1133744"/>
    <n v="0.18115451599999999"/>
    <n v="9.1313128159999994"/>
  </r>
  <r>
    <x v="1"/>
    <x v="3"/>
    <x v="3"/>
    <x v="2"/>
    <x v="10"/>
    <n v="1.197536562"/>
    <n v="1.197623916"/>
    <n v="7.91039E-4"/>
    <n v="1.197536562"/>
  </r>
  <r>
    <x v="1"/>
    <x v="3"/>
    <x v="0"/>
    <x v="2"/>
    <x v="10"/>
    <n v="11.026303220000001"/>
    <n v="11.02710753"/>
    <n v="7.5225659999999996E-3"/>
    <n v="11.026303220000001"/>
  </r>
  <r>
    <x v="1"/>
    <x v="0"/>
    <x v="3"/>
    <x v="2"/>
    <x v="10"/>
    <n v="0.30424303800000002"/>
    <n v="0.30426523100000002"/>
    <n v="4.7450679999999999E-3"/>
    <n v="0.27471948499999999"/>
  </r>
  <r>
    <x v="1"/>
    <x v="0"/>
    <x v="0"/>
    <x v="2"/>
    <x v="11"/>
    <n v="0.23054182600000001"/>
    <n v="0.23066656799999999"/>
    <n v="3.6992499999999998E-3"/>
    <n v="0.20859001699999999"/>
  </r>
  <r>
    <x v="1"/>
    <x v="0"/>
    <x v="3"/>
    <x v="2"/>
    <x v="11"/>
    <n v="0.21069273299999999"/>
    <n v="0.210806735"/>
    <n v="3.2082970000000001E-3"/>
    <n v="0.19063092200000001"/>
  </r>
  <r>
    <x v="1"/>
    <x v="3"/>
    <x v="0"/>
    <x v="2"/>
    <x v="11"/>
    <n v="1.49334776"/>
    <n v="1.4941557809999999"/>
    <n v="1.193005E-3"/>
    <n v="1.49334776"/>
  </r>
  <r>
    <x v="1"/>
    <x v="3"/>
    <x v="3"/>
    <x v="2"/>
    <x v="11"/>
    <n v="0.14414750100000001"/>
    <n v="0.14422549600000001"/>
    <n v="1.12403E-4"/>
    <n v="0.14414750100000001"/>
  </r>
  <r>
    <x v="1"/>
    <x v="2"/>
    <x v="0"/>
    <x v="2"/>
    <x v="11"/>
    <n v="2.3651163999999999E-2"/>
    <n v="2.3663961000000001E-2"/>
    <n v="6.8999999999999997E-4"/>
    <n v="2.0566230000000001E-2"/>
  </r>
  <r>
    <x v="1"/>
    <x v="0"/>
    <x v="2"/>
    <x v="2"/>
    <x v="11"/>
    <n v="6.9404582020000003"/>
    <n v="6.9442135479999996"/>
    <n v="0.12402476799999999"/>
    <n v="6.2795993240000003"/>
  </r>
  <r>
    <x v="1"/>
    <x v="1"/>
    <x v="3"/>
    <x v="2"/>
    <x v="11"/>
    <n v="43.16803281"/>
    <n v="43.19139019"/>
    <n v="8.154985366"/>
    <n v="39.564506469999998"/>
  </r>
  <r>
    <x v="1"/>
    <x v="1"/>
    <x v="0"/>
    <x v="2"/>
    <x v="11"/>
    <n v="2.4049418939999998"/>
    <n v="2.4062431609999999"/>
    <n v="0.35778214000000003"/>
    <n v="2.2041852020000001"/>
  </r>
  <r>
    <x v="1"/>
    <x v="1"/>
    <x v="2"/>
    <x v="2"/>
    <x v="11"/>
    <n v="3.0714478239999998"/>
    <n v="3.073109724"/>
    <n v="0.37860280400000001"/>
    <n v="2.8150533950000001"/>
  </r>
  <r>
    <x v="1"/>
    <x v="1"/>
    <x v="1"/>
    <x v="2"/>
    <x v="11"/>
    <n v="180.58439229999999"/>
    <n v="180.68210300000001"/>
    <n v="30.531934849999999"/>
    <n v="165.50979720000001"/>
  </r>
  <r>
    <x v="1"/>
    <x v="2"/>
    <x v="2"/>
    <x v="2"/>
    <x v="11"/>
    <n v="5.12580671"/>
    <n v="5.1285801839999996"/>
    <n v="9.7309999999999994E-2"/>
    <n v="4.457223226"/>
  </r>
  <r>
    <x v="1"/>
    <x v="0"/>
    <x v="2"/>
    <x v="2"/>
    <x v="12"/>
    <n v="149.39248720000001"/>
    <n v="149.47332059999999"/>
    <n v="2.6849548250000002"/>
    <n v="142.43800239999999"/>
  </r>
  <r>
    <x v="1"/>
    <x v="1"/>
    <x v="1"/>
    <x v="2"/>
    <x v="12"/>
    <n v="870.07255729999997"/>
    <n v="870.54333659999998"/>
    <n v="166.76469349999999"/>
    <n v="821.59459340000001"/>
  </r>
  <r>
    <x v="1"/>
    <x v="1"/>
    <x v="2"/>
    <x v="2"/>
    <x v="12"/>
    <n v="23.200783439999999"/>
    <n v="23.213336930000001"/>
    <n v="2.1797147369999998"/>
    <n v="21.908101890000001"/>
  </r>
  <r>
    <x v="1"/>
    <x v="2"/>
    <x v="2"/>
    <x v="2"/>
    <x v="12"/>
    <n v="22.799325280000001"/>
    <n v="22.81166155"/>
    <n v="0.22372808"/>
    <n v="20.347007080000001"/>
  </r>
  <r>
    <x v="1"/>
    <x v="1"/>
    <x v="3"/>
    <x v="2"/>
    <x v="12"/>
    <n v="332.36586540000002"/>
    <n v="332.54570210000003"/>
    <n v="51.869206409999997"/>
    <n v="313.84738629999998"/>
  </r>
  <r>
    <x v="1"/>
    <x v="2"/>
    <x v="0"/>
    <x v="2"/>
    <x v="12"/>
    <n v="0.61636839899999996"/>
    <n v="0.61670190400000002"/>
    <n v="3.1584199999999999E-3"/>
    <n v="0.55007119800000004"/>
  </r>
  <r>
    <x v="1"/>
    <x v="0"/>
    <x v="0"/>
    <x v="2"/>
    <x v="12"/>
    <n v="2.1817984460000002"/>
    <n v="2.1829789740000001"/>
    <n v="3.735985E-2"/>
    <n v="2.0802318660000001"/>
  </r>
  <r>
    <x v="1"/>
    <x v="0"/>
    <x v="3"/>
    <x v="2"/>
    <x v="12"/>
    <n v="2.045585403"/>
    <n v="2.046692229"/>
    <n v="3.1819088000000002E-2"/>
    <n v="1.950359781"/>
  </r>
  <r>
    <x v="1"/>
    <x v="3"/>
    <x v="0"/>
    <x v="2"/>
    <x v="12"/>
    <n v="75.881159789999998"/>
    <n v="75.922217599999996"/>
    <n v="5.4958789000000001E-2"/>
    <n v="75.881159789999998"/>
  </r>
  <r>
    <x v="1"/>
    <x v="3"/>
    <x v="3"/>
    <x v="2"/>
    <x v="12"/>
    <n v="8.2885682870000004"/>
    <n v="8.2930530690000008"/>
    <n v="5.8652560000000001E-3"/>
    <n v="8.2885682870000004"/>
  </r>
  <r>
    <x v="1"/>
    <x v="1"/>
    <x v="0"/>
    <x v="2"/>
    <x v="12"/>
    <n v="40.927333640000001"/>
    <n v="40.949478620000001"/>
    <n v="2.3454829510000001"/>
    <n v="38.646979219999999"/>
  </r>
  <r>
    <x v="1"/>
    <x v="1"/>
    <x v="2"/>
    <x v="2"/>
    <x v="13"/>
    <n v="60.876586320000001"/>
    <n v="60.909525449999997"/>
    <n v="3.867668219"/>
    <n v="56.609696360000001"/>
  </r>
  <r>
    <x v="1"/>
    <x v="1"/>
    <x v="0"/>
    <x v="2"/>
    <x v="13"/>
    <n v="31.77050856"/>
    <n v="31.78769896"/>
    <n v="5.3471437079999999"/>
    <n v="29.543687510000002"/>
  </r>
  <r>
    <x v="1"/>
    <x v="2"/>
    <x v="2"/>
    <x v="2"/>
    <x v="13"/>
    <n v="30.101496340000001"/>
    <n v="30.117783670000001"/>
    <n v="0.26794000000000001"/>
    <n v="25.896177609999999"/>
  </r>
  <r>
    <x v="1"/>
    <x v="1"/>
    <x v="1"/>
    <x v="2"/>
    <x v="13"/>
    <n v="1404.797973"/>
    <n v="1405.558082"/>
    <n v="255.28996140000001"/>
    <n v="1306.334529"/>
  </r>
  <r>
    <x v="1"/>
    <x v="2"/>
    <x v="0"/>
    <x v="2"/>
    <x v="13"/>
    <n v="21.857917789999998"/>
    <n v="21.86974468"/>
    <n v="1.506E-2"/>
    <n v="18.804265239999999"/>
  </r>
  <r>
    <x v="1"/>
    <x v="1"/>
    <x v="3"/>
    <x v="2"/>
    <x v="13"/>
    <n v="549.05104649999998"/>
    <n v="549.34812729999999"/>
    <n v="125.1843247"/>
    <n v="510.56760750000001"/>
  </r>
  <r>
    <x v="1"/>
    <x v="3"/>
    <x v="3"/>
    <x v="2"/>
    <x v="13"/>
    <n v="15.804613850000001"/>
    <n v="15.813165420000001"/>
    <n v="1.0586107000000001E-2"/>
    <n v="15.69964017"/>
  </r>
  <r>
    <x v="1"/>
    <x v="3"/>
    <x v="0"/>
    <x v="2"/>
    <x v="13"/>
    <n v="367.130763"/>
    <n v="367.32941030000001"/>
    <n v="0.20768352600000001"/>
    <n v="364.69229369999999"/>
  </r>
  <r>
    <x v="1"/>
    <x v="0"/>
    <x v="3"/>
    <x v="2"/>
    <x v="13"/>
    <n v="3.4750847309999999"/>
    <n v="3.4769650319999998"/>
    <n v="5.3323874E-2"/>
    <n v="3.338005119"/>
  </r>
  <r>
    <x v="1"/>
    <x v="0"/>
    <x v="0"/>
    <x v="2"/>
    <x v="13"/>
    <n v="11.50121236"/>
    <n v="11.50743544"/>
    <n v="0.128768988"/>
    <n v="11.04753084"/>
  </r>
  <r>
    <x v="1"/>
    <x v="0"/>
    <x v="2"/>
    <x v="2"/>
    <x v="13"/>
    <n v="256.55978970000001"/>
    <n v="256.69860920000002"/>
    <n v="5.0126583809999996"/>
    <n v="246.4394274"/>
  </r>
  <r>
    <x v="1"/>
    <x v="3"/>
    <x v="0"/>
    <x v="2"/>
    <x v="14"/>
    <n v="0.27354778800000001"/>
    <n v="0.27369579999999999"/>
    <n v="1.5945099999999999E-4"/>
    <n v="0.27354778800000001"/>
  </r>
  <r>
    <x v="1"/>
    <x v="1"/>
    <x v="2"/>
    <x v="2"/>
    <x v="14"/>
    <n v="1.45825099"/>
    <n v="1.4590400210000001"/>
    <n v="0.16062084700000001"/>
    <n v="1.359117511"/>
  </r>
  <r>
    <x v="1"/>
    <x v="1"/>
    <x v="0"/>
    <x v="2"/>
    <x v="14"/>
    <n v="0.79315693200000004"/>
    <n v="0.79358609400000002"/>
    <n v="0.17915658500000001"/>
    <n v="0.73923726599999995"/>
  </r>
  <r>
    <x v="1"/>
    <x v="1"/>
    <x v="3"/>
    <x v="2"/>
    <x v="14"/>
    <n v="15.122813900000001"/>
    <n v="15.13099656"/>
    <n v="3.5050163460000001"/>
    <n v="14.09474865"/>
  </r>
  <r>
    <x v="1"/>
    <x v="0"/>
    <x v="2"/>
    <x v="2"/>
    <x v="14"/>
    <n v="1.9916719279999999"/>
    <n v="1.9927495829999999"/>
    <n v="3.4690857999999998E-2"/>
    <n v="1.79672104"/>
  </r>
  <r>
    <x v="1"/>
    <x v="0"/>
    <x v="3"/>
    <x v="2"/>
    <x v="14"/>
    <n v="7.8935937999999997E-2"/>
    <n v="7.8978648999999998E-2"/>
    <n v="1.220074E-3"/>
    <n v="7.1209448999999994E-2"/>
  </r>
  <r>
    <x v="1"/>
    <x v="1"/>
    <x v="1"/>
    <x v="2"/>
    <x v="14"/>
    <n v="50.624453950000003"/>
    <n v="50.651845860000002"/>
    <n v="10.696007979999999"/>
    <n v="47.18294882"/>
  </r>
  <r>
    <x v="1"/>
    <x v="2"/>
    <x v="0"/>
    <x v="2"/>
    <x v="14"/>
    <n v="2.2476943999999999E-2"/>
    <n v="2.2489105999999998E-2"/>
    <n v="5.6100000000000002E-5"/>
    <n v="1.996214E-2"/>
  </r>
  <r>
    <x v="1"/>
    <x v="0"/>
    <x v="0"/>
    <x v="2"/>
    <x v="14"/>
    <n v="6.0106840000000002E-2"/>
    <n v="6.0139363000000001E-2"/>
    <n v="1.0644210000000001E-3"/>
    <n v="5.4223399999999998E-2"/>
  </r>
  <r>
    <x v="1"/>
    <x v="2"/>
    <x v="2"/>
    <x v="2"/>
    <x v="14"/>
    <n v="2.318830846"/>
    <n v="2.3200855200000001"/>
    <n v="1.6773900000000001E-2"/>
    <n v="2.0593913860000002"/>
  </r>
  <r>
    <x v="1"/>
    <x v="3"/>
    <x v="3"/>
    <x v="2"/>
    <x v="14"/>
    <n v="2.7757596999999998E-2"/>
    <n v="2.7772616E-2"/>
    <n v="1.5548100000000001E-5"/>
    <n v="2.7757596999999998E-2"/>
  </r>
  <r>
    <x v="1"/>
    <x v="1"/>
    <x v="3"/>
    <x v="4"/>
    <x v="15"/>
    <n v="53.010103950000001"/>
    <n v="52.995898830000002"/>
    <n v="12.53765072"/>
    <n v="47.55141897"/>
  </r>
  <r>
    <x v="1"/>
    <x v="0"/>
    <x v="2"/>
    <x v="4"/>
    <x v="15"/>
    <n v="58.605287269999998"/>
    <n v="58.589582810000003"/>
    <n v="0.77414783899999995"/>
    <n v="49.420895680000001"/>
  </r>
  <r>
    <x v="1"/>
    <x v="0"/>
    <x v="0"/>
    <x v="4"/>
    <x v="15"/>
    <n v="0.281596707"/>
    <n v="0.281521248"/>
    <n v="1E-3"/>
    <n v="0.237465972"/>
  </r>
  <r>
    <x v="1"/>
    <x v="2"/>
    <x v="3"/>
    <x v="4"/>
    <x v="15"/>
    <n v="0.57704842000000001"/>
    <n v="0.57689378800000002"/>
    <n v="1.0800000000000001E-2"/>
    <n v="0.46914505699999998"/>
  </r>
  <r>
    <x v="1"/>
    <x v="2"/>
    <x v="2"/>
    <x v="4"/>
    <x v="15"/>
    <n v="0.95025182100000005"/>
    <n v="0.94999718200000005"/>
    <n v="2.1499999999999998E-2"/>
    <n v="0.77256245599999995"/>
  </r>
  <r>
    <x v="1"/>
    <x v="0"/>
    <x v="3"/>
    <x v="4"/>
    <x v="15"/>
    <n v="0.61078268999999996"/>
    <n v="0.61061901900000004"/>
    <n v="8.7631189999999998E-3"/>
    <n v="0.51506321399999999"/>
  </r>
  <r>
    <x v="1"/>
    <x v="3"/>
    <x v="0"/>
    <x v="4"/>
    <x v="15"/>
    <n v="4.9866421110000001"/>
    <n v="4.9853058399999997"/>
    <n v="3.9147180000000002E-3"/>
    <n v="4.179011569"/>
  </r>
  <r>
    <x v="1"/>
    <x v="3"/>
    <x v="3"/>
    <x v="4"/>
    <x v="15"/>
    <n v="0.15548394200000001"/>
    <n v="0.15544227699999999"/>
    <n v="8.5282000000000001E-5"/>
    <n v="0.13030195"/>
  </r>
  <r>
    <x v="1"/>
    <x v="2"/>
    <x v="1"/>
    <x v="4"/>
    <x v="15"/>
    <n v="0.144262105"/>
    <n v="0.144223447"/>
    <n v="2.7000000000000001E-3"/>
    <n v="0.117286264"/>
  </r>
  <r>
    <x v="1"/>
    <x v="1"/>
    <x v="1"/>
    <x v="4"/>
    <x v="15"/>
    <n v="193.7503753"/>
    <n v="193.69845599999999"/>
    <n v="42.684554749999997"/>
    <n v="173.7990418"/>
  </r>
  <r>
    <x v="1"/>
    <x v="1"/>
    <x v="2"/>
    <x v="4"/>
    <x v="15"/>
    <n v="7.5029089569999998"/>
    <n v="7.5008984019999998"/>
    <n v="0.72723563499999999"/>
    <n v="6.7303012210000004"/>
  </r>
  <r>
    <x v="1"/>
    <x v="1"/>
    <x v="1"/>
    <x v="5"/>
    <x v="16"/>
    <n v="60.187652030000002"/>
    <n v="62.656612629999998"/>
    <n v="14.021285239999999"/>
    <n v="55.819306769999997"/>
  </r>
  <r>
    <x v="1"/>
    <x v="1"/>
    <x v="0"/>
    <x v="5"/>
    <x v="16"/>
    <n v="0.59952881300000005"/>
    <n v="0.62412211399999995"/>
    <n v="0.18288428800000001"/>
    <n v="0.55601575400000003"/>
  </r>
  <r>
    <x v="1"/>
    <x v="1"/>
    <x v="3"/>
    <x v="5"/>
    <x v="16"/>
    <n v="17.696369449999999"/>
    <n v="18.422293079999999"/>
    <n v="5.5105410460000002"/>
    <n v="16.411988869999998"/>
  </r>
  <r>
    <x v="1"/>
    <x v="0"/>
    <x v="2"/>
    <x v="5"/>
    <x v="16"/>
    <n v="5.7381567410000001"/>
    <n v="5.9735419480000003"/>
    <n v="9.3710202000000006E-2"/>
    <n v="5.3505375639999997"/>
  </r>
  <r>
    <x v="1"/>
    <x v="0"/>
    <x v="0"/>
    <x v="5"/>
    <x v="16"/>
    <n v="0.176087302"/>
    <n v="0.183310588"/>
    <n v="2.9181089999999999E-3"/>
    <n v="0.16419239899999999"/>
  </r>
  <r>
    <x v="1"/>
    <x v="0"/>
    <x v="3"/>
    <x v="5"/>
    <x v="16"/>
    <n v="0.14709955299999999"/>
    <n v="0.153133731"/>
    <n v="2.3155419999999999E-3"/>
    <n v="0.137162807"/>
  </r>
  <r>
    <x v="1"/>
    <x v="3"/>
    <x v="0"/>
    <x v="5"/>
    <x v="16"/>
    <n v="0.12572048899999999"/>
    <n v="0.130877676"/>
    <n v="1.07252E-4"/>
    <n v="0.12572048899999999"/>
  </r>
  <r>
    <x v="1"/>
    <x v="3"/>
    <x v="3"/>
    <x v="5"/>
    <x v="16"/>
    <n v="4.3849423999999998E-2"/>
    <n v="4.5648174E-2"/>
    <n v="3.7707000000000003E-5"/>
    <n v="4.3849423999999998E-2"/>
  </r>
  <r>
    <x v="1"/>
    <x v="2"/>
    <x v="0"/>
    <x v="5"/>
    <x v="16"/>
    <n v="1.1135628E-2"/>
    <n v="1.1592422999999999E-2"/>
    <n v="2.4000000000000001E-4"/>
    <n v="9.7867160000000009E-3"/>
  </r>
  <r>
    <x v="1"/>
    <x v="1"/>
    <x v="2"/>
    <x v="5"/>
    <x v="16"/>
    <n v="1.877027864"/>
    <n v="1.9540255150000001"/>
    <n v="0.235450826"/>
    <n v="1.740795506"/>
  </r>
  <r>
    <x v="1"/>
    <x v="2"/>
    <x v="2"/>
    <x v="5"/>
    <x v="16"/>
    <n v="1.102427187"/>
    <n v="1.1476499069999999"/>
    <n v="2.376E-2"/>
    <n v="0.96888486399999996"/>
  </r>
  <r>
    <x v="1"/>
    <x v="3"/>
    <x v="0"/>
    <x v="6"/>
    <x v="17"/>
    <n v="0.299979053"/>
    <n v="0.31266108599999998"/>
    <n v="9.1471800000000002E-4"/>
    <n v="0.243885409"/>
  </r>
  <r>
    <x v="1"/>
    <x v="2"/>
    <x v="2"/>
    <x v="6"/>
    <x v="17"/>
    <n v="23.93681527"/>
    <n v="24.948777509999999"/>
    <n v="0.34709000000000001"/>
    <n v="22.631164299999998"/>
  </r>
  <r>
    <x v="1"/>
    <x v="2"/>
    <x v="3"/>
    <x v="6"/>
    <x v="17"/>
    <n v="1.6201585620000001"/>
    <n v="1.6886530239999999"/>
    <n v="5.6910000000000002E-2"/>
    <n v="1.5317858369999999"/>
  </r>
  <r>
    <x v="1"/>
    <x v="3"/>
    <x v="3"/>
    <x v="6"/>
    <x v="17"/>
    <n v="2.7967928999999999E-2"/>
    <n v="2.9150312000000001E-2"/>
    <n v="8.5282000000000001E-5"/>
    <n v="2.2738154E-2"/>
  </r>
  <r>
    <x v="1"/>
    <x v="0"/>
    <x v="2"/>
    <x v="6"/>
    <x v="17"/>
    <n v="112.5871671"/>
    <n v="117.3469466"/>
    <n v="1.5715811630000001"/>
    <n v="97.383675440000005"/>
  </r>
  <r>
    <x v="1"/>
    <x v="0"/>
    <x v="3"/>
    <x v="6"/>
    <x v="17"/>
    <n v="0.67181135700000005"/>
    <n v="0.70021311900000005"/>
    <n v="7.7140969999999996E-3"/>
    <n v="0.58109161799999998"/>
  </r>
  <r>
    <x v="1"/>
    <x v="1"/>
    <x v="3"/>
    <x v="6"/>
    <x v="17"/>
    <n v="130.9075459"/>
    <n v="136.44184490000001"/>
    <n v="32.987633789999997"/>
    <n v="118.9758392"/>
  </r>
  <r>
    <x v="1"/>
    <x v="1"/>
    <x v="2"/>
    <x v="6"/>
    <x v="17"/>
    <n v="16.98782228"/>
    <n v="17.70600615"/>
    <n v="1.138947003"/>
    <n v="15.43944926"/>
  </r>
  <r>
    <x v="1"/>
    <x v="1"/>
    <x v="1"/>
    <x v="6"/>
    <x v="17"/>
    <n v="401.51082250000002"/>
    <n v="418.48525239999998"/>
    <n v="94.071433889999994"/>
    <n v="364.91469410000002"/>
  </r>
  <r>
    <x v="1"/>
    <x v="0"/>
    <x v="0"/>
    <x v="6"/>
    <x v="17"/>
    <n v="4.397159222"/>
    <n v="4.5830552600000001"/>
    <n v="1.2974652E-2"/>
    <n v="3.8033777510000002"/>
  </r>
  <r>
    <x v="1"/>
    <x v="0"/>
    <x v="2"/>
    <x v="6"/>
    <x v="18"/>
    <n v="14.78442154"/>
    <n v="16.79090382"/>
    <n v="0.28420625900000002"/>
    <n v="12.652605489999999"/>
  </r>
  <r>
    <x v="1"/>
    <x v="2"/>
    <x v="2"/>
    <x v="6"/>
    <x v="18"/>
    <n v="3.4191768869999999"/>
    <n v="3.8832138349999998"/>
    <n v="2.9000000000000001E-2"/>
    <n v="2.8493140719999999"/>
  </r>
  <r>
    <x v="1"/>
    <x v="3"/>
    <x v="0"/>
    <x v="6"/>
    <x v="18"/>
    <n v="2.0143675000000001"/>
    <n v="2.2877493630000001"/>
    <n v="1E-3"/>
    <n v="1.611494"/>
  </r>
  <r>
    <x v="1"/>
    <x v="0"/>
    <x v="0"/>
    <x v="6"/>
    <x v="18"/>
    <n v="0.41745608899999997"/>
    <n v="0.47411155199999999"/>
    <n v="2.7680000000000001E-3"/>
    <n v="0.357261675"/>
  </r>
  <r>
    <x v="1"/>
    <x v="2"/>
    <x v="3"/>
    <x v="6"/>
    <x v="18"/>
    <n v="6.4855277000000003E-2"/>
    <n v="7.3657175000000005E-2"/>
    <n v="1.8E-3"/>
    <n v="5.4046063999999998E-2"/>
  </r>
  <r>
    <x v="1"/>
    <x v="1"/>
    <x v="3"/>
    <x v="6"/>
    <x v="18"/>
    <n v="26.55933409"/>
    <n v="30.163860190000001"/>
    <n v="7.9629417350000002"/>
    <n v="23.053802080000001"/>
  </r>
  <r>
    <x v="1"/>
    <x v="1"/>
    <x v="2"/>
    <x v="6"/>
    <x v="18"/>
    <n v="7.7127593990000003"/>
    <n v="8.7595041120000001"/>
    <n v="1.159699002"/>
    <n v="6.6947623050000002"/>
  </r>
  <r>
    <x v="1"/>
    <x v="1"/>
    <x v="1"/>
    <x v="6"/>
    <x v="18"/>
    <n v="89.289913260000006"/>
    <n v="101.40798150000001"/>
    <n v="25.159255909999999"/>
    <n v="77.504653599999997"/>
  </r>
  <r>
    <x v="1"/>
    <x v="0"/>
    <x v="3"/>
    <x v="6"/>
    <x v="18"/>
    <n v="9.6820378999999998E-2"/>
    <n v="0.109960452"/>
    <n v="1.370874E-3"/>
    <n v="8.2859519000000006E-2"/>
  </r>
  <r>
    <x v="1"/>
    <x v="2"/>
    <x v="1"/>
    <x v="6"/>
    <x v="18"/>
    <n v="0.15132898"/>
    <n v="0.17186674099999999"/>
    <n v="4.1999999999999997E-3"/>
    <n v="0.12610748299999999"/>
  </r>
  <r>
    <x v="1"/>
    <x v="0"/>
    <x v="2"/>
    <x v="2"/>
    <x v="19"/>
    <n v="3.0075205459999999"/>
    <n v="3.0091478569999999"/>
    <n v="6.0017374999999998E-2"/>
    <n v="2.7348097500000002"/>
  </r>
  <r>
    <x v="1"/>
    <x v="2"/>
    <x v="0"/>
    <x v="2"/>
    <x v="19"/>
    <n v="2.4047259000000001E-2"/>
    <n v="2.4060271000000001E-2"/>
    <n v="2.1099999999999999E-3"/>
    <n v="2.1097471999999999E-2"/>
  </r>
  <r>
    <x v="1"/>
    <x v="1"/>
    <x v="1"/>
    <x v="2"/>
    <x v="19"/>
    <n v="183.89481409999999"/>
    <n v="183.994316"/>
    <n v="36.63483712"/>
    <n v="174.1423838"/>
  </r>
  <r>
    <x v="1"/>
    <x v="1"/>
    <x v="2"/>
    <x v="2"/>
    <x v="19"/>
    <n v="3.3346673779999998"/>
    <n v="3.3364717009999998"/>
    <n v="0.46604111399999998"/>
    <n v="3.1578211120000002"/>
  </r>
  <r>
    <x v="1"/>
    <x v="1"/>
    <x v="3"/>
    <x v="2"/>
    <x v="19"/>
    <n v="39.271902650000001"/>
    <n v="39.293151909999999"/>
    <n v="9.4432651550000006"/>
    <n v="37.18920937"/>
  </r>
  <r>
    <x v="1"/>
    <x v="0"/>
    <x v="0"/>
    <x v="2"/>
    <x v="19"/>
    <n v="9.7799062000000006E-2"/>
    <n v="9.7851979000000006E-2"/>
    <n v="1.7653499999999999E-3"/>
    <n v="8.8931006000000007E-2"/>
  </r>
  <r>
    <x v="1"/>
    <x v="0"/>
    <x v="3"/>
    <x v="2"/>
    <x v="19"/>
    <n v="8.4582426000000002E-2"/>
    <n v="8.4628192000000005E-2"/>
    <n v="1.3413159999999999E-3"/>
    <n v="7.6912806E-2"/>
  </r>
  <r>
    <x v="1"/>
    <x v="3"/>
    <x v="0"/>
    <x v="2"/>
    <x v="19"/>
    <n v="0.40742883400000002"/>
    <n v="0.407649286"/>
    <n v="3.2379400000000002E-4"/>
    <n v="0.40742883400000002"/>
  </r>
  <r>
    <x v="1"/>
    <x v="3"/>
    <x v="3"/>
    <x v="2"/>
    <x v="19"/>
    <n v="3.1662506999999999E-2"/>
    <n v="3.1679639000000002E-2"/>
    <n v="2.5394000000000001E-5"/>
    <n v="3.1662506999999999E-2"/>
  </r>
  <r>
    <x v="1"/>
    <x v="2"/>
    <x v="2"/>
    <x v="2"/>
    <x v="19"/>
    <n v="2.3806786770000001"/>
    <n v="2.3819668159999998"/>
    <n v="0.20888999999999999"/>
    <n v="2.0886497500000001"/>
  </r>
  <r>
    <x v="1"/>
    <x v="1"/>
    <x v="0"/>
    <x v="2"/>
    <x v="19"/>
    <n v="2.2264922459999998"/>
    <n v="2.227696957"/>
    <n v="0.40202938199999999"/>
    <n v="2.1084154499999999"/>
  </r>
  <r>
    <x v="1"/>
    <x v="2"/>
    <x v="2"/>
    <x v="7"/>
    <x v="20"/>
    <n v="0.59526343800000003"/>
    <n v="0.59000691900000002"/>
    <n v="2.2939999999999999E-2"/>
    <n v="0.52527043399999995"/>
  </r>
  <r>
    <x v="1"/>
    <x v="0"/>
    <x v="2"/>
    <x v="7"/>
    <x v="20"/>
    <n v="4.3141733200000001"/>
    <n v="4.2760766840000004"/>
    <n v="9.0048556000000002E-2"/>
    <n v="4.0232163319999996"/>
  </r>
  <r>
    <x v="1"/>
    <x v="1"/>
    <x v="1"/>
    <x v="7"/>
    <x v="20"/>
    <n v="159.33921559999999"/>
    <n v="157.93215850000001"/>
    <n v="30.836156549999998"/>
    <n v="146.92650069999999"/>
  </r>
  <r>
    <x v="1"/>
    <x v="2"/>
    <x v="0"/>
    <x v="7"/>
    <x v="20"/>
    <n v="2.0233460000000001E-3"/>
    <n v="2.0054790000000001E-3"/>
    <n v="6.0000000000000002E-5"/>
    <n v="1.785434E-3"/>
  </r>
  <r>
    <x v="1"/>
    <x v="1"/>
    <x v="2"/>
    <x v="7"/>
    <x v="20"/>
    <n v="3.9296107010000001"/>
    <n v="3.894909975"/>
    <n v="0.48656889199999998"/>
    <n v="3.6234893430000001"/>
  </r>
  <r>
    <x v="1"/>
    <x v="1"/>
    <x v="3"/>
    <x v="7"/>
    <x v="20"/>
    <n v="53.158009319999998"/>
    <n v="52.688593470000001"/>
    <n v="11.33282809"/>
    <n v="49.01693702"/>
  </r>
  <r>
    <x v="1"/>
    <x v="3"/>
    <x v="3"/>
    <x v="7"/>
    <x v="20"/>
    <n v="1.667676715"/>
    <n v="1.6529501689999999"/>
    <n v="1.291429E-3"/>
    <n v="1.667676715"/>
  </r>
  <r>
    <x v="1"/>
    <x v="3"/>
    <x v="0"/>
    <x v="7"/>
    <x v="20"/>
    <n v="9.4260051800000006"/>
    <n v="9.3427681230000008"/>
    <n v="7.0478210000000001E-3"/>
    <n v="9.4260051800000006"/>
  </r>
  <r>
    <x v="1"/>
    <x v="1"/>
    <x v="0"/>
    <x v="7"/>
    <x v="20"/>
    <n v="2.2896221579999998"/>
    <n v="2.2694034749999998"/>
    <n v="0.43097192099999998"/>
    <n v="2.111257862"/>
  </r>
  <r>
    <x v="1"/>
    <x v="0"/>
    <x v="0"/>
    <x v="7"/>
    <x v="20"/>
    <n v="0.102684705"/>
    <n v="0.10177794"/>
    <n v="1.835305E-3"/>
    <n v="9.5759431000000006E-2"/>
  </r>
  <r>
    <x v="1"/>
    <x v="0"/>
    <x v="3"/>
    <x v="7"/>
    <x v="20"/>
    <n v="0.14536891099999999"/>
    <n v="0.14408522000000001"/>
    <n v="2.344292E-3"/>
    <n v="0.135564924"/>
  </r>
  <r>
    <x v="1"/>
    <x v="3"/>
    <x v="3"/>
    <x v="2"/>
    <x v="21"/>
    <n v="6.9676473369999998"/>
    <n v="6.9714173949999996"/>
    <n v="4.9215450000000003E-3"/>
    <n v="6.9676473369999998"/>
  </r>
  <r>
    <x v="1"/>
    <x v="1"/>
    <x v="1"/>
    <x v="2"/>
    <x v="21"/>
    <n v="402.73986500000001"/>
    <n v="402.9577797"/>
    <n v="85.192475200000004"/>
    <n v="372.81503679999997"/>
  </r>
  <r>
    <x v="1"/>
    <x v="0"/>
    <x v="2"/>
    <x v="2"/>
    <x v="21"/>
    <n v="43.26342451"/>
    <n v="43.2868335"/>
    <n v="0.78266623199999996"/>
    <n v="39.08652747"/>
  </r>
  <r>
    <x v="1"/>
    <x v="0"/>
    <x v="0"/>
    <x v="2"/>
    <x v="21"/>
    <n v="1.7361159479999999"/>
    <n v="1.7370553259999999"/>
    <n v="2.5840308999999999E-2"/>
    <n v="1.568501441"/>
  </r>
  <r>
    <x v="1"/>
    <x v="0"/>
    <x v="3"/>
    <x v="2"/>
    <x v="21"/>
    <n v="1.6465369620000001"/>
    <n v="1.6474278710000001"/>
    <n v="2.4544454E-2"/>
    <n v="1.48757092"/>
  </r>
  <r>
    <x v="1"/>
    <x v="3"/>
    <x v="0"/>
    <x v="2"/>
    <x v="21"/>
    <n v="99.742891290000003"/>
    <n v="99.796860219999999"/>
    <n v="6.4809489999999997E-2"/>
    <n v="99.742891290000003"/>
  </r>
  <r>
    <x v="1"/>
    <x v="2"/>
    <x v="2"/>
    <x v="2"/>
    <x v="21"/>
    <n v="18.45745878"/>
    <n v="18.46744575"/>
    <n v="0.143705898"/>
    <n v="16.65300096"/>
  </r>
  <r>
    <x v="1"/>
    <x v="1"/>
    <x v="2"/>
    <x v="2"/>
    <x v="21"/>
    <n v="14.81039927"/>
    <n v="14.818412889999999"/>
    <n v="1.362045009"/>
    <n v="13.709940400000001"/>
  </r>
  <r>
    <x v="1"/>
    <x v="1"/>
    <x v="3"/>
    <x v="2"/>
    <x v="21"/>
    <n v="125.7453026"/>
    <n v="125.8133409"/>
    <n v="28.091423880000001"/>
    <n v="116.40203440000001"/>
  </r>
  <r>
    <x v="1"/>
    <x v="2"/>
    <x v="0"/>
    <x v="2"/>
    <x v="21"/>
    <n v="0.36556626599999997"/>
    <n v="0.36576406700000003"/>
    <n v="6.5995020000000001E-3"/>
    <n v="0.329827386"/>
  </r>
  <r>
    <x v="1"/>
    <x v="1"/>
    <x v="0"/>
    <x v="2"/>
    <x v="21"/>
    <n v="7.971168155"/>
    <n v="7.9754811979999998"/>
    <n v="1.87389545"/>
    <n v="7.3788854969999997"/>
  </r>
  <r>
    <x v="1"/>
    <x v="1"/>
    <x v="3"/>
    <x v="8"/>
    <x v="22"/>
    <n v="741.38559499999997"/>
    <n v="804.20357260000003"/>
    <n v="130.0493443"/>
    <n v="670.91128960000003"/>
  </r>
  <r>
    <x v="1"/>
    <x v="1"/>
    <x v="1"/>
    <x v="8"/>
    <x v="22"/>
    <n v="2208.1700340000002"/>
    <n v="2395.269401"/>
    <n v="390.48748069999999"/>
    <n v="1998.266779"/>
  </r>
  <r>
    <x v="1"/>
    <x v="1"/>
    <x v="0"/>
    <x v="8"/>
    <x v="22"/>
    <n v="47.260833750000003"/>
    <n v="51.265268169999999"/>
    <n v="0.48323500000000003"/>
    <n v="42.768334230000001"/>
  </r>
  <r>
    <x v="1"/>
    <x v="3"/>
    <x v="2"/>
    <x v="8"/>
    <x v="22"/>
    <n v="93.998797780000004"/>
    <n v="101.96336359999999"/>
    <n v="3.7999999999999999E-2"/>
    <n v="92.403420650000001"/>
  </r>
  <r>
    <x v="1"/>
    <x v="0"/>
    <x v="2"/>
    <x v="8"/>
    <x v="22"/>
    <n v="319.13192190000001"/>
    <n v="346.1721316"/>
    <n v="7.1119520400000003"/>
    <n v="295.07909769999998"/>
  </r>
  <r>
    <x v="1"/>
    <x v="0"/>
    <x v="0"/>
    <x v="8"/>
    <x v="22"/>
    <n v="17.607278449999999"/>
    <n v="19.09915209"/>
    <n v="0.183743773"/>
    <n v="16.280226079999998"/>
  </r>
  <r>
    <x v="1"/>
    <x v="0"/>
    <x v="3"/>
    <x v="8"/>
    <x v="22"/>
    <n v="7.9834118859999998"/>
    <n v="8.6598504250000001"/>
    <n v="6.2304388000000002E-2"/>
    <n v="7.3817058529999997"/>
  </r>
  <r>
    <x v="1"/>
    <x v="2"/>
    <x v="0"/>
    <x v="8"/>
    <x v="22"/>
    <n v="17.870255830000001"/>
    <n v="19.384411669999999"/>
    <n v="0.03"/>
    <n v="16.87137164"/>
  </r>
  <r>
    <x v="1"/>
    <x v="2"/>
    <x v="2"/>
    <x v="8"/>
    <x v="22"/>
    <n v="105.41443049999999"/>
    <n v="114.3462486"/>
    <n v="1.857"/>
    <n v="99.522136070000002"/>
  </r>
  <r>
    <x v="1"/>
    <x v="3"/>
    <x v="3"/>
    <x v="8"/>
    <x v="22"/>
    <n v="10.899860589999999"/>
    <n v="11.823411309999999"/>
    <n v="7.6816599999999999E-3"/>
    <n v="10.71486473"/>
  </r>
  <r>
    <x v="1"/>
    <x v="3"/>
    <x v="0"/>
    <x v="8"/>
    <x v="22"/>
    <n v="630.99192979999998"/>
    <n v="684.45619610000006"/>
    <n v="0.29331834200000001"/>
    <n v="620.28253649999999"/>
  </r>
  <r>
    <x v="1"/>
    <x v="1"/>
    <x v="2"/>
    <x v="8"/>
    <x v="22"/>
    <n v="105.9122279"/>
    <n v="114.8862247"/>
    <n v="5.7009299999999996"/>
    <n v="95.844469950000004"/>
  </r>
  <r>
    <x v="1"/>
    <x v="0"/>
    <x v="0"/>
    <x v="6"/>
    <x v="23"/>
    <n v="3.3569186640000002"/>
    <n v="3.486451185"/>
    <n v="7.0000000000000001E-3"/>
    <n v="2.8226817049999999"/>
  </r>
  <r>
    <x v="1"/>
    <x v="1"/>
    <x v="1"/>
    <x v="6"/>
    <x v="23"/>
    <n v="143.81357980000001"/>
    <n v="149.36287590000001"/>
    <n v="21.96565953"/>
    <n v="126.4481012"/>
  </r>
  <r>
    <x v="1"/>
    <x v="1"/>
    <x v="2"/>
    <x v="6"/>
    <x v="23"/>
    <n v="6.4251759450000003"/>
    <n v="6.6731024870000004"/>
    <n v="0.21846180500000001"/>
    <n v="5.6493364469999996"/>
  </r>
  <r>
    <x v="1"/>
    <x v="0"/>
    <x v="2"/>
    <x v="6"/>
    <x v="23"/>
    <n v="34.639498969999998"/>
    <n v="35.976124030000001"/>
    <n v="0.47820554900000001"/>
    <n v="29.126794480000001"/>
  </r>
  <r>
    <x v="1"/>
    <x v="0"/>
    <x v="3"/>
    <x v="6"/>
    <x v="23"/>
    <n v="0.55919317899999998"/>
    <n v="0.58077061600000002"/>
    <n v="1.0557726E-2"/>
    <n v="0.47020035799999998"/>
  </r>
  <r>
    <x v="1"/>
    <x v="3"/>
    <x v="0"/>
    <x v="6"/>
    <x v="23"/>
    <n v="23.988322759999999"/>
    <n v="24.91395374"/>
    <n v="1.3952624E-2"/>
    <n v="20.43135015"/>
  </r>
  <r>
    <x v="1"/>
    <x v="3"/>
    <x v="3"/>
    <x v="6"/>
    <x v="23"/>
    <n v="5.1235898400000002"/>
    <n v="5.3212924279999996"/>
    <n v="3.0473760000000001E-3"/>
    <n v="4.3638673319999999"/>
  </r>
  <r>
    <x v="1"/>
    <x v="2"/>
    <x v="2"/>
    <x v="6"/>
    <x v="23"/>
    <n v="2.5539782739999999"/>
    <n v="2.652527949"/>
    <n v="6.2E-2"/>
    <n v="2.406249785"/>
  </r>
  <r>
    <x v="1"/>
    <x v="1"/>
    <x v="3"/>
    <x v="6"/>
    <x v="23"/>
    <n v="39.863198750000002"/>
    <n v="41.40138932"/>
    <n v="8.7272495509999999"/>
    <n v="35.04972059"/>
  </r>
  <r>
    <x v="1"/>
    <x v="1"/>
    <x v="3"/>
    <x v="0"/>
    <x v="24"/>
    <n v="68.287291280000005"/>
    <n v="71.16625329"/>
    <n v="14.493829590000001"/>
    <n v="65.846812029999995"/>
  </r>
  <r>
    <x v="1"/>
    <x v="1"/>
    <x v="1"/>
    <x v="0"/>
    <x v="24"/>
    <n v="222.45307779999999"/>
    <n v="231.83160119999999"/>
    <n v="47.95958916"/>
    <n v="214.50295840000001"/>
  </r>
  <r>
    <x v="1"/>
    <x v="2"/>
    <x v="0"/>
    <x v="0"/>
    <x v="24"/>
    <n v="14.80174835"/>
    <n v="15.42578352"/>
    <n v="2.3E-2"/>
    <n v="14.312760239999999"/>
  </r>
  <r>
    <x v="1"/>
    <x v="2"/>
    <x v="2"/>
    <x v="0"/>
    <x v="24"/>
    <n v="8.3670658029999991"/>
    <n v="8.7198176000000007"/>
    <n v="0.10674136200000001"/>
    <n v="8.0906527990000008"/>
  </r>
  <r>
    <x v="1"/>
    <x v="3"/>
    <x v="3"/>
    <x v="0"/>
    <x v="24"/>
    <n v="15.41014137"/>
    <n v="16.05982612"/>
    <n v="9.5427889999999994E-3"/>
    <n v="15.048966180000001"/>
  </r>
  <r>
    <x v="1"/>
    <x v="3"/>
    <x v="0"/>
    <x v="0"/>
    <x v="24"/>
    <n v="58.40443449"/>
    <n v="60.866739629999998"/>
    <n v="3.0985606999999998E-2"/>
    <n v="57.03558056"/>
  </r>
  <r>
    <x v="1"/>
    <x v="0"/>
    <x v="3"/>
    <x v="0"/>
    <x v="24"/>
    <n v="0.48589434399999998"/>
    <n v="0.50637943500000004"/>
    <n v="4.0523130000000001E-3"/>
    <n v="0.46166350299999998"/>
  </r>
  <r>
    <x v="1"/>
    <x v="0"/>
    <x v="0"/>
    <x v="0"/>
    <x v="24"/>
    <n v="2.9676853919999999"/>
    <n v="3.0928016970000001"/>
    <n v="1.8376066999999999E-2"/>
    <n v="2.819691256"/>
  </r>
  <r>
    <x v="1"/>
    <x v="0"/>
    <x v="2"/>
    <x v="0"/>
    <x v="24"/>
    <n v="59.08909336"/>
    <n v="61.580263420000001"/>
    <n v="1.1569678670000001"/>
    <n v="56.142406579999999"/>
  </r>
  <r>
    <x v="1"/>
    <x v="1"/>
    <x v="0"/>
    <x v="0"/>
    <x v="24"/>
    <n v="2.6677506050000002"/>
    <n v="2.7802217910000002"/>
    <n v="8.5819999999999994E-2"/>
    <n v="2.5724094389999999"/>
  </r>
  <r>
    <x v="1"/>
    <x v="1"/>
    <x v="2"/>
    <x v="0"/>
    <x v="24"/>
    <n v="19.784627660000002"/>
    <n v="20.618738820000001"/>
    <n v="1.346820847"/>
    <n v="19.077556510000001"/>
  </r>
  <r>
    <x v="1"/>
    <x v="2"/>
    <x v="2"/>
    <x v="2"/>
    <x v="25"/>
    <n v="5.1577191449999997"/>
    <n v="5.1605098859999998"/>
    <n v="3.9660000000000001E-2"/>
    <n v="4.5016412590000003"/>
  </r>
  <r>
    <x v="1"/>
    <x v="3"/>
    <x v="3"/>
    <x v="2"/>
    <x v="25"/>
    <n v="2.585064842"/>
    <n v="2.5864635699999998"/>
    <n v="1.8316890000000001E-3"/>
    <n v="2.585064842"/>
  </r>
  <r>
    <x v="1"/>
    <x v="0"/>
    <x v="3"/>
    <x v="2"/>
    <x v="25"/>
    <n v="0.42244189900000001"/>
    <n v="0.42267047400000002"/>
    <n v="6.6368920000000001E-3"/>
    <n v="0.38495877000000001"/>
  </r>
  <r>
    <x v="1"/>
    <x v="0"/>
    <x v="0"/>
    <x v="2"/>
    <x v="25"/>
    <n v="0.39845257699999997"/>
    <n v="0.39866817199999999"/>
    <n v="6.8827200000000002E-3"/>
    <n v="0.36309801200000003"/>
  </r>
  <r>
    <x v="1"/>
    <x v="0"/>
    <x v="2"/>
    <x v="2"/>
    <x v="25"/>
    <n v="14.481191709999999"/>
    <n v="14.489027200000001"/>
    <n v="0.24820379000000001"/>
    <n v="13.196280379999999"/>
  </r>
  <r>
    <x v="1"/>
    <x v="1"/>
    <x v="3"/>
    <x v="2"/>
    <x v="25"/>
    <n v="119.027778"/>
    <n v="119.0921816"/>
    <n v="24.30022349"/>
    <n v="110.4802195"/>
  </r>
  <r>
    <x v="1"/>
    <x v="1"/>
    <x v="0"/>
    <x v="2"/>
    <x v="25"/>
    <n v="6.6335493999999997"/>
    <n v="6.637138684"/>
    <n v="0.79523789700000003"/>
    <n v="6.1571845319999996"/>
  </r>
  <r>
    <x v="1"/>
    <x v="1"/>
    <x v="2"/>
    <x v="2"/>
    <x v="25"/>
    <n v="11.159999170000001"/>
    <n v="11.16603763"/>
    <n v="1.0762613999999999"/>
    <n v="10.358583339999999"/>
  </r>
  <r>
    <x v="1"/>
    <x v="1"/>
    <x v="1"/>
    <x v="2"/>
    <x v="25"/>
    <n v="435.94093859999998"/>
    <n v="436.17681770000002"/>
    <n v="83.447958200000002"/>
    <n v="404.6353833"/>
  </r>
  <r>
    <x v="1"/>
    <x v="2"/>
    <x v="0"/>
    <x v="2"/>
    <x v="25"/>
    <n v="1.6115798560000001"/>
    <n v="1.61245185"/>
    <n v="7.3400000000000002E-3"/>
    <n v="1.4065818960000001"/>
  </r>
  <r>
    <x v="1"/>
    <x v="3"/>
    <x v="0"/>
    <x v="2"/>
    <x v="25"/>
    <n v="23.401860209999999"/>
    <n v="23.4145225"/>
    <n v="1.7505224999999999E-2"/>
    <n v="23.401860209999999"/>
  </r>
  <r>
    <x v="1"/>
    <x v="0"/>
    <x v="2"/>
    <x v="1"/>
    <x v="26"/>
    <n v="4.9157140779999997"/>
    <n v="4.858746537"/>
    <n v="0.105308398"/>
    <n v="4.1881133909999999"/>
  </r>
  <r>
    <x v="1"/>
    <x v="1"/>
    <x v="1"/>
    <x v="1"/>
    <x v="26"/>
    <n v="57.221269030000002"/>
    <n v="56.558139539999999"/>
    <n v="10.39753303"/>
    <n v="49.975364740000003"/>
  </r>
  <r>
    <x v="1"/>
    <x v="1"/>
    <x v="3"/>
    <x v="1"/>
    <x v="26"/>
    <n v="11.36337683"/>
    <n v="11.231688200000001"/>
    <n v="2.1949241179999999"/>
    <n v="9.9244373879999994"/>
  </r>
  <r>
    <x v="1"/>
    <x v="0"/>
    <x v="3"/>
    <x v="1"/>
    <x v="26"/>
    <n v="2.8777750000000001E-2"/>
    <n v="2.8444249000000001E-2"/>
    <n v="3.6416900000000002E-4"/>
    <n v="2.4518203999999998E-2"/>
  </r>
  <r>
    <x v="1"/>
    <x v="3"/>
    <x v="0"/>
    <x v="1"/>
    <x v="26"/>
    <n v="0.86831199999999997"/>
    <n v="0.85824925100000005"/>
    <n v="1E-3"/>
    <n v="0.86831199999999997"/>
  </r>
  <r>
    <x v="1"/>
    <x v="2"/>
    <x v="2"/>
    <x v="1"/>
    <x v="26"/>
    <n v="1.1860106029999999"/>
    <n v="1.1722660869999999"/>
    <n v="2.2700000000000001E-2"/>
    <n v="0.96423626200000001"/>
  </r>
  <r>
    <x v="1"/>
    <x v="2"/>
    <x v="3"/>
    <x v="1"/>
    <x v="26"/>
    <n v="8.1028630000000001E-3"/>
    <n v="8.0089600000000007E-3"/>
    <n v="2.9999999999999997E-4"/>
    <n v="6.5876930000000004E-3"/>
  </r>
  <r>
    <x v="1"/>
    <x v="1"/>
    <x v="2"/>
    <x v="1"/>
    <x v="26"/>
    <n v="2.2391256789999998"/>
    <n v="2.2131767560000002"/>
    <n v="0.217106988"/>
    <n v="1.9555861729999999"/>
  </r>
  <r>
    <x v="1"/>
    <x v="2"/>
    <x v="0"/>
    <x v="2"/>
    <x v="27"/>
    <n v="1.8164264999999999E-2"/>
    <n v="1.9473351999999999E-2"/>
    <n v="5.0000000000000001E-4"/>
    <n v="1.5795013E-2"/>
  </r>
  <r>
    <x v="1"/>
    <x v="0"/>
    <x v="2"/>
    <x v="2"/>
    <x v="27"/>
    <n v="6.1450866629999998"/>
    <n v="6.5879591389999996"/>
    <n v="5.2816686000000002E-2"/>
    <n v="5.7319531269999997"/>
  </r>
  <r>
    <x v="1"/>
    <x v="1"/>
    <x v="2"/>
    <x v="2"/>
    <x v="27"/>
    <n v="1.427687312"/>
    <n v="1.530579825"/>
    <n v="0.20856746800000001"/>
    <n v="1.3218669139999999"/>
  </r>
  <r>
    <x v="1"/>
    <x v="1"/>
    <x v="1"/>
    <x v="2"/>
    <x v="27"/>
    <n v="101.3029363"/>
    <n v="108.6037743"/>
    <n v="17.510505250000001"/>
    <n v="93.794347439999996"/>
  </r>
  <r>
    <x v="1"/>
    <x v="1"/>
    <x v="0"/>
    <x v="2"/>
    <x v="27"/>
    <n v="1.355501863"/>
    <n v="1.4531920169999999"/>
    <n v="0.20456275199999999"/>
    <n v="1.255031861"/>
  </r>
  <r>
    <x v="1"/>
    <x v="1"/>
    <x v="3"/>
    <x v="2"/>
    <x v="27"/>
    <n v="28.806129739999999"/>
    <n v="30.882169139999998"/>
    <n v="5.7042482059999999"/>
    <n v="26.67101508"/>
  </r>
  <r>
    <x v="1"/>
    <x v="0"/>
    <x v="0"/>
    <x v="2"/>
    <x v="27"/>
    <n v="9.1187107000000003E-2"/>
    <n v="9.7758903999999994E-2"/>
    <n v="1.4947949999999999E-3"/>
    <n v="8.5056607000000006E-2"/>
  </r>
  <r>
    <x v="1"/>
    <x v="0"/>
    <x v="3"/>
    <x v="2"/>
    <x v="27"/>
    <n v="0.12708753"/>
    <n v="0.136246647"/>
    <n v="1.9000410000000001E-3"/>
    <n v="0.118543449"/>
  </r>
  <r>
    <x v="1"/>
    <x v="3"/>
    <x v="0"/>
    <x v="2"/>
    <x v="27"/>
    <n v="5.1325627850000002"/>
    <n v="5.5024633109999996"/>
    <n v="3.5257639999999998E-3"/>
    <n v="5.1325627850000002"/>
  </r>
  <r>
    <x v="1"/>
    <x v="2"/>
    <x v="2"/>
    <x v="2"/>
    <x v="27"/>
    <n v="1.956503704"/>
    <n v="2.0975076779999999"/>
    <n v="6.0499999999999998E-2"/>
    <n v="1.7013075689999999"/>
  </r>
  <r>
    <x v="1"/>
    <x v="3"/>
    <x v="3"/>
    <x v="2"/>
    <x v="27"/>
    <n v="1.209992511"/>
    <n v="1.2971958990000001"/>
    <n v="8.9730099999999998E-4"/>
    <n v="1.209992511"/>
  </r>
  <r>
    <x v="1"/>
    <x v="0"/>
    <x v="2"/>
    <x v="5"/>
    <x v="28"/>
    <n v="20.697410860000002"/>
    <n v="20.665071000000001"/>
    <n v="0.32913378399999998"/>
    <n v="19.348690269999999"/>
  </r>
  <r>
    <x v="1"/>
    <x v="0"/>
    <x v="3"/>
    <x v="5"/>
    <x v="28"/>
    <n v="0.65226938400000001"/>
    <n v="0.651250208"/>
    <n v="9.9395909999999994E-3"/>
    <n v="0.60976507400000002"/>
  </r>
  <r>
    <x v="1"/>
    <x v="2"/>
    <x v="0"/>
    <x v="5"/>
    <x v="28"/>
    <n v="2.4135793999999999E-2"/>
    <n v="2.4098082E-2"/>
    <n v="7.6999999999999996E-4"/>
    <n v="2.1364366999999999E-2"/>
  </r>
  <r>
    <x v="1"/>
    <x v="3"/>
    <x v="3"/>
    <x v="5"/>
    <x v="28"/>
    <n v="0.113597143"/>
    <n v="0.113419647"/>
    <n v="9.1408000000000003E-5"/>
    <n v="0.113597143"/>
  </r>
  <r>
    <x v="1"/>
    <x v="1"/>
    <x v="1"/>
    <x v="5"/>
    <x v="28"/>
    <n v="194.1314137"/>
    <n v="193.8280819"/>
    <n v="45.108136180000002"/>
    <n v="182.79000600000001"/>
  </r>
  <r>
    <x v="1"/>
    <x v="1"/>
    <x v="2"/>
    <x v="5"/>
    <x v="28"/>
    <n v="5.1371089169999999"/>
    <n v="5.1290821449999999"/>
    <n v="0.74478540199999999"/>
    <n v="4.8369923850000003"/>
  </r>
  <r>
    <x v="1"/>
    <x v="3"/>
    <x v="0"/>
    <x v="5"/>
    <x v="28"/>
    <n v="1.3762544839999999"/>
    <n v="1.3741040760000001"/>
    <n v="1.1154330000000001E-3"/>
    <n v="1.3762544839999999"/>
  </r>
  <r>
    <x v="1"/>
    <x v="0"/>
    <x v="0"/>
    <x v="5"/>
    <x v="28"/>
    <n v="0.64631919900000001"/>
    <n v="0.64530931999999996"/>
    <n v="1.0861525E-2"/>
    <n v="0.60420262599999996"/>
  </r>
  <r>
    <x v="1"/>
    <x v="1"/>
    <x v="3"/>
    <x v="5"/>
    <x v="28"/>
    <n v="67.04538513"/>
    <n v="66.940626210000005"/>
    <n v="17.795771649999999"/>
    <n v="63.128507220000003"/>
  </r>
  <r>
    <x v="1"/>
    <x v="1"/>
    <x v="0"/>
    <x v="5"/>
    <x v="28"/>
    <n v="3.4062826959999999"/>
    <n v="3.4009603529999999"/>
    <n v="0.88172717099999998"/>
    <n v="3.207283265"/>
  </r>
  <r>
    <x v="1"/>
    <x v="2"/>
    <x v="2"/>
    <x v="5"/>
    <x v="28"/>
    <n v="11.412645510000001"/>
    <n v="11.394813170000001"/>
    <n v="8.8230000000000003E-2"/>
    <n v="10.1021722"/>
  </r>
  <r>
    <x v="1"/>
    <x v="2"/>
    <x v="0"/>
    <x v="2"/>
    <x v="29"/>
    <n v="1.3037698E-2"/>
    <n v="1.3044752E-2"/>
    <n v="3.6000000000000002E-4"/>
    <n v="1.1390994E-2"/>
  </r>
  <r>
    <x v="1"/>
    <x v="2"/>
    <x v="2"/>
    <x v="2"/>
    <x v="29"/>
    <n v="1.6037288329999999"/>
    <n v="1.6045965799999999"/>
    <n v="4.1640000000000003E-2"/>
    <n v="1.401172603"/>
  </r>
  <r>
    <x v="1"/>
    <x v="3"/>
    <x v="3"/>
    <x v="2"/>
    <x v="29"/>
    <n v="0.20509487700000001"/>
    <n v="0.20520585"/>
    <n v="1.04281E-4"/>
    <n v="0.20509487700000001"/>
  </r>
  <r>
    <x v="1"/>
    <x v="3"/>
    <x v="0"/>
    <x v="2"/>
    <x v="29"/>
    <n v="2.114617628"/>
    <n v="2.1157618060000001"/>
    <n v="1.1378440000000001E-3"/>
    <n v="2.114617628"/>
  </r>
  <r>
    <x v="1"/>
    <x v="0"/>
    <x v="3"/>
    <x v="2"/>
    <x v="29"/>
    <n v="7.1629277000000005E-2"/>
    <n v="7.1668034000000005E-2"/>
    <n v="1.1266609999999999E-3"/>
    <n v="6.5104450999999994E-2"/>
  </r>
  <r>
    <x v="1"/>
    <x v="0"/>
    <x v="0"/>
    <x v="2"/>
    <x v="29"/>
    <n v="0.100813687"/>
    <n v="0.100868235"/>
    <n v="1.664691E-3"/>
    <n v="9.1630405999999998E-2"/>
  </r>
  <r>
    <x v="1"/>
    <x v="0"/>
    <x v="2"/>
    <x v="2"/>
    <x v="29"/>
    <n v="2.9002596980000002"/>
    <n v="2.9018289720000001"/>
    <n v="5.1846420999999997E-2"/>
    <n v="2.6360703700000001"/>
  </r>
  <r>
    <x v="1"/>
    <x v="1"/>
    <x v="3"/>
    <x v="2"/>
    <x v="29"/>
    <n v="13.416059990000001"/>
    <n v="13.42331916"/>
    <n v="3.3636794289999998"/>
    <n v="12.328075549999999"/>
  </r>
  <r>
    <x v="1"/>
    <x v="1"/>
    <x v="0"/>
    <x v="2"/>
    <x v="29"/>
    <n v="0.55475377199999998"/>
    <n v="0.55505393800000002"/>
    <n v="0.18369729600000001"/>
    <n v="0.50976564099999999"/>
  </r>
  <r>
    <x v="1"/>
    <x v="1"/>
    <x v="2"/>
    <x v="2"/>
    <x v="29"/>
    <n v="1.5605173489999999"/>
    <n v="1.5613617150000001"/>
    <n v="0.169277082"/>
    <n v="1.4339661420000001"/>
  </r>
  <r>
    <x v="1"/>
    <x v="1"/>
    <x v="1"/>
    <x v="2"/>
    <x v="29"/>
    <n v="54.62995626"/>
    <n v="54.659515460000001"/>
    <n v="12.295143510000001"/>
    <n v="50.19970309"/>
  </r>
  <r>
    <x v="1"/>
    <x v="1"/>
    <x v="3"/>
    <x v="5"/>
    <x v="30"/>
    <n v="81.944855169999997"/>
    <n v="81.989193929999999"/>
    <n v="29.941847689999999"/>
    <n v="75.685829069999997"/>
  </r>
  <r>
    <x v="1"/>
    <x v="2"/>
    <x v="2"/>
    <x v="5"/>
    <x v="30"/>
    <n v="12.73200963"/>
    <n v="12.738898669999999"/>
    <n v="7.6005900000000001E-2"/>
    <n v="11.34900225"/>
  </r>
  <r>
    <x v="1"/>
    <x v="3"/>
    <x v="3"/>
    <x v="5"/>
    <x v="30"/>
    <n v="8.5205525000000004E-2"/>
    <n v="8.5251627999999996E-2"/>
    <n v="4.9125400000000002E-5"/>
    <n v="8.5205525000000004E-2"/>
  </r>
  <r>
    <x v="1"/>
    <x v="1"/>
    <x v="1"/>
    <x v="5"/>
    <x v="30"/>
    <n v="238.83927299999999"/>
    <n v="238.96850430000001"/>
    <n v="61.021759520000003"/>
    <n v="220.5965018"/>
  </r>
  <r>
    <x v="1"/>
    <x v="0"/>
    <x v="3"/>
    <x v="5"/>
    <x v="30"/>
    <n v="0.53448505700000004"/>
    <n v="0.53477425700000003"/>
    <n v="8.8277670000000003E-3"/>
    <n v="0.494674536"/>
  </r>
  <r>
    <x v="1"/>
    <x v="3"/>
    <x v="0"/>
    <x v="5"/>
    <x v="30"/>
    <n v="0.86720894699999995"/>
    <n v="0.86767817700000005"/>
    <n v="5.2123399999999998E-4"/>
    <n v="0.86720894699999995"/>
  </r>
  <r>
    <x v="1"/>
    <x v="0"/>
    <x v="2"/>
    <x v="5"/>
    <x v="30"/>
    <n v="19.274471779999999"/>
    <n v="19.284900820000001"/>
    <n v="0.36564097299999998"/>
    <n v="17.83883432"/>
  </r>
  <r>
    <x v="1"/>
    <x v="2"/>
    <x v="0"/>
    <x v="5"/>
    <x v="30"/>
    <n v="4.1480116330000003"/>
    <n v="4.1502560409999996"/>
    <n v="1.01041E-2"/>
    <n v="3.6974362030000001"/>
  </r>
  <r>
    <x v="1"/>
    <x v="1"/>
    <x v="0"/>
    <x v="5"/>
    <x v="30"/>
    <n v="3.5728196360000002"/>
    <n v="3.574752819"/>
    <n v="0.94756334799999997"/>
    <n v="3.2999242689999999"/>
  </r>
  <r>
    <x v="1"/>
    <x v="1"/>
    <x v="2"/>
    <x v="5"/>
    <x v="30"/>
    <n v="7.2405069649999998"/>
    <n v="7.2444246620000001"/>
    <n v="1.035744502"/>
    <n v="6.6874701459999999"/>
  </r>
  <r>
    <x v="1"/>
    <x v="0"/>
    <x v="0"/>
    <x v="5"/>
    <x v="30"/>
    <n v="0.63844128600000005"/>
    <n v="0.63878673399999997"/>
    <n v="1.1584135000000001E-2"/>
    <n v="0.59088770099999999"/>
  </r>
  <r>
    <x v="1"/>
    <x v="1"/>
    <x v="2"/>
    <x v="6"/>
    <x v="31"/>
    <n v="4.9099974"/>
    <n v="4.9099974"/>
    <n v="0.29059353599999999"/>
    <n v="4.4106825599999997"/>
  </r>
  <r>
    <x v="1"/>
    <x v="1"/>
    <x v="3"/>
    <x v="6"/>
    <x v="31"/>
    <n v="54.128985470000003"/>
    <n v="54.128985470000003"/>
    <n v="16.519570420000001"/>
    <n v="48.624419279999998"/>
  </r>
  <r>
    <x v="1"/>
    <x v="0"/>
    <x v="2"/>
    <x v="6"/>
    <x v="31"/>
    <n v="25.921936630000001"/>
    <n v="25.921936630000001"/>
    <n v="0.30700039200000001"/>
    <n v="22.464321680000001"/>
  </r>
  <r>
    <x v="1"/>
    <x v="0"/>
    <x v="3"/>
    <x v="6"/>
    <x v="31"/>
    <n v="0.239610248"/>
    <n v="0.239610248"/>
    <n v="3.0569989999999999E-3"/>
    <n v="0.20764967400000001"/>
  </r>
  <r>
    <x v="1"/>
    <x v="3"/>
    <x v="0"/>
    <x v="6"/>
    <x v="31"/>
    <n v="2.9841327880000001"/>
    <n v="2.9841327880000001"/>
    <n v="1.829436E-3"/>
    <n v="2.654080601"/>
  </r>
  <r>
    <x v="1"/>
    <x v="3"/>
    <x v="3"/>
    <x v="6"/>
    <x v="31"/>
    <n v="0.27821947200000002"/>
    <n v="0.27821947200000002"/>
    <n v="1.70564E-4"/>
    <n v="0.247447736"/>
  </r>
  <r>
    <x v="1"/>
    <x v="2"/>
    <x v="2"/>
    <x v="6"/>
    <x v="31"/>
    <n v="3.401250653"/>
    <n v="3.401250653"/>
    <n v="5.3699999999999998E-2"/>
    <n v="2.7969043600000001"/>
  </r>
  <r>
    <x v="1"/>
    <x v="2"/>
    <x v="3"/>
    <x v="6"/>
    <x v="31"/>
    <n v="0.14110025000000001"/>
    <n v="0.14110025000000001"/>
    <n v="5.3E-3"/>
    <n v="0.116029057"/>
  </r>
  <r>
    <x v="1"/>
    <x v="1"/>
    <x v="1"/>
    <x v="6"/>
    <x v="31"/>
    <n v="187.9052217"/>
    <n v="187.9052217"/>
    <n v="48.747787189999997"/>
    <n v="168.79648130000001"/>
  </r>
  <r>
    <x v="1"/>
    <x v="1"/>
    <x v="0"/>
    <x v="9"/>
    <x v="32"/>
    <n v="0.95005044800000005"/>
    <n v="1.1514256460000001"/>
    <n v="0.25188392799999998"/>
    <n v="0.87748468899999998"/>
  </r>
  <r>
    <x v="1"/>
    <x v="2"/>
    <x v="0"/>
    <x v="9"/>
    <x v="32"/>
    <n v="1.0998638590000001"/>
    <n v="1.332993903"/>
    <n v="2.6859000000000002E-3"/>
    <n v="0.980391766"/>
  </r>
  <r>
    <x v="1"/>
    <x v="2"/>
    <x v="2"/>
    <x v="9"/>
    <x v="32"/>
    <n v="3.3872304010000001"/>
    <n v="4.1051966889999996"/>
    <n v="2.0204099999999999E-2"/>
    <n v="3.019294404"/>
  </r>
  <r>
    <x v="1"/>
    <x v="1"/>
    <x v="2"/>
    <x v="9"/>
    <x v="32"/>
    <n v="1.9253272159999999"/>
    <n v="2.33342465"/>
    <n v="0.27532448799999998"/>
    <n v="1.778268889"/>
  </r>
  <r>
    <x v="1"/>
    <x v="3"/>
    <x v="3"/>
    <x v="9"/>
    <x v="32"/>
    <n v="2.2649570000000001E-2"/>
    <n v="2.7450433E-2"/>
    <n v="1.3058600000000001E-5"/>
    <n v="2.2649570000000001E-2"/>
  </r>
  <r>
    <x v="1"/>
    <x v="0"/>
    <x v="3"/>
    <x v="9"/>
    <x v="32"/>
    <n v="0.142266483"/>
    <n v="0.172421662"/>
    <n v="2.3466210000000001E-3"/>
    <n v="0.13166992299999999"/>
  </r>
  <r>
    <x v="1"/>
    <x v="0"/>
    <x v="0"/>
    <x v="9"/>
    <x v="32"/>
    <n v="0.169937017"/>
    <n v="0.205957315"/>
    <n v="3.0793270000000002E-3"/>
    <n v="0.15727944799999999"/>
  </r>
  <r>
    <x v="1"/>
    <x v="0"/>
    <x v="2"/>
    <x v="9"/>
    <x v="32"/>
    <n v="5.1231808120000002"/>
    <n v="6.2091037260000004"/>
    <n v="9.7195701999999995E-2"/>
    <n v="4.7415864220000001"/>
  </r>
  <r>
    <x v="1"/>
    <x v="1"/>
    <x v="1"/>
    <x v="9"/>
    <x v="32"/>
    <n v="63.478248610000001"/>
    <n v="76.933265559999995"/>
    <n v="16.220974049999999"/>
    <n v="58.629719510000001"/>
  </r>
  <r>
    <x v="1"/>
    <x v="1"/>
    <x v="3"/>
    <x v="9"/>
    <x v="32"/>
    <n v="21.79253259"/>
    <n v="26.41173526"/>
    <n v="7.9592253340000001"/>
    <n v="20.12799819"/>
  </r>
  <r>
    <x v="1"/>
    <x v="3"/>
    <x v="0"/>
    <x v="9"/>
    <x v="32"/>
    <n v="0.23052389700000001"/>
    <n v="0.27938635000000001"/>
    <n v="1.3855599999999999E-4"/>
    <n v="0.23052389700000001"/>
  </r>
  <r>
    <x v="1"/>
    <x v="0"/>
    <x v="0"/>
    <x v="0"/>
    <x v="33"/>
    <n v="2.468430911"/>
    <n v="2.468430911"/>
    <n v="1.7949601999999999E-2"/>
    <n v="2.3534977659999998"/>
  </r>
  <r>
    <x v="1"/>
    <x v="1"/>
    <x v="2"/>
    <x v="0"/>
    <x v="33"/>
    <n v="5.7566802560000001"/>
    <n v="5.7566802560000001"/>
    <n v="1.3068410690000001"/>
    <n v="5.4238397139999996"/>
  </r>
  <r>
    <x v="1"/>
    <x v="1"/>
    <x v="0"/>
    <x v="0"/>
    <x v="33"/>
    <n v="0.328628378"/>
    <n v="0.328628378"/>
    <n v="0.1018815"/>
    <n v="0.30962769699999998"/>
  </r>
  <r>
    <x v="1"/>
    <x v="1"/>
    <x v="3"/>
    <x v="0"/>
    <x v="33"/>
    <n v="51.451482300000002"/>
    <n v="51.451482300000002"/>
    <n v="15.459845919999999"/>
    <n v="48.476653319999997"/>
  </r>
  <r>
    <x v="1"/>
    <x v="0"/>
    <x v="2"/>
    <x v="0"/>
    <x v="33"/>
    <n v="52.32818022"/>
    <n v="52.32818022"/>
    <n v="0.47839177700000002"/>
    <n v="49.891716520000003"/>
  </r>
  <r>
    <x v="1"/>
    <x v="0"/>
    <x v="3"/>
    <x v="0"/>
    <x v="33"/>
    <n v="0.74689504600000001"/>
    <n v="0.74689504600000001"/>
    <n v="6.4610149999999996E-3"/>
    <n v="0.71211870399999999"/>
  </r>
  <r>
    <x v="1"/>
    <x v="3"/>
    <x v="3"/>
    <x v="0"/>
    <x v="33"/>
    <n v="1.4770711080000001"/>
    <n v="1.4770711080000001"/>
    <n v="8.5232000000000005E-4"/>
    <n v="1.4021761660000001"/>
  </r>
  <r>
    <x v="1"/>
    <x v="2"/>
    <x v="2"/>
    <x v="0"/>
    <x v="33"/>
    <n v="7.5256111429999999"/>
    <n v="7.5256111429999999"/>
    <n v="9.2108697000000003E-2"/>
    <n v="7.2296415209999996"/>
  </r>
  <r>
    <x v="1"/>
    <x v="2"/>
    <x v="0"/>
    <x v="0"/>
    <x v="33"/>
    <n v="3.161940151"/>
    <n v="3.161940151"/>
    <n v="0.01"/>
    <n v="3.0375863660000002"/>
  </r>
  <r>
    <x v="1"/>
    <x v="1"/>
    <x v="1"/>
    <x v="0"/>
    <x v="33"/>
    <n v="154.39512859999999"/>
    <n v="154.39512859999999"/>
    <n v="48.695336169999997"/>
    <n v="145.4682895"/>
  </r>
  <r>
    <x v="1"/>
    <x v="3"/>
    <x v="0"/>
    <x v="0"/>
    <x v="33"/>
    <n v="6.0198249519999996"/>
    <n v="6.0198249519999996"/>
    <n v="3.1282129999999999E-3"/>
    <n v="5.7145895170000003"/>
  </r>
  <r>
    <x v="1"/>
    <x v="1"/>
    <x v="1"/>
    <x v="7"/>
    <x v="34"/>
    <n v="362.20556190000002"/>
    <n v="362.30355309999999"/>
    <n v="81.2554461"/>
    <n v="336.008488"/>
  </r>
  <r>
    <x v="1"/>
    <x v="2"/>
    <x v="2"/>
    <x v="7"/>
    <x v="34"/>
    <n v="16.98982225"/>
    <n v="16.994418679999999"/>
    <n v="0.2112376"/>
    <n v="15.07833059"/>
  </r>
  <r>
    <x v="1"/>
    <x v="3"/>
    <x v="3"/>
    <x v="7"/>
    <x v="34"/>
    <n v="1.134064542"/>
    <n v="1.1343713520000001"/>
    <n v="7.9132699999999998E-4"/>
    <n v="1.134064542"/>
  </r>
  <r>
    <x v="1"/>
    <x v="3"/>
    <x v="0"/>
    <x v="7"/>
    <x v="34"/>
    <n v="7.2054151700000002"/>
    <n v="7.207364525"/>
    <n v="4.9644950000000002E-3"/>
    <n v="7.2054151700000002"/>
  </r>
  <r>
    <x v="1"/>
    <x v="0"/>
    <x v="3"/>
    <x v="7"/>
    <x v="34"/>
    <n v="1.8521618989999999"/>
    <n v="1.8526629830000001"/>
    <n v="2.9231631000000001E-2"/>
    <n v="1.7167210449999999"/>
  </r>
  <r>
    <x v="1"/>
    <x v="0"/>
    <x v="0"/>
    <x v="7"/>
    <x v="34"/>
    <n v="1.8283709850000001"/>
    <n v="1.8288656329999999"/>
    <n v="3.1605156000000002E-2"/>
    <n v="1.6946698609999999"/>
  </r>
  <r>
    <x v="1"/>
    <x v="0"/>
    <x v="2"/>
    <x v="7"/>
    <x v="34"/>
    <n v="57.506588460000003"/>
    <n v="57.522146309999997"/>
    <n v="1.021265876"/>
    <n v="53.301372149999999"/>
  </r>
  <r>
    <x v="1"/>
    <x v="1"/>
    <x v="3"/>
    <x v="7"/>
    <x v="34"/>
    <n v="121.580359"/>
    <n v="121.6132514"/>
    <n v="27.83882453"/>
    <n v="112.7868727"/>
  </r>
  <r>
    <x v="1"/>
    <x v="1"/>
    <x v="0"/>
    <x v="7"/>
    <x v="34"/>
    <n v="4.5135846949999996"/>
    <n v="4.5148058009999996"/>
    <n v="1.0772021970000001"/>
    <n v="4.1871327459999996"/>
  </r>
  <r>
    <x v="1"/>
    <x v="2"/>
    <x v="0"/>
    <x v="7"/>
    <x v="34"/>
    <n v="0.66629027399999996"/>
    <n v="0.66647053199999995"/>
    <n v="5.8424000000000002E-3"/>
    <n v="0.59132725900000005"/>
  </r>
  <r>
    <x v="1"/>
    <x v="1"/>
    <x v="2"/>
    <x v="7"/>
    <x v="34"/>
    <n v="8.0009474259999998"/>
    <n v="8.0031120040000001"/>
    <n v="1.149362196"/>
    <n v="7.4222666080000002"/>
  </r>
  <r>
    <x v="1"/>
    <x v="3"/>
    <x v="3"/>
    <x v="10"/>
    <x v="35"/>
    <n v="0.37237940200000003"/>
    <n v="0.37248014600000001"/>
    <n v="2.5983899999999999E-4"/>
    <n v="0.37237940200000003"/>
  </r>
  <r>
    <x v="1"/>
    <x v="2"/>
    <x v="2"/>
    <x v="10"/>
    <x v="35"/>
    <n v="5.5787476040000001"/>
    <n v="5.5802568790000002"/>
    <n v="6.9361599999999995E-2"/>
    <n v="4.9510936250000004"/>
  </r>
  <r>
    <x v="1"/>
    <x v="3"/>
    <x v="0"/>
    <x v="10"/>
    <x v="35"/>
    <n v="2.3659572199999999"/>
    <n v="2.3665973060000001"/>
    <n v="1.6301320000000001E-3"/>
    <n v="2.3659572199999999"/>
  </r>
  <r>
    <x v="1"/>
    <x v="0"/>
    <x v="0"/>
    <x v="10"/>
    <x v="35"/>
    <n v="0.60036062199999995"/>
    <n v="0.60052304400000001"/>
    <n v="1.0377812E-2"/>
    <n v="0.55645876100000002"/>
  </r>
  <r>
    <x v="1"/>
    <x v="0"/>
    <x v="2"/>
    <x v="10"/>
    <x v="35"/>
    <n v="18.882760390000001"/>
    <n v="18.887868940000001"/>
    <n v="0.33534103399999998"/>
    <n v="17.501943090000001"/>
  </r>
  <r>
    <x v="1"/>
    <x v="1"/>
    <x v="3"/>
    <x v="10"/>
    <x v="35"/>
    <n v="39.92190892"/>
    <n v="39.9327094"/>
    <n v="9.1411065629999992"/>
    <n v="37.034495499999998"/>
  </r>
  <r>
    <x v="1"/>
    <x v="1"/>
    <x v="0"/>
    <x v="10"/>
    <x v="35"/>
    <n v="1.4820725859999999"/>
    <n v="1.482473546"/>
    <n v="0.35370818399999998"/>
    <n v="1.3748794090000001"/>
  </r>
  <r>
    <x v="1"/>
    <x v="1"/>
    <x v="2"/>
    <x v="10"/>
    <x v="35"/>
    <n v="2.6271767669999999"/>
    <n v="2.6278875240000001"/>
    <n v="0.37740251200000002"/>
    <n v="2.4371621700000001"/>
  </r>
  <r>
    <x v="1"/>
    <x v="1"/>
    <x v="1"/>
    <x v="10"/>
    <x v="35"/>
    <n v="118.9331696"/>
    <n v="118.96534579999999"/>
    <n v="26.680892750000002"/>
    <n v="110.3311453"/>
  </r>
  <r>
    <x v="1"/>
    <x v="2"/>
    <x v="0"/>
    <x v="10"/>
    <x v="35"/>
    <n v="0.21878188100000001"/>
    <n v="0.21884107"/>
    <n v="1.9184E-3"/>
    <n v="0.19416716000000001"/>
  </r>
  <r>
    <x v="1"/>
    <x v="0"/>
    <x v="3"/>
    <x v="10"/>
    <x v="35"/>
    <n v="0.60817256399999997"/>
    <n v="0.60833709899999999"/>
    <n v="9.5984460000000001E-3"/>
    <n v="0.56369944800000005"/>
  </r>
  <r>
    <x v="1"/>
    <x v="3"/>
    <x v="0"/>
    <x v="2"/>
    <x v="36"/>
    <n v="4.440516744"/>
    <n v="4.442919421"/>
    <n v="3.1689439999999999E-3"/>
    <n v="4.4342119770000004"/>
  </r>
  <r>
    <x v="1"/>
    <x v="2"/>
    <x v="2"/>
    <x v="2"/>
    <x v="36"/>
    <n v="3.942482542"/>
    <n v="3.9446157419999999"/>
    <n v="2.2967965E-2"/>
    <n v="3.5655031620000002"/>
  </r>
  <r>
    <x v="1"/>
    <x v="3"/>
    <x v="3"/>
    <x v="2"/>
    <x v="36"/>
    <n v="0.50312635100000003"/>
    <n v="0.50339858299999996"/>
    <n v="3.74142E-4"/>
    <n v="0.502411999"/>
  </r>
  <r>
    <x v="1"/>
    <x v="0"/>
    <x v="3"/>
    <x v="2"/>
    <x v="36"/>
    <n v="0.116839453"/>
    <n v="0.116902673"/>
    <n v="1.8034220000000001E-3"/>
    <n v="0.10775644600000001"/>
  </r>
  <r>
    <x v="1"/>
    <x v="0"/>
    <x v="0"/>
    <x v="2"/>
    <x v="36"/>
    <n v="0.127371391"/>
    <n v="0.127440309"/>
    <n v="2.1286870000000002E-3"/>
    <n v="0.117469639"/>
  </r>
  <r>
    <x v="1"/>
    <x v="0"/>
    <x v="2"/>
    <x v="2"/>
    <x v="36"/>
    <n v="4.8077497390000001"/>
    <n v="4.8103511179999998"/>
    <n v="8.4789132000000003E-2"/>
    <n v="4.4339990460000003"/>
  </r>
  <r>
    <x v="1"/>
    <x v="1"/>
    <x v="3"/>
    <x v="2"/>
    <x v="36"/>
    <n v="12.020340940000001"/>
    <n v="12.026844909999999"/>
    <n v="2.193868776"/>
    <n v="11.15587178"/>
  </r>
  <r>
    <x v="1"/>
    <x v="1"/>
    <x v="0"/>
    <x v="2"/>
    <x v="36"/>
    <n v="1.1752296600000001"/>
    <n v="1.175865554"/>
    <n v="9.8058078000000007E-2"/>
    <n v="1.0907104439999999"/>
  </r>
  <r>
    <x v="1"/>
    <x v="1"/>
    <x v="2"/>
    <x v="2"/>
    <x v="36"/>
    <n v="1.270879361"/>
    <n v="1.271567009"/>
    <n v="9.4707531999999997E-2"/>
    <n v="1.179481287"/>
  </r>
  <r>
    <x v="1"/>
    <x v="1"/>
    <x v="1"/>
    <x v="2"/>
    <x v="36"/>
    <n v="38.732291199999999"/>
    <n v="38.753248489999997"/>
    <n v="6.7431922069999999"/>
    <n v="35.946773610000001"/>
  </r>
  <r>
    <x v="1"/>
    <x v="2"/>
    <x v="0"/>
    <x v="2"/>
    <x v="36"/>
    <n v="0.75623003200000005"/>
    <n v="0.75663921300000003"/>
    <n v="2.6814349999999998E-3"/>
    <n v="0.68391946999999997"/>
  </r>
  <r>
    <x v="1"/>
    <x v="1"/>
    <x v="1"/>
    <x v="9"/>
    <x v="37"/>
    <n v="461.59737969999998"/>
    <n v="559.43877740000005"/>
    <n v="95.955523420000006"/>
    <n v="431.03897660000001"/>
  </r>
  <r>
    <x v="1"/>
    <x v="0"/>
    <x v="0"/>
    <x v="9"/>
    <x v="37"/>
    <n v="2.3205928199999999"/>
    <n v="2.8124717929999998"/>
    <n v="3.9818313000000001E-2"/>
    <n v="2.1442054380000002"/>
  </r>
  <r>
    <x v="1"/>
    <x v="2"/>
    <x v="2"/>
    <x v="9"/>
    <x v="37"/>
    <n v="5.7058382160000001"/>
    <n v="6.9152627300000002"/>
    <n v="9.2259999999999995E-2"/>
    <n v="5.0211452750000003"/>
  </r>
  <r>
    <x v="1"/>
    <x v="3"/>
    <x v="3"/>
    <x v="9"/>
    <x v="37"/>
    <n v="0.37464094199999998"/>
    <n v="0.45405082400000002"/>
    <n v="3.0511900000000002E-4"/>
    <n v="0.37464094199999998"/>
  </r>
  <r>
    <x v="1"/>
    <x v="3"/>
    <x v="0"/>
    <x v="9"/>
    <x v="37"/>
    <n v="4.6259061319999999"/>
    <n v="5.6064253940000004"/>
    <n v="3.7431700000000001E-3"/>
    <n v="4.6259061319999999"/>
  </r>
  <r>
    <x v="1"/>
    <x v="0"/>
    <x v="3"/>
    <x v="9"/>
    <x v="37"/>
    <n v="2.5388355420000002"/>
    <n v="3.0769738179999999"/>
    <n v="4.0768239999999997E-2"/>
    <n v="2.3458596140000001"/>
  </r>
  <r>
    <x v="1"/>
    <x v="0"/>
    <x v="2"/>
    <x v="9"/>
    <x v="37"/>
    <n v="79.920010390000002"/>
    <n v="96.860066529999997"/>
    <n v="1.385782963"/>
    <n v="73.845320659999999"/>
  </r>
  <r>
    <x v="1"/>
    <x v="1"/>
    <x v="3"/>
    <x v="9"/>
    <x v="37"/>
    <n v="126.889323"/>
    <n v="153.78511850000001"/>
    <n v="27.370745450000001"/>
    <n v="118.4890693"/>
  </r>
  <r>
    <x v="1"/>
    <x v="1"/>
    <x v="0"/>
    <x v="9"/>
    <x v="37"/>
    <n v="5.4524880500000004"/>
    <n v="6.6082117939999998"/>
    <n v="1.517689501"/>
    <n v="5.0915255860000004"/>
  </r>
  <r>
    <x v="1"/>
    <x v="1"/>
    <x v="2"/>
    <x v="9"/>
    <x v="37"/>
    <n v="8.8936578470000001"/>
    <n v="10.77878102"/>
    <n v="1.077038824"/>
    <n v="8.3048850479999992"/>
  </r>
  <r>
    <x v="1"/>
    <x v="2"/>
    <x v="0"/>
    <x v="9"/>
    <x v="37"/>
    <n v="2.5285235999999999E-2"/>
    <n v="3.0644761E-2"/>
    <n v="7.3999999999999999E-4"/>
    <n v="2.2251041999999999E-2"/>
  </r>
  <r>
    <x v="1"/>
    <x v="0"/>
    <x v="2"/>
    <x v="7"/>
    <x v="38"/>
    <n v="9.4413801950000007"/>
    <n v="9.4438857009999992"/>
    <n v="0.16767051699999999"/>
    <n v="8.7509715470000007"/>
  </r>
  <r>
    <x v="1"/>
    <x v="1"/>
    <x v="0"/>
    <x v="7"/>
    <x v="38"/>
    <n v="0.74103629299999996"/>
    <n v="0.74123294500000003"/>
    <n v="0.17685409199999999"/>
    <n v="0.68743970399999998"/>
  </r>
  <r>
    <x v="1"/>
    <x v="1"/>
    <x v="3"/>
    <x v="7"/>
    <x v="38"/>
    <n v="19.96095446"/>
    <n v="19.9662516"/>
    <n v="4.5705532819999997"/>
    <n v="18.517247749999999"/>
  </r>
  <r>
    <x v="1"/>
    <x v="1"/>
    <x v="1"/>
    <x v="7"/>
    <x v="38"/>
    <n v="59.466584789999999"/>
    <n v="59.482365729999998"/>
    <n v="13.34044637"/>
    <n v="55.165572660000002"/>
  </r>
  <r>
    <x v="1"/>
    <x v="1"/>
    <x v="2"/>
    <x v="7"/>
    <x v="38"/>
    <n v="1.3135883829999999"/>
    <n v="1.3139369759999999"/>
    <n v="0.18870125600000001"/>
    <n v="1.2185810850000001"/>
  </r>
  <r>
    <x v="1"/>
    <x v="0"/>
    <x v="3"/>
    <x v="7"/>
    <x v="38"/>
    <n v="0.30408628199999999"/>
    <n v="0.304166979"/>
    <n v="4.799223E-3"/>
    <n v="0.28184972400000002"/>
  </r>
  <r>
    <x v="1"/>
    <x v="3"/>
    <x v="3"/>
    <x v="7"/>
    <x v="38"/>
    <n v="0.18618970100000001"/>
    <n v="0.18623911100000001"/>
    <n v="1.2991899999999999E-4"/>
    <n v="0.18618970100000001"/>
  </r>
  <r>
    <x v="1"/>
    <x v="2"/>
    <x v="2"/>
    <x v="7"/>
    <x v="38"/>
    <n v="2.7893738020000001"/>
    <n v="2.790114032"/>
    <n v="3.4680799999999998E-2"/>
    <n v="2.4755468129999998"/>
  </r>
  <r>
    <x v="1"/>
    <x v="2"/>
    <x v="0"/>
    <x v="7"/>
    <x v="38"/>
    <n v="0.10939094000000001"/>
    <n v="0.10941997000000001"/>
    <n v="9.592E-4"/>
    <n v="9.7083579000000003E-2"/>
  </r>
  <r>
    <x v="1"/>
    <x v="3"/>
    <x v="0"/>
    <x v="7"/>
    <x v="38"/>
    <n v="1.1829786099999999"/>
    <n v="1.1832925430000001"/>
    <n v="8.1506700000000005E-4"/>
    <n v="1.1829786099999999"/>
  </r>
  <r>
    <x v="1"/>
    <x v="0"/>
    <x v="0"/>
    <x v="7"/>
    <x v="38"/>
    <n v="0.30018031099999998"/>
    <n v="0.30025997100000001"/>
    <n v="5.1889060000000001E-3"/>
    <n v="0.27822938000000003"/>
  </r>
  <r>
    <x v="1"/>
    <x v="3"/>
    <x v="0"/>
    <x v="1"/>
    <x v="39"/>
    <n v="3.6126286429999999"/>
    <n v="3.6584283740000001"/>
    <n v="3.7470860000000002E-3"/>
    <n v="3.551823245"/>
  </r>
  <r>
    <x v="1"/>
    <x v="1"/>
    <x v="1"/>
    <x v="1"/>
    <x v="39"/>
    <n v="221.5189264"/>
    <n v="224.3272714"/>
    <n v="38.022161910000001"/>
    <n v="193.0514986"/>
  </r>
  <r>
    <x v="1"/>
    <x v="1"/>
    <x v="2"/>
    <x v="1"/>
    <x v="39"/>
    <n v="13.25729389"/>
    <n v="13.42536555"/>
    <n v="1.2587581800000001"/>
    <n v="11.553597229999999"/>
  </r>
  <r>
    <x v="1"/>
    <x v="1"/>
    <x v="3"/>
    <x v="1"/>
    <x v="39"/>
    <n v="65.254557939999998"/>
    <n v="66.081834020000002"/>
    <n v="10.603680600000001"/>
    <n v="56.868685710000001"/>
  </r>
  <r>
    <x v="1"/>
    <x v="0"/>
    <x v="2"/>
    <x v="1"/>
    <x v="39"/>
    <n v="40.832866549999999"/>
    <n v="41.350532370000003"/>
    <n v="0.49240938499999998"/>
    <n v="34.126749670000002"/>
  </r>
  <r>
    <x v="1"/>
    <x v="0"/>
    <x v="3"/>
    <x v="1"/>
    <x v="39"/>
    <n v="0.46615405500000001"/>
    <n v="0.472063805"/>
    <n v="7.4933389999999999E-3"/>
    <n v="0.38959603100000001"/>
  </r>
  <r>
    <x v="1"/>
    <x v="2"/>
    <x v="3"/>
    <x v="1"/>
    <x v="39"/>
    <n v="6.7617041000000003E-2"/>
    <n v="6.8474268000000005E-2"/>
    <n v="1.8E-3"/>
    <n v="6.4106836E-2"/>
  </r>
  <r>
    <x v="1"/>
    <x v="3"/>
    <x v="3"/>
    <x v="1"/>
    <x v="39"/>
    <n v="0.210410976"/>
    <n v="0.21307849800000001"/>
    <n v="2.5291400000000003E-4"/>
    <n v="0.206869476"/>
  </r>
  <r>
    <x v="1"/>
    <x v="2"/>
    <x v="1"/>
    <x v="1"/>
    <x v="39"/>
    <n v="0.28939835400000002"/>
    <n v="0.293067252"/>
    <n v="8.3000000000000001E-3"/>
    <n v="0.27437481000000002"/>
  </r>
  <r>
    <x v="1"/>
    <x v="2"/>
    <x v="2"/>
    <x v="1"/>
    <x v="39"/>
    <n v="3.4128438559999998"/>
    <n v="3.456110781"/>
    <n v="4.4900000000000002E-2"/>
    <n v="3.235672804"/>
  </r>
  <r>
    <x v="1"/>
    <x v="0"/>
    <x v="0"/>
    <x v="1"/>
    <x v="39"/>
    <n v="1.140595947"/>
    <n v="1.1550560519999999"/>
    <n v="5.3693999999999999E-3"/>
    <n v="0.95327209800000001"/>
  </r>
  <r>
    <x v="1"/>
    <x v="3"/>
    <x v="3"/>
    <x v="10"/>
    <x v="40"/>
    <n v="1.1037957"/>
    <n v="1.2411864969999999"/>
    <n v="9.1191000000000004E-4"/>
    <n v="1.1037957"/>
  </r>
  <r>
    <x v="1"/>
    <x v="0"/>
    <x v="3"/>
    <x v="10"/>
    <x v="40"/>
    <n v="0.46174508399999997"/>
    <n v="0.51921905800000001"/>
    <n v="7.2854390000000003E-3"/>
    <n v="0.42895069899999999"/>
  </r>
  <r>
    <x v="1"/>
    <x v="0"/>
    <x v="0"/>
    <x v="10"/>
    <x v="40"/>
    <n v="0.46641083799999999"/>
    <n v="0.524465564"/>
    <n v="8.1513680000000008E-3"/>
    <n v="0.43328507900000002"/>
  </r>
  <r>
    <x v="1"/>
    <x v="0"/>
    <x v="2"/>
    <x v="10"/>
    <x v="40"/>
    <n v="15.33575581"/>
    <n v="17.24461604"/>
    <n v="0.26517286899999998"/>
    <n v="14.246568959999999"/>
  </r>
  <r>
    <x v="1"/>
    <x v="1"/>
    <x v="3"/>
    <x v="10"/>
    <x v="40"/>
    <n v="37.3119151"/>
    <n v="41.956174679999997"/>
    <n v="10.38121173"/>
    <n v="34.654316000000001"/>
  </r>
  <r>
    <x v="1"/>
    <x v="1"/>
    <x v="0"/>
    <x v="10"/>
    <x v="40"/>
    <n v="1.5634642299999999"/>
    <n v="1.7580705299999999"/>
    <n v="0.38123002900000003"/>
    <n v="1.4521040620000001"/>
  </r>
  <r>
    <x v="1"/>
    <x v="3"/>
    <x v="0"/>
    <x v="10"/>
    <x v="40"/>
    <n v="5.4553122409999997"/>
    <n v="6.1343416089999998"/>
    <n v="4.2949199999999998E-3"/>
    <n v="5.4553122409999997"/>
  </r>
  <r>
    <x v="1"/>
    <x v="1"/>
    <x v="1"/>
    <x v="10"/>
    <x v="40"/>
    <n v="124.5459336"/>
    <n v="140.0483179"/>
    <n v="28.712192300000002"/>
    <n v="115.67495599999999"/>
  </r>
  <r>
    <x v="1"/>
    <x v="2"/>
    <x v="2"/>
    <x v="10"/>
    <x v="40"/>
    <n v="4.0425313809999999"/>
    <n v="4.5457101919999996"/>
    <n v="3.7740000000000003E-2"/>
    <n v="3.5406988660000001"/>
  </r>
  <r>
    <x v="1"/>
    <x v="2"/>
    <x v="0"/>
    <x v="10"/>
    <x v="40"/>
    <n v="9.4751720000000005E-3"/>
    <n v="1.0654558E-2"/>
    <n v="2.5999999999999998E-4"/>
    <n v="8.2989410000000007E-3"/>
  </r>
  <r>
    <x v="1"/>
    <x v="1"/>
    <x v="2"/>
    <x v="10"/>
    <x v="40"/>
    <n v="4.9681396199999996"/>
    <n v="5.5865300180000004"/>
    <n v="0.47612628400000001"/>
    <n v="4.6142761590000001"/>
  </r>
  <r>
    <x v="1"/>
    <x v="1"/>
    <x v="2"/>
    <x v="1"/>
    <x v="41"/>
    <n v="17.00451588"/>
    <n v="16.366112059999999"/>
    <n v="1.367035687"/>
    <n v="15.39592324"/>
  </r>
  <r>
    <x v="1"/>
    <x v="1"/>
    <x v="3"/>
    <x v="1"/>
    <x v="41"/>
    <n v="87.700227769999998"/>
    <n v="84.407681210000007"/>
    <n v="20.042185849999999"/>
    <n v="79.403964470000005"/>
  </r>
  <r>
    <x v="1"/>
    <x v="0"/>
    <x v="2"/>
    <x v="1"/>
    <x v="41"/>
    <n v="192.09984130000001"/>
    <n v="184.8877999"/>
    <n v="1.9627591950000001"/>
    <n v="163.37372379999999"/>
  </r>
  <r>
    <x v="1"/>
    <x v="0"/>
    <x v="0"/>
    <x v="1"/>
    <x v="41"/>
    <n v="6.1772757929999997"/>
    <n v="5.945361138"/>
    <n v="1.7999999999999999E-2"/>
    <n v="5.2535418180000004"/>
  </r>
  <r>
    <x v="1"/>
    <x v="3"/>
    <x v="0"/>
    <x v="1"/>
    <x v="41"/>
    <n v="21.658549650000001"/>
    <n v="20.845418550000002"/>
    <n v="2.0126729999999999E-2"/>
    <n v="21.658549650000001"/>
  </r>
  <r>
    <x v="1"/>
    <x v="3"/>
    <x v="3"/>
    <x v="1"/>
    <x v="41"/>
    <n v="1.980097437"/>
    <n v="1.9057582580000001"/>
    <n v="1.87327E-3"/>
    <n v="1.980097437"/>
  </r>
  <r>
    <x v="1"/>
    <x v="2"/>
    <x v="1"/>
    <x v="1"/>
    <x v="41"/>
    <n v="2.0787293409999998"/>
    <n v="2.0006872050000002"/>
    <n v="4.48E-2"/>
    <n v="1.919053892"/>
  </r>
  <r>
    <x v="1"/>
    <x v="2"/>
    <x v="2"/>
    <x v="1"/>
    <x v="41"/>
    <n v="106.4723839"/>
    <n v="102.4750707"/>
    <n v="1.7033199999999999"/>
    <n v="98.293817590000003"/>
  </r>
  <r>
    <x v="1"/>
    <x v="2"/>
    <x v="3"/>
    <x v="1"/>
    <x v="41"/>
    <n v="1.247237605"/>
    <n v="1.2004123229999999"/>
    <n v="2.6880000000000001E-2"/>
    <n v="1.151432335"/>
  </r>
  <r>
    <x v="1"/>
    <x v="1"/>
    <x v="1"/>
    <x v="1"/>
    <x v="41"/>
    <n v="387.1533829"/>
    <n v="372.6184088"/>
    <n v="92.821554689999999"/>
    <n v="350.52945979999998"/>
  </r>
  <r>
    <x v="1"/>
    <x v="0"/>
    <x v="3"/>
    <x v="1"/>
    <x v="41"/>
    <n v="1.9010275329999999"/>
    <n v="1.8296568900000001"/>
    <n v="2.8311600999999999E-2"/>
    <n v="1.616752752"/>
  </r>
  <r>
    <x v="1"/>
    <x v="1"/>
    <x v="3"/>
    <x v="2"/>
    <x v="42"/>
    <n v="86.507901770000004"/>
    <n v="86.554709509999995"/>
    <n v="17.020552420000001"/>
    <n v="79.895707349999995"/>
  </r>
  <r>
    <x v="1"/>
    <x v="0"/>
    <x v="0"/>
    <x v="2"/>
    <x v="42"/>
    <n v="0.84104071700000005"/>
    <n v="0.84149578800000002"/>
    <n v="1.4031045000000001E-2"/>
    <n v="0.76577154599999997"/>
  </r>
  <r>
    <x v="1"/>
    <x v="1"/>
    <x v="1"/>
    <x v="2"/>
    <x v="42"/>
    <n v="317.80058750000001"/>
    <n v="317.97254320000002"/>
    <n v="64.857449259999996"/>
    <n v="293.50963569999999"/>
  </r>
  <r>
    <x v="1"/>
    <x v="1"/>
    <x v="0"/>
    <x v="2"/>
    <x v="42"/>
    <n v="4.3582851939999996"/>
    <n v="4.3606433769999997"/>
    <n v="0.87225980599999997"/>
    <n v="4.0251615320000003"/>
  </r>
  <r>
    <x v="1"/>
    <x v="0"/>
    <x v="2"/>
    <x v="2"/>
    <x v="42"/>
    <n v="28.800503190000001"/>
    <n v="28.81608658"/>
    <n v="0.52620103799999995"/>
    <n v="26.22299421"/>
  </r>
  <r>
    <x v="1"/>
    <x v="3"/>
    <x v="0"/>
    <x v="2"/>
    <x v="42"/>
    <n v="43.841811130000004"/>
    <n v="43.865533079999999"/>
    <n v="3.0139432000000001E-2"/>
    <n v="43.841811130000004"/>
  </r>
  <r>
    <x v="1"/>
    <x v="3"/>
    <x v="3"/>
    <x v="2"/>
    <x v="42"/>
    <n v="5.9267790070000004"/>
    <n v="5.9299858719999996"/>
    <n v="4.1743980000000002E-3"/>
    <n v="5.9267790070000004"/>
  </r>
  <r>
    <x v="1"/>
    <x v="2"/>
    <x v="2"/>
    <x v="2"/>
    <x v="42"/>
    <n v="10.075648429999999"/>
    <n v="10.08110016"/>
    <n v="0.166366135"/>
    <n v="8.9380818249999994"/>
  </r>
  <r>
    <x v="1"/>
    <x v="2"/>
    <x v="0"/>
    <x v="2"/>
    <x v="42"/>
    <n v="3.9343192999999999E-2"/>
    <n v="3.9364481E-2"/>
    <n v="1.1466650000000001E-3"/>
    <n v="3.4901244999999997E-2"/>
  </r>
  <r>
    <x v="1"/>
    <x v="1"/>
    <x v="2"/>
    <x v="2"/>
    <x v="42"/>
    <n v="13.00907512"/>
    <n v="13.016114079999999"/>
    <n v="0.90780941000000004"/>
    <n v="12.014732029999999"/>
  </r>
  <r>
    <x v="1"/>
    <x v="0"/>
    <x v="3"/>
    <x v="2"/>
    <x v="42"/>
    <n v="0.79057708000000004"/>
    <n v="0.79100484599999998"/>
    <n v="1.2425670999999999E-2"/>
    <n v="0.71982416599999999"/>
  </r>
  <r>
    <x v="1"/>
    <x v="0"/>
    <x v="2"/>
    <x v="2"/>
    <x v="43"/>
    <n v="12.092778709999999"/>
    <n v="12.73538147"/>
    <n v="0.28217185099999997"/>
    <n v="11.03003017"/>
  </r>
  <r>
    <x v="1"/>
    <x v="1"/>
    <x v="1"/>
    <x v="2"/>
    <x v="43"/>
    <n v="217.251655"/>
    <n v="228.7962733"/>
    <n v="39.044438890000002"/>
    <n v="200.74258889999999"/>
  </r>
  <r>
    <x v="1"/>
    <x v="1"/>
    <x v="2"/>
    <x v="2"/>
    <x v="43"/>
    <n v="7.7988966670000002"/>
    <n v="8.213325202"/>
    <n v="0.59436575199999997"/>
    <n v="7.2062544590000002"/>
  </r>
  <r>
    <x v="1"/>
    <x v="1"/>
    <x v="3"/>
    <x v="2"/>
    <x v="43"/>
    <n v="55.969142640000001"/>
    <n v="58.943308190000003"/>
    <n v="11.326844830000001"/>
    <n v="51.716018419999997"/>
  </r>
  <r>
    <x v="1"/>
    <x v="0"/>
    <x v="0"/>
    <x v="2"/>
    <x v="43"/>
    <n v="0.37221368100000002"/>
    <n v="0.39199288500000001"/>
    <n v="6.7052240000000001E-3"/>
    <n v="0.33950246099999998"/>
  </r>
  <r>
    <x v="1"/>
    <x v="3"/>
    <x v="0"/>
    <x v="2"/>
    <x v="43"/>
    <n v="18.103060169999999"/>
    <n v="19.065045569999999"/>
    <n v="1.4892556E-2"/>
    <n v="18.103060169999999"/>
  </r>
  <r>
    <x v="1"/>
    <x v="3"/>
    <x v="3"/>
    <x v="2"/>
    <x v="43"/>
    <n v="1.8025051540000001"/>
    <n v="1.8982891609999999"/>
    <n v="1.489761E-3"/>
    <n v="1.8025051540000001"/>
  </r>
  <r>
    <x v="1"/>
    <x v="2"/>
    <x v="2"/>
    <x v="2"/>
    <x v="43"/>
    <n v="5.6550437640000002"/>
    <n v="5.955549285"/>
    <n v="5.16E-2"/>
    <n v="5.1544964430000002"/>
  </r>
  <r>
    <x v="1"/>
    <x v="2"/>
    <x v="0"/>
    <x v="2"/>
    <x v="43"/>
    <n v="2.6996420059999999"/>
    <n v="2.8430993089999999"/>
    <n v="6.4000000000000003E-3"/>
    <n v="2.4606874319999998"/>
  </r>
  <r>
    <x v="1"/>
    <x v="0"/>
    <x v="3"/>
    <x v="2"/>
    <x v="43"/>
    <n v="0.34824686199999999"/>
    <n v="0.36675248399999999"/>
    <n v="5.5434910000000002E-3"/>
    <n v="0.31764191600000002"/>
  </r>
  <r>
    <x v="1"/>
    <x v="1"/>
    <x v="0"/>
    <x v="2"/>
    <x v="43"/>
    <n v="2.5470741860000001"/>
    <n v="2.6824241299999998"/>
    <n v="0.38176643799999999"/>
    <n v="2.3535206959999999"/>
  </r>
  <r>
    <x v="1"/>
    <x v="2"/>
    <x v="2"/>
    <x v="2"/>
    <x v="44"/>
    <n v="5.9768838510000002"/>
    <n v="5.9003379650000003"/>
    <n v="0.117338832"/>
    <n v="5.4053309159999996"/>
  </r>
  <r>
    <x v="1"/>
    <x v="1"/>
    <x v="2"/>
    <x v="2"/>
    <x v="44"/>
    <n v="5.8874588829999999"/>
    <n v="5.8120582619999999"/>
    <n v="0.54824829799999997"/>
    <n v="5.4274408689999998"/>
  </r>
  <r>
    <x v="1"/>
    <x v="1"/>
    <x v="0"/>
    <x v="2"/>
    <x v="44"/>
    <n v="3.0053600070000002"/>
    <n v="2.9668703939999999"/>
    <n v="0.56689356000000002"/>
    <n v="2.7705354799999999"/>
  </r>
  <r>
    <x v="1"/>
    <x v="1"/>
    <x v="3"/>
    <x v="2"/>
    <x v="44"/>
    <n v="66.607145930000001"/>
    <n v="65.754108950000003"/>
    <n v="12.365432520000001"/>
    <n v="61.402780579999998"/>
  </r>
  <r>
    <x v="1"/>
    <x v="0"/>
    <x v="2"/>
    <x v="2"/>
    <x v="44"/>
    <n v="49.084543140000001"/>
    <n v="48.455917939999999"/>
    <n v="0.89725467599999997"/>
    <n v="44.685231790000003"/>
  </r>
  <r>
    <x v="1"/>
    <x v="0"/>
    <x v="0"/>
    <x v="2"/>
    <x v="44"/>
    <n v="1.5850056050000001"/>
    <n v="1.5647064559999999"/>
    <n v="2.7541907000000001E-2"/>
    <n v="1.4429459520000001"/>
  </r>
  <r>
    <x v="1"/>
    <x v="3"/>
    <x v="0"/>
    <x v="2"/>
    <x v="44"/>
    <n v="22.121718229999999"/>
    <n v="21.83840563"/>
    <n v="1.8145332E-2"/>
    <n v="22.121718229999999"/>
  </r>
  <r>
    <x v="1"/>
    <x v="3"/>
    <x v="3"/>
    <x v="2"/>
    <x v="44"/>
    <n v="2.6645453140000002"/>
    <n v="2.6304205120000002"/>
    <n v="2.200694E-3"/>
    <n v="2.6645453140000002"/>
  </r>
  <r>
    <x v="1"/>
    <x v="1"/>
    <x v="1"/>
    <x v="2"/>
    <x v="44"/>
    <n v="209.8691815"/>
    <n v="207.18138920000001"/>
    <n v="38.121976179999997"/>
    <n v="193.47100259999999"/>
  </r>
  <r>
    <x v="1"/>
    <x v="0"/>
    <x v="3"/>
    <x v="2"/>
    <x v="44"/>
    <n v="1.3874702219999999"/>
    <n v="1.3697009060000001"/>
    <n v="2.1987271999999999E-2"/>
    <n v="1.2631151169999999"/>
  </r>
  <r>
    <x v="1"/>
    <x v="2"/>
    <x v="0"/>
    <x v="2"/>
    <x v="44"/>
    <n v="1.470543624"/>
    <n v="1.451710388"/>
    <n v="6.3736679999999999E-3"/>
    <n v="1.329919589"/>
  </r>
  <r>
    <x v="1"/>
    <x v="0"/>
    <x v="3"/>
    <x v="4"/>
    <x v="45"/>
    <n v="0.45086029399999999"/>
    <n v="0.46031307399999999"/>
    <n v="8.8159950000000001E-3"/>
    <n v="0.38446334300000001"/>
  </r>
  <r>
    <x v="1"/>
    <x v="1"/>
    <x v="2"/>
    <x v="4"/>
    <x v="45"/>
    <n v="4.1210882140000002"/>
    <n v="4.2074913389999997"/>
    <n v="9.8770904000000007E-2"/>
    <n v="3.6350532430000002"/>
  </r>
  <r>
    <x v="1"/>
    <x v="1"/>
    <x v="3"/>
    <x v="4"/>
    <x v="45"/>
    <n v="55.969700660000001"/>
    <n v="57.143166690000001"/>
    <n v="15.23950018"/>
    <n v="49.368718000000001"/>
  </r>
  <r>
    <x v="1"/>
    <x v="0"/>
    <x v="0"/>
    <x v="4"/>
    <x v="45"/>
    <n v="4.4116150430000003"/>
    <n v="4.5041093810000001"/>
    <n v="6.0000000000000001E-3"/>
    <n v="3.7619286710000002"/>
  </r>
  <r>
    <x v="1"/>
    <x v="1"/>
    <x v="1"/>
    <x v="4"/>
    <x v="45"/>
    <n v="209.44708399999999"/>
    <n v="213.8383714"/>
    <n v="53.488667229999997"/>
    <n v="184.74520860000001"/>
  </r>
  <r>
    <x v="1"/>
    <x v="3"/>
    <x v="0"/>
    <x v="4"/>
    <x v="45"/>
    <n v="7.3954725229999996"/>
    <n v="7.5505266979999996"/>
    <n v="5.90889E-3"/>
    <n v="7.3954725229999996"/>
  </r>
  <r>
    <x v="1"/>
    <x v="3"/>
    <x v="3"/>
    <x v="4"/>
    <x v="45"/>
    <n v="1.399411717"/>
    <n v="1.4287519150000001"/>
    <n v="1.09111E-3"/>
    <n v="1.399411717"/>
  </r>
  <r>
    <x v="1"/>
    <x v="2"/>
    <x v="1"/>
    <x v="4"/>
    <x v="45"/>
    <n v="1.6301976739999999"/>
    <n v="1.6643765530000001"/>
    <n v="6.8000000000000005E-2"/>
    <n v="1.5773011830000001"/>
  </r>
  <r>
    <x v="1"/>
    <x v="2"/>
    <x v="2"/>
    <x v="4"/>
    <x v="45"/>
    <n v="19.281886190000002"/>
    <n v="19.68615204"/>
    <n v="8.7999999999999995E-2"/>
    <n v="18.65622948"/>
  </r>
  <r>
    <x v="1"/>
    <x v="0"/>
    <x v="2"/>
    <x v="4"/>
    <x v="45"/>
    <n v="37.022757990000002"/>
    <n v="37.798980630000003"/>
    <n v="0.49445612900000002"/>
    <n v="31.5705186"/>
  </r>
  <r>
    <x v="1"/>
    <x v="2"/>
    <x v="2"/>
    <x v="6"/>
    <x v="46"/>
    <n v="6.2112981039999999"/>
    <n v="6.5679254399999998"/>
    <n v="0.10440000000000001"/>
    <n v="5.1760817530000001"/>
  </r>
  <r>
    <x v="1"/>
    <x v="2"/>
    <x v="3"/>
    <x v="6"/>
    <x v="46"/>
    <n v="0.23815809600000001"/>
    <n v="0.25183216000000003"/>
    <n v="6.8999999999999999E-3"/>
    <n v="0.19846507999999999"/>
  </r>
  <r>
    <x v="1"/>
    <x v="1"/>
    <x v="2"/>
    <x v="6"/>
    <x v="46"/>
    <n v="3.8579897239999998"/>
    <n v="4.079499717"/>
    <n v="0.55501332299999995"/>
    <n v="3.3939226630000001"/>
  </r>
  <r>
    <x v="1"/>
    <x v="2"/>
    <x v="1"/>
    <x v="6"/>
    <x v="46"/>
    <n v="1.2141087770000001"/>
    <n v="1.2838179380000001"/>
    <n v="3.7699999999999997E-2"/>
    <n v="1.011757314"/>
  </r>
  <r>
    <x v="1"/>
    <x v="3"/>
    <x v="3"/>
    <x v="6"/>
    <x v="46"/>
    <n v="0.3055081"/>
    <n v="0.32304912600000002"/>
    <n v="1.70564E-4"/>
    <n v="0.25459008300000002"/>
  </r>
  <r>
    <x v="1"/>
    <x v="3"/>
    <x v="0"/>
    <x v="6"/>
    <x v="46"/>
    <n v="3.2768257730000001"/>
    <n v="3.4649677090000002"/>
    <n v="1.829436E-3"/>
    <n v="2.7306881440000002"/>
  </r>
  <r>
    <x v="1"/>
    <x v="0"/>
    <x v="3"/>
    <x v="6"/>
    <x v="46"/>
    <n v="0.25915050899999997"/>
    <n v="0.27402987099999998"/>
    <n v="3.3895209999999999E-3"/>
    <n v="0.22054257699999999"/>
  </r>
  <r>
    <x v="1"/>
    <x v="0"/>
    <x v="2"/>
    <x v="6"/>
    <x v="46"/>
    <n v="25.239278710000001"/>
    <n v="26.688414869999999"/>
    <n v="0.36426247"/>
    <n v="21.4791612"/>
  </r>
  <r>
    <x v="1"/>
    <x v="1"/>
    <x v="1"/>
    <x v="6"/>
    <x v="46"/>
    <n v="100.55269010000001"/>
    <n v="106.32601440000001"/>
    <n v="27.69152382"/>
    <n v="88.457481259999994"/>
  </r>
  <r>
    <x v="1"/>
    <x v="1"/>
    <x v="3"/>
    <x v="6"/>
    <x v="46"/>
    <n v="31.141021680000001"/>
    <n v="32.929011789999997"/>
    <n v="7.518063487"/>
    <n v="27.39515312"/>
  </r>
  <r>
    <x v="1"/>
    <x v="0"/>
    <x v="0"/>
    <x v="6"/>
    <x v="46"/>
    <n v="1.0001783339999999"/>
    <n v="1.0576044840000001"/>
    <n v="4.2750000000000002E-3"/>
    <n v="0.85117296399999998"/>
  </r>
  <r>
    <x v="1"/>
    <x v="0"/>
    <x v="3"/>
    <x v="7"/>
    <x v="47"/>
    <n v="0.30151823999999999"/>
    <n v="0.34615270599999998"/>
    <n v="4.8755159999999999E-3"/>
    <n v="0.27978191000000002"/>
  </r>
  <r>
    <x v="1"/>
    <x v="3"/>
    <x v="0"/>
    <x v="7"/>
    <x v="47"/>
    <n v="10.58756108"/>
    <n v="12.15486308"/>
    <n v="5.7217910000000004E-3"/>
    <n v="10.58756108"/>
  </r>
  <r>
    <x v="1"/>
    <x v="3"/>
    <x v="3"/>
    <x v="7"/>
    <x v="47"/>
    <n v="1.0977609129999999"/>
    <n v="1.2602650870000001"/>
    <n v="5.7505299999999996E-4"/>
    <n v="1.0977609129999999"/>
  </r>
  <r>
    <x v="1"/>
    <x v="2"/>
    <x v="2"/>
    <x v="7"/>
    <x v="47"/>
    <n v="2.4856882950000001"/>
    <n v="2.8536506799999999"/>
    <n v="1.1939999999999999E-2"/>
    <n v="2.2055072980000001"/>
  </r>
  <r>
    <x v="1"/>
    <x v="2"/>
    <x v="0"/>
    <x v="7"/>
    <x v="47"/>
    <n v="2.0683089999999999E-3"/>
    <n v="2.3744859999999999E-3"/>
    <n v="6.0000000000000002E-5"/>
    <n v="1.835174E-3"/>
  </r>
  <r>
    <x v="1"/>
    <x v="0"/>
    <x v="2"/>
    <x v="7"/>
    <x v="47"/>
    <n v="9.4046795989999996"/>
    <n v="10.79687682"/>
    <n v="0.17971573199999999"/>
    <n v="8.7266999779999992"/>
  </r>
  <r>
    <x v="1"/>
    <x v="1"/>
    <x v="3"/>
    <x v="7"/>
    <x v="47"/>
    <n v="36.479109020000003"/>
    <n v="41.879198789999997"/>
    <n v="8.1353442969999996"/>
    <n v="33.724123779999999"/>
  </r>
  <r>
    <x v="1"/>
    <x v="1"/>
    <x v="0"/>
    <x v="7"/>
    <x v="47"/>
    <n v="2.2527135070000002"/>
    <n v="2.586188076"/>
    <n v="0.393419878"/>
    <n v="2.082583461"/>
  </r>
  <r>
    <x v="1"/>
    <x v="1"/>
    <x v="2"/>
    <x v="7"/>
    <x v="47"/>
    <n v="4.8401819550000003"/>
    <n v="5.5566856680000001"/>
    <n v="0.49212270800000002"/>
    <n v="4.4746404110000002"/>
  </r>
  <r>
    <x v="1"/>
    <x v="0"/>
    <x v="0"/>
    <x v="7"/>
    <x v="47"/>
    <n v="0.29025384599999998"/>
    <n v="0.333220817"/>
    <n v="5.1925019999999999E-3"/>
    <n v="0.269329561"/>
  </r>
  <r>
    <x v="1"/>
    <x v="1"/>
    <x v="1"/>
    <x v="7"/>
    <x v="47"/>
    <n v="122.10087729999999"/>
    <n v="140.1757623"/>
    <n v="28.263643640000002"/>
    <n v="112.8795415"/>
  </r>
  <r>
    <x v="1"/>
    <x v="1"/>
    <x v="3"/>
    <x v="2"/>
    <x v="48"/>
    <n v="406.68344619999999"/>
    <n v="386.20101679999999"/>
    <n v="84.595050860000001"/>
    <n v="381.15065609999999"/>
  </r>
  <r>
    <x v="1"/>
    <x v="1"/>
    <x v="1"/>
    <x v="2"/>
    <x v="48"/>
    <n v="1250.7484730000001"/>
    <n v="1187.755087"/>
    <n v="213.0979839"/>
    <n v="1172.2227829999999"/>
  </r>
  <r>
    <x v="1"/>
    <x v="1"/>
    <x v="2"/>
    <x v="2"/>
    <x v="48"/>
    <n v="41.385998010000002"/>
    <n v="39.301610779999997"/>
    <n v="2.6408974879999998"/>
    <n v="38.787662599999997"/>
  </r>
  <r>
    <x v="1"/>
    <x v="1"/>
    <x v="0"/>
    <x v="2"/>
    <x v="48"/>
    <n v="17.859968160000001"/>
    <n v="16.96045887"/>
    <n v="2.116065812"/>
    <n v="16.738666510000002"/>
  </r>
  <r>
    <x v="1"/>
    <x v="2"/>
    <x v="0"/>
    <x v="2"/>
    <x v="48"/>
    <n v="16.394676220000001"/>
    <n v="15.5689657"/>
    <n v="1.4504672E-2"/>
    <n v="14.08031692"/>
  </r>
  <r>
    <x v="1"/>
    <x v="2"/>
    <x v="2"/>
    <x v="2"/>
    <x v="48"/>
    <n v="17.361081890000001"/>
    <n v="16.486698789999998"/>
    <n v="0.15484932800000001"/>
    <n v="14.910299650000001"/>
  </r>
  <r>
    <x v="1"/>
    <x v="3"/>
    <x v="3"/>
    <x v="2"/>
    <x v="48"/>
    <n v="10.75012433"/>
    <n v="10.20869914"/>
    <n v="7.0462500000000004E-3"/>
    <n v="10.75012433"/>
  </r>
  <r>
    <x v="1"/>
    <x v="3"/>
    <x v="0"/>
    <x v="2"/>
    <x v="48"/>
    <n v="85.199602260000006"/>
    <n v="80.908562500000002"/>
    <n v="5.6028582E-2"/>
    <n v="85.199602260000006"/>
  </r>
  <r>
    <x v="1"/>
    <x v="0"/>
    <x v="3"/>
    <x v="2"/>
    <x v="48"/>
    <n v="2.5302187549999999"/>
    <n v="2.402785422"/>
    <n v="3.8639811000000003E-2"/>
    <n v="2.4376764259999999"/>
  </r>
  <r>
    <x v="1"/>
    <x v="0"/>
    <x v="0"/>
    <x v="2"/>
    <x v="48"/>
    <n v="2.6008273869999998"/>
    <n v="2.4698378820000002"/>
    <n v="4.4300917000000002E-2"/>
    <n v="2.5057025589999999"/>
  </r>
  <r>
    <x v="1"/>
    <x v="0"/>
    <x v="2"/>
    <x v="2"/>
    <x v="48"/>
    <n v="219.8839313"/>
    <n v="208.80957570000001"/>
    <n v="5.0465868389999997"/>
    <n v="211.84171319999999"/>
  </r>
  <r>
    <x v="1"/>
    <x v="1"/>
    <x v="2"/>
    <x v="3"/>
    <x v="49"/>
    <n v="573.18428029999995"/>
    <n v="573.18428029999995"/>
    <n v="60.780146739999999"/>
    <n v="552.18026540000005"/>
  </r>
  <r>
    <x v="1"/>
    <x v="2"/>
    <x v="2"/>
    <x v="3"/>
    <x v="49"/>
    <n v="170.05821449999999"/>
    <n v="170.05821449999999"/>
    <n v="2.4170400000000001"/>
    <n v="156.43098810000001"/>
  </r>
  <r>
    <x v="1"/>
    <x v="2"/>
    <x v="0"/>
    <x v="3"/>
    <x v="49"/>
    <n v="69.666713830000006"/>
    <n v="69.666713830000006"/>
    <n v="0.10136000000000001"/>
    <n v="64.084130889999997"/>
  </r>
  <r>
    <x v="1"/>
    <x v="0"/>
    <x v="0"/>
    <x v="3"/>
    <x v="49"/>
    <n v="24.88217311"/>
    <n v="24.88217311"/>
    <n v="5.8937019E-2"/>
    <n v="22.522251860000001"/>
  </r>
  <r>
    <x v="1"/>
    <x v="0"/>
    <x v="2"/>
    <x v="3"/>
    <x v="49"/>
    <n v="1096.3143660000001"/>
    <n v="1096.3143660000001"/>
    <n v="26.889436079999999"/>
    <n v="992.33568360000004"/>
  </r>
  <r>
    <x v="1"/>
    <x v="3"/>
    <x v="0"/>
    <x v="3"/>
    <x v="49"/>
    <n v="1295.591537"/>
    <n v="1295.591537"/>
    <n v="1.1519330590000001"/>
    <n v="1286.9047849999999"/>
  </r>
  <r>
    <x v="1"/>
    <x v="1"/>
    <x v="0"/>
    <x v="3"/>
    <x v="49"/>
    <n v="343.03319820000002"/>
    <n v="343.03319820000002"/>
    <n v="41.22506078"/>
    <n v="330.46294"/>
  </r>
  <r>
    <x v="1"/>
    <x v="3"/>
    <x v="3"/>
    <x v="3"/>
    <x v="49"/>
    <n v="149.80609630000001"/>
    <n v="149.80609630000001"/>
    <n v="0.13987882700000001"/>
    <n v="148.80166840000001"/>
  </r>
  <r>
    <x v="1"/>
    <x v="1"/>
    <x v="1"/>
    <x v="3"/>
    <x v="49"/>
    <n v="9595.5731629999991"/>
    <n v="9595.5731629999991"/>
    <n v="1961.0597640000001"/>
    <n v="9243.9487929999996"/>
  </r>
  <r>
    <x v="1"/>
    <x v="0"/>
    <x v="3"/>
    <x v="3"/>
    <x v="49"/>
    <n v="16.444372399999999"/>
    <n v="16.444372399999999"/>
    <n v="0.865729737"/>
    <n v="14.88472471"/>
  </r>
  <r>
    <x v="1"/>
    <x v="1"/>
    <x v="3"/>
    <x v="3"/>
    <x v="49"/>
    <n v="6604.9304199999997"/>
    <n v="6604.9304199999997"/>
    <n v="1924.4520680000001"/>
    <n v="6362.8964679999999"/>
  </r>
  <r>
    <x v="2"/>
    <x v="1"/>
    <x v="2"/>
    <x v="0"/>
    <x v="0"/>
    <n v="4.1219243939999997"/>
    <n v="6.9577435919999999"/>
    <n v="0.36184300000000003"/>
    <n v="3.8881944439999998"/>
  </r>
  <r>
    <x v="2"/>
    <x v="1"/>
    <x v="1"/>
    <x v="0"/>
    <x v="0"/>
    <n v="53.870316940000002"/>
    <n v="90.932248319999999"/>
    <n v="11.845504740000001"/>
    <n v="50.81564994"/>
  </r>
  <r>
    <x v="2"/>
    <x v="0"/>
    <x v="2"/>
    <x v="0"/>
    <x v="0"/>
    <n v="33.591448630000002"/>
    <n v="56.701837329999996"/>
    <n v="0.41689467099999999"/>
    <n v="32.00823364"/>
  </r>
  <r>
    <x v="2"/>
    <x v="0"/>
    <x v="0"/>
    <x v="0"/>
    <x v="0"/>
    <n v="2.2228843870000001"/>
    <n v="3.7521939080000002"/>
    <n v="1.2193641E-2"/>
    <n v="2.118116536"/>
  </r>
  <r>
    <x v="2"/>
    <x v="0"/>
    <x v="3"/>
    <x v="0"/>
    <x v="0"/>
    <n v="1.6982330919999999"/>
    <n v="2.866590768"/>
    <n v="6.3071443000000005E-2"/>
    <n v="1.6181928379999999"/>
  </r>
  <r>
    <x v="2"/>
    <x v="3"/>
    <x v="0"/>
    <x v="0"/>
    <x v="0"/>
    <n v="7.1607823330000002"/>
    <n v="12.08728803"/>
    <n v="2.3329620000000001E-3"/>
    <n v="6.9232996379999996"/>
  </r>
  <r>
    <x v="2"/>
    <x v="3"/>
    <x v="3"/>
    <x v="0"/>
    <x v="0"/>
    <n v="1.6304765130000001"/>
    <n v="2.7522187279999999"/>
    <n v="5.4660799999999997E-4"/>
    <n v="1.576402818"/>
  </r>
  <r>
    <x v="2"/>
    <x v="1"/>
    <x v="3"/>
    <x v="0"/>
    <x v="0"/>
    <n v="17.707670289999999"/>
    <n v="29.89026913"/>
    <n v="3.5769164139999998"/>
    <n v="16.703573049999999"/>
  </r>
  <r>
    <x v="2"/>
    <x v="2"/>
    <x v="0"/>
    <x v="0"/>
    <x v="0"/>
    <n v="6.5387049509999997"/>
    <n v="11.03723119"/>
    <n v="1.15E-2"/>
    <n v="6.4067732819999996"/>
  </r>
  <r>
    <x v="2"/>
    <x v="2"/>
    <x v="2"/>
    <x v="0"/>
    <x v="0"/>
    <n v="3.3980365859999999"/>
    <n v="5.7358323499999999"/>
    <n v="8.4860000000000005E-2"/>
    <n v="3.3294742880000001"/>
  </r>
  <r>
    <x v="2"/>
    <x v="0"/>
    <x v="3"/>
    <x v="1"/>
    <x v="1"/>
    <n v="3.1984017850000002"/>
    <n v="4.1111848289999999"/>
    <n v="3.6981438999999998E-2"/>
    <n v="2.762189958"/>
  </r>
  <r>
    <x v="2"/>
    <x v="2"/>
    <x v="3"/>
    <x v="1"/>
    <x v="1"/>
    <n v="1.143909984"/>
    <n v="1.4703672919999999"/>
    <n v="1.065E-2"/>
    <n v="1.1129361010000001"/>
  </r>
  <r>
    <x v="2"/>
    <x v="2"/>
    <x v="2"/>
    <x v="1"/>
    <x v="1"/>
    <n v="8.9074332429999998"/>
    <n v="11.449500990000001"/>
    <n v="4.7350000000000003E-2"/>
    <n v="8.6662448649999995"/>
  </r>
  <r>
    <x v="2"/>
    <x v="3"/>
    <x v="0"/>
    <x v="1"/>
    <x v="1"/>
    <n v="56.869726309999997"/>
    <n v="73.099620299999998"/>
    <n v="5.3462466E-2"/>
    <n v="50.76280028"/>
  </r>
  <r>
    <x v="2"/>
    <x v="0"/>
    <x v="2"/>
    <x v="1"/>
    <x v="1"/>
    <n v="102.8417017"/>
    <n v="132.19141070000001"/>
    <n v="1.5043755809999999"/>
    <n v="88.815706980000002"/>
  </r>
  <r>
    <x v="2"/>
    <x v="0"/>
    <x v="0"/>
    <x v="1"/>
    <x v="1"/>
    <n v="6.0996474430000003"/>
    <n v="7.840408966"/>
    <n v="8.6286430000000001E-3"/>
    <n v="5.2677512230000003"/>
  </r>
  <r>
    <x v="2"/>
    <x v="1"/>
    <x v="3"/>
    <x v="1"/>
    <x v="1"/>
    <n v="146.26398990000001"/>
    <n v="188.00586569999999"/>
    <n v="25.324672199999998"/>
    <n v="129.66453179999999"/>
  </r>
  <r>
    <x v="2"/>
    <x v="1"/>
    <x v="1"/>
    <x v="1"/>
    <x v="1"/>
    <n v="446.53816819999997"/>
    <n v="573.97446170000001"/>
    <n v="81.929738189999995"/>
    <n v="395.86068019999999"/>
  </r>
  <r>
    <x v="2"/>
    <x v="3"/>
    <x v="3"/>
    <x v="1"/>
    <x v="1"/>
    <n v="7.3298498649999999"/>
    <n v="9.4216954550000001"/>
    <n v="7.1434039999999999E-3"/>
    <n v="6.542737743"/>
  </r>
  <r>
    <x v="2"/>
    <x v="1"/>
    <x v="2"/>
    <x v="1"/>
    <x v="1"/>
    <n v="24.580104439999999"/>
    <n v="31.594952500000002"/>
    <n v="1.8286922059999999"/>
    <n v="21.790515469999999"/>
  </r>
  <r>
    <x v="2"/>
    <x v="0"/>
    <x v="2"/>
    <x v="2"/>
    <x v="2"/>
    <n v="7.8679701040000003"/>
    <n v="9.4171204500000005"/>
    <n v="0.10716257"/>
    <n v="7.1672988100000001"/>
  </r>
  <r>
    <x v="2"/>
    <x v="2"/>
    <x v="0"/>
    <x v="2"/>
    <x v="2"/>
    <n v="2.3691433399999999"/>
    <n v="2.8356117150000002"/>
    <n v="4.2199999999999998E-3"/>
    <n v="2.0285725079999999"/>
  </r>
  <r>
    <x v="2"/>
    <x v="1"/>
    <x v="3"/>
    <x v="2"/>
    <x v="2"/>
    <n v="50.27809353"/>
    <n v="60.177511680000002"/>
    <n v="7.5295310769999997"/>
    <n v="46.173838259999997"/>
  </r>
  <r>
    <x v="2"/>
    <x v="0"/>
    <x v="0"/>
    <x v="2"/>
    <x v="2"/>
    <n v="0.16041559999999999"/>
    <n v="0.19200035200000001"/>
    <n v="2.1467629999999999E-3"/>
    <n v="0.14613000900000001"/>
  </r>
  <r>
    <x v="2"/>
    <x v="0"/>
    <x v="3"/>
    <x v="2"/>
    <x v="2"/>
    <n v="0.78440893599999995"/>
    <n v="0.938853775"/>
    <n v="9.4850019999999993E-3"/>
    <n v="0.71455447299999997"/>
  </r>
  <r>
    <x v="2"/>
    <x v="3"/>
    <x v="0"/>
    <x v="2"/>
    <x v="2"/>
    <n v="7.079961645"/>
    <n v="8.4739584299999997"/>
    <n v="4.7316509999999999E-3"/>
    <n v="7.0158478820000001"/>
  </r>
  <r>
    <x v="2"/>
    <x v="3"/>
    <x v="3"/>
    <x v="2"/>
    <x v="2"/>
    <n v="0.57100352300000001"/>
    <n v="0.68343027300000003"/>
    <n v="2.8075499999999999E-4"/>
    <n v="0.56583270600000002"/>
  </r>
  <r>
    <x v="2"/>
    <x v="1"/>
    <x v="0"/>
    <x v="2"/>
    <x v="2"/>
    <n v="2.907250398"/>
    <n v="3.4796684290000002"/>
    <n v="0.66488588400000004"/>
    <n v="2.669928396"/>
  </r>
  <r>
    <x v="2"/>
    <x v="2"/>
    <x v="2"/>
    <x v="2"/>
    <x v="2"/>
    <n v="1.54699692"/>
    <n v="1.8515901990000001"/>
    <n v="2.878E-2"/>
    <n v="1.324611883"/>
  </r>
  <r>
    <x v="2"/>
    <x v="1"/>
    <x v="1"/>
    <x v="2"/>
    <x v="2"/>
    <n v="153.39421609999999"/>
    <n v="183.5965046"/>
    <n v="26.818114810000001"/>
    <n v="140.8724799"/>
  </r>
  <r>
    <x v="2"/>
    <x v="1"/>
    <x v="2"/>
    <x v="2"/>
    <x v="2"/>
    <n v="5.0815231489999997"/>
    <n v="6.0820408490000002"/>
    <n v="0.34036196299999999"/>
    <n v="4.6667129059999999"/>
  </r>
  <r>
    <x v="2"/>
    <x v="0"/>
    <x v="0"/>
    <x v="2"/>
    <x v="3"/>
    <n v="0.32625884199999999"/>
    <n v="0.39049701199999998"/>
    <n v="4.4202729999999997E-3"/>
    <n v="0.29949527300000001"/>
  </r>
  <r>
    <x v="2"/>
    <x v="1"/>
    <x v="1"/>
    <x v="2"/>
    <x v="3"/>
    <n v="131.31002910000001"/>
    <n v="157.1640898"/>
    <n v="20.75235674"/>
    <n v="121.7363469"/>
  </r>
  <r>
    <x v="2"/>
    <x v="1"/>
    <x v="2"/>
    <x v="2"/>
    <x v="3"/>
    <n v="5.7129112629999996"/>
    <n v="6.8377450309999999"/>
    <n v="0.253989199"/>
    <n v="5.2963886489999998"/>
  </r>
  <r>
    <x v="2"/>
    <x v="1"/>
    <x v="0"/>
    <x v="2"/>
    <x v="3"/>
    <n v="1.359507856"/>
    <n v="1.6271857999999999"/>
    <n v="0.21972591999999999"/>
    <n v="1.260387505"/>
  </r>
  <r>
    <x v="2"/>
    <x v="1"/>
    <x v="3"/>
    <x v="2"/>
    <x v="3"/>
    <n v="40.405526129999998"/>
    <n v="48.361102209999999"/>
    <n v="6.1461787689999996"/>
    <n v="37.459599859999997"/>
  </r>
  <r>
    <x v="2"/>
    <x v="0"/>
    <x v="2"/>
    <x v="2"/>
    <x v="3"/>
    <n v="18.909873139999998"/>
    <n v="22.633099860000002"/>
    <n v="0.240278242"/>
    <n v="17.35866399"/>
  </r>
  <r>
    <x v="2"/>
    <x v="0"/>
    <x v="3"/>
    <x v="2"/>
    <x v="3"/>
    <n v="1.907527207"/>
    <n v="2.2831064720000001"/>
    <n v="2.3390991999999999E-2"/>
    <n v="1.7510494969999999"/>
  </r>
  <r>
    <x v="2"/>
    <x v="3"/>
    <x v="0"/>
    <x v="2"/>
    <x v="3"/>
    <n v="22.95513661"/>
    <n v="27.474848470000001"/>
    <n v="1.1671243E-2"/>
    <n v="22.9242743"/>
  </r>
  <r>
    <x v="2"/>
    <x v="3"/>
    <x v="3"/>
    <x v="2"/>
    <x v="3"/>
    <n v="2.5241001079999998"/>
    <n v="3.021078427"/>
    <n v="1.649717E-3"/>
    <n v="2.520706552"/>
  </r>
  <r>
    <x v="2"/>
    <x v="2"/>
    <x v="2"/>
    <x v="2"/>
    <x v="3"/>
    <n v="19.153980910000001"/>
    <n v="22.925270810000001"/>
    <n v="0.123093592"/>
    <n v="17.07177866"/>
  </r>
  <r>
    <x v="2"/>
    <x v="2"/>
    <x v="0"/>
    <x v="2"/>
    <x v="3"/>
    <n v="9.8903299999999993E-3"/>
    <n v="1.1837669E-2"/>
    <n v="2.1760799999999999E-4"/>
    <n v="8.8151659999999993E-3"/>
  </r>
  <r>
    <x v="2"/>
    <x v="0"/>
    <x v="3"/>
    <x v="0"/>
    <x v="4"/>
    <n v="4.7670739739999997"/>
    <n v="7.3645102979999999"/>
    <n v="0.16594914199999999"/>
    <n v="4.5411625600000001"/>
  </r>
  <r>
    <x v="2"/>
    <x v="2"/>
    <x v="2"/>
    <x v="0"/>
    <x v="4"/>
    <n v="5.3475704479999999"/>
    <n v="8.2613019750000003"/>
    <n v="8.1125000000000003E-2"/>
    <n v="5.2184168409999998"/>
  </r>
  <r>
    <x v="2"/>
    <x v="1"/>
    <x v="0"/>
    <x v="0"/>
    <x v="4"/>
    <n v="1.773689546"/>
    <n v="2.7401200399999999"/>
    <n v="4.2631000000000002E-2"/>
    <n v="1.708703761"/>
  </r>
  <r>
    <x v="2"/>
    <x v="1"/>
    <x v="2"/>
    <x v="0"/>
    <x v="4"/>
    <n v="13.32029625"/>
    <n v="20.578128100000001"/>
    <n v="2.4184895000000002"/>
    <n v="12.83225712"/>
  </r>
  <r>
    <x v="2"/>
    <x v="1"/>
    <x v="1"/>
    <x v="0"/>
    <x v="4"/>
    <n v="367.78954299999998"/>
    <n v="568.18708749999996"/>
    <n v="101.3359403"/>
    <n v="354.31419030000001"/>
  </r>
  <r>
    <x v="2"/>
    <x v="2"/>
    <x v="0"/>
    <x v="0"/>
    <x v="4"/>
    <n v="0.44854815999999997"/>
    <n v="0.69294866399999999"/>
    <n v="2.7000000000000001E-3"/>
    <n v="0.43771490099999999"/>
  </r>
  <r>
    <x v="2"/>
    <x v="0"/>
    <x v="0"/>
    <x v="0"/>
    <x v="4"/>
    <n v="4.9512044130000001"/>
    <n v="7.6489679180000003"/>
    <n v="3.4981565999999999E-2"/>
    <n v="4.7165670659999996"/>
  </r>
  <r>
    <x v="2"/>
    <x v="3"/>
    <x v="0"/>
    <x v="0"/>
    <x v="4"/>
    <n v="140.79674130000001"/>
    <n v="217.51268329999999"/>
    <n v="6.0164252000000001E-2"/>
    <n v="137.49681770000001"/>
  </r>
  <r>
    <x v="2"/>
    <x v="3"/>
    <x v="3"/>
    <x v="0"/>
    <x v="4"/>
    <n v="48.930466699999997"/>
    <n v="75.591217560000004"/>
    <n v="2.442184E-2"/>
    <n v="47.783658889999998"/>
  </r>
  <r>
    <x v="2"/>
    <x v="1"/>
    <x v="3"/>
    <x v="0"/>
    <x v="4"/>
    <n v="137.85361230000001"/>
    <n v="212.96593110000001"/>
    <n v="32.141491209999998"/>
    <n v="132.80282690000001"/>
  </r>
  <r>
    <x v="2"/>
    <x v="0"/>
    <x v="2"/>
    <x v="0"/>
    <x v="4"/>
    <n v="95.112407149999996"/>
    <n v="146.936319"/>
    <n v="1.16948692"/>
    <n v="90.605034590000002"/>
  </r>
  <r>
    <x v="2"/>
    <x v="0"/>
    <x v="3"/>
    <x v="3"/>
    <x v="5"/>
    <n v="0.33078934799999998"/>
    <n v="0.41067388999999999"/>
    <n v="9.3304149999999999E-3"/>
    <n v="0.304149261"/>
  </r>
  <r>
    <x v="2"/>
    <x v="1"/>
    <x v="1"/>
    <x v="3"/>
    <x v="5"/>
    <n v="661.12722459999998"/>
    <n v="820.78727909999998"/>
    <n v="192.94999630000001"/>
    <n v="638.10738079999999"/>
  </r>
  <r>
    <x v="2"/>
    <x v="0"/>
    <x v="2"/>
    <x v="3"/>
    <x v="5"/>
    <n v="98.128909699999994"/>
    <n v="121.82671929999999"/>
    <n v="2.5353076130000001"/>
    <n v="90.226107880000001"/>
  </r>
  <r>
    <x v="2"/>
    <x v="2"/>
    <x v="0"/>
    <x v="3"/>
    <x v="5"/>
    <n v="3.6326899909999999"/>
    <n v="4.5099726990000004"/>
    <n v="1.028625E-2"/>
    <n v="3.3588128450000001"/>
  </r>
  <r>
    <x v="2"/>
    <x v="1"/>
    <x v="2"/>
    <x v="3"/>
    <x v="5"/>
    <n v="87.074751160000005"/>
    <n v="108.1030177"/>
    <n v="5.5586037570000002"/>
    <n v="84.042888160000004"/>
  </r>
  <r>
    <x v="2"/>
    <x v="1"/>
    <x v="3"/>
    <x v="3"/>
    <x v="5"/>
    <n v="290.4415884"/>
    <n v="360.5822786"/>
    <n v="97.682037199999996"/>
    <n v="280.32867859999999"/>
  </r>
  <r>
    <x v="2"/>
    <x v="3"/>
    <x v="0"/>
    <x v="3"/>
    <x v="5"/>
    <n v="73.291538239999994"/>
    <n v="90.991204139999994"/>
    <n v="3.7444613000000002E-2"/>
    <n v="65.778436229999997"/>
  </r>
  <r>
    <x v="2"/>
    <x v="1"/>
    <x v="0"/>
    <x v="3"/>
    <x v="5"/>
    <n v="12.91289248"/>
    <n v="16.03131363"/>
    <n v="1.388645787"/>
    <n v="12.463277400000001"/>
  </r>
  <r>
    <x v="2"/>
    <x v="3"/>
    <x v="3"/>
    <x v="3"/>
    <x v="5"/>
    <n v="6.0761441490000001"/>
    <n v="7.5435130150000003"/>
    <n v="2.6828329999999999E-3"/>
    <n v="5.4532797369999999"/>
  </r>
  <r>
    <x v="2"/>
    <x v="2"/>
    <x v="2"/>
    <x v="3"/>
    <x v="5"/>
    <n v="5.208131807"/>
    <n v="6.4658785419999996"/>
    <n v="0.13012375000000001"/>
    <n v="4.8154783520000004"/>
  </r>
  <r>
    <x v="2"/>
    <x v="0"/>
    <x v="0"/>
    <x v="3"/>
    <x v="5"/>
    <n v="1.070725637"/>
    <n v="1.3293023639999999"/>
    <n v="1.645E-3"/>
    <n v="0.98449485599999997"/>
  </r>
  <r>
    <x v="2"/>
    <x v="1"/>
    <x v="3"/>
    <x v="0"/>
    <x v="6"/>
    <n v="20.338615879999999"/>
    <n v="26.871550719999998"/>
    <n v="4.2313909519999999"/>
    <n v="19.268746440000001"/>
  </r>
  <r>
    <x v="2"/>
    <x v="1"/>
    <x v="0"/>
    <x v="0"/>
    <x v="6"/>
    <n v="0.25613868299999998"/>
    <n v="0.33841258699999999"/>
    <n v="2.0209999999999999E-2"/>
    <n v="0.24266505499999999"/>
  </r>
  <r>
    <x v="2"/>
    <x v="0"/>
    <x v="2"/>
    <x v="0"/>
    <x v="6"/>
    <n v="31.227846329999998"/>
    <n v="41.25849376"/>
    <n v="0.81240131199999999"/>
    <n v="29.610252670000001"/>
  </r>
  <r>
    <x v="2"/>
    <x v="0"/>
    <x v="3"/>
    <x v="0"/>
    <x v="6"/>
    <n v="1.3814786720000001"/>
    <n v="1.8252212649999999"/>
    <n v="4.9550311999999999E-2"/>
    <n v="1.309918465"/>
  </r>
  <r>
    <x v="2"/>
    <x v="3"/>
    <x v="3"/>
    <x v="0"/>
    <x v="6"/>
    <n v="0.15114303700000001"/>
    <n v="0.19969145399999999"/>
    <n v="7.9488999999999997E-5"/>
    <n v="0.14760062199999999"/>
  </r>
  <r>
    <x v="2"/>
    <x v="2"/>
    <x v="2"/>
    <x v="0"/>
    <x v="6"/>
    <n v="3.611661094"/>
    <n v="4.7717570770000002"/>
    <n v="0.105"/>
    <n v="3.479936323"/>
  </r>
  <r>
    <x v="2"/>
    <x v="2"/>
    <x v="0"/>
    <x v="0"/>
    <x v="6"/>
    <n v="5.2599640299999999"/>
    <n v="6.949508808"/>
    <n v="1.0699999999999999E-2"/>
    <n v="5.0681222320000003"/>
  </r>
  <r>
    <x v="2"/>
    <x v="0"/>
    <x v="0"/>
    <x v="0"/>
    <x v="6"/>
    <n v="0.73620888699999998"/>
    <n v="0.97268538599999999"/>
    <n v="8.5940070000000007E-3"/>
    <n v="0.69807347399999997"/>
  </r>
  <r>
    <x v="2"/>
    <x v="1"/>
    <x v="1"/>
    <x v="0"/>
    <x v="6"/>
    <n v="64.592281510000007"/>
    <n v="85.339866720000003"/>
    <n v="14.817043590000001"/>
    <n v="61.19454253"/>
  </r>
  <r>
    <x v="2"/>
    <x v="3"/>
    <x v="0"/>
    <x v="0"/>
    <x v="6"/>
    <n v="1.5964868130000001"/>
    <n v="2.1092918329999999"/>
    <n v="5.2267700000000004E-4"/>
    <n v="1.559069153"/>
  </r>
  <r>
    <x v="2"/>
    <x v="1"/>
    <x v="2"/>
    <x v="0"/>
    <x v="6"/>
    <n v="8.1809939360000001"/>
    <n v="10.80879814"/>
    <n v="0.53090499999999996"/>
    <n v="7.7506502270000004"/>
  </r>
  <r>
    <x v="2"/>
    <x v="3"/>
    <x v="0"/>
    <x v="4"/>
    <x v="7"/>
    <n v="141.5405031"/>
    <n v="144.64801929999999"/>
    <n v="0.11796079399999999"/>
    <n v="141.5405031"/>
  </r>
  <r>
    <x v="2"/>
    <x v="1"/>
    <x v="1"/>
    <x v="4"/>
    <x v="7"/>
    <n v="5893.7504499999995"/>
    <n v="6023.1475090000004"/>
    <n v="1558.4749320000001"/>
    <n v="5423.1795959999999"/>
  </r>
  <r>
    <x v="2"/>
    <x v="1"/>
    <x v="2"/>
    <x v="4"/>
    <x v="7"/>
    <n v="53.40824662"/>
    <n v="54.580822570000002"/>
    <n v="1.7828925819999999"/>
    <n v="49.144006990000001"/>
  </r>
  <r>
    <x v="2"/>
    <x v="1"/>
    <x v="3"/>
    <x v="4"/>
    <x v="7"/>
    <n v="2825.4988979999998"/>
    <n v="2887.5326150000001"/>
    <n v="782.76048500000002"/>
    <n v="2599.9044410000001"/>
  </r>
  <r>
    <x v="2"/>
    <x v="0"/>
    <x v="2"/>
    <x v="4"/>
    <x v="7"/>
    <n v="790.14200870000002"/>
    <n v="807.4895454"/>
    <n v="10.19886101"/>
    <n v="654.34451550000006"/>
  </r>
  <r>
    <x v="2"/>
    <x v="0"/>
    <x v="3"/>
    <x v="4"/>
    <x v="7"/>
    <n v="35.367810720000001"/>
    <n v="36.144309610000001"/>
    <n v="0.45132320199999998"/>
    <n v="29.289333710000001"/>
  </r>
  <r>
    <x v="2"/>
    <x v="3"/>
    <x v="3"/>
    <x v="4"/>
    <x v="7"/>
    <n v="15.874946749999999"/>
    <n v="16.22348058"/>
    <n v="1.2953988E-2"/>
    <n v="15.874946749999999"/>
  </r>
  <r>
    <x v="2"/>
    <x v="2"/>
    <x v="1"/>
    <x v="4"/>
    <x v="7"/>
    <n v="7.5452928220000004"/>
    <n v="7.7109494290000002"/>
    <n v="0.11761000000000001"/>
    <n v="7.115294982"/>
  </r>
  <r>
    <x v="2"/>
    <x v="2"/>
    <x v="2"/>
    <x v="4"/>
    <x v="7"/>
    <n v="127.2608187"/>
    <n v="130.0548249"/>
    <n v="1.8559300000000001"/>
    <n v="120.0083662"/>
  </r>
  <r>
    <x v="2"/>
    <x v="2"/>
    <x v="3"/>
    <x v="4"/>
    <x v="7"/>
    <n v="1.4947129699999999"/>
    <n v="1.527529334"/>
    <n v="7.2459999999999997E-2"/>
    <n v="1.4095309410000001"/>
  </r>
  <r>
    <x v="2"/>
    <x v="0"/>
    <x v="0"/>
    <x v="4"/>
    <x v="7"/>
    <n v="5.8086008409999996"/>
    <n v="5.9361284440000004"/>
    <n v="2.1352032E-2"/>
    <n v="4.810307592"/>
  </r>
  <r>
    <x v="2"/>
    <x v="1"/>
    <x v="2"/>
    <x v="0"/>
    <x v="8"/>
    <n v="4.6815915090000004"/>
    <n v="6.8777251489999998"/>
    <n v="0.52164049999999995"/>
    <n v="4.440482362"/>
  </r>
  <r>
    <x v="2"/>
    <x v="2"/>
    <x v="0"/>
    <x v="0"/>
    <x v="8"/>
    <n v="2.2386280510000001"/>
    <n v="3.2887680210000001"/>
    <n v="5.7000000000000002E-3"/>
    <n v="2.163569077"/>
  </r>
  <r>
    <x v="2"/>
    <x v="1"/>
    <x v="1"/>
    <x v="0"/>
    <x v="8"/>
    <n v="73.805352650000003"/>
    <n v="108.4274288"/>
    <n v="17.342477689999999"/>
    <n v="70.004263719999997"/>
  </r>
  <r>
    <x v="2"/>
    <x v="2"/>
    <x v="2"/>
    <x v="0"/>
    <x v="8"/>
    <n v="1.9923251319999999"/>
    <n v="2.9269244520000002"/>
    <n v="3.0550000000000001E-2"/>
    <n v="1.9255244499999999"/>
  </r>
  <r>
    <x v="2"/>
    <x v="1"/>
    <x v="0"/>
    <x v="0"/>
    <x v="8"/>
    <n v="0.17650853"/>
    <n v="0.25930864599999998"/>
    <n v="3.1626000000000001E-2"/>
    <n v="0.16741807"/>
  </r>
  <r>
    <x v="2"/>
    <x v="1"/>
    <x v="3"/>
    <x v="0"/>
    <x v="8"/>
    <n v="23.75232832"/>
    <n v="34.89454078"/>
    <n v="5.3920915779999996"/>
    <n v="22.529046959999999"/>
  </r>
  <r>
    <x v="2"/>
    <x v="0"/>
    <x v="2"/>
    <x v="0"/>
    <x v="8"/>
    <n v="63.174338120000002"/>
    <n v="92.809407489999998"/>
    <n v="0.61464907700000004"/>
    <n v="60.203282389999998"/>
  </r>
  <r>
    <x v="2"/>
    <x v="0"/>
    <x v="0"/>
    <x v="0"/>
    <x v="8"/>
    <n v="3.6669427319999999"/>
    <n v="5.3871048339999996"/>
    <n v="1.9448705E-2"/>
    <n v="3.494488354"/>
  </r>
  <r>
    <x v="2"/>
    <x v="0"/>
    <x v="3"/>
    <x v="0"/>
    <x v="8"/>
    <n v="3.9548423399999999"/>
    <n v="5.8100580900000001"/>
    <n v="0.142376851"/>
    <n v="3.7688481949999999"/>
  </r>
  <r>
    <x v="2"/>
    <x v="3"/>
    <x v="3"/>
    <x v="0"/>
    <x v="8"/>
    <n v="2.7733886999999999E-2"/>
    <n v="4.0743847999999999E-2"/>
    <n v="1.7876999999999998E-5"/>
    <n v="2.7083874000000001E-2"/>
  </r>
  <r>
    <x v="2"/>
    <x v="3"/>
    <x v="0"/>
    <x v="0"/>
    <x v="8"/>
    <n v="3.9156334000000001E-2"/>
    <n v="5.7524563000000001E-2"/>
    <n v="2.7458E-5"/>
    <n v="3.8238608E-2"/>
  </r>
  <r>
    <x v="2"/>
    <x v="2"/>
    <x v="2"/>
    <x v="5"/>
    <x v="9"/>
    <n v="2.6897523489999999"/>
    <n v="3.382873832"/>
    <n v="4.0590000000000001E-2"/>
    <n v="2.3501464510000001"/>
  </r>
  <r>
    <x v="2"/>
    <x v="0"/>
    <x v="3"/>
    <x v="5"/>
    <x v="9"/>
    <n v="0.73331270400000004"/>
    <n v="0.92227983700000005"/>
    <n v="8.2854499999999998E-3"/>
    <n v="0.68213685300000004"/>
  </r>
  <r>
    <x v="2"/>
    <x v="2"/>
    <x v="0"/>
    <x v="5"/>
    <x v="9"/>
    <n v="2.7169216E-2"/>
    <n v="3.4170443000000002E-2"/>
    <n v="4.0999999999999999E-4"/>
    <n v="2.3738853000000001E-2"/>
  </r>
  <r>
    <x v="2"/>
    <x v="0"/>
    <x v="0"/>
    <x v="5"/>
    <x v="9"/>
    <n v="0.12862106500000001"/>
    <n v="0.16176538900000001"/>
    <n v="1.8066829999999999E-3"/>
    <n v="0.119644959"/>
  </r>
  <r>
    <x v="2"/>
    <x v="0"/>
    <x v="2"/>
    <x v="5"/>
    <x v="9"/>
    <n v="7.7372720340000001"/>
    <n v="9.7310873630000003"/>
    <n v="0.11066463"/>
    <n v="7.1973093669999999"/>
  </r>
  <r>
    <x v="2"/>
    <x v="1"/>
    <x v="3"/>
    <x v="5"/>
    <x v="9"/>
    <n v="26.501088899999999"/>
    <n v="33.33014661"/>
    <n v="6.7012477029999999"/>
    <n v="24.776416820000001"/>
  </r>
  <r>
    <x v="2"/>
    <x v="1"/>
    <x v="0"/>
    <x v="5"/>
    <x v="9"/>
    <n v="1.1408521359999999"/>
    <n v="1.4348379840000001"/>
    <n v="0.32655138700000003"/>
    <n v="1.066606288"/>
  </r>
  <r>
    <x v="2"/>
    <x v="1"/>
    <x v="2"/>
    <x v="5"/>
    <x v="9"/>
    <n v="3.0215756969999998"/>
    <n v="3.80020464"/>
    <n v="0.35463319900000001"/>
    <n v="2.8249336920000001"/>
  </r>
  <r>
    <x v="2"/>
    <x v="1"/>
    <x v="1"/>
    <x v="5"/>
    <x v="9"/>
    <n v="95.703932359999996"/>
    <n v="120.3658502"/>
    <n v="21.324800889999999"/>
    <n v="89.475588279999997"/>
  </r>
  <r>
    <x v="2"/>
    <x v="3"/>
    <x v="3"/>
    <x v="2"/>
    <x v="10"/>
    <n v="0.83665858699999995"/>
    <n v="1.001668674"/>
    <n v="4.1275900000000001E-4"/>
    <n v="0.835304406"/>
  </r>
  <r>
    <x v="2"/>
    <x v="1"/>
    <x v="0"/>
    <x v="2"/>
    <x v="10"/>
    <n v="1.517478536"/>
    <n v="1.8167634159999999"/>
    <n v="0.22381459200000001"/>
    <n v="1.4060046589999999"/>
  </r>
  <r>
    <x v="2"/>
    <x v="0"/>
    <x v="2"/>
    <x v="2"/>
    <x v="10"/>
    <n v="7.7620064329999998"/>
    <n v="9.2928690530000004"/>
    <n v="0.10368182500000001"/>
    <n v="6.9983524880000001"/>
  </r>
  <r>
    <x v="2"/>
    <x v="1"/>
    <x v="3"/>
    <x v="2"/>
    <x v="10"/>
    <n v="39.613799870000001"/>
    <n v="47.426636139999999"/>
    <n v="6.4731728300000002"/>
    <n v="36.703772659999998"/>
  </r>
  <r>
    <x v="2"/>
    <x v="0"/>
    <x v="0"/>
    <x v="2"/>
    <x v="10"/>
    <n v="0.14355063700000001"/>
    <n v="0.17186242800000001"/>
    <n v="1.9639850000000001E-3"/>
    <n v="0.129427612"/>
  </r>
  <r>
    <x v="2"/>
    <x v="1"/>
    <x v="2"/>
    <x v="2"/>
    <x v="10"/>
    <n v="3.1785216890000001"/>
    <n v="3.8054059979999999"/>
    <n v="0.24703497699999999"/>
    <n v="2.9450276889999998"/>
  </r>
  <r>
    <x v="2"/>
    <x v="1"/>
    <x v="1"/>
    <x v="2"/>
    <x v="10"/>
    <n v="125.079222"/>
    <n v="149.747986"/>
    <n v="19.293856389999998"/>
    <n v="115.8909103"/>
  </r>
  <r>
    <x v="2"/>
    <x v="0"/>
    <x v="3"/>
    <x v="2"/>
    <x v="10"/>
    <n v="1.063428643"/>
    <n v="1.27316348"/>
    <n v="1.3657061E-2"/>
    <n v="0.95880473099999997"/>
  </r>
  <r>
    <x v="2"/>
    <x v="2"/>
    <x v="2"/>
    <x v="2"/>
    <x v="10"/>
    <n v="1.439861367"/>
    <n v="1.723838193"/>
    <n v="4.3219267999999998E-2"/>
    <n v="1.3578522900000001"/>
  </r>
  <r>
    <x v="2"/>
    <x v="3"/>
    <x v="0"/>
    <x v="2"/>
    <x v="10"/>
    <n v="7.3776043549999999"/>
    <n v="8.83265323"/>
    <n v="4.3071749999999999E-3"/>
    <n v="7.3656632709999998"/>
  </r>
  <r>
    <x v="2"/>
    <x v="2"/>
    <x v="0"/>
    <x v="2"/>
    <x v="10"/>
    <n v="1.8718300029999999"/>
    <n v="2.241001893"/>
    <n v="3.8384320000000001E-3"/>
    <n v="1.76521762"/>
  </r>
  <r>
    <x v="2"/>
    <x v="3"/>
    <x v="0"/>
    <x v="2"/>
    <x v="11"/>
    <n v="10.964188610000001"/>
    <n v="13.122963540000001"/>
    <n v="5.4995410000000002E-3"/>
    <n v="10.964188610000001"/>
  </r>
  <r>
    <x v="2"/>
    <x v="1"/>
    <x v="1"/>
    <x v="2"/>
    <x v="11"/>
    <n v="188.8034208"/>
    <n v="225.97754330000001"/>
    <n v="31.59365953"/>
    <n v="173.21363479999999"/>
  </r>
  <r>
    <x v="2"/>
    <x v="3"/>
    <x v="3"/>
    <x v="2"/>
    <x v="11"/>
    <n v="1.0912725539999999"/>
    <n v="1.3061367740000001"/>
    <n v="8.7379799999999996E-4"/>
    <n v="1.0912725539999999"/>
  </r>
  <r>
    <x v="2"/>
    <x v="2"/>
    <x v="0"/>
    <x v="2"/>
    <x v="11"/>
    <n v="2.1663623E-2"/>
    <n v="2.5929045000000001E-2"/>
    <n v="4.6999999999999999E-4"/>
    <n v="1.8837933000000001E-2"/>
  </r>
  <r>
    <x v="2"/>
    <x v="0"/>
    <x v="3"/>
    <x v="2"/>
    <x v="11"/>
    <n v="0.65693930300000003"/>
    <n v="0.786286229"/>
    <n v="7.667063E-3"/>
    <n v="0.59373440899999996"/>
  </r>
  <r>
    <x v="2"/>
    <x v="0"/>
    <x v="0"/>
    <x v="2"/>
    <x v="11"/>
    <n v="8.7486663000000006E-2"/>
    <n v="0.10471219800000001"/>
    <n v="1.1606240000000001E-3"/>
    <n v="7.9069470000000003E-2"/>
  </r>
  <r>
    <x v="2"/>
    <x v="0"/>
    <x v="2"/>
    <x v="2"/>
    <x v="11"/>
    <n v="5.3233618509999996"/>
    <n v="6.371495962"/>
    <n v="7.4532382999999994E-2"/>
    <n v="4.8111950219999997"/>
  </r>
  <r>
    <x v="2"/>
    <x v="1"/>
    <x v="3"/>
    <x v="2"/>
    <x v="11"/>
    <n v="42.248632550000004"/>
    <n v="50.567103879999998"/>
    <n v="7.9720256799999998"/>
    <n v="38.760098620000001"/>
  </r>
  <r>
    <x v="2"/>
    <x v="1"/>
    <x v="0"/>
    <x v="2"/>
    <x v="11"/>
    <n v="2.266289698"/>
    <n v="2.712506882"/>
    <n v="0.37178114200000001"/>
    <n v="2.0791587059999999"/>
  </r>
  <r>
    <x v="2"/>
    <x v="1"/>
    <x v="2"/>
    <x v="2"/>
    <x v="11"/>
    <n v="2.896040679"/>
    <n v="3.4662515919999999"/>
    <n v="0.381865014"/>
    <n v="2.656910189"/>
  </r>
  <r>
    <x v="2"/>
    <x v="2"/>
    <x v="2"/>
    <x v="2"/>
    <x v="11"/>
    <n v="3.6468828690000001"/>
    <n v="4.3649295539999997"/>
    <n v="7.7530000000000002E-2"/>
    <n v="3.1712024940000001"/>
  </r>
  <r>
    <x v="2"/>
    <x v="1"/>
    <x v="1"/>
    <x v="2"/>
    <x v="12"/>
    <n v="864.63693929999999"/>
    <n v="1034.8781320000001"/>
    <n v="163.0354049"/>
    <n v="817.52980260000004"/>
  </r>
  <r>
    <x v="2"/>
    <x v="1"/>
    <x v="2"/>
    <x v="2"/>
    <x v="12"/>
    <n v="21.801593159999999"/>
    <n v="26.094180080000001"/>
    <n v="1.9750085070000001"/>
    <n v="20.613799090000001"/>
  </r>
  <r>
    <x v="2"/>
    <x v="0"/>
    <x v="0"/>
    <x v="2"/>
    <x v="12"/>
    <n v="1.2265530090000001"/>
    <n v="1.4680530389999999"/>
    <n v="1.6717115000000001E-2"/>
    <n v="1.1711814679999999"/>
  </r>
  <r>
    <x v="2"/>
    <x v="0"/>
    <x v="2"/>
    <x v="2"/>
    <x v="12"/>
    <n v="146.13388850000001"/>
    <n v="174.9066674"/>
    <n v="2.3938461929999999"/>
    <n v="139.53681639999999"/>
  </r>
  <r>
    <x v="2"/>
    <x v="3"/>
    <x v="0"/>
    <x v="2"/>
    <x v="12"/>
    <n v="106.8131152"/>
    <n v="127.8438986"/>
    <n v="5.3139468000000002E-2"/>
    <n v="106.8131152"/>
  </r>
  <r>
    <x v="2"/>
    <x v="3"/>
    <x v="3"/>
    <x v="2"/>
    <x v="12"/>
    <n v="18.122007979999999"/>
    <n v="21.69010935"/>
    <n v="9.8580579999999994E-3"/>
    <n v="18.122007979999999"/>
  </r>
  <r>
    <x v="2"/>
    <x v="2"/>
    <x v="0"/>
    <x v="2"/>
    <x v="12"/>
    <n v="0.33096921499999998"/>
    <n v="0.39613482500000002"/>
    <n v="1.85907E-3"/>
    <n v="0.29498933199999999"/>
  </r>
  <r>
    <x v="2"/>
    <x v="0"/>
    <x v="3"/>
    <x v="2"/>
    <x v="12"/>
    <n v="8.2148993279999996"/>
    <n v="9.8323577029999996"/>
    <n v="0.101530867"/>
    <n v="7.8440456999999997"/>
  </r>
  <r>
    <x v="2"/>
    <x v="1"/>
    <x v="3"/>
    <x v="2"/>
    <x v="12"/>
    <n v="340.8460556"/>
    <n v="407.95634940000002"/>
    <n v="49.624833389999999"/>
    <n v="322.2760859"/>
  </r>
  <r>
    <x v="2"/>
    <x v="1"/>
    <x v="0"/>
    <x v="2"/>
    <x v="12"/>
    <n v="38.73415447"/>
    <n v="46.360648730000001"/>
    <n v="2.0434217800000001"/>
    <n v="36.623840850000001"/>
  </r>
  <r>
    <x v="2"/>
    <x v="2"/>
    <x v="2"/>
    <x v="2"/>
    <x v="12"/>
    <n v="14.04766691"/>
    <n v="16.81355795"/>
    <n v="0.19204393"/>
    <n v="12.5205357"/>
  </r>
  <r>
    <x v="2"/>
    <x v="2"/>
    <x v="2"/>
    <x v="2"/>
    <x v="13"/>
    <n v="18.975754850000001"/>
    <n v="22.711953229999999"/>
    <n v="0.19184999999999999"/>
    <n v="16.4350235"/>
  </r>
  <r>
    <x v="2"/>
    <x v="3"/>
    <x v="3"/>
    <x v="2"/>
    <x v="13"/>
    <n v="30.244049889999999"/>
    <n v="36.198899709999999"/>
    <n v="1.7464849000000001E-2"/>
    <n v="30.081207410000001"/>
  </r>
  <r>
    <x v="2"/>
    <x v="3"/>
    <x v="0"/>
    <x v="2"/>
    <x v="13"/>
    <n v="398.83336009999999"/>
    <n v="477.36096379999998"/>
    <n v="0.20786995999999999"/>
    <n v="396.68592899999999"/>
  </r>
  <r>
    <x v="2"/>
    <x v="0"/>
    <x v="3"/>
    <x v="2"/>
    <x v="13"/>
    <n v="13.12507207"/>
    <n v="15.7093104"/>
    <n v="0.145048763"/>
    <n v="12.524430369999999"/>
  </r>
  <r>
    <x v="2"/>
    <x v="0"/>
    <x v="0"/>
    <x v="2"/>
    <x v="13"/>
    <n v="9.6342956520000005"/>
    <n v="11.53122361"/>
    <n v="9.8187712999999996E-2"/>
    <n v="9.1934020929999996"/>
  </r>
  <r>
    <x v="2"/>
    <x v="0"/>
    <x v="2"/>
    <x v="2"/>
    <x v="13"/>
    <n v="267.1543671"/>
    <n v="319.75526350000001"/>
    <n v="4.7632011500000004"/>
    <n v="254.92860160000001"/>
  </r>
  <r>
    <x v="2"/>
    <x v="1"/>
    <x v="0"/>
    <x v="2"/>
    <x v="13"/>
    <n v="24.546371709999999"/>
    <n v="29.379387049999998"/>
    <n v="4.2821290369999998"/>
    <n v="22.86569197"/>
  </r>
  <r>
    <x v="2"/>
    <x v="2"/>
    <x v="0"/>
    <x v="2"/>
    <x v="13"/>
    <n v="10.005753840000001"/>
    <n v="11.97581941"/>
    <n v="2.215E-2"/>
    <n v="8.6660478469999997"/>
  </r>
  <r>
    <x v="2"/>
    <x v="1"/>
    <x v="2"/>
    <x v="2"/>
    <x v="13"/>
    <n v="58.81362859"/>
    <n v="70.393636119999996"/>
    <n v="3.4856495179999998"/>
    <n v="54.786684200000003"/>
  </r>
  <r>
    <x v="2"/>
    <x v="1"/>
    <x v="1"/>
    <x v="2"/>
    <x v="13"/>
    <n v="1399.7001279999999"/>
    <n v="1675.2916600000001"/>
    <n v="246.35062439999999"/>
    <n v="1303.863249"/>
  </r>
  <r>
    <x v="2"/>
    <x v="1"/>
    <x v="3"/>
    <x v="2"/>
    <x v="13"/>
    <n v="559.63288680000005"/>
    <n v="669.82083469999998"/>
    <n v="126.6128856"/>
    <n v="521.31505860000004"/>
  </r>
  <r>
    <x v="2"/>
    <x v="0"/>
    <x v="0"/>
    <x v="2"/>
    <x v="14"/>
    <n v="0.106507002"/>
    <n v="0.12747751399999999"/>
    <n v="1.568425E-3"/>
    <n v="9.5990474000000006E-2"/>
  </r>
  <r>
    <x v="2"/>
    <x v="0"/>
    <x v="3"/>
    <x v="2"/>
    <x v="14"/>
    <n v="1.112061789"/>
    <n v="1.331019269"/>
    <n v="1.4673356E-2"/>
    <n v="1.002256534"/>
  </r>
  <r>
    <x v="2"/>
    <x v="3"/>
    <x v="0"/>
    <x v="2"/>
    <x v="14"/>
    <n v="0.15986304300000001"/>
    <n v="0.19133900000000001"/>
    <n v="7.6964499999999998E-5"/>
    <n v="0.15986304300000001"/>
  </r>
  <r>
    <x v="2"/>
    <x v="3"/>
    <x v="3"/>
    <x v="2"/>
    <x v="14"/>
    <n v="3.8479911999999998E-2"/>
    <n v="4.6056347999999997E-2"/>
    <n v="1.8526099999999999E-5"/>
    <n v="3.8479911999999998E-2"/>
  </r>
  <r>
    <x v="2"/>
    <x v="1"/>
    <x v="2"/>
    <x v="2"/>
    <x v="14"/>
    <n v="1.312685377"/>
    <n v="1.571144291"/>
    <n v="0.141420776"/>
    <n v="1.224456065"/>
  </r>
  <r>
    <x v="2"/>
    <x v="1"/>
    <x v="0"/>
    <x v="2"/>
    <x v="14"/>
    <n v="0.59089286200000002"/>
    <n v="0.707235689"/>
    <n v="0.14169357899999999"/>
    <n v="0.55117727500000002"/>
  </r>
  <r>
    <x v="2"/>
    <x v="0"/>
    <x v="2"/>
    <x v="2"/>
    <x v="14"/>
    <n v="5.8120011229999999"/>
    <n v="6.9563450180000004"/>
    <n v="8.3404628999999994E-2"/>
    <n v="5.2381226989999998"/>
  </r>
  <r>
    <x v="2"/>
    <x v="1"/>
    <x v="3"/>
    <x v="2"/>
    <x v="14"/>
    <n v="15.875732129999999"/>
    <n v="19.001556910000001"/>
    <n v="3.2897198219999999"/>
    <n v="14.808679100000001"/>
  </r>
  <r>
    <x v="2"/>
    <x v="2"/>
    <x v="0"/>
    <x v="2"/>
    <x v="14"/>
    <n v="1.3968967000000001E-2"/>
    <n v="1.6719363000000001E-2"/>
    <n v="6.5450000000000005E-5"/>
    <n v="1.2408298E-2"/>
  </r>
  <r>
    <x v="2"/>
    <x v="2"/>
    <x v="2"/>
    <x v="2"/>
    <x v="14"/>
    <n v="1.4286846959999999"/>
    <n v="1.7099830949999999"/>
    <n v="1.7699550000000001E-2"/>
    <n v="1.2690663209999999"/>
  </r>
  <r>
    <x v="2"/>
    <x v="1"/>
    <x v="1"/>
    <x v="2"/>
    <x v="14"/>
    <n v="53.100760309999998"/>
    <n v="63.555942539999997"/>
    <n v="10.51891876"/>
    <n v="49.531707429999997"/>
  </r>
  <r>
    <x v="2"/>
    <x v="0"/>
    <x v="0"/>
    <x v="4"/>
    <x v="15"/>
    <n v="0.425695828"/>
    <n v="0.425470617"/>
    <n v="2.0519150000000001E-3"/>
    <n v="0.35879602399999999"/>
  </r>
  <r>
    <x v="2"/>
    <x v="2"/>
    <x v="3"/>
    <x v="4"/>
    <x v="15"/>
    <n v="0.53930920100000002"/>
    <n v="0.53902388400000001"/>
    <n v="2.0400000000000001E-2"/>
    <n v="0.43846276499999998"/>
  </r>
  <r>
    <x v="2"/>
    <x v="1"/>
    <x v="1"/>
    <x v="4"/>
    <x v="15"/>
    <n v="236.59604060000001"/>
    <n v="236.47087149999999"/>
    <n v="41.135337110000002"/>
    <n v="211.86150910000001"/>
  </r>
  <r>
    <x v="2"/>
    <x v="1"/>
    <x v="2"/>
    <x v="4"/>
    <x v="15"/>
    <n v="7.7584655309999997"/>
    <n v="7.7543609790000003"/>
    <n v="0.69025956399999999"/>
    <n v="6.9473699179999997"/>
  </r>
  <r>
    <x v="2"/>
    <x v="0"/>
    <x v="2"/>
    <x v="4"/>
    <x v="15"/>
    <n v="52.201602469999997"/>
    <n v="52.173985649999999"/>
    <n v="0.81560096500000001"/>
    <n v="43.99791166"/>
  </r>
  <r>
    <x v="2"/>
    <x v="0"/>
    <x v="3"/>
    <x v="4"/>
    <x v="15"/>
    <n v="2.3918762770000002"/>
    <n v="2.3906108750000001"/>
    <n v="3.2898548E-2"/>
    <n v="2.0159833439999999"/>
  </r>
  <r>
    <x v="2"/>
    <x v="3"/>
    <x v="0"/>
    <x v="4"/>
    <x v="15"/>
    <n v="24.303017520000001"/>
    <n v="24.290160220000001"/>
    <n v="1.5833781000000002E-2"/>
    <n v="22.942678409999999"/>
  </r>
  <r>
    <x v="2"/>
    <x v="3"/>
    <x v="3"/>
    <x v="4"/>
    <x v="15"/>
    <n v="3.0128757660000001"/>
    <n v="3.0112818300000002"/>
    <n v="1.8855650000000001E-3"/>
    <n v="2.8442328099999998"/>
  </r>
  <r>
    <x v="2"/>
    <x v="2"/>
    <x v="1"/>
    <x v="4"/>
    <x v="15"/>
    <n v="0.13482730000000001"/>
    <n v="0.134755971"/>
    <n v="5.1000000000000004E-3"/>
    <n v="0.109615691"/>
  </r>
  <r>
    <x v="2"/>
    <x v="2"/>
    <x v="2"/>
    <x v="4"/>
    <x v="15"/>
    <n v="4.4909085299999996"/>
    <n v="4.488532653"/>
    <n v="6.5500000000000003E-2"/>
    <n v="3.6511451469999998"/>
  </r>
  <r>
    <x v="2"/>
    <x v="1"/>
    <x v="3"/>
    <x v="4"/>
    <x v="15"/>
    <n v="84.159354899999997"/>
    <n v="84.114831100000004"/>
    <n v="16.646523559999999"/>
    <n v="75.361057959999997"/>
  </r>
  <r>
    <x v="2"/>
    <x v="0"/>
    <x v="2"/>
    <x v="5"/>
    <x v="16"/>
    <n v="2.7997045420000002"/>
    <n v="3.4987057359999998"/>
    <n v="3.6198683000000002E-2"/>
    <n v="2.5866757859999998"/>
  </r>
  <r>
    <x v="2"/>
    <x v="0"/>
    <x v="3"/>
    <x v="5"/>
    <x v="16"/>
    <n v="0.26722627999999998"/>
    <n v="0.333944566"/>
    <n v="3.1288710000000001E-3"/>
    <n v="0.246893105"/>
  </r>
  <r>
    <x v="2"/>
    <x v="1"/>
    <x v="3"/>
    <x v="5"/>
    <x v="16"/>
    <n v="23.398334810000001"/>
    <n v="29.240188379999999"/>
    <n v="6.5894422989999999"/>
    <n v="21.908206679999999"/>
  </r>
  <r>
    <x v="2"/>
    <x v="1"/>
    <x v="0"/>
    <x v="5"/>
    <x v="16"/>
    <n v="0.56784041600000001"/>
    <n v="0.70961292099999995"/>
    <n v="0.191463621"/>
    <n v="0.53167737299999995"/>
  </r>
  <r>
    <x v="2"/>
    <x v="1"/>
    <x v="2"/>
    <x v="5"/>
    <x v="16"/>
    <n v="1.7809951879999999"/>
    <n v="2.2256555960000002"/>
    <n v="0.245232589"/>
    <n v="1.667572115"/>
  </r>
  <r>
    <x v="2"/>
    <x v="0"/>
    <x v="0"/>
    <x v="5"/>
    <x v="16"/>
    <n v="3.5649319999999998E-2"/>
    <n v="4.4549871999999997E-2"/>
    <n v="4.8264800000000002E-4"/>
    <n v="3.2936773000000003E-2"/>
  </r>
  <r>
    <x v="2"/>
    <x v="3"/>
    <x v="0"/>
    <x v="5"/>
    <x v="16"/>
    <n v="0.775637888"/>
    <n v="0.96929111099999998"/>
    <n v="3.8541900000000002E-4"/>
    <n v="0.775637888"/>
  </r>
  <r>
    <x v="2"/>
    <x v="3"/>
    <x v="3"/>
    <x v="5"/>
    <x v="16"/>
    <n v="0.104212919"/>
    <n v="0.13023172"/>
    <n v="7.7929999999999994E-5"/>
    <n v="0.104212919"/>
  </r>
  <r>
    <x v="2"/>
    <x v="2"/>
    <x v="2"/>
    <x v="5"/>
    <x v="16"/>
    <n v="0.76927500199999999"/>
    <n v="0.96133960699999998"/>
    <n v="1.789E-2"/>
    <n v="0.66893478500000003"/>
  </r>
  <r>
    <x v="2"/>
    <x v="2"/>
    <x v="0"/>
    <x v="5"/>
    <x v="16"/>
    <n v="4.6358969999999999E-3"/>
    <n v="5.7933400000000001E-3"/>
    <n v="1.1E-4"/>
    <n v="4.0312150000000003E-3"/>
  </r>
  <r>
    <x v="2"/>
    <x v="1"/>
    <x v="1"/>
    <x v="5"/>
    <x v="16"/>
    <n v="70.195004440000005"/>
    <n v="87.720565149999999"/>
    <n v="15.704056319999999"/>
    <n v="65.724620040000005"/>
  </r>
  <r>
    <x v="2"/>
    <x v="0"/>
    <x v="2"/>
    <x v="6"/>
    <x v="17"/>
    <n v="98.489398489999999"/>
    <n v="107.8624999"/>
    <n v="1.4330996979999999"/>
    <n v="84.955748999999997"/>
  </r>
  <r>
    <x v="2"/>
    <x v="2"/>
    <x v="3"/>
    <x v="6"/>
    <x v="17"/>
    <n v="1.9950020470000001"/>
    <n v="2.184863665"/>
    <n v="8.1699999999999995E-2"/>
    <n v="1.8599850659999999"/>
  </r>
  <r>
    <x v="2"/>
    <x v="2"/>
    <x v="2"/>
    <x v="6"/>
    <x v="17"/>
    <n v="27.193316029999998"/>
    <n v="29.78126675"/>
    <n v="0.4773"/>
    <n v="25.35293725"/>
  </r>
  <r>
    <x v="2"/>
    <x v="3"/>
    <x v="3"/>
    <x v="6"/>
    <x v="17"/>
    <n v="0.11674024"/>
    <n v="0.127850249"/>
    <n v="1.2951400000000001E-4"/>
    <n v="9.4910763999999995E-2"/>
  </r>
  <r>
    <x v="2"/>
    <x v="3"/>
    <x v="0"/>
    <x v="6"/>
    <x v="17"/>
    <n v="1.650898736"/>
    <n v="1.8080125119999999"/>
    <n v="1.831535E-3"/>
    <n v="1.3421940939999999"/>
  </r>
  <r>
    <x v="2"/>
    <x v="0"/>
    <x v="0"/>
    <x v="6"/>
    <x v="17"/>
    <n v="1.7367728659999999"/>
    <n v="1.9020591659999999"/>
    <n v="6.0590330000000001E-3"/>
    <n v="1.4981190049999999"/>
  </r>
  <r>
    <x v="2"/>
    <x v="1"/>
    <x v="3"/>
    <x v="6"/>
    <x v="17"/>
    <n v="188.12999980000001"/>
    <n v="206.03407469999999"/>
    <n v="42.321527490000001"/>
    <n v="172.47612649999999"/>
  </r>
  <r>
    <x v="2"/>
    <x v="1"/>
    <x v="2"/>
    <x v="6"/>
    <x v="17"/>
    <n v="18.706840320000001"/>
    <n v="20.487144740000002"/>
    <n v="1.496171455"/>
    <n v="17.150286300000001"/>
  </r>
  <r>
    <x v="2"/>
    <x v="1"/>
    <x v="1"/>
    <x v="6"/>
    <x v="17"/>
    <n v="560.89200410000001"/>
    <n v="614.27132959999994"/>
    <n v="117.58788869999999"/>
    <n v="514.22144470000001"/>
  </r>
  <r>
    <x v="2"/>
    <x v="0"/>
    <x v="3"/>
    <x v="6"/>
    <x v="17"/>
    <n v="3.4117971979999999"/>
    <n v="3.7364932739999999"/>
    <n v="3.8851167999999998E-2"/>
    <n v="2.9429744809999998"/>
  </r>
  <r>
    <x v="2"/>
    <x v="3"/>
    <x v="3"/>
    <x v="6"/>
    <x v="18"/>
    <n v="1.3749566710000001"/>
    <n v="1.763374582"/>
    <n v="9.8206000000000009E-4"/>
    <n v="1.099965337"/>
  </r>
  <r>
    <x v="2"/>
    <x v="1"/>
    <x v="1"/>
    <x v="6"/>
    <x v="18"/>
    <n v="127.8052962"/>
    <n v="163.9096093"/>
    <n v="30.750098940000001"/>
    <n v="112.13517109999999"/>
  </r>
  <r>
    <x v="2"/>
    <x v="2"/>
    <x v="1"/>
    <x v="6"/>
    <x v="18"/>
    <n v="0.51723294900000005"/>
    <n v="0.66334849299999998"/>
    <n v="8.7500000000000008E-3"/>
    <n v="0.431027457"/>
  </r>
  <r>
    <x v="2"/>
    <x v="3"/>
    <x v="0"/>
    <x v="6"/>
    <x v="18"/>
    <n v="13.57006078"/>
    <n v="17.403530419999999"/>
    <n v="9.9936629999999999E-3"/>
    <n v="10.856048619999999"/>
  </r>
  <r>
    <x v="2"/>
    <x v="0"/>
    <x v="3"/>
    <x v="6"/>
    <x v="18"/>
    <n v="0.86431353700000002"/>
    <n v="1.108477492"/>
    <n v="1.0685111000000001E-2"/>
    <n v="0.74860375499999998"/>
  </r>
  <r>
    <x v="2"/>
    <x v="0"/>
    <x v="0"/>
    <x v="6"/>
    <x v="18"/>
    <n v="1.2211782040000001"/>
    <n v="1.5661545210000001"/>
    <n v="1.268251E-3"/>
    <n v="1.0576932450000001"/>
  </r>
  <r>
    <x v="2"/>
    <x v="0"/>
    <x v="2"/>
    <x v="6"/>
    <x v="18"/>
    <n v="18.102918540000001"/>
    <n v="23.21689628"/>
    <n v="0.29636226999999998"/>
    <n v="15.679394370000001"/>
  </r>
  <r>
    <x v="2"/>
    <x v="1"/>
    <x v="3"/>
    <x v="6"/>
    <x v="18"/>
    <n v="42.017027400000003"/>
    <n v="53.886613089999997"/>
    <n v="11.16674884"/>
    <n v="36.865346709999997"/>
  </r>
  <r>
    <x v="2"/>
    <x v="1"/>
    <x v="2"/>
    <x v="6"/>
    <x v="18"/>
    <n v="7.5035390130000001"/>
    <n v="9.6232486829999999"/>
    <n v="1.2130493680000001"/>
    <n v="6.5835349240000003"/>
  </r>
  <r>
    <x v="2"/>
    <x v="2"/>
    <x v="2"/>
    <x v="6"/>
    <x v="18"/>
    <n v="1.8437409929999999"/>
    <n v="2.3645879700000001"/>
    <n v="3.3500000000000002E-2"/>
    <n v="1.5364508269999999"/>
  </r>
  <r>
    <x v="2"/>
    <x v="2"/>
    <x v="3"/>
    <x v="6"/>
    <x v="18"/>
    <n v="0.22167126400000001"/>
    <n v="0.28429221100000002"/>
    <n v="3.7499999999999999E-3"/>
    <n v="0.184726053"/>
  </r>
  <r>
    <x v="2"/>
    <x v="0"/>
    <x v="3"/>
    <x v="2"/>
    <x v="19"/>
    <n v="0.16853831399999999"/>
    <n v="0.20172237300000001"/>
    <n v="1.758541E-3"/>
    <n v="0.15344681900000001"/>
  </r>
  <r>
    <x v="2"/>
    <x v="1"/>
    <x v="1"/>
    <x v="2"/>
    <x v="19"/>
    <n v="263.02738040000003"/>
    <n v="314.81570090000002"/>
    <n v="50.364132210000001"/>
    <n v="246.8649336"/>
  </r>
  <r>
    <x v="2"/>
    <x v="1"/>
    <x v="2"/>
    <x v="2"/>
    <x v="19"/>
    <n v="3.8990656540000002"/>
    <n v="4.6667654330000001"/>
    <n v="0.61235540799999999"/>
    <n v="3.6594767520000002"/>
  </r>
  <r>
    <x v="2"/>
    <x v="1"/>
    <x v="0"/>
    <x v="2"/>
    <x v="19"/>
    <n v="2.8450345490000002"/>
    <n v="3.4052026990000002"/>
    <n v="0.44966094400000001"/>
    <n v="2.670213511"/>
  </r>
  <r>
    <x v="2"/>
    <x v="1"/>
    <x v="3"/>
    <x v="2"/>
    <x v="19"/>
    <n v="54.412182119999997"/>
    <n v="65.125574479999997"/>
    <n v="10.52775866"/>
    <n v="51.068674690000002"/>
  </r>
  <r>
    <x v="2"/>
    <x v="0"/>
    <x v="0"/>
    <x v="2"/>
    <x v="19"/>
    <n v="1.7375788E-2"/>
    <n v="2.0796964000000001E-2"/>
    <n v="2.2540200000000001E-4"/>
    <n v="1.5819901000000001E-2"/>
  </r>
  <r>
    <x v="2"/>
    <x v="3"/>
    <x v="0"/>
    <x v="2"/>
    <x v="19"/>
    <n v="0.83847575600000002"/>
    <n v="1.003565987"/>
    <n v="4.0411199999999998E-4"/>
    <n v="0.83847575600000002"/>
  </r>
  <r>
    <x v="2"/>
    <x v="3"/>
    <x v="3"/>
    <x v="2"/>
    <x v="19"/>
    <n v="0.19961895800000001"/>
    <n v="0.23892258699999999"/>
    <n v="9.6292000000000006E-5"/>
    <n v="0.19961895800000001"/>
  </r>
  <r>
    <x v="2"/>
    <x v="2"/>
    <x v="2"/>
    <x v="2"/>
    <x v="19"/>
    <n v="1.8019845320000001"/>
    <n v="2.1567831549999998"/>
    <n v="0.13067999999999999"/>
    <n v="1.5787791309999999"/>
  </r>
  <r>
    <x v="2"/>
    <x v="2"/>
    <x v="0"/>
    <x v="2"/>
    <x v="19"/>
    <n v="1.8201864000000002E-2"/>
    <n v="2.1785688000000001E-2"/>
    <n v="1.32E-3"/>
    <n v="1.5947263999999999E-2"/>
  </r>
  <r>
    <x v="2"/>
    <x v="0"/>
    <x v="2"/>
    <x v="2"/>
    <x v="19"/>
    <n v="1.4154108839999999"/>
    <n v="1.694095758"/>
    <n v="1.9697251999999998E-2"/>
    <n v="1.2886701679999999"/>
  </r>
  <r>
    <x v="2"/>
    <x v="1"/>
    <x v="1"/>
    <x v="7"/>
    <x v="20"/>
    <n v="186.26251880000001"/>
    <n v="200.50120799999999"/>
    <n v="35.233099180000004"/>
    <n v="171.82940160000001"/>
  </r>
  <r>
    <x v="2"/>
    <x v="1"/>
    <x v="2"/>
    <x v="7"/>
    <x v="20"/>
    <n v="3.3244224999999998"/>
    <n v="3.5785553170000002"/>
    <n v="0.45842681600000001"/>
    <n v="3.0668195210000002"/>
  </r>
  <r>
    <x v="2"/>
    <x v="1"/>
    <x v="0"/>
    <x v="7"/>
    <x v="20"/>
    <n v="1.762671026"/>
    <n v="1.8974170020000001"/>
    <n v="0.37848763800000002"/>
    <n v="1.6260851059999999"/>
  </r>
  <r>
    <x v="2"/>
    <x v="1"/>
    <x v="3"/>
    <x v="7"/>
    <x v="20"/>
    <n v="54.292519239999997"/>
    <n v="58.442867419999999"/>
    <n v="11.16588112"/>
    <n v="50.08549841"/>
  </r>
  <r>
    <x v="2"/>
    <x v="0"/>
    <x v="2"/>
    <x v="7"/>
    <x v="20"/>
    <n v="3.7912029839999999"/>
    <n v="4.0810184610000002"/>
    <n v="6.1076950999999997E-2"/>
    <n v="3.5313848120000002"/>
  </r>
  <r>
    <x v="2"/>
    <x v="0"/>
    <x v="0"/>
    <x v="7"/>
    <x v="20"/>
    <n v="7.0297248000000007E-2"/>
    <n v="7.5671064999999996E-2"/>
    <n v="9.56886E-4"/>
    <n v="6.5479647000000002E-2"/>
  </r>
  <r>
    <x v="2"/>
    <x v="0"/>
    <x v="3"/>
    <x v="7"/>
    <x v="20"/>
    <n v="0.227217476"/>
    <n v="0.24458693400000001"/>
    <n v="2.9318E-3"/>
    <n v="0.211645841"/>
  </r>
  <r>
    <x v="2"/>
    <x v="2"/>
    <x v="2"/>
    <x v="7"/>
    <x v="20"/>
    <n v="0.42912573700000001"/>
    <n v="0.46192991"/>
    <n v="2.3879999999999998E-2"/>
    <n v="0.37872736800000001"/>
  </r>
  <r>
    <x v="2"/>
    <x v="3"/>
    <x v="3"/>
    <x v="7"/>
    <x v="20"/>
    <n v="2.2740545679999999"/>
    <n v="2.447892849"/>
    <n v="1.2195660000000001E-3"/>
    <n v="2.2740545679999999"/>
  </r>
  <r>
    <x v="2"/>
    <x v="2"/>
    <x v="0"/>
    <x v="7"/>
    <x v="20"/>
    <n v="2.9043559999999999E-3"/>
    <n v="3.1263770000000001E-3"/>
    <n v="1.2E-4"/>
    <n v="2.5632559999999999E-3"/>
  </r>
  <r>
    <x v="2"/>
    <x v="3"/>
    <x v="0"/>
    <x v="7"/>
    <x v="20"/>
    <n v="7.0168067360000004"/>
    <n v="7.5532009110000002"/>
    <n v="3.4424680000000002E-3"/>
    <n v="7.0168067360000004"/>
  </r>
  <r>
    <x v="2"/>
    <x v="2"/>
    <x v="2"/>
    <x v="2"/>
    <x v="21"/>
    <n v="12.54800348"/>
    <n v="15.018620889999999"/>
    <n v="0.12797857800000001"/>
    <n v="11.33080801"/>
  </r>
  <r>
    <x v="2"/>
    <x v="3"/>
    <x v="3"/>
    <x v="2"/>
    <x v="21"/>
    <n v="9.6001810899999995"/>
    <n v="11.490392119999999"/>
    <n v="5.3813000000000003E-3"/>
    <n v="9.6001810899999995"/>
  </r>
  <r>
    <x v="2"/>
    <x v="1"/>
    <x v="0"/>
    <x v="2"/>
    <x v="21"/>
    <n v="6.6937257079999997"/>
    <n v="8.0116752380000005"/>
    <n v="1.683448804"/>
    <n v="6.2199731959999998"/>
  </r>
  <r>
    <x v="2"/>
    <x v="1"/>
    <x v="2"/>
    <x v="2"/>
    <x v="21"/>
    <n v="14.198994689999999"/>
    <n v="16.994681159999999"/>
    <n v="1.1311588109999999"/>
    <n v="13.1940522"/>
  </r>
  <r>
    <x v="2"/>
    <x v="1"/>
    <x v="1"/>
    <x v="2"/>
    <x v="21"/>
    <n v="399.40801390000001"/>
    <n v="478.04876300000001"/>
    <n v="80.064444539999997"/>
    <n v="371.13966859999999"/>
  </r>
  <r>
    <x v="2"/>
    <x v="3"/>
    <x v="0"/>
    <x v="2"/>
    <x v="21"/>
    <n v="64.43723756"/>
    <n v="77.124495850000002"/>
    <n v="3.2591888999999999E-2"/>
    <n v="64.43723756"/>
  </r>
  <r>
    <x v="2"/>
    <x v="1"/>
    <x v="3"/>
    <x v="2"/>
    <x v="21"/>
    <n v="122.1264207"/>
    <n v="146.17229080000001"/>
    <n v="25.36431142"/>
    <n v="113.48284889999999"/>
  </r>
  <r>
    <x v="2"/>
    <x v="0"/>
    <x v="3"/>
    <x v="2"/>
    <x v="21"/>
    <n v="4.90162867"/>
    <n v="5.8667263570000001"/>
    <n v="5.8295773000000002E-2"/>
    <n v="4.4220930200000002"/>
  </r>
  <r>
    <x v="2"/>
    <x v="0"/>
    <x v="0"/>
    <x v="2"/>
    <x v="21"/>
    <n v="0.750382149"/>
    <n v="0.89812734299999997"/>
    <n v="1.0116138E-2"/>
    <n v="0.67697083700000005"/>
  </r>
  <r>
    <x v="2"/>
    <x v="0"/>
    <x v="2"/>
    <x v="2"/>
    <x v="21"/>
    <n v="38.74506701"/>
    <n v="46.373709869999999"/>
    <n v="0.56815215799999996"/>
    <n v="34.954563450000002"/>
  </r>
  <r>
    <x v="2"/>
    <x v="2"/>
    <x v="0"/>
    <x v="2"/>
    <x v="21"/>
    <n v="6.2306906000000002E-2"/>
    <n v="7.4574715999999999E-2"/>
    <n v="4.2802200000000002E-4"/>
    <n v="5.6262942000000003E-2"/>
  </r>
  <r>
    <x v="2"/>
    <x v="1"/>
    <x v="2"/>
    <x v="8"/>
    <x v="22"/>
    <n v="75.451348199999998"/>
    <n v="93.592567340000002"/>
    <n v="4.7932699999999997"/>
    <n v="68.603777030000003"/>
  </r>
  <r>
    <x v="2"/>
    <x v="1"/>
    <x v="0"/>
    <x v="8"/>
    <x v="22"/>
    <n v="49.233505719999997"/>
    <n v="61.071012109999998"/>
    <n v="0.42369000000000001"/>
    <n v="44.765329309999998"/>
  </r>
  <r>
    <x v="2"/>
    <x v="1"/>
    <x v="3"/>
    <x v="8"/>
    <x v="22"/>
    <n v="728.49577569999997"/>
    <n v="903.65237430000002"/>
    <n v="129.51441500000001"/>
    <n v="662.38129549999996"/>
  </r>
  <r>
    <x v="2"/>
    <x v="0"/>
    <x v="2"/>
    <x v="8"/>
    <x v="22"/>
    <n v="286.36029660000003"/>
    <n v="355.2116163"/>
    <n v="6.26631889"/>
    <n v="267.95042510000002"/>
  </r>
  <r>
    <x v="2"/>
    <x v="0"/>
    <x v="0"/>
    <x v="8"/>
    <x v="22"/>
    <n v="15.71977852"/>
    <n v="19.49937894"/>
    <n v="0.22803970600000001"/>
    <n v="14.70916669"/>
  </r>
  <r>
    <x v="2"/>
    <x v="0"/>
    <x v="3"/>
    <x v="8"/>
    <x v="22"/>
    <n v="69.988058510000002"/>
    <n v="86.815706219999996"/>
    <n v="0.22864140099999999"/>
    <n v="65.488582910000005"/>
  </r>
  <r>
    <x v="2"/>
    <x v="3"/>
    <x v="2"/>
    <x v="8"/>
    <x v="22"/>
    <n v="13.39908505"/>
    <n v="16.620707249999999"/>
    <n v="6.0000000000000001E-3"/>
    <n v="13.13153436"/>
  </r>
  <r>
    <x v="2"/>
    <x v="3"/>
    <x v="0"/>
    <x v="8"/>
    <x v="22"/>
    <n v="551.96230969999999"/>
    <n v="684.67391069999996"/>
    <n v="0.24129289300000001"/>
    <n v="540.94081830000005"/>
  </r>
  <r>
    <x v="2"/>
    <x v="3"/>
    <x v="3"/>
    <x v="8"/>
    <x v="22"/>
    <n v="12.999112370000001"/>
    <n v="16.124566739999999"/>
    <n v="5.7071070000000003E-3"/>
    <n v="12.739548259999999"/>
  </r>
  <r>
    <x v="2"/>
    <x v="2"/>
    <x v="2"/>
    <x v="8"/>
    <x v="22"/>
    <n v="63.63988028"/>
    <n v="78.941197520000003"/>
    <n v="1.365"/>
    <n v="60.787968169999999"/>
  </r>
  <r>
    <x v="2"/>
    <x v="2"/>
    <x v="0"/>
    <x v="8"/>
    <x v="22"/>
    <n v="21.21329343"/>
    <n v="26.313732510000001"/>
    <n v="1.9E-2"/>
    <n v="20.262656060000001"/>
  </r>
  <r>
    <x v="2"/>
    <x v="1"/>
    <x v="1"/>
    <x v="8"/>
    <x v="22"/>
    <n v="2231.518654"/>
    <n v="2768.0560369999998"/>
    <n v="381.83162499999997"/>
    <n v="2028.99765"/>
  </r>
  <r>
    <x v="2"/>
    <x v="1"/>
    <x v="2"/>
    <x v="6"/>
    <x v="23"/>
    <n v="5.8016847509999998"/>
    <n v="7.1915234010000004"/>
    <n v="0.23042000000000001"/>
    <n v="5.1742704570000004"/>
  </r>
  <r>
    <x v="2"/>
    <x v="3"/>
    <x v="3"/>
    <x v="6"/>
    <x v="23"/>
    <n v="0.64342538500000002"/>
    <n v="0.797562934"/>
    <n v="4.5736399999999998E-4"/>
    <n v="0.55702995499999997"/>
  </r>
  <r>
    <x v="2"/>
    <x v="0"/>
    <x v="3"/>
    <x v="6"/>
    <x v="23"/>
    <n v="0.59148615199999999"/>
    <n v="0.733181254"/>
    <n v="6.7704740000000003E-3"/>
    <n v="0.49172802799999998"/>
  </r>
  <r>
    <x v="2"/>
    <x v="0"/>
    <x v="0"/>
    <x v="6"/>
    <x v="23"/>
    <n v="0.22950815199999999"/>
    <n v="0.284488613"/>
    <n v="1.3215709999999999E-3"/>
    <n v="0.190800056"/>
  </r>
  <r>
    <x v="2"/>
    <x v="1"/>
    <x v="3"/>
    <x v="6"/>
    <x v="23"/>
    <n v="44.381244950000003"/>
    <n v="55.013116940000003"/>
    <n v="10.86577204"/>
    <n v="39.581703330000003"/>
  </r>
  <r>
    <x v="2"/>
    <x v="2"/>
    <x v="2"/>
    <x v="6"/>
    <x v="23"/>
    <n v="1.5799553019999999"/>
    <n v="1.9584458680000001"/>
    <n v="3.4000000000000002E-2"/>
    <n v="1.4649463920000001"/>
  </r>
  <r>
    <x v="2"/>
    <x v="1"/>
    <x v="1"/>
    <x v="6"/>
    <x v="23"/>
    <n v="117.9974302"/>
    <n v="146.2646312"/>
    <n v="25.146289679999999"/>
    <n v="105.2367792"/>
  </r>
  <r>
    <x v="2"/>
    <x v="0"/>
    <x v="2"/>
    <x v="6"/>
    <x v="23"/>
    <n v="16.910863020000001"/>
    <n v="20.961991619999999"/>
    <n v="0.26183002799999999"/>
    <n v="14.058732040000001"/>
  </r>
  <r>
    <x v="2"/>
    <x v="3"/>
    <x v="0"/>
    <x v="6"/>
    <x v="23"/>
    <n v="5.7594785919999998"/>
    <n v="7.1392064289999997"/>
    <n v="4.4170870000000001E-3"/>
    <n v="4.9861291989999996"/>
  </r>
  <r>
    <x v="2"/>
    <x v="1"/>
    <x v="3"/>
    <x v="0"/>
    <x v="24"/>
    <n v="60.185814639999997"/>
    <n v="74.807920159999995"/>
    <n v="13.46228648"/>
    <n v="58.042599170000003"/>
  </r>
  <r>
    <x v="2"/>
    <x v="2"/>
    <x v="0"/>
    <x v="0"/>
    <x v="24"/>
    <n v="15.67417157"/>
    <n v="19.482201620000001"/>
    <n v="2.7400000000000001E-2"/>
    <n v="15.183797950000001"/>
  </r>
  <r>
    <x v="2"/>
    <x v="2"/>
    <x v="2"/>
    <x v="0"/>
    <x v="24"/>
    <n v="14.332282360000001"/>
    <n v="17.814301279999999"/>
    <n v="0.21934000000000001"/>
    <n v="13.883890360000001"/>
  </r>
  <r>
    <x v="2"/>
    <x v="3"/>
    <x v="3"/>
    <x v="0"/>
    <x v="24"/>
    <n v="3.817403289"/>
    <n v="4.7448389989999997"/>
    <n v="1.7197619999999999E-3"/>
    <n v="3.7279328999999999"/>
  </r>
  <r>
    <x v="2"/>
    <x v="3"/>
    <x v="0"/>
    <x v="0"/>
    <x v="24"/>
    <n v="17.117360219999998"/>
    <n v="21.276012040000001"/>
    <n v="6.1619489999999999E-3"/>
    <n v="16.716172090000001"/>
  </r>
  <r>
    <x v="2"/>
    <x v="0"/>
    <x v="3"/>
    <x v="0"/>
    <x v="24"/>
    <n v="4.0435499659999996"/>
    <n v="5.025927867"/>
    <n v="0.14817914099999999"/>
    <n v="3.8462132370000002"/>
  </r>
  <r>
    <x v="2"/>
    <x v="0"/>
    <x v="0"/>
    <x v="0"/>
    <x v="24"/>
    <n v="2.7459914830000001"/>
    <n v="3.4131283730000002"/>
    <n v="2.3825815E-2"/>
    <n v="2.6119792949999998"/>
  </r>
  <r>
    <x v="2"/>
    <x v="0"/>
    <x v="2"/>
    <x v="0"/>
    <x v="24"/>
    <n v="70.354800670000003"/>
    <n v="87.447454899999997"/>
    <n v="1.1560498290000001"/>
    <n v="66.921286469999998"/>
  </r>
  <r>
    <x v="2"/>
    <x v="1"/>
    <x v="0"/>
    <x v="0"/>
    <x v="24"/>
    <n v="0.51152000399999997"/>
    <n v="0.635793465"/>
    <n v="3.5018000000000001E-2"/>
    <n v="0.49330478900000002"/>
  </r>
  <r>
    <x v="2"/>
    <x v="1"/>
    <x v="2"/>
    <x v="0"/>
    <x v="24"/>
    <n v="11.083343940000001"/>
    <n v="13.776035329999999"/>
    <n v="1.074767612"/>
    <n v="10.688666319999999"/>
  </r>
  <r>
    <x v="2"/>
    <x v="1"/>
    <x v="1"/>
    <x v="0"/>
    <x v="24"/>
    <n v="199.69656850000001"/>
    <n v="248.21272329999999"/>
    <n v="42.96397279"/>
    <n v="192.5853783"/>
  </r>
  <r>
    <x v="2"/>
    <x v="3"/>
    <x v="3"/>
    <x v="2"/>
    <x v="25"/>
    <n v="3.4508393179999999"/>
    <n v="4.1302863480000003"/>
    <n v="1.747349E-3"/>
    <n v="3.4508393179999999"/>
  </r>
  <r>
    <x v="2"/>
    <x v="3"/>
    <x v="0"/>
    <x v="2"/>
    <x v="25"/>
    <n v="22.531041510000001"/>
    <n v="26.967251910000002"/>
    <n v="1.1435916000000001E-2"/>
    <n v="22.531041510000001"/>
  </r>
  <r>
    <x v="2"/>
    <x v="0"/>
    <x v="3"/>
    <x v="2"/>
    <x v="25"/>
    <n v="1.140774159"/>
    <n v="1.3653849119999999"/>
    <n v="1.3241683000000001E-2"/>
    <n v="1.0411566779999999"/>
  </r>
  <r>
    <x v="2"/>
    <x v="2"/>
    <x v="0"/>
    <x v="2"/>
    <x v="25"/>
    <n v="4.2994102710000002"/>
    <n v="5.1459352100000002"/>
    <n v="7.1599999999999997E-3"/>
    <n v="3.73912567"/>
  </r>
  <r>
    <x v="2"/>
    <x v="0"/>
    <x v="0"/>
    <x v="2"/>
    <x v="25"/>
    <n v="0.195776326"/>
    <n v="0.234323367"/>
    <n v="2.5677120000000002E-3"/>
    <n v="0.178680265"/>
  </r>
  <r>
    <x v="2"/>
    <x v="1"/>
    <x v="1"/>
    <x v="2"/>
    <x v="25"/>
    <n v="584.39460129999998"/>
    <n v="699.45796410000003"/>
    <n v="108.06192969999999"/>
    <n v="541.56966499999999"/>
  </r>
  <r>
    <x v="2"/>
    <x v="1"/>
    <x v="2"/>
    <x v="2"/>
    <x v="25"/>
    <n v="13.27989547"/>
    <n v="15.89461749"/>
    <n v="1.3112605049999999"/>
    <n v="12.30673337"/>
  </r>
  <r>
    <x v="2"/>
    <x v="1"/>
    <x v="0"/>
    <x v="2"/>
    <x v="25"/>
    <n v="6.8600784580000003"/>
    <n v="8.2107817240000003"/>
    <n v="0.85046443299999996"/>
    <n v="6.3573660399999996"/>
  </r>
  <r>
    <x v="2"/>
    <x v="1"/>
    <x v="3"/>
    <x v="2"/>
    <x v="25"/>
    <n v="137.740568"/>
    <n v="164.8607586"/>
    <n v="27.742543139999999"/>
    <n v="127.6468213"/>
  </r>
  <r>
    <x v="2"/>
    <x v="0"/>
    <x v="2"/>
    <x v="2"/>
    <x v="25"/>
    <n v="11.96031384"/>
    <n v="14.31521912"/>
    <n v="0.168644666"/>
    <n v="10.915885960000001"/>
  </r>
  <r>
    <x v="2"/>
    <x v="2"/>
    <x v="2"/>
    <x v="2"/>
    <x v="25"/>
    <n v="3.3070789330000001"/>
    <n v="3.9582205109999999"/>
    <n v="3.4840000000000003E-2"/>
    <n v="2.8761115949999998"/>
  </r>
  <r>
    <x v="2"/>
    <x v="0"/>
    <x v="3"/>
    <x v="1"/>
    <x v="26"/>
    <n v="0.192620713"/>
    <n v="0.22642817300000001"/>
    <n v="2.5296139999999999E-3"/>
    <n v="0.16383604700000001"/>
  </r>
  <r>
    <x v="2"/>
    <x v="2"/>
    <x v="3"/>
    <x v="1"/>
    <x v="26"/>
    <n v="1.5482249E-2"/>
    <n v="1.8199587E-2"/>
    <n v="5.9999999999999995E-4"/>
    <n v="1.2587193999999999E-2"/>
  </r>
  <r>
    <x v="2"/>
    <x v="3"/>
    <x v="0"/>
    <x v="1"/>
    <x v="26"/>
    <n v="5.9592504670000004"/>
    <n v="7.0051770370000002"/>
    <n v="2.5987089999999998E-3"/>
    <n v="5.7207332070000003"/>
  </r>
  <r>
    <x v="2"/>
    <x v="0"/>
    <x v="0"/>
    <x v="1"/>
    <x v="26"/>
    <n v="2.885931E-3"/>
    <n v="3.39245E-3"/>
    <n v="8.3974000000000006E-5"/>
    <n v="2.4546659999999999E-3"/>
  </r>
  <r>
    <x v="2"/>
    <x v="1"/>
    <x v="1"/>
    <x v="1"/>
    <x v="26"/>
    <n v="52.461653859999998"/>
    <n v="61.669361780000003"/>
    <n v="8.7201567549999996"/>
    <n v="46.089775090000003"/>
  </r>
  <r>
    <x v="2"/>
    <x v="1"/>
    <x v="3"/>
    <x v="1"/>
    <x v="26"/>
    <n v="14.02697951"/>
    <n v="16.488898280000001"/>
    <n v="2.4411258820000001"/>
    <n v="12.32329298"/>
  </r>
  <r>
    <x v="2"/>
    <x v="1"/>
    <x v="2"/>
    <x v="1"/>
    <x v="26"/>
    <n v="1.8744180370000001"/>
    <n v="2.2034029720000001"/>
    <n v="0.15926384900000001"/>
    <n v="1.646755285"/>
  </r>
  <r>
    <x v="2"/>
    <x v="2"/>
    <x v="2"/>
    <x v="1"/>
    <x v="26"/>
    <n v="0.31566343200000002"/>
    <n v="0.37106650200000002"/>
    <n v="6.4000000000000003E-3"/>
    <n v="0.25663693599999998"/>
  </r>
  <r>
    <x v="2"/>
    <x v="0"/>
    <x v="2"/>
    <x v="1"/>
    <x v="26"/>
    <n v="4.869933692"/>
    <n v="5.7246708890000004"/>
    <n v="9.4382608000000007E-2"/>
    <n v="4.1421853009999996"/>
  </r>
  <r>
    <x v="2"/>
    <x v="3"/>
    <x v="3"/>
    <x v="1"/>
    <x v="26"/>
    <n v="0.92022356199999999"/>
    <n v="1.081734859"/>
    <n v="4.0129100000000002E-4"/>
    <n v="0.88339188300000004"/>
  </r>
  <r>
    <x v="2"/>
    <x v="1"/>
    <x v="2"/>
    <x v="2"/>
    <x v="27"/>
    <n v="1.096535466"/>
    <n v="1.5049252930000001"/>
    <n v="0.17228694"/>
    <n v="1.014921183"/>
  </r>
  <r>
    <x v="2"/>
    <x v="1"/>
    <x v="0"/>
    <x v="2"/>
    <x v="27"/>
    <n v="0.96439282999999998"/>
    <n v="1.323567916"/>
    <n v="0.15384189700000001"/>
    <n v="0.89261382099999997"/>
  </r>
  <r>
    <x v="2"/>
    <x v="0"/>
    <x v="2"/>
    <x v="2"/>
    <x v="27"/>
    <n v="2.6922189329999999"/>
    <n v="3.6948995189999998"/>
    <n v="3.4245585000000002E-2"/>
    <n v="2.4274473209999998"/>
  </r>
  <r>
    <x v="2"/>
    <x v="0"/>
    <x v="0"/>
    <x v="2"/>
    <x v="27"/>
    <n v="5.6618325999999997E-2"/>
    <n v="7.7705056999999994E-2"/>
    <n v="7.3364199999999995E-4"/>
    <n v="5.1050084000000003E-2"/>
  </r>
  <r>
    <x v="2"/>
    <x v="0"/>
    <x v="3"/>
    <x v="2"/>
    <x v="27"/>
    <n v="0.25144917"/>
    <n v="0.34509801800000001"/>
    <n v="2.7243749999999998E-3"/>
    <n v="0.226719903"/>
  </r>
  <r>
    <x v="2"/>
    <x v="3"/>
    <x v="0"/>
    <x v="2"/>
    <x v="27"/>
    <n v="0.51734673499999995"/>
    <n v="0.71002554100000004"/>
    <n v="2.63241E-4"/>
    <n v="0.51734673499999995"/>
  </r>
  <r>
    <x v="2"/>
    <x v="3"/>
    <x v="3"/>
    <x v="2"/>
    <x v="27"/>
    <n v="6.5979397999999995E-2"/>
    <n v="9.0552534000000004E-2"/>
    <n v="4.1377E-5"/>
    <n v="6.5979397999999995E-2"/>
  </r>
  <r>
    <x v="2"/>
    <x v="2"/>
    <x v="2"/>
    <x v="2"/>
    <x v="27"/>
    <n v="1.602225453"/>
    <n v="2.1989526860000002"/>
    <n v="4.5659999999999999E-2"/>
    <n v="1.393239524"/>
  </r>
  <r>
    <x v="2"/>
    <x v="1"/>
    <x v="1"/>
    <x v="2"/>
    <x v="27"/>
    <n v="91.115920220000007"/>
    <n v="125.0508143"/>
    <n v="15.45555665"/>
    <n v="84.334233040000001"/>
  </r>
  <r>
    <x v="2"/>
    <x v="1"/>
    <x v="3"/>
    <x v="2"/>
    <x v="27"/>
    <n v="24.615781250000001"/>
    <n v="33.78359657"/>
    <n v="4.9187406139999998"/>
    <n v="22.783647770000002"/>
  </r>
  <r>
    <x v="2"/>
    <x v="2"/>
    <x v="0"/>
    <x v="2"/>
    <x v="27"/>
    <n v="1.5961184E-2"/>
    <n v="2.1905711000000001E-2"/>
    <n v="3.4000000000000002E-4"/>
    <n v="1.3879290000000001E-2"/>
  </r>
  <r>
    <x v="2"/>
    <x v="2"/>
    <x v="0"/>
    <x v="5"/>
    <x v="28"/>
    <n v="3.2934772830000001"/>
    <n v="3.932150923"/>
    <n v="9.5700000000000004E-3"/>
    <n v="3.0278735029999999"/>
  </r>
  <r>
    <x v="2"/>
    <x v="2"/>
    <x v="2"/>
    <x v="5"/>
    <x v="28"/>
    <n v="7.2593278769999996"/>
    <n v="8.667062306"/>
    <n v="6.8430000000000005E-2"/>
    <n v="6.6738965060000002"/>
  </r>
  <r>
    <x v="2"/>
    <x v="1"/>
    <x v="1"/>
    <x v="5"/>
    <x v="28"/>
    <n v="189.76268250000001"/>
    <n v="226.56160740000001"/>
    <n v="42.964592410000002"/>
    <n v="178.6609388"/>
  </r>
  <r>
    <x v="2"/>
    <x v="1"/>
    <x v="2"/>
    <x v="5"/>
    <x v="28"/>
    <n v="4.4249302960000003"/>
    <n v="5.283016172"/>
    <n v="0.66658667999999999"/>
    <n v="4.1660572580000004"/>
  </r>
  <r>
    <x v="2"/>
    <x v="1"/>
    <x v="0"/>
    <x v="5"/>
    <x v="28"/>
    <n v="2.9705010070000002"/>
    <n v="3.5465428409999999"/>
    <n v="0.81946784699999997"/>
    <n v="2.7967168870000001"/>
  </r>
  <r>
    <x v="2"/>
    <x v="3"/>
    <x v="3"/>
    <x v="5"/>
    <x v="28"/>
    <n v="2.0006580359999999"/>
    <n v="2.388627177"/>
    <n v="9.8404799999999995E-4"/>
    <n v="2.0006580359999999"/>
  </r>
  <r>
    <x v="2"/>
    <x v="0"/>
    <x v="3"/>
    <x v="5"/>
    <x v="28"/>
    <n v="1.515938988"/>
    <n v="1.80991104"/>
    <n v="1.6873315999999999E-2"/>
    <n v="1.409307517"/>
  </r>
  <r>
    <x v="2"/>
    <x v="0"/>
    <x v="0"/>
    <x v="5"/>
    <x v="28"/>
    <n v="0.28729327100000002"/>
    <n v="0.34300540200000001"/>
    <n v="4.071903E-3"/>
    <n v="0.26708500099999999"/>
  </r>
  <r>
    <x v="2"/>
    <x v="1"/>
    <x v="3"/>
    <x v="5"/>
    <x v="28"/>
    <n v="69.812692130000002"/>
    <n v="83.350822930000007"/>
    <n v="17.87590879"/>
    <n v="65.728419059999993"/>
  </r>
  <r>
    <x v="2"/>
    <x v="3"/>
    <x v="0"/>
    <x v="5"/>
    <x v="28"/>
    <n v="9.142438361"/>
    <n v="10.91534702"/>
    <n v="4.4559619999999999E-3"/>
    <n v="9.142438361"/>
  </r>
  <r>
    <x v="2"/>
    <x v="0"/>
    <x v="2"/>
    <x v="5"/>
    <x v="28"/>
    <n v="15.106958179999999"/>
    <n v="18.036511090000001"/>
    <n v="0.21543267799999999"/>
    <n v="14.04433152"/>
  </r>
  <r>
    <x v="2"/>
    <x v="3"/>
    <x v="3"/>
    <x v="2"/>
    <x v="29"/>
    <n v="0.10215637399999999"/>
    <n v="0.122270276"/>
    <n v="4.9181000000000002E-5"/>
    <n v="0.10215637399999999"/>
  </r>
  <r>
    <x v="2"/>
    <x v="0"/>
    <x v="0"/>
    <x v="2"/>
    <x v="29"/>
    <n v="2.3260122000000001E-2"/>
    <n v="2.7839882999999999E-2"/>
    <n v="3.0034199999999999E-4"/>
    <n v="2.1058078000000001E-2"/>
  </r>
  <r>
    <x v="2"/>
    <x v="0"/>
    <x v="3"/>
    <x v="2"/>
    <x v="29"/>
    <n v="0.20243918399999999"/>
    <n v="0.24229809699999999"/>
    <n v="2.3484310000000002E-3"/>
    <n v="0.183274192"/>
  </r>
  <r>
    <x v="2"/>
    <x v="3"/>
    <x v="0"/>
    <x v="2"/>
    <x v="29"/>
    <n v="0.42440401"/>
    <n v="0.50796630300000001"/>
    <n v="2.04324E-4"/>
    <n v="0.42440401"/>
  </r>
  <r>
    <x v="2"/>
    <x v="0"/>
    <x v="2"/>
    <x v="2"/>
    <x v="29"/>
    <n v="1.6677455290000001"/>
    <n v="1.9961133959999999"/>
    <n v="2.0717635000000002E-2"/>
    <n v="1.5098594460000001"/>
  </r>
  <r>
    <x v="2"/>
    <x v="2"/>
    <x v="2"/>
    <x v="2"/>
    <x v="29"/>
    <n v="1.2678534239999999"/>
    <n v="1.517485228"/>
    <n v="3.0759999999999999E-2"/>
    <n v="1.1083539060000001"/>
  </r>
  <r>
    <x v="2"/>
    <x v="2"/>
    <x v="0"/>
    <x v="2"/>
    <x v="29"/>
    <n v="1.1189289E-2"/>
    <n v="1.3392385E-2"/>
    <n v="2.4000000000000001E-4"/>
    <n v="9.7816450000000003E-3"/>
  </r>
  <r>
    <x v="2"/>
    <x v="1"/>
    <x v="0"/>
    <x v="2"/>
    <x v="29"/>
    <n v="0.44926818899999998"/>
    <n v="0.53772607100000003"/>
    <n v="0.16086213699999999"/>
    <n v="0.413376615"/>
  </r>
  <r>
    <x v="2"/>
    <x v="1"/>
    <x v="2"/>
    <x v="2"/>
    <x v="29"/>
    <n v="1.309924198"/>
    <n v="1.567839454"/>
    <n v="0.14993409299999999"/>
    <n v="1.2052757000000001"/>
  </r>
  <r>
    <x v="2"/>
    <x v="1"/>
    <x v="3"/>
    <x v="2"/>
    <x v="29"/>
    <n v="13.077233639999999"/>
    <n v="15.65205291"/>
    <n v="3.2386835139999999"/>
    <n v="12.032506890000001"/>
  </r>
  <r>
    <x v="2"/>
    <x v="1"/>
    <x v="1"/>
    <x v="2"/>
    <x v="29"/>
    <n v="50.206234590000001"/>
    <n v="60.091504200000003"/>
    <n v="10.986872610000001"/>
    <n v="46.195310120000002"/>
  </r>
  <r>
    <x v="2"/>
    <x v="0"/>
    <x v="2"/>
    <x v="5"/>
    <x v="30"/>
    <n v="10.073505369999999"/>
    <n v="12.05691077"/>
    <n v="0.14203749199999999"/>
    <n v="9.3250500039999995"/>
  </r>
  <r>
    <x v="2"/>
    <x v="1"/>
    <x v="3"/>
    <x v="5"/>
    <x v="30"/>
    <n v="92.401797909999999"/>
    <n v="110.5950899"/>
    <n v="31.856713880000001"/>
    <n v="85.540627069999999"/>
  </r>
  <r>
    <x v="2"/>
    <x v="2"/>
    <x v="0"/>
    <x v="5"/>
    <x v="30"/>
    <n v="6.2321121230000003"/>
    <n v="7.459173045"/>
    <n v="1.2260800000000001E-2"/>
    <n v="5.578195096"/>
  </r>
  <r>
    <x v="2"/>
    <x v="2"/>
    <x v="2"/>
    <x v="5"/>
    <x v="30"/>
    <n v="8.0913703130000005"/>
    <n v="9.6845066559999999"/>
    <n v="5.5679199999999998E-2"/>
    <n v="7.2423668430000001"/>
  </r>
  <r>
    <x v="2"/>
    <x v="3"/>
    <x v="0"/>
    <x v="5"/>
    <x v="30"/>
    <n v="5.4172215780000004"/>
    <n v="6.4838360379999997"/>
    <n v="2.642602E-3"/>
    <n v="5.4172215780000004"/>
  </r>
  <r>
    <x v="2"/>
    <x v="0"/>
    <x v="0"/>
    <x v="5"/>
    <x v="30"/>
    <n v="0.17660751599999999"/>
    <n v="0.211380347"/>
    <n v="2.3909180000000001E-3"/>
    <n v="0.16348568399999999"/>
  </r>
  <r>
    <x v="2"/>
    <x v="3"/>
    <x v="3"/>
    <x v="5"/>
    <x v="30"/>
    <n v="2.6923844739999998"/>
    <n v="3.2224968519999999"/>
    <n v="1.314948E-3"/>
    <n v="2.6923844739999998"/>
  </r>
  <r>
    <x v="2"/>
    <x v="0"/>
    <x v="3"/>
    <x v="5"/>
    <x v="30"/>
    <n v="0.86492274000000002"/>
    <n v="1.0352202049999999"/>
    <n v="9.2160249999999992E-3"/>
    <n v="0.80065950200000002"/>
  </r>
  <r>
    <x v="2"/>
    <x v="1"/>
    <x v="2"/>
    <x v="5"/>
    <x v="30"/>
    <n v="6.7285713960000004"/>
    <n v="8.0533818069999992"/>
    <n v="1.0258913169999999"/>
    <n v="6.2289504039999999"/>
  </r>
  <r>
    <x v="2"/>
    <x v="1"/>
    <x v="1"/>
    <x v="5"/>
    <x v="30"/>
    <n v="256.00498119999997"/>
    <n v="306.41063860000003"/>
    <n v="63.03858511"/>
    <n v="236.99567669999999"/>
  </r>
  <r>
    <x v="2"/>
    <x v="1"/>
    <x v="0"/>
    <x v="5"/>
    <x v="30"/>
    <n v="3.0568495539999998"/>
    <n v="3.6587226519999998"/>
    <n v="0.86001839099999999"/>
    <n v="2.8298673139999999"/>
  </r>
  <r>
    <x v="2"/>
    <x v="0"/>
    <x v="2"/>
    <x v="6"/>
    <x v="31"/>
    <n v="38.627404669999997"/>
    <n v="38.627404669999997"/>
    <n v="0.56491754800000005"/>
    <n v="34.752180180000003"/>
  </r>
  <r>
    <x v="2"/>
    <x v="1"/>
    <x v="3"/>
    <x v="6"/>
    <x v="31"/>
    <n v="62.686323350000002"/>
    <n v="62.686323350000002"/>
    <n v="18.950260149999998"/>
    <n v="56.619119310000002"/>
  </r>
  <r>
    <x v="2"/>
    <x v="1"/>
    <x v="2"/>
    <x v="6"/>
    <x v="31"/>
    <n v="4.5075570059999999"/>
    <n v="4.5075570059999999"/>
    <n v="0.22431000000000001"/>
    <n v="4.0712853180000002"/>
  </r>
  <r>
    <x v="2"/>
    <x v="1"/>
    <x v="1"/>
    <x v="6"/>
    <x v="31"/>
    <n v="200.92974530000001"/>
    <n v="200.92974530000001"/>
    <n v="49.538582300000002"/>
    <n v="181.48241300000001"/>
  </r>
  <r>
    <x v="2"/>
    <x v="0"/>
    <x v="0"/>
    <x v="6"/>
    <x v="31"/>
    <n v="7.5654458999999993E-2"/>
    <n v="7.5654458999999993E-2"/>
    <n v="9.08189E-4"/>
    <n v="6.8064561999999995E-2"/>
  </r>
  <r>
    <x v="2"/>
    <x v="0"/>
    <x v="3"/>
    <x v="6"/>
    <x v="31"/>
    <n v="2.0699847739999999"/>
    <n v="2.0699847739999999"/>
    <n v="2.5687194E-2"/>
    <n v="1.8623172960000001"/>
  </r>
  <r>
    <x v="2"/>
    <x v="3"/>
    <x v="0"/>
    <x v="6"/>
    <x v="31"/>
    <n v="3.079798893"/>
    <n v="3.079798893"/>
    <n v="4.591889E-3"/>
    <n v="2.613019156"/>
  </r>
  <r>
    <x v="2"/>
    <x v="2"/>
    <x v="2"/>
    <x v="6"/>
    <x v="31"/>
    <n v="19.60107824"/>
    <n v="19.60107824"/>
    <n v="0.13400000000000001"/>
    <n v="18.414403879999998"/>
  </r>
  <r>
    <x v="2"/>
    <x v="2"/>
    <x v="3"/>
    <x v="6"/>
    <x v="31"/>
    <n v="0.14398673300000001"/>
    <n v="0.14398673300000001"/>
    <n v="7.0000000000000001E-3"/>
    <n v="0.13526959199999999"/>
  </r>
  <r>
    <x v="2"/>
    <x v="3"/>
    <x v="3"/>
    <x v="6"/>
    <x v="31"/>
    <n v="0.30609514999999998"/>
    <n v="0.30609514999999998"/>
    <n v="4.6972700000000002E-4"/>
    <n v="0.25970283100000002"/>
  </r>
  <r>
    <x v="2"/>
    <x v="0"/>
    <x v="3"/>
    <x v="9"/>
    <x v="32"/>
    <n v="0.23052088100000001"/>
    <n v="0.44336293199999999"/>
    <n v="2.4498290000000002E-3"/>
    <n v="0.213393319"/>
  </r>
  <r>
    <x v="2"/>
    <x v="2"/>
    <x v="0"/>
    <x v="9"/>
    <x v="32"/>
    <n v="1.6566373999999999"/>
    <n v="3.186225962"/>
    <n v="3.2591999999999999E-3"/>
    <n v="1.4828113549999999"/>
  </r>
  <r>
    <x v="2"/>
    <x v="2"/>
    <x v="2"/>
    <x v="9"/>
    <x v="32"/>
    <n v="2.1508705890000002"/>
    <n v="4.1367892040000003"/>
    <n v="1.4800799999999999E-2"/>
    <n v="1.9251861219999999"/>
  </r>
  <r>
    <x v="2"/>
    <x v="0"/>
    <x v="2"/>
    <x v="9"/>
    <x v="32"/>
    <n v="2.6770390659999999"/>
    <n v="5.1487738800000002"/>
    <n v="3.7756802999999999E-2"/>
    <n v="2.47813668"/>
  </r>
  <r>
    <x v="2"/>
    <x v="3"/>
    <x v="0"/>
    <x v="9"/>
    <x v="32"/>
    <n v="1.4400209260000001"/>
    <n v="2.7696055030000002"/>
    <n v="7.0246399999999997E-4"/>
    <n v="1.4400209260000001"/>
  </r>
  <r>
    <x v="2"/>
    <x v="0"/>
    <x v="0"/>
    <x v="9"/>
    <x v="32"/>
    <n v="4.7069777E-2"/>
    <n v="9.0529735E-2"/>
    <n v="6.3555999999999997E-4"/>
    <n v="4.3572521000000003E-2"/>
  </r>
  <r>
    <x v="2"/>
    <x v="1"/>
    <x v="3"/>
    <x v="9"/>
    <x v="32"/>
    <n v="24.57793277"/>
    <n v="47.27096435"/>
    <n v="8.4682403999999991"/>
    <n v="22.752931530000001"/>
  </r>
  <r>
    <x v="2"/>
    <x v="1"/>
    <x v="1"/>
    <x v="9"/>
    <x v="32"/>
    <n v="68.038911450000001"/>
    <n v="130.8598647"/>
    <n v="16.757092239999999"/>
    <n v="62.98677387"/>
  </r>
  <r>
    <x v="2"/>
    <x v="1"/>
    <x v="2"/>
    <x v="9"/>
    <x v="32"/>
    <n v="1.7869683590000001"/>
    <n v="3.4368926960000001"/>
    <n v="0.27270528700000002"/>
    <n v="1.6542794350000001"/>
  </r>
  <r>
    <x v="2"/>
    <x v="1"/>
    <x v="0"/>
    <x v="9"/>
    <x v="32"/>
    <n v="0.81183554599999996"/>
    <n v="1.5614107779999999"/>
    <n v="0.228612484"/>
    <n v="0.75155379300000003"/>
  </r>
  <r>
    <x v="2"/>
    <x v="3"/>
    <x v="3"/>
    <x v="9"/>
    <x v="32"/>
    <n v="0.71569713899999998"/>
    <n v="1.376506896"/>
    <n v="3.4954300000000001E-4"/>
    <n v="0.71569713899999998"/>
  </r>
  <r>
    <x v="2"/>
    <x v="2"/>
    <x v="2"/>
    <x v="0"/>
    <x v="33"/>
    <n v="2.9999845519999999"/>
    <n v="2.9999845519999999"/>
    <n v="3.5740000000000001E-2"/>
    <n v="2.8609453980000001"/>
  </r>
  <r>
    <x v="2"/>
    <x v="2"/>
    <x v="0"/>
    <x v="0"/>
    <x v="33"/>
    <n v="1.8188679169999999"/>
    <n v="1.8188679169999999"/>
    <n v="5.1599999999999997E-3"/>
    <n v="1.734569531"/>
  </r>
  <r>
    <x v="2"/>
    <x v="3"/>
    <x v="0"/>
    <x v="0"/>
    <x v="33"/>
    <n v="33.187376229999998"/>
    <n v="33.187376229999998"/>
    <n v="1.1461206E-2"/>
    <n v="31.966132550000001"/>
  </r>
  <r>
    <x v="2"/>
    <x v="0"/>
    <x v="3"/>
    <x v="0"/>
    <x v="33"/>
    <n v="3.300788834"/>
    <n v="3.300788834"/>
    <n v="0.121665042"/>
    <n v="3.1466519229999999"/>
  </r>
  <r>
    <x v="2"/>
    <x v="0"/>
    <x v="0"/>
    <x v="0"/>
    <x v="33"/>
    <n v="2.0848835590000001"/>
    <n v="2.0848835590000001"/>
    <n v="2.0076131000000001E-2"/>
    <n v="1.9875257669999999"/>
  </r>
  <r>
    <x v="2"/>
    <x v="0"/>
    <x v="2"/>
    <x v="0"/>
    <x v="33"/>
    <n v="41.693744870000003"/>
    <n v="41.693744870000003"/>
    <n v="0.48612138599999999"/>
    <n v="39.746772380000003"/>
  </r>
  <r>
    <x v="2"/>
    <x v="1"/>
    <x v="3"/>
    <x v="0"/>
    <x v="33"/>
    <n v="45.287823170000003"/>
    <n v="45.287823170000003"/>
    <n v="14.27470958"/>
    <n v="42.853694109999999"/>
  </r>
  <r>
    <x v="2"/>
    <x v="1"/>
    <x v="2"/>
    <x v="0"/>
    <x v="33"/>
    <n v="4.1519235739999996"/>
    <n v="4.1519235739999996"/>
    <n v="1.0520546"/>
    <n v="3.928766065"/>
  </r>
  <r>
    <x v="2"/>
    <x v="1"/>
    <x v="0"/>
    <x v="0"/>
    <x v="33"/>
    <n v="1.3345614219999999"/>
    <n v="1.3345614219999999"/>
    <n v="3.9442999999999999E-2"/>
    <n v="1.26283144"/>
  </r>
  <r>
    <x v="2"/>
    <x v="1"/>
    <x v="1"/>
    <x v="0"/>
    <x v="33"/>
    <n v="146.31582040000001"/>
    <n v="146.31582040000001"/>
    <n v="43.702658939999999"/>
    <n v="138.4516405"/>
  </r>
  <r>
    <x v="2"/>
    <x v="3"/>
    <x v="3"/>
    <x v="0"/>
    <x v="33"/>
    <n v="6.8849138310000004"/>
    <n v="6.8849138310000004"/>
    <n v="2.5439270000000001E-3"/>
    <n v="6.6315597430000004"/>
  </r>
  <r>
    <x v="2"/>
    <x v="3"/>
    <x v="0"/>
    <x v="7"/>
    <x v="34"/>
    <n v="15.43674942"/>
    <n v="16.95644544"/>
    <n v="7.7053809999999999E-3"/>
    <n v="15.43674942"/>
  </r>
  <r>
    <x v="2"/>
    <x v="1"/>
    <x v="1"/>
    <x v="7"/>
    <x v="34"/>
    <n v="390.0680208"/>
    <n v="428.46890439999999"/>
    <n v="82.706410059999996"/>
    <n v="363.709878"/>
  </r>
  <r>
    <x v="2"/>
    <x v="1"/>
    <x v="2"/>
    <x v="7"/>
    <x v="34"/>
    <n v="6.644435241"/>
    <n v="7.2985575259999997"/>
    <n v="1.001337071"/>
    <n v="6.1954495180000002"/>
  </r>
  <r>
    <x v="2"/>
    <x v="1"/>
    <x v="0"/>
    <x v="7"/>
    <x v="34"/>
    <n v="2.9812427970000002"/>
    <n v="3.2747361150000001"/>
    <n v="0.82956879100000003"/>
    <n v="2.7797906939999999"/>
  </r>
  <r>
    <x v="2"/>
    <x v="1"/>
    <x v="3"/>
    <x v="7"/>
    <x v="34"/>
    <n v="137.35886210000001"/>
    <n v="150.8813797"/>
    <n v="28.66296577"/>
    <n v="128.07708479999999"/>
  </r>
  <r>
    <x v="2"/>
    <x v="0"/>
    <x v="2"/>
    <x v="7"/>
    <x v="34"/>
    <n v="50.456979650000001"/>
    <n v="55.424299449999999"/>
    <n v="0.68380916999999997"/>
    <n v="46.796644270000002"/>
  </r>
  <r>
    <x v="2"/>
    <x v="0"/>
    <x v="3"/>
    <x v="7"/>
    <x v="34"/>
    <n v="3.8047795849999999"/>
    <n v="4.1793473280000004"/>
    <n v="4.7163833000000002E-2"/>
    <n v="3.5287668430000001"/>
  </r>
  <r>
    <x v="2"/>
    <x v="3"/>
    <x v="3"/>
    <x v="7"/>
    <x v="34"/>
    <n v="3.049032097"/>
    <n v="3.3491990440000001"/>
    <n v="1.827543E-3"/>
    <n v="3.049032097"/>
  </r>
  <r>
    <x v="2"/>
    <x v="2"/>
    <x v="2"/>
    <x v="7"/>
    <x v="34"/>
    <n v="10.08855301"/>
    <n v="11.0817371"/>
    <n v="0.17020009999999999"/>
    <n v="9.0907628480000007"/>
  </r>
  <r>
    <x v="2"/>
    <x v="2"/>
    <x v="0"/>
    <x v="7"/>
    <x v="34"/>
    <n v="5.8373175450000003"/>
    <n v="6.4119818090000003"/>
    <n v="1.27099E-2"/>
    <n v="5.2599881679999996"/>
  </r>
  <r>
    <x v="2"/>
    <x v="0"/>
    <x v="0"/>
    <x v="7"/>
    <x v="34"/>
    <n v="0.91722162299999999"/>
    <n v="1.0075190039999999"/>
    <n v="1.2675896000000001E-2"/>
    <n v="0.85068298399999998"/>
  </r>
  <r>
    <x v="2"/>
    <x v="0"/>
    <x v="3"/>
    <x v="10"/>
    <x v="35"/>
    <n v="1.2493306099999999"/>
    <n v="1.372323003"/>
    <n v="1.5486632E-2"/>
    <n v="1.1586995600000001"/>
  </r>
  <r>
    <x v="2"/>
    <x v="1"/>
    <x v="1"/>
    <x v="10"/>
    <x v="35"/>
    <n v="128.0820367"/>
    <n v="140.6912821"/>
    <n v="27.157328679999999"/>
    <n v="119.4271241"/>
  </r>
  <r>
    <x v="2"/>
    <x v="2"/>
    <x v="2"/>
    <x v="10"/>
    <x v="35"/>
    <n v="3.3126591969999999"/>
    <n v="3.6387793450000001"/>
    <n v="5.5886600000000002E-2"/>
    <n v="2.985026607"/>
  </r>
  <r>
    <x v="2"/>
    <x v="2"/>
    <x v="0"/>
    <x v="10"/>
    <x v="35"/>
    <n v="1.9167311339999999"/>
    <n v="2.1054268629999999"/>
    <n v="4.1733999999999999E-3"/>
    <n v="1.7271602939999999"/>
  </r>
  <r>
    <x v="2"/>
    <x v="3"/>
    <x v="0"/>
    <x v="10"/>
    <x v="35"/>
    <n v="5.0687833900000001"/>
    <n v="5.5677880530000001"/>
    <n v="2.5301249999999998E-3"/>
    <n v="5.0687833900000001"/>
  </r>
  <r>
    <x v="2"/>
    <x v="3"/>
    <x v="3"/>
    <x v="10"/>
    <x v="35"/>
    <n v="1.001174719"/>
    <n v="1.099737"/>
    <n v="6.0008900000000005E-4"/>
    <n v="1.001174719"/>
  </r>
  <r>
    <x v="2"/>
    <x v="1"/>
    <x v="0"/>
    <x v="10"/>
    <x v="35"/>
    <n v="0.978915545"/>
    <n v="1.0752864849999999"/>
    <n v="0.27239572299999998"/>
    <n v="0.91276709300000003"/>
  </r>
  <r>
    <x v="2"/>
    <x v="1"/>
    <x v="2"/>
    <x v="10"/>
    <x v="35"/>
    <n v="2.181754856"/>
    <n v="2.3965412769999999"/>
    <n v="0.32879724700000001"/>
    <n v="2.034326708"/>
  </r>
  <r>
    <x v="2"/>
    <x v="0"/>
    <x v="0"/>
    <x v="10"/>
    <x v="35"/>
    <n v="0.30117724899999998"/>
    <n v="0.33082713499999999"/>
    <n v="4.1622350000000002E-3"/>
    <n v="0.27932874099999999"/>
  </r>
  <r>
    <x v="2"/>
    <x v="1"/>
    <x v="3"/>
    <x v="10"/>
    <x v="35"/>
    <n v="45.102909930000003"/>
    <n v="49.543139600000003"/>
    <n v="9.4117201010000002"/>
    <n v="42.055162170000003"/>
  </r>
  <r>
    <x v="2"/>
    <x v="0"/>
    <x v="2"/>
    <x v="10"/>
    <x v="35"/>
    <n v="16.567963469999999"/>
    <n v="18.199023700000001"/>
    <n v="0.22453435399999999"/>
    <n v="15.366062299999999"/>
  </r>
  <r>
    <x v="2"/>
    <x v="1"/>
    <x v="0"/>
    <x v="2"/>
    <x v="36"/>
    <n v="0.50284149"/>
    <n v="0.60184759399999999"/>
    <n v="7.4577445000000006E-2"/>
    <n v="0.46724617499999999"/>
  </r>
  <r>
    <x v="2"/>
    <x v="1"/>
    <x v="3"/>
    <x v="2"/>
    <x v="36"/>
    <n v="11.73116066"/>
    <n v="14.04094722"/>
    <n v="2.0158062210000001"/>
    <n v="10.900731260000001"/>
  </r>
  <r>
    <x v="2"/>
    <x v="0"/>
    <x v="2"/>
    <x v="2"/>
    <x v="36"/>
    <n v="4.571353598"/>
    <n v="5.4714223469999999"/>
    <n v="6.9129652999999999E-2"/>
    <n v="4.2027809490000001"/>
  </r>
  <r>
    <x v="2"/>
    <x v="1"/>
    <x v="2"/>
    <x v="2"/>
    <x v="36"/>
    <n v="1.279302019"/>
    <n v="1.5311879740000001"/>
    <n v="8.0377171999999997E-2"/>
    <n v="1.188742352"/>
  </r>
  <r>
    <x v="2"/>
    <x v="3"/>
    <x v="0"/>
    <x v="2"/>
    <x v="36"/>
    <n v="4.6152825130000004"/>
    <n v="5.5240005700000001"/>
    <n v="2.3752000000000001E-3"/>
    <n v="4.6034604310000002"/>
  </r>
  <r>
    <x v="2"/>
    <x v="3"/>
    <x v="3"/>
    <x v="2"/>
    <x v="36"/>
    <n v="0.53363251300000003"/>
    <n v="0.63870116200000004"/>
    <n v="3.3190100000000001E-4"/>
    <n v="0.53226560899999997"/>
  </r>
  <r>
    <x v="2"/>
    <x v="2"/>
    <x v="2"/>
    <x v="2"/>
    <x v="36"/>
    <n v="2.3548907959999998"/>
    <n v="2.81855294"/>
    <n v="2.0188635E-2"/>
    <n v="2.1109404970000001"/>
  </r>
  <r>
    <x v="2"/>
    <x v="2"/>
    <x v="0"/>
    <x v="2"/>
    <x v="36"/>
    <n v="0.18490508999999999"/>
    <n v="0.22131165699999999"/>
    <n v="4.1386500000000002E-4"/>
    <n v="0.16575020900000001"/>
  </r>
  <r>
    <x v="2"/>
    <x v="0"/>
    <x v="3"/>
    <x v="2"/>
    <x v="36"/>
    <n v="0.50534503600000003"/>
    <n v="0.60484407200000001"/>
    <n v="6.3088850000000002E-3"/>
    <n v="0.46460078900000001"/>
  </r>
  <r>
    <x v="2"/>
    <x v="1"/>
    <x v="1"/>
    <x v="2"/>
    <x v="36"/>
    <n v="37.932587890000001"/>
    <n v="45.401259080000003"/>
    <n v="6.3038053280000002"/>
    <n v="35.247402940000001"/>
  </r>
  <r>
    <x v="2"/>
    <x v="0"/>
    <x v="0"/>
    <x v="2"/>
    <x v="36"/>
    <n v="7.3882086E-2"/>
    <n v="8.8428970999999995E-2"/>
    <n v="1.0169560000000001E-3"/>
    <n v="6.7925225000000006E-2"/>
  </r>
  <r>
    <x v="2"/>
    <x v="1"/>
    <x v="2"/>
    <x v="9"/>
    <x v="37"/>
    <n v="8.1975077990000003"/>
    <n v="15.766342209999999"/>
    <n v="0.74197615800000005"/>
    <n v="7.7267859000000003"/>
  </r>
  <r>
    <x v="2"/>
    <x v="0"/>
    <x v="0"/>
    <x v="9"/>
    <x v="37"/>
    <n v="1.74882739"/>
    <n v="3.363535819"/>
    <n v="2.3073506000000001E-2"/>
    <n v="1.616218266"/>
  </r>
  <r>
    <x v="2"/>
    <x v="0"/>
    <x v="3"/>
    <x v="9"/>
    <x v="37"/>
    <n v="5.6642788609999997"/>
    <n v="10.89415968"/>
    <n v="6.5407296000000004E-2"/>
    <n v="5.2347710300000001"/>
  </r>
  <r>
    <x v="2"/>
    <x v="3"/>
    <x v="0"/>
    <x v="9"/>
    <x v="37"/>
    <n v="15.901831169999999"/>
    <n v="30.584138280000001"/>
    <n v="7.6761499999999996E-3"/>
    <n v="15.901831169999999"/>
  </r>
  <r>
    <x v="2"/>
    <x v="3"/>
    <x v="3"/>
    <x v="9"/>
    <x v="37"/>
    <n v="3.8884462499999999"/>
    <n v="7.4786844690000001"/>
    <n v="1.9584350000000001E-3"/>
    <n v="3.8884462499999999"/>
  </r>
  <r>
    <x v="2"/>
    <x v="2"/>
    <x v="2"/>
    <x v="9"/>
    <x v="37"/>
    <n v="3.7900427109999999"/>
    <n v="7.2894240359999998"/>
    <n v="7.5499999999999998E-2"/>
    <n v="3.3273608769999998"/>
  </r>
  <r>
    <x v="2"/>
    <x v="2"/>
    <x v="0"/>
    <x v="9"/>
    <x v="37"/>
    <n v="2.0337766E-2"/>
    <n v="3.9115812999999999E-2"/>
    <n v="5.0000000000000001E-4"/>
    <n v="1.7854966999999999E-2"/>
  </r>
  <r>
    <x v="2"/>
    <x v="1"/>
    <x v="3"/>
    <x v="9"/>
    <x v="37"/>
    <n v="115.98682719999999"/>
    <n v="223.0785324"/>
    <n v="28.205852870000001"/>
    <n v="109.3265664"/>
  </r>
  <r>
    <x v="2"/>
    <x v="1"/>
    <x v="0"/>
    <x v="9"/>
    <x v="37"/>
    <n v="3.0449613150000001"/>
    <n v="5.8564021290000001"/>
    <n v="0.97622039299999996"/>
    <n v="2.870111836"/>
  </r>
  <r>
    <x v="2"/>
    <x v="1"/>
    <x v="1"/>
    <x v="9"/>
    <x v="37"/>
    <n v="359.9591188"/>
    <n v="692.31268680000005"/>
    <n v="74.675311260000001"/>
    <n v="339.28934409999999"/>
  </r>
  <r>
    <x v="2"/>
    <x v="0"/>
    <x v="2"/>
    <x v="9"/>
    <x v="37"/>
    <n v="87.381949840000004"/>
    <n v="168.06250850000001"/>
    <n v="1.1474357660000001"/>
    <n v="80.755999259999996"/>
  </r>
  <r>
    <x v="2"/>
    <x v="1"/>
    <x v="2"/>
    <x v="7"/>
    <x v="38"/>
    <n v="1.090877428"/>
    <n v="1.0913291730000001"/>
    <n v="0.16439862399999999"/>
    <n v="1.017163354"/>
  </r>
  <r>
    <x v="2"/>
    <x v="1"/>
    <x v="0"/>
    <x v="7"/>
    <x v="38"/>
    <n v="0.48945777299999998"/>
    <n v="0.48966046299999999"/>
    <n v="0.136197861"/>
    <n v="0.456383547"/>
  </r>
  <r>
    <x v="2"/>
    <x v="1"/>
    <x v="3"/>
    <x v="7"/>
    <x v="38"/>
    <n v="22.551454970000002"/>
    <n v="22.560793799999999"/>
    <n v="4.7058600510000002"/>
    <n v="21.027581090000002"/>
  </r>
  <r>
    <x v="2"/>
    <x v="0"/>
    <x v="2"/>
    <x v="7"/>
    <x v="38"/>
    <n v="8.2839817320000009"/>
    <n v="8.2874122270000008"/>
    <n v="0.112267177"/>
    <n v="7.6830311489999996"/>
  </r>
  <r>
    <x v="2"/>
    <x v="0"/>
    <x v="3"/>
    <x v="7"/>
    <x v="38"/>
    <n v="0.62466530499999995"/>
    <n v="0.62492398599999999"/>
    <n v="7.7433160000000001E-3"/>
    <n v="0.57934978000000004"/>
  </r>
  <r>
    <x v="2"/>
    <x v="3"/>
    <x v="3"/>
    <x v="7"/>
    <x v="38"/>
    <n v="0.50058735899999995"/>
    <n v="0.500794658"/>
    <n v="3.0004400000000002E-4"/>
    <n v="0.50058735899999995"/>
  </r>
  <r>
    <x v="2"/>
    <x v="1"/>
    <x v="1"/>
    <x v="7"/>
    <x v="38"/>
    <n v="64.04101833"/>
    <n v="64.067538479999996"/>
    <n v="13.57866434"/>
    <n v="59.713562060000001"/>
  </r>
  <r>
    <x v="2"/>
    <x v="2"/>
    <x v="0"/>
    <x v="7"/>
    <x v="38"/>
    <n v="0.95836556699999997"/>
    <n v="0.95876243699999997"/>
    <n v="2.0866999999999999E-3"/>
    <n v="0.86358014699999996"/>
  </r>
  <r>
    <x v="2"/>
    <x v="0"/>
    <x v="0"/>
    <x v="7"/>
    <x v="38"/>
    <n v="0.150588625"/>
    <n v="0.15065098599999999"/>
    <n v="2.0811169999999999E-3"/>
    <n v="0.13966437100000001"/>
  </r>
  <r>
    <x v="2"/>
    <x v="2"/>
    <x v="2"/>
    <x v="7"/>
    <x v="38"/>
    <n v="1.656329599"/>
    <n v="1.6570155040000001"/>
    <n v="2.7943300000000001E-2"/>
    <n v="1.492513304"/>
  </r>
  <r>
    <x v="2"/>
    <x v="3"/>
    <x v="0"/>
    <x v="7"/>
    <x v="38"/>
    <n v="2.5343916950000001"/>
    <n v="2.5354412169999998"/>
    <n v="1.2650630000000001E-3"/>
    <n v="2.5343916950000001"/>
  </r>
  <r>
    <x v="2"/>
    <x v="2"/>
    <x v="2"/>
    <x v="1"/>
    <x v="39"/>
    <n v="7.9704819760000003"/>
    <n v="8.7579876980000009"/>
    <n v="6.6400000000000001E-2"/>
    <n v="7.6768955759999997"/>
  </r>
  <r>
    <x v="2"/>
    <x v="2"/>
    <x v="3"/>
    <x v="1"/>
    <x v="39"/>
    <n v="0.195036986"/>
    <n v="0.21430718100000001"/>
    <n v="1.0200000000000001E-2"/>
    <n v="0.18785295299999999"/>
  </r>
  <r>
    <x v="2"/>
    <x v="1"/>
    <x v="1"/>
    <x v="1"/>
    <x v="39"/>
    <n v="261.9407908"/>
    <n v="287.82126729999999"/>
    <n v="42.737432859999998"/>
    <n v="230.24065820000001"/>
  </r>
  <r>
    <x v="2"/>
    <x v="1"/>
    <x v="2"/>
    <x v="1"/>
    <x v="39"/>
    <n v="13.527945109999999"/>
    <n v="14.864543599999999"/>
    <n v="1.165593232"/>
    <n v="11.890790190000001"/>
  </r>
  <r>
    <x v="2"/>
    <x v="1"/>
    <x v="3"/>
    <x v="1"/>
    <x v="39"/>
    <n v="95.122489580000007"/>
    <n v="104.52085529999999"/>
    <n v="15.39647708"/>
    <n v="83.610744789999998"/>
  </r>
  <r>
    <x v="2"/>
    <x v="0"/>
    <x v="2"/>
    <x v="1"/>
    <x v="39"/>
    <n v="40.022816210000002"/>
    <n v="43.977181440000003"/>
    <n v="0.59254459900000001"/>
    <n v="33.540949470000001"/>
  </r>
  <r>
    <x v="2"/>
    <x v="0"/>
    <x v="0"/>
    <x v="1"/>
    <x v="39"/>
    <n v="1.3720210820000001"/>
    <n v="1.50758057"/>
    <n v="3.3707580000000002E-3"/>
    <n v="1.1498163830000001"/>
  </r>
  <r>
    <x v="2"/>
    <x v="0"/>
    <x v="3"/>
    <x v="1"/>
    <x v="39"/>
    <n v="1.6958216269999999"/>
    <n v="1.8633735060000001"/>
    <n v="2.0130360999999999E-2"/>
    <n v="1.4211760410000001"/>
  </r>
  <r>
    <x v="2"/>
    <x v="3"/>
    <x v="0"/>
    <x v="1"/>
    <x v="39"/>
    <n v="1.833265114"/>
    <n v="2.0143967909999998"/>
    <n v="2.9935949999999999E-3"/>
    <n v="1.603549968"/>
  </r>
  <r>
    <x v="2"/>
    <x v="3"/>
    <x v="3"/>
    <x v="1"/>
    <x v="39"/>
    <n v="0.30815991100000001"/>
    <n v="0.33860696499999998"/>
    <n v="4.3714200000000001E-4"/>
    <n v="0.26954629299999999"/>
  </r>
  <r>
    <x v="2"/>
    <x v="2"/>
    <x v="1"/>
    <x v="1"/>
    <x v="39"/>
    <n v="0.70781211300000002"/>
    <n v="0.77774591299999996"/>
    <n v="2.1399999999999999E-2"/>
    <n v="0.68174041399999996"/>
  </r>
  <r>
    <x v="2"/>
    <x v="0"/>
    <x v="0"/>
    <x v="10"/>
    <x v="40"/>
    <n v="0.34613835100000001"/>
    <n v="0.45792980599999999"/>
    <n v="4.6495140000000004E-3"/>
    <n v="0.320815446"/>
  </r>
  <r>
    <x v="2"/>
    <x v="2"/>
    <x v="2"/>
    <x v="10"/>
    <x v="40"/>
    <n v="2.7379655829999998"/>
    <n v="3.6222396190000001"/>
    <n v="3.2739999999999998E-2"/>
    <n v="2.4046407749999998"/>
  </r>
  <r>
    <x v="2"/>
    <x v="1"/>
    <x v="1"/>
    <x v="10"/>
    <x v="40"/>
    <n v="125.7971173"/>
    <n v="166.42550399999999"/>
    <n v="29.771474420000001"/>
    <n v="117.7577735"/>
  </r>
  <r>
    <x v="2"/>
    <x v="1"/>
    <x v="2"/>
    <x v="10"/>
    <x v="40"/>
    <n v="4.3220690150000003"/>
    <n v="5.7179570550000003"/>
    <n v="0.45571067500000001"/>
    <n v="4.0458576080000004"/>
  </r>
  <r>
    <x v="2"/>
    <x v="1"/>
    <x v="0"/>
    <x v="10"/>
    <x v="40"/>
    <n v="1.191846483"/>
    <n v="1.576774221"/>
    <n v="0.33210082699999999"/>
    <n v="1.1156788900000001"/>
  </r>
  <r>
    <x v="2"/>
    <x v="0"/>
    <x v="2"/>
    <x v="10"/>
    <x v="40"/>
    <n v="21.86751512"/>
    <n v="28.930012900000001"/>
    <n v="0.29326690100000002"/>
    <n v="20.267724130000001"/>
  </r>
  <r>
    <x v="2"/>
    <x v="0"/>
    <x v="3"/>
    <x v="10"/>
    <x v="40"/>
    <n v="1.6601645350000001"/>
    <n v="2.1963438069999999"/>
    <n v="1.8246275999999999E-2"/>
    <n v="1.5387096629999999"/>
  </r>
  <r>
    <x v="2"/>
    <x v="3"/>
    <x v="0"/>
    <x v="10"/>
    <x v="40"/>
    <n v="20.135074589999999"/>
    <n v="26.638050289999999"/>
    <n v="9.9842469999999999E-3"/>
    <n v="20.135074589999999"/>
  </r>
  <r>
    <x v="2"/>
    <x v="3"/>
    <x v="3"/>
    <x v="10"/>
    <x v="40"/>
    <n v="9.7822305759999999"/>
    <n v="12.94157362"/>
    <n v="5.1005959999999998E-3"/>
    <n v="9.7822305759999999"/>
  </r>
  <r>
    <x v="2"/>
    <x v="1"/>
    <x v="3"/>
    <x v="10"/>
    <x v="40"/>
    <n v="37.777006909999997"/>
    <n v="49.977754269999998"/>
    <n v="10.85118937"/>
    <n v="35.362783489999998"/>
  </r>
  <r>
    <x v="2"/>
    <x v="2"/>
    <x v="0"/>
    <x v="10"/>
    <x v="40"/>
    <n v="1.8034910000000001E-2"/>
    <n v="2.3859601000000001E-2"/>
    <n v="2.5999999999999998E-4"/>
    <n v="1.5839308E-2"/>
  </r>
  <r>
    <x v="2"/>
    <x v="1"/>
    <x v="3"/>
    <x v="1"/>
    <x v="41"/>
    <n v="117.4608939"/>
    <n v="121.3687504"/>
    <n v="23.109766409999999"/>
    <n v="106.6897869"/>
  </r>
  <r>
    <x v="2"/>
    <x v="2"/>
    <x v="3"/>
    <x v="1"/>
    <x v="41"/>
    <n v="0.52379498899999999"/>
    <n v="0.54122134799999999"/>
    <n v="2.3279999999999999E-2"/>
    <n v="0.494066801"/>
  </r>
  <r>
    <x v="2"/>
    <x v="2"/>
    <x v="2"/>
    <x v="1"/>
    <x v="41"/>
    <n v="83.129113610000005"/>
    <n v="85.894771489999997"/>
    <n v="1.32392"/>
    <n v="78.411088430000007"/>
  </r>
  <r>
    <x v="2"/>
    <x v="2"/>
    <x v="1"/>
    <x v="1"/>
    <x v="41"/>
    <n v="0.87299164799999995"/>
    <n v="0.90203557899999998"/>
    <n v="3.8800000000000001E-2"/>
    <n v="0.82344466699999996"/>
  </r>
  <r>
    <x v="2"/>
    <x v="3"/>
    <x v="3"/>
    <x v="1"/>
    <x v="41"/>
    <n v="1.4943162510000001"/>
    <n v="1.5440312949999999"/>
    <n v="1.3225789999999999E-3"/>
    <n v="1.4943162510000001"/>
  </r>
  <r>
    <x v="2"/>
    <x v="3"/>
    <x v="0"/>
    <x v="1"/>
    <x v="41"/>
    <n v="13.24039829"/>
    <n v="13.68089874"/>
    <n v="1.0677420999999999E-2"/>
    <n v="13.24039829"/>
  </r>
  <r>
    <x v="2"/>
    <x v="0"/>
    <x v="3"/>
    <x v="1"/>
    <x v="41"/>
    <n v="6.2039964400000001"/>
    <n v="6.4103998400000002"/>
    <n v="6.4885112999999994E-2"/>
    <n v="5.2725080389999999"/>
  </r>
  <r>
    <x v="2"/>
    <x v="0"/>
    <x v="2"/>
    <x v="1"/>
    <x v="41"/>
    <n v="157.6098384"/>
    <n v="162.85342729999999"/>
    <n v="2.2782938050000001"/>
    <n v="133.94577960000001"/>
  </r>
  <r>
    <x v="2"/>
    <x v="1"/>
    <x v="2"/>
    <x v="1"/>
    <x v="41"/>
    <n v="17.873941479999999"/>
    <n v="18.468597249999998"/>
    <n v="1.5403463500000001"/>
    <n v="16.234909720000001"/>
  </r>
  <r>
    <x v="2"/>
    <x v="1"/>
    <x v="1"/>
    <x v="1"/>
    <x v="41"/>
    <n v="497.29332440000002"/>
    <n v="513.83798779999995"/>
    <n v="104.0641979"/>
    <n v="451.6917679"/>
  </r>
  <r>
    <x v="2"/>
    <x v="0"/>
    <x v="0"/>
    <x v="1"/>
    <x v="41"/>
    <n v="1.3528359910000001"/>
    <n v="1.3978440679999999"/>
    <n v="6.6897709999999997E-3"/>
    <n v="1.149716752"/>
  </r>
  <r>
    <x v="2"/>
    <x v="1"/>
    <x v="1"/>
    <x v="2"/>
    <x v="42"/>
    <n v="334.45097040000002"/>
    <n v="400.30211489999999"/>
    <n v="65.504464010000007"/>
    <n v="310.6604653"/>
  </r>
  <r>
    <x v="2"/>
    <x v="3"/>
    <x v="0"/>
    <x v="2"/>
    <x v="42"/>
    <n v="38.980687230000001"/>
    <n v="46.65572212"/>
    <n v="2.0047638999999999E-2"/>
    <n v="38.858654299999998"/>
  </r>
  <r>
    <x v="2"/>
    <x v="3"/>
    <x v="3"/>
    <x v="2"/>
    <x v="42"/>
    <n v="4.4835127259999998"/>
    <n v="5.3662861980000001"/>
    <n v="2.4483640000000002E-3"/>
    <n v="4.4694766430000001"/>
  </r>
  <r>
    <x v="2"/>
    <x v="2"/>
    <x v="2"/>
    <x v="2"/>
    <x v="42"/>
    <n v="5.9045237110000004"/>
    <n v="7.0670846799999998"/>
    <n v="0.12392955899999999"/>
    <n v="5.2408237980000001"/>
  </r>
  <r>
    <x v="2"/>
    <x v="1"/>
    <x v="2"/>
    <x v="2"/>
    <x v="42"/>
    <n v="13.17014303"/>
    <n v="15.76325553"/>
    <n v="0.89317269200000005"/>
    <n v="12.23331108"/>
  </r>
  <r>
    <x v="2"/>
    <x v="1"/>
    <x v="0"/>
    <x v="2"/>
    <x v="42"/>
    <n v="8.5471381409999996"/>
    <n v="10.2300121"/>
    <n v="0.78796076699999995"/>
    <n v="7.9391544549999997"/>
  </r>
  <r>
    <x v="2"/>
    <x v="1"/>
    <x v="3"/>
    <x v="2"/>
    <x v="42"/>
    <n v="97.492935099999997"/>
    <n v="116.6886377"/>
    <n v="17.641448799999999"/>
    <n v="90.55796891"/>
  </r>
  <r>
    <x v="2"/>
    <x v="0"/>
    <x v="2"/>
    <x v="2"/>
    <x v="42"/>
    <n v="25.110674119999999"/>
    <n v="30.054796809999999"/>
    <n v="0.35015260199999998"/>
    <n v="22.870981539999999"/>
  </r>
  <r>
    <x v="2"/>
    <x v="0"/>
    <x v="0"/>
    <x v="2"/>
    <x v="42"/>
    <n v="0.456206369"/>
    <n v="0.54603033199999995"/>
    <n v="6.0263089999999997E-3"/>
    <n v="0.41551602300000001"/>
  </r>
  <r>
    <x v="2"/>
    <x v="0"/>
    <x v="3"/>
    <x v="2"/>
    <x v="42"/>
    <n v="2.5995428309999999"/>
    <n v="3.111375314"/>
    <n v="2.5399610999999999E-2"/>
    <n v="2.3676821989999999"/>
  </r>
  <r>
    <x v="2"/>
    <x v="2"/>
    <x v="0"/>
    <x v="2"/>
    <x v="42"/>
    <n v="2.7569811E-2"/>
    <n v="3.2998120999999998E-2"/>
    <n v="7.0794100000000002E-4"/>
    <n v="2.4470816999999999E-2"/>
  </r>
  <r>
    <x v="2"/>
    <x v="3"/>
    <x v="3"/>
    <x v="2"/>
    <x v="43"/>
    <n v="1.77945957"/>
    <n v="2.3044078219999999"/>
    <n v="1.1385480000000001E-3"/>
    <n v="1.77945957"/>
  </r>
  <r>
    <x v="2"/>
    <x v="2"/>
    <x v="2"/>
    <x v="2"/>
    <x v="43"/>
    <n v="3.5642645050000001"/>
    <n v="4.6157379150000004"/>
    <n v="3.576E-2"/>
    <n v="3.2866051280000002"/>
  </r>
  <r>
    <x v="2"/>
    <x v="0"/>
    <x v="3"/>
    <x v="2"/>
    <x v="43"/>
    <n v="1.1608469210000001"/>
    <n v="1.5033017719999999"/>
    <n v="1.0676056999999999E-2"/>
    <n v="1.056135539"/>
  </r>
  <r>
    <x v="2"/>
    <x v="2"/>
    <x v="0"/>
    <x v="2"/>
    <x v="43"/>
    <n v="2.42333365"/>
    <n v="3.138227535"/>
    <n v="4.2399999999999998E-3"/>
    <n v="2.2345538020000002"/>
  </r>
  <r>
    <x v="2"/>
    <x v="1"/>
    <x v="2"/>
    <x v="2"/>
    <x v="43"/>
    <n v="8.0076832699999994"/>
    <n v="10.369984390000001"/>
    <n v="0.62682140799999997"/>
    <n v="7.4140964330000001"/>
  </r>
  <r>
    <x v="2"/>
    <x v="1"/>
    <x v="0"/>
    <x v="2"/>
    <x v="43"/>
    <n v="2.1551966560000002"/>
    <n v="2.7909889699999999"/>
    <n v="0.32603895500000002"/>
    <n v="1.9954380439999999"/>
  </r>
  <r>
    <x v="2"/>
    <x v="1"/>
    <x v="3"/>
    <x v="2"/>
    <x v="43"/>
    <n v="57.899599100000003"/>
    <n v="74.980230700000007"/>
    <n v="11.382462759999999"/>
    <n v="53.607666129999998"/>
  </r>
  <r>
    <x v="2"/>
    <x v="0"/>
    <x v="0"/>
    <x v="2"/>
    <x v="43"/>
    <n v="0.25728731500000002"/>
    <n v="0.33318818300000003"/>
    <n v="3.3192629999999998E-3"/>
    <n v="0.234079336"/>
  </r>
  <r>
    <x v="2"/>
    <x v="3"/>
    <x v="0"/>
    <x v="2"/>
    <x v="43"/>
    <n v="14.077750460000001"/>
    <n v="18.230747600000001"/>
    <n v="7.1639470000000004E-3"/>
    <n v="14.077750460000001"/>
  </r>
  <r>
    <x v="2"/>
    <x v="1"/>
    <x v="1"/>
    <x v="2"/>
    <x v="43"/>
    <n v="231.76412139999999"/>
    <n v="300.13553730000001"/>
    <n v="40.651936939999999"/>
    <n v="214.58410480000001"/>
  </r>
  <r>
    <x v="2"/>
    <x v="0"/>
    <x v="2"/>
    <x v="2"/>
    <x v="43"/>
    <n v="13.273844110000001"/>
    <n v="17.189685399999998"/>
    <n v="0.23255107699999999"/>
    <n v="12.07650918"/>
  </r>
  <r>
    <x v="2"/>
    <x v="0"/>
    <x v="3"/>
    <x v="2"/>
    <x v="44"/>
    <n v="6.3191422360000002"/>
    <n v="6.5646528819999999"/>
    <n v="7.8195118999999993E-2"/>
    <n v="5.7376344819999998"/>
  </r>
  <r>
    <x v="2"/>
    <x v="1"/>
    <x v="1"/>
    <x v="2"/>
    <x v="44"/>
    <n v="212.26529550000001"/>
    <n v="220.51220430000001"/>
    <n v="37.714545540000003"/>
    <n v="195.78630290000001"/>
  </r>
  <r>
    <x v="2"/>
    <x v="1"/>
    <x v="2"/>
    <x v="2"/>
    <x v="44"/>
    <n v="5.8002332409999999"/>
    <n v="6.0255832890000001"/>
    <n v="0.50031577699999996"/>
    <n v="5.3499382449999997"/>
  </r>
  <r>
    <x v="2"/>
    <x v="1"/>
    <x v="0"/>
    <x v="2"/>
    <x v="44"/>
    <n v="2.558612326"/>
    <n v="2.6580192610000002"/>
    <n v="0.50503671000000006"/>
    <n v="2.3599771540000001"/>
  </r>
  <r>
    <x v="2"/>
    <x v="1"/>
    <x v="3"/>
    <x v="2"/>
    <x v="44"/>
    <n v="62.85720585"/>
    <n v="65.299327360000007"/>
    <n v="11.79481092"/>
    <n v="57.97735291"/>
  </r>
  <r>
    <x v="2"/>
    <x v="0"/>
    <x v="0"/>
    <x v="2"/>
    <x v="44"/>
    <n v="0.85656896800000004"/>
    <n v="0.88984829499999996"/>
    <n v="1.2067733000000001E-2"/>
    <n v="0.77774474199999999"/>
  </r>
  <r>
    <x v="2"/>
    <x v="3"/>
    <x v="0"/>
    <x v="2"/>
    <x v="44"/>
    <n v="69.975628790000002"/>
    <n v="72.694314509999998"/>
    <n v="3.5034018E-2"/>
    <n v="69.975628790000002"/>
  </r>
  <r>
    <x v="2"/>
    <x v="3"/>
    <x v="3"/>
    <x v="2"/>
    <x v="44"/>
    <n v="8.5080191099999993"/>
    <n v="8.8385717679999996"/>
    <n v="5.8833410000000003E-3"/>
    <n v="8.5080191099999993"/>
  </r>
  <r>
    <x v="2"/>
    <x v="2"/>
    <x v="2"/>
    <x v="2"/>
    <x v="44"/>
    <n v="3.941446054"/>
    <n v="4.0945786990000004"/>
    <n v="0.105561402"/>
    <n v="3.4702528020000001"/>
  </r>
  <r>
    <x v="2"/>
    <x v="2"/>
    <x v="0"/>
    <x v="2"/>
    <x v="44"/>
    <n v="1.3241061E-2"/>
    <n v="1.3755501E-2"/>
    <n v="3.3649800000000002E-4"/>
    <n v="1.1658114000000001E-2"/>
  </r>
  <r>
    <x v="2"/>
    <x v="0"/>
    <x v="2"/>
    <x v="2"/>
    <x v="44"/>
    <n v="42.049699429999997"/>
    <n v="43.683409900000001"/>
    <n v="0.61816883600000005"/>
    <n v="38.180151100000003"/>
  </r>
  <r>
    <x v="2"/>
    <x v="3"/>
    <x v="3"/>
    <x v="4"/>
    <x v="45"/>
    <n v="2.2527897079999999"/>
    <n v="2.4100917279999998"/>
    <n v="2.0935950000000002E-3"/>
    <n v="2.2527897079999999"/>
  </r>
  <r>
    <x v="2"/>
    <x v="2"/>
    <x v="1"/>
    <x v="4"/>
    <x v="45"/>
    <n v="3.3073647340000001"/>
    <n v="3.5383029129999999"/>
    <n v="9.8000000000000004E-2"/>
    <n v="2.7792980960000002"/>
  </r>
  <r>
    <x v="2"/>
    <x v="3"/>
    <x v="0"/>
    <x v="4"/>
    <x v="45"/>
    <n v="14.86890352"/>
    <n v="15.90713117"/>
    <n v="1.3777352E-2"/>
    <n v="14.86890352"/>
  </r>
  <r>
    <x v="2"/>
    <x v="0"/>
    <x v="3"/>
    <x v="4"/>
    <x v="45"/>
    <n v="1.5463066270000001"/>
    <n v="1.654278159"/>
    <n v="2.0299280999999999E-2"/>
    <n v="1.2939869399999999"/>
  </r>
  <r>
    <x v="2"/>
    <x v="0"/>
    <x v="0"/>
    <x v="4"/>
    <x v="45"/>
    <n v="3.0223277660000001"/>
    <n v="3.233363115"/>
    <n v="4.7659520000000004E-3"/>
    <n v="2.5291572759999998"/>
  </r>
  <r>
    <x v="2"/>
    <x v="0"/>
    <x v="2"/>
    <x v="4"/>
    <x v="45"/>
    <n v="38.397227200000003"/>
    <n v="41.078330260000001"/>
    <n v="0.61424592300000003"/>
    <n v="32.131732249999999"/>
  </r>
  <r>
    <x v="2"/>
    <x v="1"/>
    <x v="3"/>
    <x v="4"/>
    <x v="45"/>
    <n v="65.448584929999996"/>
    <n v="70.018560800000003"/>
    <n v="15.63708784"/>
    <n v="58.26810536"/>
  </r>
  <r>
    <x v="2"/>
    <x v="1"/>
    <x v="2"/>
    <x v="4"/>
    <x v="45"/>
    <n v="3.8487840129999999"/>
    <n v="4.1175270279999996"/>
    <n v="0.1206"/>
    <n v="3.4265271369999999"/>
  </r>
  <r>
    <x v="2"/>
    <x v="1"/>
    <x v="1"/>
    <x v="4"/>
    <x v="45"/>
    <n v="214.9171456"/>
    <n v="229.92382860000001"/>
    <n v="51.906964950000003"/>
    <n v="191.33820679999999"/>
  </r>
  <r>
    <x v="2"/>
    <x v="2"/>
    <x v="2"/>
    <x v="4"/>
    <x v="45"/>
    <n v="1.3540363339999999"/>
    <n v="1.448582509"/>
    <n v="4.1000000000000002E-2"/>
    <n v="1.1378456589999999"/>
  </r>
  <r>
    <x v="2"/>
    <x v="1"/>
    <x v="3"/>
    <x v="6"/>
    <x v="46"/>
    <n v="39.694925019999999"/>
    <n v="44.260157919999997"/>
    <n v="10.07473115"/>
    <n v="35.309558299999999"/>
  </r>
  <r>
    <x v="2"/>
    <x v="2"/>
    <x v="3"/>
    <x v="6"/>
    <x v="46"/>
    <n v="0.17499103099999999"/>
    <n v="0.195116395"/>
    <n v="4.4999999999999997E-3"/>
    <n v="0.145825859"/>
  </r>
  <r>
    <x v="2"/>
    <x v="2"/>
    <x v="2"/>
    <x v="6"/>
    <x v="46"/>
    <n v="0.91768555699999999"/>
    <n v="1.023226714"/>
    <n v="2.2499999999999999E-2"/>
    <n v="0.76473796400000005"/>
  </r>
  <r>
    <x v="2"/>
    <x v="2"/>
    <x v="1"/>
    <x v="6"/>
    <x v="46"/>
    <n v="0.39271246399999998"/>
    <n v="0.43787752899999999"/>
    <n v="8.9999999999999993E-3"/>
    <n v="0.32726038699999999"/>
  </r>
  <r>
    <x v="2"/>
    <x v="3"/>
    <x v="3"/>
    <x v="6"/>
    <x v="46"/>
    <n v="2.4931689779999999"/>
    <n v="2.77990329"/>
    <n v="1.8520959999999999E-3"/>
    <n v="2.2549666579999998"/>
  </r>
  <r>
    <x v="2"/>
    <x v="3"/>
    <x v="0"/>
    <x v="6"/>
    <x v="46"/>
    <n v="27.120547049999999"/>
    <n v="30.239626210000001"/>
    <n v="2.0733382000000002E-2"/>
    <n v="24.529396080000001"/>
  </r>
  <r>
    <x v="2"/>
    <x v="0"/>
    <x v="3"/>
    <x v="6"/>
    <x v="46"/>
    <n v="0.93101663499999998"/>
    <n v="1.038090972"/>
    <n v="1.0916492999999999E-2"/>
    <n v="0.799170618"/>
  </r>
  <r>
    <x v="2"/>
    <x v="0"/>
    <x v="2"/>
    <x v="6"/>
    <x v="46"/>
    <n v="21.166533579999999"/>
    <n v="23.60085372"/>
    <n v="0.32571987899999999"/>
    <n v="18.169032730000001"/>
  </r>
  <r>
    <x v="2"/>
    <x v="1"/>
    <x v="2"/>
    <x v="6"/>
    <x v="46"/>
    <n v="3.5753439920000001"/>
    <n v="3.9865370599999999"/>
    <n v="0.55596493400000002"/>
    <n v="3.18035157"/>
  </r>
  <r>
    <x v="2"/>
    <x v="1"/>
    <x v="1"/>
    <x v="6"/>
    <x v="46"/>
    <n v="108.9272143"/>
    <n v="121.4547125"/>
    <n v="28.084550950000001"/>
    <n v="96.893288560000002"/>
  </r>
  <r>
    <x v="2"/>
    <x v="0"/>
    <x v="0"/>
    <x v="6"/>
    <x v="46"/>
    <n v="1.6506122809999999"/>
    <n v="1.840445855"/>
    <n v="3.3459190000000001E-3"/>
    <n v="1.416860652"/>
  </r>
  <r>
    <x v="2"/>
    <x v="0"/>
    <x v="3"/>
    <x v="7"/>
    <x v="47"/>
    <n v="0.90547269699999999"/>
    <n v="1.294772867"/>
    <n v="1.214147E-2"/>
    <n v="0.83888095299999998"/>
  </r>
  <r>
    <x v="2"/>
    <x v="3"/>
    <x v="3"/>
    <x v="7"/>
    <x v="47"/>
    <n v="7.9273104209999996"/>
    <n v="11.335589110000001"/>
    <n v="3.8071089999999999E-3"/>
    <n v="7.9273104209999996"/>
  </r>
  <r>
    <x v="2"/>
    <x v="2"/>
    <x v="0"/>
    <x v="7"/>
    <x v="47"/>
    <n v="2.1448000000000001E-3"/>
    <n v="3.066938E-3"/>
    <n v="5.0000000000000002E-5"/>
    <n v="1.9009739999999999E-3"/>
  </r>
  <r>
    <x v="2"/>
    <x v="0"/>
    <x v="0"/>
    <x v="7"/>
    <x v="47"/>
    <n v="0.185381824"/>
    <n v="0.26508513900000003"/>
    <n v="2.680389E-3"/>
    <n v="0.171748173"/>
  </r>
  <r>
    <x v="2"/>
    <x v="0"/>
    <x v="2"/>
    <x v="7"/>
    <x v="47"/>
    <n v="9.8809786800000001"/>
    <n v="14.129220180000001"/>
    <n v="0.144338523"/>
    <n v="9.1542956950000001"/>
  </r>
  <r>
    <x v="2"/>
    <x v="1"/>
    <x v="3"/>
    <x v="7"/>
    <x v="47"/>
    <n v="38.483058540000002"/>
    <n v="55.028517389999998"/>
    <n v="8.2882546099999992"/>
    <n v="35.655423759999998"/>
  </r>
  <r>
    <x v="2"/>
    <x v="3"/>
    <x v="0"/>
    <x v="7"/>
    <x v="47"/>
    <n v="18.686144899999999"/>
    <n v="26.720091610000001"/>
    <n v="9.2955869999999993E-3"/>
    <n v="18.686144899999999"/>
  </r>
  <r>
    <x v="2"/>
    <x v="1"/>
    <x v="2"/>
    <x v="7"/>
    <x v="47"/>
    <n v="4.2275985570000003"/>
    <n v="6.0452180660000003"/>
    <n v="0.45491089800000001"/>
    <n v="3.9169656399999999"/>
  </r>
  <r>
    <x v="2"/>
    <x v="1"/>
    <x v="1"/>
    <x v="7"/>
    <x v="47"/>
    <n v="122.55548829999999"/>
    <n v="175.2471626"/>
    <n v="29.003426430000001"/>
    <n v="113.5504306"/>
  </r>
  <r>
    <x v="2"/>
    <x v="1"/>
    <x v="0"/>
    <x v="7"/>
    <x v="47"/>
    <n v="1.4551765160000001"/>
    <n v="2.0808170979999998"/>
    <n v="0.33954289100000001"/>
    <n v="1.34825394"/>
  </r>
  <r>
    <x v="2"/>
    <x v="2"/>
    <x v="2"/>
    <x v="7"/>
    <x v="47"/>
    <n v="1.609618456"/>
    <n v="2.3016600180000002"/>
    <n v="1.1950000000000001E-2"/>
    <n v="1.426632935"/>
  </r>
  <r>
    <x v="2"/>
    <x v="1"/>
    <x v="0"/>
    <x v="2"/>
    <x v="48"/>
    <n v="24.366031639999999"/>
    <n v="24.93074803"/>
    <n v="1.8396328770000001"/>
    <n v="22.901280929999999"/>
  </r>
  <r>
    <x v="2"/>
    <x v="1"/>
    <x v="1"/>
    <x v="2"/>
    <x v="48"/>
    <n v="1255.859103"/>
    <n v="1284.9653699999999"/>
    <n v="206.10286980000001"/>
    <n v="1180.3638169999999"/>
  </r>
  <r>
    <x v="2"/>
    <x v="3"/>
    <x v="3"/>
    <x v="2"/>
    <x v="48"/>
    <n v="12.0904831"/>
    <n v="12.37069672"/>
    <n v="7.3736840000000001E-3"/>
    <n v="11.883917090000001"/>
  </r>
  <r>
    <x v="2"/>
    <x v="3"/>
    <x v="0"/>
    <x v="2"/>
    <x v="48"/>
    <n v="113.0342801"/>
    <n v="115.6540054"/>
    <n v="5.4508612999999997E-2"/>
    <n v="111.1030885"/>
  </r>
  <r>
    <x v="2"/>
    <x v="0"/>
    <x v="3"/>
    <x v="2"/>
    <x v="48"/>
    <n v="11.16115742"/>
    <n v="11.41983263"/>
    <n v="0.13891143"/>
    <n v="10.68507338"/>
  </r>
  <r>
    <x v="2"/>
    <x v="0"/>
    <x v="0"/>
    <x v="2"/>
    <x v="48"/>
    <n v="1.718947668"/>
    <n v="1.7587866510000001"/>
    <n v="2.3674740999999999E-2"/>
    <n v="1.6456252060000001"/>
  </r>
  <r>
    <x v="2"/>
    <x v="1"/>
    <x v="3"/>
    <x v="2"/>
    <x v="48"/>
    <n v="387.59007430000003"/>
    <n v="396.57300880000003"/>
    <n v="77.668997129999994"/>
    <n v="364.2903081"/>
  </r>
  <r>
    <x v="2"/>
    <x v="1"/>
    <x v="2"/>
    <x v="2"/>
    <x v="48"/>
    <n v="41.606582410000001"/>
    <n v="42.570872340000001"/>
    <n v="2.5415077319999999"/>
    <n v="39.10542538"/>
  </r>
  <r>
    <x v="2"/>
    <x v="2"/>
    <x v="2"/>
    <x v="2"/>
    <x v="48"/>
    <n v="10.69104166"/>
    <n v="10.938821300000001"/>
    <n v="0.13750548600000001"/>
    <n v="9.3293383100000007"/>
  </r>
  <r>
    <x v="2"/>
    <x v="2"/>
    <x v="0"/>
    <x v="2"/>
    <x v="48"/>
    <n v="6.6668263320000003"/>
    <n v="6.8213392270000002"/>
    <n v="1.4913114E-2"/>
    <n v="5.8176817820000002"/>
  </r>
  <r>
    <x v="2"/>
    <x v="0"/>
    <x v="2"/>
    <x v="2"/>
    <x v="48"/>
    <n v="211.92777380000001"/>
    <n v="216.83949229999999"/>
    <n v="4.8881315660000002"/>
    <n v="202.88790230000001"/>
  </r>
  <r>
    <x v="2"/>
    <x v="3"/>
    <x v="0"/>
    <x v="3"/>
    <x v="49"/>
    <n v="2433.0875890000002"/>
    <n v="2433.0875890000002"/>
    <n v="0.83376638700000005"/>
    <n v="2207.276844"/>
  </r>
  <r>
    <x v="2"/>
    <x v="0"/>
    <x v="2"/>
    <x v="3"/>
    <x v="49"/>
    <n v="1155.3805580000001"/>
    <n v="1155.3805580000001"/>
    <n v="26.58119052"/>
    <n v="1047.326984"/>
  </r>
  <r>
    <x v="2"/>
    <x v="2"/>
    <x v="3"/>
    <x v="3"/>
    <x v="49"/>
    <n v="6.7113999999999993E-2"/>
    <n v="6.7113999999999993E-2"/>
    <n v="2.3E-2"/>
    <n v="6.1977626000000001E-2"/>
  </r>
  <r>
    <x v="2"/>
    <x v="1"/>
    <x v="0"/>
    <x v="3"/>
    <x v="49"/>
    <n v="304.12014069999998"/>
    <n v="304.12014069999998"/>
    <n v="38.188730360000001"/>
    <n v="294.431603"/>
  </r>
  <r>
    <x v="2"/>
    <x v="3"/>
    <x v="3"/>
    <x v="3"/>
    <x v="49"/>
    <n v="307.9253435"/>
    <n v="307.9253435"/>
    <n v="9.2980351000000003E-2"/>
    <n v="279.34731299999999"/>
  </r>
  <r>
    <x v="2"/>
    <x v="2"/>
    <x v="0"/>
    <x v="3"/>
    <x v="49"/>
    <n v="86.064292660000007"/>
    <n v="86.064292660000007"/>
    <n v="0.25643749999999998"/>
    <n v="79.477613430000005"/>
  </r>
  <r>
    <x v="2"/>
    <x v="3"/>
    <x v="1"/>
    <x v="3"/>
    <x v="49"/>
    <n v="41.178248000000004"/>
    <n v="41.178248000000004"/>
    <n v="1.12E-2"/>
    <n v="37.356564429999999"/>
  </r>
  <r>
    <x v="2"/>
    <x v="1"/>
    <x v="1"/>
    <x v="3"/>
    <x v="49"/>
    <n v="10451.316430000001"/>
    <n v="10451.316430000001"/>
    <n v="2073.8089960000002"/>
    <n v="10118.362580000001"/>
  </r>
  <r>
    <x v="2"/>
    <x v="0"/>
    <x v="3"/>
    <x v="3"/>
    <x v="49"/>
    <n v="44.944166010000004"/>
    <n v="44.944166010000004"/>
    <n v="0.920960102"/>
    <n v="40.740894849999997"/>
  </r>
  <r>
    <x v="2"/>
    <x v="1"/>
    <x v="2"/>
    <x v="3"/>
    <x v="49"/>
    <n v="549.46714699999995"/>
    <n v="549.46714699999995"/>
    <n v="59.431862539999997"/>
    <n v="531.96244260000003"/>
  </r>
  <r>
    <x v="2"/>
    <x v="0"/>
    <x v="0"/>
    <x v="3"/>
    <x v="49"/>
    <n v="27.571393749999999"/>
    <n v="27.571393749999999"/>
    <n v="5.6984170000000001E-2"/>
    <n v="24.992860109999999"/>
  </r>
  <r>
    <x v="2"/>
    <x v="2"/>
    <x v="2"/>
    <x v="3"/>
    <x v="49"/>
    <n v="135.6818514"/>
    <n v="135.6818514"/>
    <n v="3.0649774999999999"/>
    <n v="125.2978373"/>
  </r>
  <r>
    <x v="2"/>
    <x v="1"/>
    <x v="3"/>
    <x v="3"/>
    <x v="49"/>
    <n v="7758.7808260000002"/>
    <n v="7758.7808260000002"/>
    <n v="2366.9591310000001"/>
    <n v="7511.6046919999999"/>
  </r>
  <r>
    <x v="2"/>
    <x v="2"/>
    <x v="1"/>
    <x v="3"/>
    <x v="49"/>
    <n v="6.7113999999999993E-2"/>
    <n v="6.7113999999999993E-2"/>
    <n v="2.3E-2"/>
    <n v="6.1977626000000001E-2"/>
  </r>
  <r>
    <x v="3"/>
    <x v="0"/>
    <x v="2"/>
    <x v="0"/>
    <x v="0"/>
    <n v="16.871365480000001"/>
    <n v="45.501516109999997"/>
    <n v="0.284449118"/>
    <n v="16.046508020000001"/>
  </r>
  <r>
    <x v="3"/>
    <x v="1"/>
    <x v="1"/>
    <x v="0"/>
    <x v="0"/>
    <n v="47.904541860000002"/>
    <n v="129.196969"/>
    <n v="11.0052805"/>
    <n v="45.935765029999999"/>
  </r>
  <r>
    <x v="3"/>
    <x v="1"/>
    <x v="2"/>
    <x v="0"/>
    <x v="0"/>
    <n v="2.9123790020000002"/>
    <n v="7.8545900900000003"/>
    <n v="0.29528949999999998"/>
    <n v="2.7926862950000002"/>
  </r>
  <r>
    <x v="3"/>
    <x v="1"/>
    <x v="3"/>
    <x v="0"/>
    <x v="0"/>
    <n v="20.501755060000001"/>
    <n v="55.292557049999999"/>
    <n v="5.5857299999999999"/>
    <n v="19.659175659999999"/>
  </r>
  <r>
    <x v="3"/>
    <x v="0"/>
    <x v="0"/>
    <x v="0"/>
    <x v="0"/>
    <n v="0.76102007599999999"/>
    <n v="2.0524460379999998"/>
    <n v="6.3909800000000001E-3"/>
    <n v="0.72381306400000001"/>
  </r>
  <r>
    <x v="3"/>
    <x v="0"/>
    <x v="3"/>
    <x v="0"/>
    <x v="0"/>
    <n v="3.0460750870000002"/>
    <n v="8.2151640219999997"/>
    <n v="3.6323287000000003E-2"/>
    <n v="2.8971495159999998"/>
  </r>
  <r>
    <x v="3"/>
    <x v="3"/>
    <x v="3"/>
    <x v="0"/>
    <x v="0"/>
    <n v="4.5868932840000003"/>
    <n v="12.370699869999999"/>
    <n v="1.5709929999999999E-3"/>
    <n v="4.4189840589999996"/>
  </r>
  <r>
    <x v="3"/>
    <x v="2"/>
    <x v="2"/>
    <x v="0"/>
    <x v="0"/>
    <n v="1.6284759230000001"/>
    <n v="4.3919458410000001"/>
    <n v="4.9475500999999998E-2"/>
    <n v="1.532297579"/>
  </r>
  <r>
    <x v="3"/>
    <x v="3"/>
    <x v="0"/>
    <x v="0"/>
    <x v="0"/>
    <n v="17.41771099"/>
    <n v="46.974991950000003"/>
    <n v="6.0910959999999998E-3"/>
    <n v="16.78011291"/>
  </r>
  <r>
    <x v="3"/>
    <x v="0"/>
    <x v="2"/>
    <x v="1"/>
    <x v="1"/>
    <n v="60.209636039999999"/>
    <n v="78.18426796"/>
    <n v="0.92794075399999998"/>
    <n v="51.990699480000004"/>
  </r>
  <r>
    <x v="3"/>
    <x v="1"/>
    <x v="1"/>
    <x v="1"/>
    <x v="1"/>
    <n v="393.4888669"/>
    <n v="510.95872730000002"/>
    <n v="68.380112589999996"/>
    <n v="348.83371160000002"/>
  </r>
  <r>
    <x v="3"/>
    <x v="1"/>
    <x v="2"/>
    <x v="1"/>
    <x v="1"/>
    <n v="22.770087060000002"/>
    <n v="29.567735420000002"/>
    <n v="1.483611746"/>
    <n v="20.18601962"/>
  </r>
  <r>
    <x v="3"/>
    <x v="3"/>
    <x v="3"/>
    <x v="1"/>
    <x v="1"/>
    <n v="4.8456943690000003"/>
    <n v="6.292299571"/>
    <n v="2.5430840000000001E-3"/>
    <n v="4.6957596080000004"/>
  </r>
  <r>
    <x v="3"/>
    <x v="1"/>
    <x v="3"/>
    <x v="1"/>
    <x v="1"/>
    <n v="137.72639129999999"/>
    <n v="178.8424211"/>
    <n v="22.019097250000002"/>
    <n v="122.0964869"/>
  </r>
  <r>
    <x v="3"/>
    <x v="3"/>
    <x v="0"/>
    <x v="1"/>
    <x v="1"/>
    <n v="69.423799979999998"/>
    <n v="90.149174410000001"/>
    <n v="3.1439939E-2"/>
    <n v="67.275698989999995"/>
  </r>
  <r>
    <x v="3"/>
    <x v="2"/>
    <x v="2"/>
    <x v="1"/>
    <x v="1"/>
    <n v="2.1188454810000001"/>
    <n v="2.7513931939999998"/>
    <n v="2.6649822E-2"/>
    <n v="1.8567543980000001"/>
  </r>
  <r>
    <x v="3"/>
    <x v="2"/>
    <x v="3"/>
    <x v="1"/>
    <x v="1"/>
    <n v="1.5428628339999999"/>
    <n v="2.0034600629999999"/>
    <n v="1.6892781999999999E-2"/>
    <n v="1.3520180580000001"/>
  </r>
  <r>
    <x v="3"/>
    <x v="0"/>
    <x v="3"/>
    <x v="1"/>
    <x v="1"/>
    <n v="2.8983833209999998"/>
    <n v="3.7636496930000001"/>
    <n v="8.4710639000000004E-2"/>
    <n v="2.5027385340000001"/>
  </r>
  <r>
    <x v="3"/>
    <x v="0"/>
    <x v="0"/>
    <x v="1"/>
    <x v="1"/>
    <n v="3.254788327"/>
    <n v="4.2264537610000001"/>
    <n v="5.9582430000000002E-3"/>
    <n v="2.8104923550000001"/>
  </r>
  <r>
    <x v="3"/>
    <x v="0"/>
    <x v="3"/>
    <x v="2"/>
    <x v="2"/>
    <n v="2.0829261350000001"/>
    <n v="2.500483778"/>
    <n v="3.5043587000000001E-2"/>
    <n v="1.8865540240000001"/>
  </r>
  <r>
    <x v="3"/>
    <x v="1"/>
    <x v="1"/>
    <x v="2"/>
    <x v="2"/>
    <n v="152.2221021"/>
    <n v="182.73758760000001"/>
    <n v="26.805724300000001"/>
    <n v="139.4817674"/>
  </r>
  <r>
    <x v="3"/>
    <x v="1"/>
    <x v="2"/>
    <x v="2"/>
    <x v="2"/>
    <n v="5.1916203850000002"/>
    <n v="6.2323681759999996"/>
    <n v="0.34828500000000001"/>
    <n v="4.757104107"/>
  </r>
  <r>
    <x v="3"/>
    <x v="1"/>
    <x v="0"/>
    <x v="2"/>
    <x v="2"/>
    <n v="2.8198910970000002"/>
    <n v="3.385185785"/>
    <n v="0.63261999999999996"/>
    <n v="2.58387835"/>
  </r>
  <r>
    <x v="3"/>
    <x v="1"/>
    <x v="3"/>
    <x v="2"/>
    <x v="2"/>
    <n v="43.144203689999998"/>
    <n v="51.793186349999999"/>
    <n v="7.5347158040000002"/>
    <n v="39.533219559999999"/>
  </r>
  <r>
    <x v="3"/>
    <x v="0"/>
    <x v="0"/>
    <x v="2"/>
    <x v="2"/>
    <n v="0.166667643"/>
    <n v="0.20007898099999999"/>
    <n v="2.447271E-3"/>
    <n v="0.15095471099999999"/>
  </r>
  <r>
    <x v="3"/>
    <x v="3"/>
    <x v="0"/>
    <x v="2"/>
    <x v="2"/>
    <n v="6.8644209590000003"/>
    <n v="8.2405098139999993"/>
    <n v="4.3439589999999997E-3"/>
    <n v="6.8644209590000003"/>
  </r>
  <r>
    <x v="3"/>
    <x v="3"/>
    <x v="3"/>
    <x v="2"/>
    <x v="2"/>
    <n v="0.77405483799999997"/>
    <n v="0.92922717399999999"/>
    <n v="4.4650499999999998E-4"/>
    <n v="0.77405483799999997"/>
  </r>
  <r>
    <x v="3"/>
    <x v="2"/>
    <x v="2"/>
    <x v="2"/>
    <x v="2"/>
    <n v="1.042511373"/>
    <n v="1.251500345"/>
    <n v="3.7719999999999997E-2"/>
    <n v="0.90653162799999998"/>
  </r>
  <r>
    <x v="3"/>
    <x v="2"/>
    <x v="0"/>
    <x v="2"/>
    <x v="2"/>
    <n v="5.8494389999999997E-3"/>
    <n v="7.022057E-3"/>
    <n v="2.7999999999999998E-4"/>
    <n v="5.0864689999999997E-3"/>
  </r>
  <r>
    <x v="3"/>
    <x v="0"/>
    <x v="2"/>
    <x v="2"/>
    <x v="2"/>
    <n v="5.7094079569999998"/>
    <n v="6.8539549920000002"/>
    <n v="9.1597201000000003E-2"/>
    <n v="5.171141875"/>
  </r>
  <r>
    <x v="3"/>
    <x v="1"/>
    <x v="2"/>
    <x v="2"/>
    <x v="3"/>
    <n v="4.3000713839999998"/>
    <n v="5.1620931539999999"/>
    <n v="0.26142427800000001"/>
    <n v="3.9944379219999999"/>
  </r>
  <r>
    <x v="3"/>
    <x v="1"/>
    <x v="1"/>
    <x v="2"/>
    <x v="3"/>
    <n v="146.76585230000001"/>
    <n v="176.18754050000001"/>
    <n v="22.9631744"/>
    <n v="136.33426840000001"/>
  </r>
  <r>
    <x v="3"/>
    <x v="1"/>
    <x v="0"/>
    <x v="2"/>
    <x v="3"/>
    <n v="1.5861234719999999"/>
    <n v="1.90408865"/>
    <n v="0.26463852900000001"/>
    <n v="1.473387574"/>
  </r>
  <r>
    <x v="3"/>
    <x v="3"/>
    <x v="0"/>
    <x v="2"/>
    <x v="3"/>
    <n v="12.235514029999999"/>
    <n v="14.688329"/>
    <n v="8.5977269999999995E-3"/>
    <n v="12.039594689999999"/>
  </r>
  <r>
    <x v="3"/>
    <x v="1"/>
    <x v="3"/>
    <x v="2"/>
    <x v="3"/>
    <n v="44.845755019999999"/>
    <n v="53.835842309999997"/>
    <n v="6.8239754379999997"/>
    <n v="41.65828157"/>
  </r>
  <r>
    <x v="3"/>
    <x v="0"/>
    <x v="2"/>
    <x v="2"/>
    <x v="3"/>
    <n v="8.2527562040000007"/>
    <n v="9.9071602540000008"/>
    <n v="0.142400359"/>
    <n v="7.5661295329999998"/>
  </r>
  <r>
    <x v="3"/>
    <x v="0"/>
    <x v="3"/>
    <x v="2"/>
    <x v="3"/>
    <n v="2.2810857219999998"/>
    <n v="2.7383677940000002"/>
    <n v="3.7252237000000001E-2"/>
    <n v="2.0913001210000002"/>
  </r>
  <r>
    <x v="3"/>
    <x v="3"/>
    <x v="3"/>
    <x v="2"/>
    <x v="3"/>
    <n v="0.57648246199999997"/>
    <n v="0.69204808600000001"/>
    <n v="4.2362999999999998E-4"/>
    <n v="0.56725162299999998"/>
  </r>
  <r>
    <x v="3"/>
    <x v="2"/>
    <x v="2"/>
    <x v="2"/>
    <x v="3"/>
    <n v="12.16743848"/>
    <n v="14.606606559999999"/>
    <n v="0.13837148699999999"/>
    <n v="11.01256407"/>
  </r>
  <r>
    <x v="3"/>
    <x v="2"/>
    <x v="0"/>
    <x v="2"/>
    <x v="3"/>
    <n v="2.817028208"/>
    <n v="3.381748983"/>
    <n v="5.7938130000000001E-3"/>
    <n v="2.5496495160000001"/>
  </r>
  <r>
    <x v="3"/>
    <x v="0"/>
    <x v="0"/>
    <x v="2"/>
    <x v="3"/>
    <n v="0.19264646999999999"/>
    <n v="0.23126570099999999"/>
    <n v="2.8615789999999999E-3"/>
    <n v="0.17661834500000001"/>
  </r>
  <r>
    <x v="3"/>
    <x v="1"/>
    <x v="1"/>
    <x v="0"/>
    <x v="4"/>
    <n v="357.25770679999999"/>
    <n v="577.71148879999998"/>
    <n v="92.762867"/>
    <n v="343.7693099"/>
  </r>
  <r>
    <x v="3"/>
    <x v="2"/>
    <x v="2"/>
    <x v="0"/>
    <x v="4"/>
    <n v="6.5945046280000001"/>
    <n v="10.663789789999999"/>
    <n v="0.108852856"/>
    <n v="6.3408698340000003"/>
  </r>
  <r>
    <x v="3"/>
    <x v="3"/>
    <x v="3"/>
    <x v="0"/>
    <x v="4"/>
    <n v="14.7017428"/>
    <n v="23.773778870000001"/>
    <n v="5.4529720000000004E-3"/>
    <n v="14.357170699999999"/>
  </r>
  <r>
    <x v="3"/>
    <x v="3"/>
    <x v="0"/>
    <x v="0"/>
    <x v="4"/>
    <n v="159.60985930000001"/>
    <n v="258.1006587"/>
    <n v="5.7500886000000001E-2"/>
    <n v="155.86900320000001"/>
  </r>
  <r>
    <x v="3"/>
    <x v="0"/>
    <x v="3"/>
    <x v="0"/>
    <x v="4"/>
    <n v="9.1550349769999997"/>
    <n v="14.80435211"/>
    <n v="0.172420623"/>
    <n v="8.7273507380000002"/>
  </r>
  <r>
    <x v="3"/>
    <x v="0"/>
    <x v="0"/>
    <x v="0"/>
    <x v="4"/>
    <n v="6.1042923199999999"/>
    <n v="9.8710811199999995"/>
    <n v="3.0293743000000001E-2"/>
    <n v="5.8191257839999997"/>
  </r>
  <r>
    <x v="3"/>
    <x v="0"/>
    <x v="2"/>
    <x v="0"/>
    <x v="4"/>
    <n v="55.56408716"/>
    <n v="89.851138000000006"/>
    <n v="0.84257264300000001"/>
    <n v="52.968369680000002"/>
  </r>
  <r>
    <x v="3"/>
    <x v="1"/>
    <x v="3"/>
    <x v="0"/>
    <x v="4"/>
    <n v="121.8052833"/>
    <n v="196.96793159999999"/>
    <n v="28.654363"/>
    <n v="117.2064798"/>
  </r>
  <r>
    <x v="3"/>
    <x v="1"/>
    <x v="0"/>
    <x v="0"/>
    <x v="4"/>
    <n v="1.606308979"/>
    <n v="2.5975175180000001"/>
    <n v="1.1032E-2"/>
    <n v="1.54566219"/>
  </r>
  <r>
    <x v="3"/>
    <x v="1"/>
    <x v="2"/>
    <x v="0"/>
    <x v="4"/>
    <n v="11.524132699999999"/>
    <n v="18.635354060000001"/>
    <n v="1.983798"/>
    <n v="11.0890348"/>
  </r>
  <r>
    <x v="3"/>
    <x v="1"/>
    <x v="2"/>
    <x v="3"/>
    <x v="5"/>
    <n v="84.670530650000003"/>
    <n v="108.9666464"/>
    <n v="5.5264966089999996"/>
    <n v="81.811010940000003"/>
  </r>
  <r>
    <x v="3"/>
    <x v="2"/>
    <x v="2"/>
    <x v="3"/>
    <x v="5"/>
    <n v="4.9743215149999997"/>
    <n v="6.4016976100000003"/>
    <n v="0.119979656"/>
    <n v="4.620324654"/>
  </r>
  <r>
    <x v="3"/>
    <x v="2"/>
    <x v="0"/>
    <x v="3"/>
    <x v="5"/>
    <n v="6.1290334079999997"/>
    <n v="7.8877528110000004"/>
    <n v="3.0471703999999999E-2"/>
    <n v="5.6928616439999997"/>
  </r>
  <r>
    <x v="3"/>
    <x v="1"/>
    <x v="1"/>
    <x v="3"/>
    <x v="5"/>
    <n v="663.10837690000005"/>
    <n v="853.38659729999995"/>
    <n v="191.21757410000001"/>
    <n v="640.71367290000001"/>
  </r>
  <r>
    <x v="3"/>
    <x v="3"/>
    <x v="3"/>
    <x v="3"/>
    <x v="5"/>
    <n v="5.559822306"/>
    <n v="7.1552072090000003"/>
    <n v="3.9232010000000003E-3"/>
    <n v="4.9513230320000003"/>
  </r>
  <r>
    <x v="3"/>
    <x v="1"/>
    <x v="0"/>
    <x v="3"/>
    <x v="5"/>
    <n v="14.19579658"/>
    <n v="18.26926482"/>
    <n v="1.192739057"/>
    <n v="13.716371690000001"/>
  </r>
  <r>
    <x v="3"/>
    <x v="1"/>
    <x v="3"/>
    <x v="3"/>
    <x v="5"/>
    <n v="284.31259069999999"/>
    <n v="365.89577630000002"/>
    <n v="94.944813490000001"/>
    <n v="274.71069670000003"/>
  </r>
  <r>
    <x v="3"/>
    <x v="0"/>
    <x v="2"/>
    <x v="3"/>
    <x v="5"/>
    <n v="64.04616249"/>
    <n v="82.424138470000003"/>
    <n v="1.9617073460000001"/>
    <n v="58.981690989999997"/>
  </r>
  <r>
    <x v="3"/>
    <x v="0"/>
    <x v="0"/>
    <x v="3"/>
    <x v="5"/>
    <n v="3.2562171310000001"/>
    <n v="4.1905850600000001"/>
    <n v="9.7400000000000004E-3"/>
    <n v="2.9987306839999999"/>
  </r>
  <r>
    <x v="3"/>
    <x v="0"/>
    <x v="3"/>
    <x v="3"/>
    <x v="5"/>
    <n v="0.69844703100000005"/>
    <n v="0.89886563900000005"/>
    <n v="3.4607580999999998E-2"/>
    <n v="0.64321710099999996"/>
  </r>
  <r>
    <x v="3"/>
    <x v="3"/>
    <x v="0"/>
    <x v="3"/>
    <x v="5"/>
    <n v="42.98719827"/>
    <n v="55.322327600000001"/>
    <n v="3.11828E-2"/>
    <n v="38.282429389999997"/>
  </r>
  <r>
    <x v="3"/>
    <x v="0"/>
    <x v="2"/>
    <x v="0"/>
    <x v="6"/>
    <n v="24.263057620000001"/>
    <n v="33.122708070000002"/>
    <n v="0.54259122699999995"/>
    <n v="23.037499489999998"/>
  </r>
  <r>
    <x v="3"/>
    <x v="2"/>
    <x v="0"/>
    <x v="0"/>
    <x v="6"/>
    <n v="2.4483211429999998"/>
    <n v="3.3423251010000001"/>
    <n v="6.0099999999999997E-3"/>
    <n v="2.3473850349999998"/>
  </r>
  <r>
    <x v="3"/>
    <x v="2"/>
    <x v="2"/>
    <x v="0"/>
    <x v="6"/>
    <n v="2.6723857"/>
    <n v="3.6482067850000002"/>
    <n v="2.7508810000000002E-2"/>
    <n v="2.562212159"/>
  </r>
  <r>
    <x v="3"/>
    <x v="3"/>
    <x v="3"/>
    <x v="0"/>
    <x v="6"/>
    <n v="2.030725162"/>
    <n v="2.7722440339999999"/>
    <n v="7.1555000000000002E-4"/>
    <n v="1.9831300409999999"/>
  </r>
  <r>
    <x v="3"/>
    <x v="3"/>
    <x v="0"/>
    <x v="0"/>
    <x v="6"/>
    <n v="3.1866375649999998"/>
    <n v="4.3502376109999998"/>
    <n v="1.1098289999999999E-3"/>
    <n v="3.1119507469999999"/>
  </r>
  <r>
    <x v="3"/>
    <x v="0"/>
    <x v="0"/>
    <x v="0"/>
    <x v="6"/>
    <n v="1.0324047709999999"/>
    <n v="1.409387159"/>
    <n v="1.0183706000000001E-2"/>
    <n v="0.98025668399999999"/>
  </r>
  <r>
    <x v="3"/>
    <x v="1"/>
    <x v="3"/>
    <x v="0"/>
    <x v="6"/>
    <n v="25.834177409999999"/>
    <n v="35.267521940000002"/>
    <n v="4.6457199999999998"/>
    <n v="24.583355579999999"/>
  </r>
  <r>
    <x v="3"/>
    <x v="1"/>
    <x v="0"/>
    <x v="0"/>
    <x v="6"/>
    <n v="0.25476143600000001"/>
    <n v="0.34778752200000002"/>
    <n v="1.0238000000000001E-2"/>
    <n v="0.24242656800000001"/>
  </r>
  <r>
    <x v="3"/>
    <x v="1"/>
    <x v="2"/>
    <x v="0"/>
    <x v="6"/>
    <n v="5.7217727680000001"/>
    <n v="7.8110769080000004"/>
    <n v="0.44670500000000002"/>
    <n v="5.4447398219999998"/>
  </r>
  <r>
    <x v="3"/>
    <x v="1"/>
    <x v="1"/>
    <x v="0"/>
    <x v="6"/>
    <n v="69.157707650000006"/>
    <n v="94.410630260000005"/>
    <n v="13.757087"/>
    <n v="65.809276260000004"/>
  </r>
  <r>
    <x v="3"/>
    <x v="0"/>
    <x v="3"/>
    <x v="0"/>
    <x v="6"/>
    <n v="2.976429177"/>
    <n v="4.0632716740000001"/>
    <n v="4.9874729E-2"/>
    <n v="2.8260859260000002"/>
  </r>
  <r>
    <x v="3"/>
    <x v="1"/>
    <x v="1"/>
    <x v="4"/>
    <x v="7"/>
    <n v="7005.2908289999996"/>
    <n v="7567.7396470000003"/>
    <n v="1762.2439139999999"/>
    <n v="6452.8916060000001"/>
  </r>
  <r>
    <x v="3"/>
    <x v="2"/>
    <x v="3"/>
    <x v="4"/>
    <x v="7"/>
    <n v="1.9188544599999999"/>
    <n v="2.072917645"/>
    <n v="3.9969508000000001E-2"/>
    <n v="1.737078761"/>
  </r>
  <r>
    <x v="3"/>
    <x v="2"/>
    <x v="2"/>
    <x v="4"/>
    <x v="7"/>
    <n v="114.0835988"/>
    <n v="123.2432735"/>
    <n v="1.7550458179999999"/>
    <n v="103.276304"/>
  </r>
  <r>
    <x v="3"/>
    <x v="2"/>
    <x v="1"/>
    <x v="4"/>
    <x v="7"/>
    <n v="5.4813050700000003"/>
    <n v="5.921394373"/>
    <n v="9.9065770999999997E-2"/>
    <n v="4.9620535690000001"/>
  </r>
  <r>
    <x v="3"/>
    <x v="3"/>
    <x v="3"/>
    <x v="4"/>
    <x v="7"/>
    <n v="20.258433889999999"/>
    <n v="21.884966240000001"/>
    <n v="1.2194114000000001E-2"/>
    <n v="20.258433889999999"/>
  </r>
  <r>
    <x v="3"/>
    <x v="3"/>
    <x v="0"/>
    <x v="4"/>
    <x v="7"/>
    <n v="356.45442100000002"/>
    <n v="385.07384200000001"/>
    <n v="0.18848904499999999"/>
    <n v="356.45442100000002"/>
  </r>
  <r>
    <x v="3"/>
    <x v="0"/>
    <x v="3"/>
    <x v="4"/>
    <x v="7"/>
    <n v="42.751328379999997"/>
    <n v="46.183796020000003"/>
    <n v="1.1624181790000001"/>
    <n v="35.388392709999998"/>
  </r>
  <r>
    <x v="3"/>
    <x v="0"/>
    <x v="0"/>
    <x v="4"/>
    <x v="7"/>
    <n v="6.1339743159999998"/>
    <n v="6.6264658750000001"/>
    <n v="3.4705342E-2"/>
    <n v="5.0775379440000004"/>
  </r>
  <r>
    <x v="3"/>
    <x v="1"/>
    <x v="3"/>
    <x v="4"/>
    <x v="7"/>
    <n v="3235.2017179999998"/>
    <n v="3494.953301"/>
    <n v="784.99535289999994"/>
    <n v="2980.091265"/>
  </r>
  <r>
    <x v="3"/>
    <x v="1"/>
    <x v="2"/>
    <x v="4"/>
    <x v="7"/>
    <n v="55.372775590000003"/>
    <n v="59.818608439999998"/>
    <n v="2.2198951349999998"/>
    <n v="51.006378959999999"/>
  </r>
  <r>
    <x v="3"/>
    <x v="0"/>
    <x v="2"/>
    <x v="4"/>
    <x v="7"/>
    <n v="489.42390740000002"/>
    <n v="528.71933490000004"/>
    <n v="6.039732452"/>
    <n v="405.131866"/>
  </r>
  <r>
    <x v="3"/>
    <x v="0"/>
    <x v="2"/>
    <x v="0"/>
    <x v="8"/>
    <n v="19.774697459999999"/>
    <n v="32.297902530000002"/>
    <n v="0.324527283"/>
    <n v="18.79603058"/>
  </r>
  <r>
    <x v="3"/>
    <x v="3"/>
    <x v="0"/>
    <x v="0"/>
    <x v="8"/>
    <n v="3.5156549859999999"/>
    <n v="5.742099584"/>
    <n v="1.2524999999999999E-3"/>
    <n v="3.4332568220000002"/>
  </r>
  <r>
    <x v="3"/>
    <x v="3"/>
    <x v="3"/>
    <x v="0"/>
    <x v="8"/>
    <n v="0.25015863100000002"/>
    <n v="0.40858269000000003"/>
    <n v="8.8707000000000003E-5"/>
    <n v="0.24429553800000001"/>
  </r>
  <r>
    <x v="3"/>
    <x v="0"/>
    <x v="0"/>
    <x v="0"/>
    <x v="8"/>
    <n v="0.82619036300000004"/>
    <n v="1.3494120890000001"/>
    <n v="6.791671E-3"/>
    <n v="0.78530148700000002"/>
  </r>
  <r>
    <x v="3"/>
    <x v="1"/>
    <x v="1"/>
    <x v="0"/>
    <x v="8"/>
    <n v="61.843198630000003"/>
    <n v="101.0081497"/>
    <n v="13.366939500000001"/>
    <n v="59.032564630000003"/>
  </r>
  <r>
    <x v="3"/>
    <x v="1"/>
    <x v="3"/>
    <x v="0"/>
    <x v="8"/>
    <n v="23.276521819999999"/>
    <n v="38.017412620000002"/>
    <n v="5.0845219999999998"/>
    <n v="22.218656360000001"/>
  </r>
  <r>
    <x v="3"/>
    <x v="1"/>
    <x v="0"/>
    <x v="0"/>
    <x v="8"/>
    <n v="9.4434105000000004E-2"/>
    <n v="0.15423869400000001"/>
    <n v="1.1117999999999999E-2"/>
    <n v="9.0142288000000001E-2"/>
  </r>
  <r>
    <x v="3"/>
    <x v="1"/>
    <x v="2"/>
    <x v="0"/>
    <x v="8"/>
    <n v="3.1190451750000001"/>
    <n v="5.0943190039999999"/>
    <n v="0.3461805"/>
    <n v="2.9772916020000002"/>
  </r>
  <r>
    <x v="3"/>
    <x v="0"/>
    <x v="3"/>
    <x v="0"/>
    <x v="8"/>
    <n v="2.8459284419999999"/>
    <n v="4.6482389739999999"/>
    <n v="5.2528558000000003E-2"/>
    <n v="2.7050809820000001"/>
  </r>
  <r>
    <x v="3"/>
    <x v="2"/>
    <x v="2"/>
    <x v="0"/>
    <x v="8"/>
    <n v="2.8075630120000001"/>
    <n v="4.5855769310000003"/>
    <n v="3.0259679000000001E-2"/>
    <n v="2.6253676860000001"/>
  </r>
  <r>
    <x v="3"/>
    <x v="0"/>
    <x v="0"/>
    <x v="5"/>
    <x v="9"/>
    <n v="0.106355321"/>
    <n v="0.13290728099999999"/>
    <n v="1.604278E-3"/>
    <n v="9.8678308000000006E-2"/>
  </r>
  <r>
    <x v="3"/>
    <x v="3"/>
    <x v="3"/>
    <x v="5"/>
    <x v="9"/>
    <n v="9.2518034999999998E-2"/>
    <n v="0.11561547"/>
    <n v="1.12576E-4"/>
    <n v="9.2518034999999998E-2"/>
  </r>
  <r>
    <x v="3"/>
    <x v="1"/>
    <x v="2"/>
    <x v="5"/>
    <x v="9"/>
    <n v="3.092559402"/>
    <n v="3.8646271470000002"/>
    <n v="0.35381000000000001"/>
    <n v="2.9018654000000002"/>
  </r>
  <r>
    <x v="3"/>
    <x v="1"/>
    <x v="1"/>
    <x v="5"/>
    <x v="9"/>
    <n v="95.473300730000005"/>
    <n v="119.3085279"/>
    <n v="20.93760713"/>
    <n v="89.586207380000005"/>
  </r>
  <r>
    <x v="3"/>
    <x v="2"/>
    <x v="0"/>
    <x v="5"/>
    <x v="9"/>
    <n v="2.9435359000000001E-2"/>
    <n v="3.6783994E-2"/>
    <n v="5.2999999999999998E-4"/>
    <n v="2.5789108000000002E-2"/>
  </r>
  <r>
    <x v="3"/>
    <x v="2"/>
    <x v="2"/>
    <x v="5"/>
    <x v="9"/>
    <n v="2.914100511"/>
    <n v="3.6416154000000001"/>
    <n v="5.2470000000000003E-2"/>
    <n v="2.5531216529999998"/>
  </r>
  <r>
    <x v="3"/>
    <x v="0"/>
    <x v="2"/>
    <x v="5"/>
    <x v="9"/>
    <n v="4.0033365910000001"/>
    <n v="5.0027828909999998"/>
    <n v="6.4180187999999999E-2"/>
    <n v="3.71436499"/>
  </r>
  <r>
    <x v="3"/>
    <x v="1"/>
    <x v="3"/>
    <x v="5"/>
    <x v="9"/>
    <n v="26.292809779999999"/>
    <n v="32.85689722"/>
    <n v="6.7594662960000003"/>
    <n v="24.671537399999998"/>
  </r>
  <r>
    <x v="3"/>
    <x v="1"/>
    <x v="0"/>
    <x v="5"/>
    <x v="9"/>
    <n v="1.1087656770000001"/>
    <n v="1.3855727179999999"/>
    <n v="0.28663499999999997"/>
    <n v="1.0403967510000001"/>
  </r>
  <r>
    <x v="3"/>
    <x v="3"/>
    <x v="0"/>
    <x v="5"/>
    <x v="9"/>
    <n v="0.898002246"/>
    <n v="1.122191494"/>
    <n v="4.0460700000000002E-4"/>
    <n v="0.898002246"/>
  </r>
  <r>
    <x v="3"/>
    <x v="0"/>
    <x v="3"/>
    <x v="5"/>
    <x v="9"/>
    <n v="1.113108454"/>
    <n v="1.390999683"/>
    <n v="2.1041616999999999E-2"/>
    <n v="1.032761292"/>
  </r>
  <r>
    <x v="3"/>
    <x v="2"/>
    <x v="0"/>
    <x v="2"/>
    <x v="10"/>
    <n v="0.41667934299999998"/>
    <n v="0.49940988400000003"/>
    <n v="1.10724E-3"/>
    <n v="0.37309878600000002"/>
  </r>
  <r>
    <x v="3"/>
    <x v="1"/>
    <x v="2"/>
    <x v="2"/>
    <x v="10"/>
    <n v="3.1578528339999998"/>
    <n v="3.7848358590000002"/>
    <n v="0.24163206300000001"/>
    <n v="2.931666941"/>
  </r>
  <r>
    <x v="3"/>
    <x v="1"/>
    <x v="1"/>
    <x v="2"/>
    <x v="10"/>
    <n v="123.0059566"/>
    <n v="147.42845209999999"/>
    <n v="18.849408889999999"/>
    <n v="114.19547249999999"/>
  </r>
  <r>
    <x v="3"/>
    <x v="1"/>
    <x v="3"/>
    <x v="2"/>
    <x v="10"/>
    <n v="39.942081940000001"/>
    <n v="47.87247284"/>
    <n v="6.5395576130000004"/>
    <n v="37.081171089999998"/>
  </r>
  <r>
    <x v="3"/>
    <x v="0"/>
    <x v="2"/>
    <x v="2"/>
    <x v="10"/>
    <n v="9.7928451299999999"/>
    <n v="11.737187690000001"/>
    <n v="0.15563922899999999"/>
    <n v="8.8239321900000007"/>
  </r>
  <r>
    <x v="3"/>
    <x v="0"/>
    <x v="0"/>
    <x v="2"/>
    <x v="10"/>
    <n v="0.28357012100000001"/>
    <n v="0.33987219200000002"/>
    <n v="4.2572319999999997E-3"/>
    <n v="0.25551343799999998"/>
  </r>
  <r>
    <x v="3"/>
    <x v="0"/>
    <x v="3"/>
    <x v="2"/>
    <x v="10"/>
    <n v="3.2122763569999999"/>
    <n v="3.850065023"/>
    <n v="5.1064923999999998E-2"/>
    <n v="2.8944508330000001"/>
  </r>
  <r>
    <x v="3"/>
    <x v="3"/>
    <x v="3"/>
    <x v="2"/>
    <x v="10"/>
    <n v="2.6242532120000002"/>
    <n v="3.1452914949999999"/>
    <n v="2.0586150000000002E-3"/>
    <n v="2.6180389900000001"/>
  </r>
  <r>
    <x v="3"/>
    <x v="2"/>
    <x v="2"/>
    <x v="2"/>
    <x v="10"/>
    <n v="1.658007343"/>
    <n v="1.987200157"/>
    <n v="4.1336959999999999E-2"/>
    <n v="1.484596099"/>
  </r>
  <r>
    <x v="3"/>
    <x v="1"/>
    <x v="0"/>
    <x v="2"/>
    <x v="10"/>
    <n v="1.064835457"/>
    <n v="1.2762556190000001"/>
    <n v="0.177079971"/>
    <n v="0.98856503900000003"/>
  </r>
  <r>
    <x v="3"/>
    <x v="3"/>
    <x v="0"/>
    <x v="2"/>
    <x v="10"/>
    <n v="24.11589425"/>
    <n v="28.90403895"/>
    <n v="1.8114791000000002E-2"/>
    <n v="24.058787890000001"/>
  </r>
  <r>
    <x v="3"/>
    <x v="1"/>
    <x v="2"/>
    <x v="2"/>
    <x v="11"/>
    <n v="2.8170736230000002"/>
    <n v="3.3818035019999999"/>
    <n v="0.35463499999999998"/>
    <n v="2.5856439899999999"/>
  </r>
  <r>
    <x v="3"/>
    <x v="1"/>
    <x v="0"/>
    <x v="2"/>
    <x v="11"/>
    <n v="2.1266851550000001"/>
    <n v="2.5530150310000002"/>
    <n v="0.35208499999999998"/>
    <n v="1.9519726589999999"/>
  </r>
  <r>
    <x v="3"/>
    <x v="1"/>
    <x v="3"/>
    <x v="2"/>
    <x v="11"/>
    <n v="37.296179789999997"/>
    <n v="44.772827509999999"/>
    <n v="7.4522206369999999"/>
    <n v="34.232205489999998"/>
  </r>
  <r>
    <x v="3"/>
    <x v="0"/>
    <x v="2"/>
    <x v="2"/>
    <x v="11"/>
    <n v="3.718372639"/>
    <n v="4.4637830940000001"/>
    <n v="6.3819753000000007E-2"/>
    <n v="3.358913018"/>
  </r>
  <r>
    <x v="3"/>
    <x v="0"/>
    <x v="0"/>
    <x v="2"/>
    <x v="11"/>
    <n v="0.10668371"/>
    <n v="0.12807025699999999"/>
    <n v="1.631874E-3"/>
    <n v="9.6370465000000002E-2"/>
  </r>
  <r>
    <x v="3"/>
    <x v="0"/>
    <x v="3"/>
    <x v="2"/>
    <x v="11"/>
    <n v="1.2636033090000001"/>
    <n v="1.5169138849999999"/>
    <n v="2.1357125000000001E-2"/>
    <n v="1.141449234"/>
  </r>
  <r>
    <x v="3"/>
    <x v="3"/>
    <x v="0"/>
    <x v="2"/>
    <x v="11"/>
    <n v="1.225702412"/>
    <n v="1.4714151150000001"/>
    <n v="1.032006E-3"/>
    <n v="1.225702412"/>
  </r>
  <r>
    <x v="3"/>
    <x v="3"/>
    <x v="3"/>
    <x v="2"/>
    <x v="11"/>
    <n v="0.21020070699999999"/>
    <n v="0.25233897999999999"/>
    <n v="1.7614700000000001E-4"/>
    <n v="0.21020070699999999"/>
  </r>
  <r>
    <x v="3"/>
    <x v="2"/>
    <x v="2"/>
    <x v="2"/>
    <x v="11"/>
    <n v="1.6459764569999999"/>
    <n v="1.9759401750000001"/>
    <n v="2.6870000000000002E-2"/>
    <n v="1.4723139599999999"/>
  </r>
  <r>
    <x v="3"/>
    <x v="1"/>
    <x v="1"/>
    <x v="2"/>
    <x v="11"/>
    <n v="170.90112310000001"/>
    <n v="205.16113319999999"/>
    <n v="28.898352240000001"/>
    <n v="156.86116910000001"/>
  </r>
  <r>
    <x v="3"/>
    <x v="2"/>
    <x v="0"/>
    <x v="2"/>
    <x v="11"/>
    <n v="0.39513881499999998"/>
    <n v="0.47435104900000002"/>
    <n v="2.1299999999999999E-3"/>
    <n v="0.35344879400000001"/>
  </r>
  <r>
    <x v="3"/>
    <x v="3"/>
    <x v="3"/>
    <x v="2"/>
    <x v="12"/>
    <n v="10.717550060000001"/>
    <n v="12.86606357"/>
    <n v="7.077781E-3"/>
    <n v="10.717550060000001"/>
  </r>
  <r>
    <x v="3"/>
    <x v="1"/>
    <x v="1"/>
    <x v="2"/>
    <x v="12"/>
    <n v="885.48455260000003"/>
    <n v="1062.9948529999999"/>
    <n v="172.74985140000001"/>
    <n v="843.60608779999995"/>
  </r>
  <r>
    <x v="3"/>
    <x v="1"/>
    <x v="2"/>
    <x v="2"/>
    <x v="12"/>
    <n v="21.125196330000001"/>
    <n v="25.36009791"/>
    <n v="2.0500594579999998"/>
    <n v="20.126092740000001"/>
  </r>
  <r>
    <x v="3"/>
    <x v="1"/>
    <x v="0"/>
    <x v="2"/>
    <x v="12"/>
    <n v="54.911833059999999"/>
    <n v="65.919835329999998"/>
    <n v="2.1966611199999999"/>
    <n v="52.314810600000001"/>
  </r>
  <r>
    <x v="3"/>
    <x v="1"/>
    <x v="3"/>
    <x v="2"/>
    <x v="12"/>
    <n v="407.01895200000001"/>
    <n v="488.61275970000003"/>
    <n v="64.284707319999995"/>
    <n v="387.76923299999999"/>
  </r>
  <r>
    <x v="3"/>
    <x v="0"/>
    <x v="2"/>
    <x v="2"/>
    <x v="12"/>
    <n v="101.9986114"/>
    <n v="122.4459518"/>
    <n v="1.9916834910000001"/>
    <n v="96.696962839999998"/>
  </r>
  <r>
    <x v="3"/>
    <x v="0"/>
    <x v="0"/>
    <x v="2"/>
    <x v="12"/>
    <n v="1.3485174129999999"/>
    <n v="1.618850452"/>
    <n v="2.0132329000000001E-2"/>
    <n v="1.278424641"/>
  </r>
  <r>
    <x v="3"/>
    <x v="0"/>
    <x v="3"/>
    <x v="2"/>
    <x v="12"/>
    <n v="16.260402939999999"/>
    <n v="19.520074709999999"/>
    <n v="0.27022058300000001"/>
    <n v="15.415225339999999"/>
  </r>
  <r>
    <x v="3"/>
    <x v="3"/>
    <x v="0"/>
    <x v="2"/>
    <x v="12"/>
    <n v="98.561450359999995"/>
    <n v="118.319754"/>
    <n v="5.416696E-2"/>
    <n v="98.561450359999995"/>
  </r>
  <r>
    <x v="3"/>
    <x v="2"/>
    <x v="0"/>
    <x v="2"/>
    <x v="12"/>
    <n v="1.351814786"/>
    <n v="1.62280884"/>
    <n v="5.0674650000000002E-3"/>
    <n v="1.199269087"/>
  </r>
  <r>
    <x v="3"/>
    <x v="2"/>
    <x v="2"/>
    <x v="2"/>
    <x v="12"/>
    <n v="9.4153188990000007"/>
    <n v="11.302778229999999"/>
    <n v="0.202828535"/>
    <n v="8.3528461230000008"/>
  </r>
  <r>
    <x v="3"/>
    <x v="3"/>
    <x v="3"/>
    <x v="2"/>
    <x v="13"/>
    <n v="13.705327499999999"/>
    <n v="16.452791349999998"/>
    <n v="9.2623029999999995E-3"/>
    <n v="13.61553309"/>
  </r>
  <r>
    <x v="3"/>
    <x v="2"/>
    <x v="0"/>
    <x v="2"/>
    <x v="13"/>
    <n v="14.4828911"/>
    <n v="17.386230680000001"/>
    <n v="4.453E-2"/>
    <n v="12.55628984"/>
  </r>
  <r>
    <x v="3"/>
    <x v="3"/>
    <x v="0"/>
    <x v="2"/>
    <x v="13"/>
    <n v="273.06436100000002"/>
    <n v="327.80471360000001"/>
    <n v="0.15473962299999999"/>
    <n v="271.27530109999998"/>
  </r>
  <r>
    <x v="3"/>
    <x v="0"/>
    <x v="3"/>
    <x v="2"/>
    <x v="13"/>
    <n v="26.094835499999999"/>
    <n v="31.325984999999999"/>
    <n v="0.432942573"/>
    <n v="24.91574426"/>
  </r>
  <r>
    <x v="3"/>
    <x v="0"/>
    <x v="0"/>
    <x v="2"/>
    <x v="13"/>
    <n v="6.9944331469999996"/>
    <n v="8.3965851360000006"/>
    <n v="7.7305001999999998E-2"/>
    <n v="6.6783907310000004"/>
  </r>
  <r>
    <x v="3"/>
    <x v="0"/>
    <x v="2"/>
    <x v="2"/>
    <x v="13"/>
    <n v="185.67305640000001"/>
    <n v="222.89434940000001"/>
    <n v="3.6430454079999999"/>
    <n v="177.28344709999999"/>
  </r>
  <r>
    <x v="3"/>
    <x v="1"/>
    <x v="3"/>
    <x v="2"/>
    <x v="13"/>
    <n v="555.75307940000005"/>
    <n v="667.16314929999999"/>
    <n v="127.0595012"/>
    <n v="518.91471539999998"/>
  </r>
  <r>
    <x v="3"/>
    <x v="1"/>
    <x v="0"/>
    <x v="2"/>
    <x v="13"/>
    <n v="22.98678232"/>
    <n v="27.594870190000002"/>
    <n v="3.9616750000000001"/>
    <n v="21.463092240000002"/>
  </r>
  <r>
    <x v="3"/>
    <x v="1"/>
    <x v="2"/>
    <x v="2"/>
    <x v="13"/>
    <n v="61.963137269999997"/>
    <n v="74.384692290000004"/>
    <n v="3.4741"/>
    <n v="57.855880480000003"/>
  </r>
  <r>
    <x v="3"/>
    <x v="1"/>
    <x v="1"/>
    <x v="2"/>
    <x v="13"/>
    <n v="1415.791009"/>
    <n v="1699.6101739999999"/>
    <n v="241.6906031"/>
    <n v="1321.9446109999999"/>
  </r>
  <r>
    <x v="3"/>
    <x v="2"/>
    <x v="2"/>
    <x v="2"/>
    <x v="13"/>
    <n v="14.58333867"/>
    <n v="17.506814649999999"/>
    <n v="0.22147"/>
    <n v="12.64337527"/>
  </r>
  <r>
    <x v="3"/>
    <x v="2"/>
    <x v="2"/>
    <x v="2"/>
    <x v="14"/>
    <n v="7.4988912000000005E-2"/>
    <n v="9.0021702999999995E-2"/>
    <n v="1.8699999999999999E-3"/>
    <n v="7.4365932999999995E-2"/>
  </r>
  <r>
    <x v="3"/>
    <x v="1"/>
    <x v="2"/>
    <x v="2"/>
    <x v="14"/>
    <n v="1.283847065"/>
    <n v="1.541215843"/>
    <n v="0.13296635000000001"/>
    <n v="1.202242885"/>
  </r>
  <r>
    <x v="3"/>
    <x v="3"/>
    <x v="3"/>
    <x v="2"/>
    <x v="14"/>
    <n v="0.41303097799999999"/>
    <n v="0.49582999700000002"/>
    <n v="3.0867600000000002E-4"/>
    <n v="0.41303097799999999"/>
  </r>
  <r>
    <x v="3"/>
    <x v="3"/>
    <x v="0"/>
    <x v="2"/>
    <x v="14"/>
    <n v="3.4167348610000001"/>
    <n v="4.1016769399999999"/>
    <n v="2.285572E-3"/>
    <n v="3.4167348610000001"/>
  </r>
  <r>
    <x v="3"/>
    <x v="0"/>
    <x v="3"/>
    <x v="2"/>
    <x v="14"/>
    <n v="1.4217969130000001"/>
    <n v="1.7068200630000001"/>
    <n v="2.1428879000000001E-2"/>
    <n v="1.2811040970000001"/>
  </r>
  <r>
    <x v="3"/>
    <x v="0"/>
    <x v="0"/>
    <x v="2"/>
    <x v="14"/>
    <n v="0.12510019999999999"/>
    <n v="0.150178644"/>
    <n v="1.818723E-3"/>
    <n v="0.112721007"/>
  </r>
  <r>
    <x v="3"/>
    <x v="0"/>
    <x v="2"/>
    <x v="2"/>
    <x v="14"/>
    <n v="4.3151585619999997"/>
    <n v="5.1802048110000003"/>
    <n v="6.6869271999999993E-2"/>
    <n v="3.8881553790000001"/>
  </r>
  <r>
    <x v="3"/>
    <x v="1"/>
    <x v="3"/>
    <x v="2"/>
    <x v="14"/>
    <n v="13.52921585"/>
    <n v="16.24137515"/>
    <n v="3.1187062729999999"/>
    <n v="12.669268750000001"/>
  </r>
  <r>
    <x v="3"/>
    <x v="1"/>
    <x v="0"/>
    <x v="2"/>
    <x v="14"/>
    <n v="0.50841063399999997"/>
    <n v="0.61033011299999995"/>
    <n v="0.12896455000000001"/>
    <n v="0.476094921"/>
  </r>
  <r>
    <x v="3"/>
    <x v="1"/>
    <x v="1"/>
    <x v="2"/>
    <x v="14"/>
    <n v="47.85056419"/>
    <n v="57.443016120000003"/>
    <n v="9.8814770169999999"/>
    <n v="44.809075730000004"/>
  </r>
  <r>
    <x v="3"/>
    <x v="2"/>
    <x v="0"/>
    <x v="2"/>
    <x v="14"/>
    <n v="1.1023836469999999"/>
    <n v="1.323375025"/>
    <n v="3.7399999999999998E-3"/>
    <n v="1.0932254640000001"/>
  </r>
  <r>
    <x v="3"/>
    <x v="1"/>
    <x v="1"/>
    <x v="4"/>
    <x v="15"/>
    <n v="210.38088300000001"/>
    <n v="210.535616"/>
    <n v="42.752692439999997"/>
    <n v="189.00860689999999"/>
  </r>
  <r>
    <x v="3"/>
    <x v="1"/>
    <x v="2"/>
    <x v="4"/>
    <x v="15"/>
    <n v="7.0609550910000003"/>
    <n v="7.066148353"/>
    <n v="0.77051480999999999"/>
    <n v="6.3436433289999998"/>
  </r>
  <r>
    <x v="3"/>
    <x v="1"/>
    <x v="3"/>
    <x v="4"/>
    <x v="15"/>
    <n v="75.874370589999998"/>
    <n v="75.930175430000006"/>
    <n v="15.36142639"/>
    <n v="68.166407890000002"/>
  </r>
  <r>
    <x v="3"/>
    <x v="0"/>
    <x v="2"/>
    <x v="4"/>
    <x v="15"/>
    <n v="30.742979049999999"/>
    <n v="30.765590199999998"/>
    <n v="0.40908507799999999"/>
    <n v="25.914193579999999"/>
  </r>
  <r>
    <x v="3"/>
    <x v="0"/>
    <x v="0"/>
    <x v="4"/>
    <x v="15"/>
    <n v="0.59371376300000001"/>
    <n v="0.59415043400000001"/>
    <n v="2.445179E-3"/>
    <n v="0.50045941699999996"/>
  </r>
  <r>
    <x v="3"/>
    <x v="0"/>
    <x v="3"/>
    <x v="4"/>
    <x v="15"/>
    <n v="3.075054921"/>
    <n v="3.0773165929999999"/>
    <n v="9.2333523000000001E-2"/>
    <n v="2.5920574699999999"/>
  </r>
  <r>
    <x v="3"/>
    <x v="3"/>
    <x v="0"/>
    <x v="4"/>
    <x v="15"/>
    <n v="17.207193960000001"/>
    <n v="17.219849679999999"/>
    <n v="9.9260619999999994E-3"/>
    <n v="15.722193989999999"/>
  </r>
  <r>
    <x v="3"/>
    <x v="3"/>
    <x v="3"/>
    <x v="4"/>
    <x v="15"/>
    <n v="0.77643774099999996"/>
    <n v="0.77700880299999997"/>
    <n v="6.3095899999999995E-4"/>
    <n v="0.70943029999999996"/>
  </r>
  <r>
    <x v="3"/>
    <x v="2"/>
    <x v="1"/>
    <x v="4"/>
    <x v="15"/>
    <n v="7.2562048000000004E-2"/>
    <n v="7.2615417000000002E-2"/>
    <n v="1.192776E-3"/>
    <n v="5.8993535E-2"/>
  </r>
  <r>
    <x v="3"/>
    <x v="2"/>
    <x v="2"/>
    <x v="4"/>
    <x v="15"/>
    <n v="1.7423946450000001"/>
    <n v="1.7436761590000001"/>
    <n v="3.2138194000000002E-2"/>
    <n v="1.416581012"/>
  </r>
  <r>
    <x v="3"/>
    <x v="2"/>
    <x v="3"/>
    <x v="4"/>
    <x v="15"/>
    <n v="0.29024819400000001"/>
    <n v="0.29046166800000001"/>
    <n v="4.7711059999999998E-3"/>
    <n v="0.235974141"/>
  </r>
  <r>
    <x v="3"/>
    <x v="1"/>
    <x v="0"/>
    <x v="5"/>
    <x v="16"/>
    <n v="0.53444642099999995"/>
    <n v="0.67318719500000002"/>
    <n v="0.172375"/>
    <n v="0.49706366899999999"/>
  </r>
  <r>
    <x v="3"/>
    <x v="3"/>
    <x v="0"/>
    <x v="5"/>
    <x v="16"/>
    <n v="2.9943595E-2"/>
    <n v="3.7716867000000001E-2"/>
    <n v="3.130173E-3"/>
    <n v="2.9943595E-2"/>
  </r>
  <r>
    <x v="3"/>
    <x v="3"/>
    <x v="3"/>
    <x v="5"/>
    <x v="16"/>
    <n v="4.1413229999999997E-3"/>
    <n v="5.216399E-3"/>
    <n v="5.7964500000000005E-4"/>
    <n v="4.1413229999999997E-3"/>
  </r>
  <r>
    <x v="3"/>
    <x v="2"/>
    <x v="2"/>
    <x v="5"/>
    <x v="16"/>
    <n v="0.81862831999999996"/>
    <n v="1.0311419100000001"/>
    <n v="9.9699999999999997E-3"/>
    <n v="0.71185071300000002"/>
  </r>
  <r>
    <x v="3"/>
    <x v="1"/>
    <x v="1"/>
    <x v="5"/>
    <x v="16"/>
    <n v="62.0539743"/>
    <n v="78.16301"/>
    <n v="14.1154539"/>
    <n v="57.713504899999997"/>
  </r>
  <r>
    <x v="3"/>
    <x v="0"/>
    <x v="0"/>
    <x v="5"/>
    <x v="16"/>
    <n v="4.0692789E-2"/>
    <n v="5.1256521999999999E-2"/>
    <n v="6.4780100000000004E-4"/>
    <n v="3.7594127999999997E-2"/>
  </r>
  <r>
    <x v="3"/>
    <x v="0"/>
    <x v="2"/>
    <x v="5"/>
    <x v="16"/>
    <n v="1.4464261970000001"/>
    <n v="1.821914335"/>
    <n v="2.3434736000000001E-2"/>
    <n v="1.3362842029999999"/>
  </r>
  <r>
    <x v="3"/>
    <x v="1"/>
    <x v="3"/>
    <x v="5"/>
    <x v="16"/>
    <n v="17.257376270000002"/>
    <n v="21.737342200000001"/>
    <n v="5.6092093719999996"/>
    <n v="16.05028012"/>
  </r>
  <r>
    <x v="3"/>
    <x v="1"/>
    <x v="2"/>
    <x v="5"/>
    <x v="16"/>
    <n v="1.7727116780000001"/>
    <n v="2.2329026019999998"/>
    <n v="0.23826"/>
    <n v="1.6487163840000001"/>
  </r>
  <r>
    <x v="3"/>
    <x v="0"/>
    <x v="3"/>
    <x v="5"/>
    <x v="16"/>
    <n v="0.39834854800000002"/>
    <n v="0.50175870099999997"/>
    <n v="7.633796E-3"/>
    <n v="0.36801523200000003"/>
  </r>
  <r>
    <x v="3"/>
    <x v="2"/>
    <x v="0"/>
    <x v="5"/>
    <x v="16"/>
    <n v="1.5786070000000001E-3"/>
    <n v="1.988409E-3"/>
    <n v="3.0000000000000001E-5"/>
    <n v="1.3727019999999999E-3"/>
  </r>
  <r>
    <x v="3"/>
    <x v="1"/>
    <x v="2"/>
    <x v="6"/>
    <x v="17"/>
    <n v="16.67208553"/>
    <n v="19.13122658"/>
    <n v="1.2777834349999999"/>
    <n v="15.18801912"/>
  </r>
  <r>
    <x v="3"/>
    <x v="1"/>
    <x v="1"/>
    <x v="6"/>
    <x v="17"/>
    <n v="463.10570960000001"/>
    <n v="531.41403609999998"/>
    <n v="99.031929759999997"/>
    <n v="421.8823352"/>
  </r>
  <r>
    <x v="3"/>
    <x v="1"/>
    <x v="3"/>
    <x v="6"/>
    <x v="17"/>
    <n v="156.90967760000001"/>
    <n v="180.0539345"/>
    <n v="33.600447989999999"/>
    <n v="142.94235599999999"/>
  </r>
  <r>
    <x v="3"/>
    <x v="0"/>
    <x v="2"/>
    <x v="6"/>
    <x v="17"/>
    <n v="87.005165090000006"/>
    <n v="99.838470970000003"/>
    <n v="1.183639753"/>
    <n v="75.292453809999998"/>
  </r>
  <r>
    <x v="3"/>
    <x v="0"/>
    <x v="0"/>
    <x v="6"/>
    <x v="17"/>
    <n v="4.9883639249999998"/>
    <n v="5.7241501279999998"/>
    <n v="1.511959E-2"/>
    <n v="4.3168260180000004"/>
  </r>
  <r>
    <x v="3"/>
    <x v="0"/>
    <x v="3"/>
    <x v="6"/>
    <x v="17"/>
    <n v="7.4712755020000001"/>
    <n v="8.5732924189999995"/>
    <n v="0.21938861800000001"/>
    <n v="6.4654858720000004"/>
  </r>
  <r>
    <x v="3"/>
    <x v="3"/>
    <x v="0"/>
    <x v="6"/>
    <x v="17"/>
    <n v="0.287721057"/>
    <n v="0.33016005799999998"/>
    <n v="9.8422000000000006E-4"/>
    <n v="0.233919558"/>
  </r>
  <r>
    <x v="3"/>
    <x v="3"/>
    <x v="3"/>
    <x v="6"/>
    <x v="17"/>
    <n v="4.0468939999999997E-3"/>
    <n v="4.6438130000000001E-3"/>
    <n v="1.3842999999999999E-5"/>
    <n v="3.2901580000000001E-3"/>
  </r>
  <r>
    <x v="3"/>
    <x v="2"/>
    <x v="2"/>
    <x v="6"/>
    <x v="17"/>
    <n v="27.423339810000002"/>
    <n v="31.468296309999999"/>
    <n v="0.23123864799999999"/>
    <n v="26.42606623"/>
  </r>
  <r>
    <x v="3"/>
    <x v="2"/>
    <x v="3"/>
    <x v="6"/>
    <x v="17"/>
    <n v="1.002662282"/>
    <n v="1.1505554760000001"/>
    <n v="2.3291935E-2"/>
    <n v="0.96619959700000002"/>
  </r>
  <r>
    <x v="3"/>
    <x v="1"/>
    <x v="1"/>
    <x v="6"/>
    <x v="18"/>
    <n v="116.87492210000001"/>
    <n v="148.79505080000001"/>
    <n v="29.50577659"/>
    <n v="104.0694525"/>
  </r>
  <r>
    <x v="3"/>
    <x v="2"/>
    <x v="2"/>
    <x v="6"/>
    <x v="18"/>
    <n v="1.635420216"/>
    <n v="2.0820756899999999"/>
    <n v="2.9581691E-2"/>
    <n v="1.3628501799999999"/>
  </r>
  <r>
    <x v="3"/>
    <x v="2"/>
    <x v="1"/>
    <x v="6"/>
    <x v="18"/>
    <n v="0.28372889099999998"/>
    <n v="0.36121910499999998"/>
    <n v="2.1567280000000001E-3"/>
    <n v="0.23644074300000001"/>
  </r>
  <r>
    <x v="3"/>
    <x v="3"/>
    <x v="3"/>
    <x v="6"/>
    <x v="18"/>
    <n v="0.51672063499999998"/>
    <n v="0.65784405899999998"/>
    <n v="5.4959900000000001E-4"/>
    <n v="0.41337650799999998"/>
  </r>
  <r>
    <x v="3"/>
    <x v="3"/>
    <x v="0"/>
    <x v="6"/>
    <x v="18"/>
    <n v="2.646296752"/>
    <n v="3.3690363379999999"/>
    <n v="2.4950860000000001E-3"/>
    <n v="2.1170374010000002"/>
  </r>
  <r>
    <x v="3"/>
    <x v="0"/>
    <x v="3"/>
    <x v="6"/>
    <x v="18"/>
    <n v="1.50943611"/>
    <n v="1.9216836129999999"/>
    <n v="3.7213903999999999E-2"/>
    <n v="1.362298308"/>
  </r>
  <r>
    <x v="3"/>
    <x v="0"/>
    <x v="0"/>
    <x v="6"/>
    <x v="18"/>
    <n v="9.1364783989999996"/>
    <n v="11.63177475"/>
    <n v="1.4320856999999999E-2"/>
    <n v="8.2458667739999996"/>
  </r>
  <r>
    <x v="3"/>
    <x v="0"/>
    <x v="2"/>
    <x v="6"/>
    <x v="18"/>
    <n v="19.24463699"/>
    <n v="24.500608740000001"/>
    <n v="0.25984052000000002"/>
    <n v="17.36869566"/>
  </r>
  <r>
    <x v="3"/>
    <x v="1"/>
    <x v="2"/>
    <x v="6"/>
    <x v="18"/>
    <n v="6.8416317879999999"/>
    <n v="8.7101743559999996"/>
    <n v="1.126210945"/>
    <n v="6.0920243760000004"/>
  </r>
  <r>
    <x v="3"/>
    <x v="2"/>
    <x v="3"/>
    <x v="6"/>
    <x v="18"/>
    <n v="0.121598096"/>
    <n v="0.15480818800000001"/>
    <n v="9.2431200000000005E-4"/>
    <n v="0.101331747"/>
  </r>
  <r>
    <x v="3"/>
    <x v="1"/>
    <x v="3"/>
    <x v="6"/>
    <x v="18"/>
    <n v="41.33938715"/>
    <n v="52.629735269999998"/>
    <n v="10.748856119999999"/>
    <n v="36.810012880000002"/>
  </r>
  <r>
    <x v="3"/>
    <x v="1"/>
    <x v="0"/>
    <x v="2"/>
    <x v="19"/>
    <n v="1.69653254"/>
    <n v="2.0366310759999999"/>
    <n v="0.272845"/>
    <n v="1.596796044"/>
  </r>
  <r>
    <x v="3"/>
    <x v="1"/>
    <x v="1"/>
    <x v="2"/>
    <x v="19"/>
    <n v="164.27115219999999"/>
    <n v="197.2020728"/>
    <n v="31.89703884"/>
    <n v="154.61390789999999"/>
  </r>
  <r>
    <x v="3"/>
    <x v="2"/>
    <x v="0"/>
    <x v="2"/>
    <x v="19"/>
    <n v="8.9919400000000003E-3"/>
    <n v="1.0794526E-2"/>
    <n v="2.0000000000000002E-5"/>
    <n v="7.9354409999999997E-3"/>
  </r>
  <r>
    <x v="3"/>
    <x v="2"/>
    <x v="2"/>
    <x v="2"/>
    <x v="19"/>
    <n v="1.3337203580000001"/>
    <n v="1.6010870779999999"/>
    <n v="7.9799999999999992E-3"/>
    <n v="1.1770162"/>
  </r>
  <r>
    <x v="3"/>
    <x v="3"/>
    <x v="3"/>
    <x v="2"/>
    <x v="19"/>
    <n v="0.63655258400000003"/>
    <n v="0.76416027600000003"/>
    <n v="3.22126E-4"/>
    <n v="0.63655258400000003"/>
  </r>
  <r>
    <x v="3"/>
    <x v="3"/>
    <x v="0"/>
    <x v="2"/>
    <x v="19"/>
    <n v="7.0312925990000004"/>
    <n v="8.4408336859999995"/>
    <n v="3.4460850000000002E-3"/>
    <n v="7.0312925990000004"/>
  </r>
  <r>
    <x v="3"/>
    <x v="0"/>
    <x v="3"/>
    <x v="2"/>
    <x v="19"/>
    <n v="0.38007268"/>
    <n v="0.45626465399999999"/>
    <n v="6.118343E-3"/>
    <n v="0.34708483200000001"/>
  </r>
  <r>
    <x v="3"/>
    <x v="0"/>
    <x v="0"/>
    <x v="2"/>
    <x v="19"/>
    <n v="3.2181767E-2"/>
    <n v="3.8633145000000001E-2"/>
    <n v="4.7153400000000002E-4"/>
    <n v="2.9388597999999998E-2"/>
  </r>
  <r>
    <x v="3"/>
    <x v="0"/>
    <x v="2"/>
    <x v="2"/>
    <x v="19"/>
    <n v="1.326955608"/>
    <n v="1.5929662200000001"/>
    <n v="2.3763943999999999E-2"/>
    <n v="1.211784451"/>
  </r>
  <r>
    <x v="3"/>
    <x v="1"/>
    <x v="3"/>
    <x v="2"/>
    <x v="19"/>
    <n v="33.358133889999998"/>
    <n v="40.04533395"/>
    <n v="6.9135824780000004"/>
    <n v="31.39706134"/>
  </r>
  <r>
    <x v="3"/>
    <x v="1"/>
    <x v="2"/>
    <x v="2"/>
    <x v="19"/>
    <n v="2.951185825"/>
    <n v="3.542800755"/>
    <n v="0.39427499999999999"/>
    <n v="2.7776902240000001"/>
  </r>
  <r>
    <x v="3"/>
    <x v="1"/>
    <x v="0"/>
    <x v="7"/>
    <x v="20"/>
    <n v="1.6342078929999999"/>
    <n v="1.738325911"/>
    <n v="0.35013"/>
    <n v="1.507408906"/>
  </r>
  <r>
    <x v="3"/>
    <x v="1"/>
    <x v="1"/>
    <x v="7"/>
    <x v="20"/>
    <n v="186.73164969999999"/>
    <n v="198.62862390000001"/>
    <n v="35.165423140000001"/>
    <n v="172.24304989999999"/>
  </r>
  <r>
    <x v="3"/>
    <x v="1"/>
    <x v="2"/>
    <x v="7"/>
    <x v="20"/>
    <n v="3.438565272"/>
    <n v="3.6576418039999998"/>
    <n v="0.46321000000000001"/>
    <n v="3.171765315"/>
  </r>
  <r>
    <x v="3"/>
    <x v="1"/>
    <x v="3"/>
    <x v="7"/>
    <x v="20"/>
    <n v="52.231406829999997"/>
    <n v="55.559153889999997"/>
    <n v="11.11758998"/>
    <n v="48.178746490000002"/>
  </r>
  <r>
    <x v="3"/>
    <x v="0"/>
    <x v="2"/>
    <x v="7"/>
    <x v="20"/>
    <n v="3.2305616069999998"/>
    <n v="3.4363858899999999"/>
    <n v="6.3635331000000003E-2"/>
    <n v="3.0055194649999999"/>
  </r>
  <r>
    <x v="3"/>
    <x v="0"/>
    <x v="3"/>
    <x v="7"/>
    <x v="20"/>
    <n v="0.813457663"/>
    <n v="0.86528436099999995"/>
    <n v="1.5135124E-2"/>
    <n v="0.75679189499999999"/>
  </r>
  <r>
    <x v="3"/>
    <x v="0"/>
    <x v="0"/>
    <x v="7"/>
    <x v="20"/>
    <n v="8.2350468999999996E-2"/>
    <n v="8.7597149999999999E-2"/>
    <n v="1.400707E-3"/>
    <n v="7.6613903999999997E-2"/>
  </r>
  <r>
    <x v="3"/>
    <x v="3"/>
    <x v="0"/>
    <x v="7"/>
    <x v="20"/>
    <n v="8.2779554900000001"/>
    <n v="8.8053573689999993"/>
    <n v="6.5090110000000003E-3"/>
    <n v="8.2779554900000001"/>
  </r>
  <r>
    <x v="3"/>
    <x v="3"/>
    <x v="3"/>
    <x v="7"/>
    <x v="20"/>
    <n v="2.5193505780000001"/>
    <n v="2.679862462"/>
    <n v="1.3616679999999999E-3"/>
    <n v="2.5193505780000001"/>
  </r>
  <r>
    <x v="3"/>
    <x v="1"/>
    <x v="1"/>
    <x v="2"/>
    <x v="21"/>
    <n v="399.3055425"/>
    <n v="479.35306730000002"/>
    <n v="79.180376460000005"/>
    <n v="371.70160909999998"/>
  </r>
  <r>
    <x v="3"/>
    <x v="1"/>
    <x v="2"/>
    <x v="2"/>
    <x v="21"/>
    <n v="15.98272339"/>
    <n v="19.186729620000001"/>
    <n v="1.137786993"/>
    <n v="14.87784007"/>
  </r>
  <r>
    <x v="3"/>
    <x v="1"/>
    <x v="0"/>
    <x v="2"/>
    <x v="21"/>
    <n v="6.2990858279999999"/>
    <n v="7.5618437289999996"/>
    <n v="1.4958771660000001"/>
    <n v="5.8636309510000002"/>
  </r>
  <r>
    <x v="3"/>
    <x v="1"/>
    <x v="3"/>
    <x v="2"/>
    <x v="21"/>
    <n v="117.6633368"/>
    <n v="141.2509355"/>
    <n v="25.364521100000001"/>
    <n v="109.5292877"/>
  </r>
  <r>
    <x v="3"/>
    <x v="0"/>
    <x v="2"/>
    <x v="2"/>
    <x v="21"/>
    <n v="31.12144434"/>
    <n v="37.360262290000001"/>
    <n v="0.53526885800000001"/>
    <n v="28.063295610000001"/>
  </r>
  <r>
    <x v="3"/>
    <x v="0"/>
    <x v="0"/>
    <x v="2"/>
    <x v="21"/>
    <n v="0.91967789600000005"/>
    <n v="1.1040428280000001"/>
    <n v="1.3964058999999999E-2"/>
    <n v="0.82930574800000001"/>
  </r>
  <r>
    <x v="3"/>
    <x v="0"/>
    <x v="3"/>
    <x v="2"/>
    <x v="21"/>
    <n v="11.14798787"/>
    <n v="13.382789900000001"/>
    <n v="0.19081482599999999"/>
    <n v="10.05253085"/>
  </r>
  <r>
    <x v="3"/>
    <x v="3"/>
    <x v="0"/>
    <x v="2"/>
    <x v="21"/>
    <n v="72.757512349999999"/>
    <n v="87.342981739999999"/>
    <n v="4.1420958000000001E-2"/>
    <n v="72.757512349999999"/>
  </r>
  <r>
    <x v="3"/>
    <x v="3"/>
    <x v="3"/>
    <x v="2"/>
    <x v="21"/>
    <n v="8.8262759969999998"/>
    <n v="10.59565175"/>
    <n v="5.5383389999999998E-3"/>
    <n v="8.8262759969999998"/>
  </r>
  <r>
    <x v="3"/>
    <x v="2"/>
    <x v="2"/>
    <x v="2"/>
    <x v="21"/>
    <n v="14.04039773"/>
    <n v="16.855032049999998"/>
    <n v="0.13581237600000001"/>
    <n v="12.59934803"/>
  </r>
  <r>
    <x v="3"/>
    <x v="2"/>
    <x v="0"/>
    <x v="2"/>
    <x v="21"/>
    <n v="1.6089403900000001"/>
    <n v="1.931479604"/>
    <n v="5.5344239999999996E-3"/>
    <n v="1.443805249"/>
  </r>
  <r>
    <x v="3"/>
    <x v="2"/>
    <x v="2"/>
    <x v="8"/>
    <x v="22"/>
    <n v="58.633029759999999"/>
    <n v="65.358281669999997"/>
    <n v="1.0449999999999999"/>
    <n v="57.127218720000002"/>
  </r>
  <r>
    <x v="3"/>
    <x v="1"/>
    <x v="2"/>
    <x v="8"/>
    <x v="22"/>
    <n v="76.508482220000005"/>
    <n v="85.284061750000006"/>
    <n v="4.3445780000000003"/>
    <n v="70.488177539999995"/>
  </r>
  <r>
    <x v="3"/>
    <x v="0"/>
    <x v="2"/>
    <x v="8"/>
    <x v="22"/>
    <n v="254.42326030000001"/>
    <n v="283.6057965"/>
    <n v="5.6073818659999999"/>
    <n v="236.96157840000001"/>
  </r>
  <r>
    <x v="3"/>
    <x v="0"/>
    <x v="0"/>
    <x v="8"/>
    <x v="22"/>
    <n v="18.12528043"/>
    <n v="20.204263510000001"/>
    <n v="0.26004527999999999"/>
    <n v="16.88129872"/>
  </r>
  <r>
    <x v="3"/>
    <x v="2"/>
    <x v="0"/>
    <x v="8"/>
    <x v="22"/>
    <n v="56.387051890000002"/>
    <n v="62.854688469999999"/>
    <n v="5.3999999999999999E-2"/>
    <n v="54.938921960000002"/>
  </r>
  <r>
    <x v="3"/>
    <x v="1"/>
    <x v="3"/>
    <x v="8"/>
    <x v="22"/>
    <n v="901.59685409999997"/>
    <n v="1005.010681"/>
    <n v="141.90223499999999"/>
    <n v="830.65193920000002"/>
  </r>
  <r>
    <x v="3"/>
    <x v="1"/>
    <x v="0"/>
    <x v="8"/>
    <x v="22"/>
    <n v="39.975694249999997"/>
    <n v="44.560935970000003"/>
    <n v="0.36425000000000002"/>
    <n v="36.83008409"/>
  </r>
  <r>
    <x v="3"/>
    <x v="0"/>
    <x v="3"/>
    <x v="8"/>
    <x v="22"/>
    <n v="25.423805959999999"/>
    <n v="28.339935329999999"/>
    <n v="0.22957285399999999"/>
    <n v="23.678908849999999"/>
  </r>
  <r>
    <x v="3"/>
    <x v="3"/>
    <x v="0"/>
    <x v="8"/>
    <x v="22"/>
    <n v="417.4103412"/>
    <n v="465.2876162"/>
    <n v="0.19820178299999999"/>
    <n v="410.956323"/>
  </r>
  <r>
    <x v="3"/>
    <x v="1"/>
    <x v="1"/>
    <x v="8"/>
    <x v="22"/>
    <n v="2130.3333029999999"/>
    <n v="2374.6841100000001"/>
    <n v="333.54773699999998"/>
    <n v="1962.7014899999999"/>
  </r>
  <r>
    <x v="3"/>
    <x v="3"/>
    <x v="3"/>
    <x v="8"/>
    <x v="22"/>
    <n v="18.837124429999999"/>
    <n v="20.997756549999998"/>
    <n v="8.7982170000000005E-3"/>
    <n v="18.545863929999999"/>
  </r>
  <r>
    <x v="3"/>
    <x v="0"/>
    <x v="0"/>
    <x v="6"/>
    <x v="23"/>
    <n v="0.247590588"/>
    <n v="0.32555377099999999"/>
    <n v="9.1901199999999998E-4"/>
    <n v="0.204271652"/>
  </r>
  <r>
    <x v="3"/>
    <x v="2"/>
    <x v="2"/>
    <x v="6"/>
    <x v="23"/>
    <n v="2.8381358759999999"/>
    <n v="3.73182941"/>
    <n v="4.6909760000000002E-2"/>
    <n v="2.5961862980000001"/>
  </r>
  <r>
    <x v="3"/>
    <x v="3"/>
    <x v="3"/>
    <x v="6"/>
    <x v="23"/>
    <n v="0.84477738999999996"/>
    <n v="1.110787237"/>
    <n v="8.1611400000000005E-4"/>
    <n v="0.74985433999999995"/>
  </r>
  <r>
    <x v="3"/>
    <x v="0"/>
    <x v="3"/>
    <x v="6"/>
    <x v="23"/>
    <n v="1.835505655"/>
    <n v="2.413483458"/>
    <n v="3.7856248000000002E-2"/>
    <n v="1.5143619749999999"/>
  </r>
  <r>
    <x v="3"/>
    <x v="0"/>
    <x v="2"/>
    <x v="6"/>
    <x v="23"/>
    <n v="21.132310530000002"/>
    <n v="27.786611140000002"/>
    <n v="0.28586795700000001"/>
    <n v="17.434959899999999"/>
  </r>
  <r>
    <x v="3"/>
    <x v="1"/>
    <x v="3"/>
    <x v="6"/>
    <x v="23"/>
    <n v="38.084820319999999"/>
    <n v="50.077254490000001"/>
    <n v="8.6275707500000003"/>
    <n v="34.046127089999999"/>
  </r>
  <r>
    <x v="3"/>
    <x v="1"/>
    <x v="2"/>
    <x v="6"/>
    <x v="23"/>
    <n v="5.9363376539999999"/>
    <n v="7.8056162269999998"/>
    <n v="0.26446816899999998"/>
    <n v="5.3068205270000002"/>
  </r>
  <r>
    <x v="3"/>
    <x v="1"/>
    <x v="1"/>
    <x v="6"/>
    <x v="23"/>
    <n v="91.940145110000003"/>
    <n v="120.89094830000001"/>
    <n v="19.542338640000001"/>
    <n v="82.190380289999993"/>
  </r>
  <r>
    <x v="3"/>
    <x v="3"/>
    <x v="0"/>
    <x v="6"/>
    <x v="23"/>
    <n v="16.142437919999999"/>
    <n v="21.225489979999999"/>
    <n v="9.8982270000000008E-3"/>
    <n v="14.32859981"/>
  </r>
  <r>
    <x v="3"/>
    <x v="1"/>
    <x v="3"/>
    <x v="0"/>
    <x v="24"/>
    <n v="62.065092329999999"/>
    <n v="90.8152987"/>
    <n v="14.259406999999999"/>
    <n v="60.004628940000003"/>
  </r>
  <r>
    <x v="3"/>
    <x v="1"/>
    <x v="1"/>
    <x v="0"/>
    <x v="24"/>
    <n v="171.75137000000001"/>
    <n v="251.31118609999999"/>
    <n v="40.060225000000003"/>
    <n v="166.04949479999999"/>
  </r>
  <r>
    <x v="3"/>
    <x v="2"/>
    <x v="0"/>
    <x v="0"/>
    <x v="24"/>
    <n v="1.023391543"/>
    <n v="1.4974538040000001"/>
    <n v="4.3400000000000001E-3"/>
    <n v="0.997272661"/>
  </r>
  <r>
    <x v="3"/>
    <x v="2"/>
    <x v="2"/>
    <x v="0"/>
    <x v="24"/>
    <n v="6.3531123620000001"/>
    <n v="9.2960434789999997"/>
    <n v="9.1573195999999996E-2"/>
    <n v="6.1909689590000001"/>
  </r>
  <r>
    <x v="3"/>
    <x v="3"/>
    <x v="3"/>
    <x v="0"/>
    <x v="24"/>
    <n v="3.4772868479999999"/>
    <n v="5.0880588739999997"/>
    <n v="2.3013759999999999E-3"/>
    <n v="3.3957879379999998"/>
  </r>
  <r>
    <x v="3"/>
    <x v="3"/>
    <x v="0"/>
    <x v="0"/>
    <x v="24"/>
    <n v="20.1190192"/>
    <n v="29.438685570000001"/>
    <n v="1.0479955000000001E-2"/>
    <n v="19.647479690000001"/>
  </r>
  <r>
    <x v="3"/>
    <x v="0"/>
    <x v="3"/>
    <x v="0"/>
    <x v="24"/>
    <n v="5.7061652900000004"/>
    <n v="8.3494132659999991"/>
    <n v="0.10739847499999999"/>
    <n v="5.4312336630000004"/>
  </r>
  <r>
    <x v="3"/>
    <x v="0"/>
    <x v="0"/>
    <x v="0"/>
    <x v="24"/>
    <n v="7.8591207760000001"/>
    <n v="11.499675160000001"/>
    <n v="2.4930346999999999E-2"/>
    <n v="7.4804565140000001"/>
  </r>
  <r>
    <x v="3"/>
    <x v="1"/>
    <x v="2"/>
    <x v="0"/>
    <x v="24"/>
    <n v="7.8359734589999999"/>
    <n v="11.46580539"/>
    <n v="0.96742207199999997"/>
    <n v="7.575831472"/>
  </r>
  <r>
    <x v="3"/>
    <x v="1"/>
    <x v="0"/>
    <x v="0"/>
    <x v="24"/>
    <n v="0.220247211"/>
    <n v="0.32227159399999999"/>
    <n v="5.156E-3"/>
    <n v="0.21293535"/>
  </r>
  <r>
    <x v="3"/>
    <x v="0"/>
    <x v="2"/>
    <x v="0"/>
    <x v="24"/>
    <n v="37.913368220000002"/>
    <n v="55.475851720000001"/>
    <n v="0.74199656700000005"/>
    <n v="36.086645099999998"/>
  </r>
  <r>
    <x v="3"/>
    <x v="2"/>
    <x v="0"/>
    <x v="2"/>
    <x v="25"/>
    <n v="11.50287913"/>
    <n v="13.808825089999999"/>
    <n v="1.2070000000000001E-2"/>
    <n v="10.00296573"/>
  </r>
  <r>
    <x v="3"/>
    <x v="1"/>
    <x v="2"/>
    <x v="2"/>
    <x v="25"/>
    <n v="13.60823096"/>
    <n v="16.336230180000001"/>
    <n v="1.0457050000000001"/>
    <n v="12.641967129999999"/>
  </r>
  <r>
    <x v="3"/>
    <x v="2"/>
    <x v="2"/>
    <x v="2"/>
    <x v="25"/>
    <n v="1.737491318"/>
    <n v="2.085800732"/>
    <n v="1.6930000000000001E-2"/>
    <n v="1.510931821"/>
  </r>
  <r>
    <x v="3"/>
    <x v="3"/>
    <x v="3"/>
    <x v="2"/>
    <x v="25"/>
    <n v="1.0692389259999999"/>
    <n v="1.2835858870000001"/>
    <n v="6.0128899999999997E-4"/>
    <n v="1.0688996150000001"/>
  </r>
  <r>
    <x v="3"/>
    <x v="3"/>
    <x v="0"/>
    <x v="2"/>
    <x v="25"/>
    <n v="11.66979433"/>
    <n v="14.00920125"/>
    <n v="6.970665E-3"/>
    <n v="11.66609104"/>
  </r>
  <r>
    <x v="3"/>
    <x v="0"/>
    <x v="3"/>
    <x v="2"/>
    <x v="25"/>
    <n v="2.3581400870000002"/>
    <n v="2.8308690049999998"/>
    <n v="3.8879447999999997E-2"/>
    <n v="2.169160786"/>
  </r>
  <r>
    <x v="3"/>
    <x v="0"/>
    <x v="0"/>
    <x v="2"/>
    <x v="25"/>
    <n v="0.20243609800000001"/>
    <n v="0.24301782499999999"/>
    <n v="3.065562E-3"/>
    <n v="0.18621304399999999"/>
  </r>
  <r>
    <x v="3"/>
    <x v="0"/>
    <x v="2"/>
    <x v="2"/>
    <x v="25"/>
    <n v="11.41844313"/>
    <n v="13.707462469999999"/>
    <n v="0.34890078400000002"/>
    <n v="10.503379000000001"/>
  </r>
  <r>
    <x v="3"/>
    <x v="1"/>
    <x v="3"/>
    <x v="2"/>
    <x v="25"/>
    <n v="107.17106200000001"/>
    <n v="128.6553074"/>
    <n v="22.90619375"/>
    <n v="99.561290990000003"/>
  </r>
  <r>
    <x v="3"/>
    <x v="1"/>
    <x v="0"/>
    <x v="2"/>
    <x v="25"/>
    <n v="4.4804054139999998"/>
    <n v="5.3785781789999998"/>
    <n v="0.70838000000000001"/>
    <n v="4.1622704739999996"/>
  </r>
  <r>
    <x v="3"/>
    <x v="1"/>
    <x v="1"/>
    <x v="2"/>
    <x v="25"/>
    <n v="462.48544579999998"/>
    <n v="555.19844680000006"/>
    <n v="84.476047910000005"/>
    <n v="429.6462793"/>
  </r>
  <r>
    <x v="3"/>
    <x v="1"/>
    <x v="3"/>
    <x v="1"/>
    <x v="26"/>
    <n v="9.6192131360000008"/>
    <n v="11.32456444"/>
    <n v="1.9511730549999999"/>
    <n v="8.5228030280000002"/>
  </r>
  <r>
    <x v="3"/>
    <x v="1"/>
    <x v="1"/>
    <x v="1"/>
    <x v="26"/>
    <n v="36.708803119999999"/>
    <n v="43.21675802"/>
    <n v="6.996476618"/>
    <n v="32.524687200000002"/>
  </r>
  <r>
    <x v="3"/>
    <x v="2"/>
    <x v="2"/>
    <x v="1"/>
    <x v="26"/>
    <n v="1.147548061"/>
    <n v="1.3509922050000001"/>
    <n v="8.9999999999999993E-3"/>
    <n v="0.93296590300000004"/>
  </r>
  <r>
    <x v="3"/>
    <x v="0"/>
    <x v="3"/>
    <x v="1"/>
    <x v="26"/>
    <n v="1.0975667410000001"/>
    <n v="1.292149899"/>
    <n v="6.4000793E-2"/>
    <n v="0.93378150199999999"/>
  </r>
  <r>
    <x v="3"/>
    <x v="1"/>
    <x v="2"/>
    <x v="1"/>
    <x v="26"/>
    <n v="1.6216579520000001"/>
    <n v="1.9091551170000001"/>
    <n v="0.15315567499999999"/>
    <n v="1.4368193229999999"/>
  </r>
  <r>
    <x v="3"/>
    <x v="0"/>
    <x v="0"/>
    <x v="1"/>
    <x v="26"/>
    <n v="1.73208E-4"/>
    <n v="2.03916E-4"/>
    <n v="1.6030000000000001E-5"/>
    <n v="1.4736099999999999E-4"/>
  </r>
  <r>
    <x v="3"/>
    <x v="0"/>
    <x v="2"/>
    <x v="1"/>
    <x v="26"/>
    <n v="2.7022995019999998"/>
    <n v="3.1813792259999998"/>
    <n v="9.3013740999999997E-2"/>
    <n v="2.2990467859999999"/>
  </r>
  <r>
    <x v="3"/>
    <x v="3"/>
    <x v="3"/>
    <x v="2"/>
    <x v="27"/>
    <n v="9.7832005999999999E-2"/>
    <n v="0.139818574"/>
    <n v="4.6452999999999997E-5"/>
    <n v="9.7832005999999999E-2"/>
  </r>
  <r>
    <x v="3"/>
    <x v="2"/>
    <x v="2"/>
    <x v="2"/>
    <x v="27"/>
    <n v="1.8499653030000001"/>
    <n v="2.6439150370000002"/>
    <n v="5.0619999999999998E-2"/>
    <n v="1.6528061409999999"/>
  </r>
  <r>
    <x v="3"/>
    <x v="3"/>
    <x v="0"/>
    <x v="2"/>
    <x v="27"/>
    <n v="1.231432273"/>
    <n v="1.7599261450000001"/>
    <n v="5.8471300000000005E-4"/>
    <n v="1.231432273"/>
  </r>
  <r>
    <x v="3"/>
    <x v="0"/>
    <x v="3"/>
    <x v="2"/>
    <x v="27"/>
    <n v="0.45777065"/>
    <n v="0.65423211199999998"/>
    <n v="6.9904850000000003E-3"/>
    <n v="0.41247688399999999"/>
  </r>
  <r>
    <x v="3"/>
    <x v="0"/>
    <x v="0"/>
    <x v="2"/>
    <x v="27"/>
    <n v="3.9966094000000001E-2"/>
    <n v="5.7118346E-2"/>
    <n v="5.7653499999999998E-4"/>
    <n v="3.6011679999999997E-2"/>
  </r>
  <r>
    <x v="3"/>
    <x v="0"/>
    <x v="2"/>
    <x v="2"/>
    <x v="27"/>
    <n v="1.3793965500000001"/>
    <n v="1.9713922610000001"/>
    <n v="2.1000655E-2"/>
    <n v="1.2429132169999999"/>
  </r>
  <r>
    <x v="3"/>
    <x v="1"/>
    <x v="3"/>
    <x v="2"/>
    <x v="27"/>
    <n v="23.75620138"/>
    <n v="33.951651939999998"/>
    <n v="4.8746229679999997"/>
    <n v="22.12158561"/>
  </r>
  <r>
    <x v="3"/>
    <x v="1"/>
    <x v="0"/>
    <x v="2"/>
    <x v="27"/>
    <n v="0.78794418700000002"/>
    <n v="1.1261062470000001"/>
    <n v="0.12818499999999999"/>
    <n v="0.733727354"/>
  </r>
  <r>
    <x v="3"/>
    <x v="1"/>
    <x v="1"/>
    <x v="2"/>
    <x v="27"/>
    <n v="87.046460609999997"/>
    <n v="124.404196"/>
    <n v="14.73461569"/>
    <n v="81.056971169999997"/>
  </r>
  <r>
    <x v="3"/>
    <x v="2"/>
    <x v="0"/>
    <x v="2"/>
    <x v="27"/>
    <n v="0.42712775400000003"/>
    <n v="0.61043820100000001"/>
    <n v="2.3800000000000002E-3"/>
    <n v="0.38160681899999999"/>
  </r>
  <r>
    <x v="3"/>
    <x v="1"/>
    <x v="2"/>
    <x v="2"/>
    <x v="27"/>
    <n v="1.1229021939999999"/>
    <n v="1.6048182040000001"/>
    <n v="0.16745499999999999"/>
    <n v="1.0456375840000001"/>
  </r>
  <r>
    <x v="3"/>
    <x v="0"/>
    <x v="3"/>
    <x v="5"/>
    <x v="28"/>
    <n v="3.9053167860000002"/>
    <n v="4.8777142209999997"/>
    <n v="7.4796337000000004E-2"/>
    <n v="3.6214609740000001"/>
  </r>
  <r>
    <x v="3"/>
    <x v="1"/>
    <x v="1"/>
    <x v="5"/>
    <x v="28"/>
    <n v="157.8415675"/>
    <n v="197.14304899999999"/>
    <n v="37.488304880000001"/>
    <n v="148.54551660000001"/>
  </r>
  <r>
    <x v="3"/>
    <x v="1"/>
    <x v="2"/>
    <x v="5"/>
    <x v="28"/>
    <n v="4.265531363"/>
    <n v="5.3276197889999999"/>
    <n v="0.62046500000000004"/>
    <n v="4.0143136559999997"/>
  </r>
  <r>
    <x v="3"/>
    <x v="1"/>
    <x v="0"/>
    <x v="5"/>
    <x v="28"/>
    <n v="2.6031694330000001"/>
    <n v="3.2513409950000001"/>
    <n v="0.76373999999999997"/>
    <n v="2.4498562349999999"/>
  </r>
  <r>
    <x v="3"/>
    <x v="1"/>
    <x v="3"/>
    <x v="5"/>
    <x v="28"/>
    <n v="52.7424204"/>
    <n v="65.874925939999997"/>
    <n v="16.06758683"/>
    <n v="49.636164970000003"/>
  </r>
  <r>
    <x v="3"/>
    <x v="0"/>
    <x v="0"/>
    <x v="5"/>
    <x v="28"/>
    <n v="0.37306518799999999"/>
    <n v="0.46595589399999998"/>
    <n v="5.7489100000000003E-3"/>
    <n v="0.34594914900000001"/>
  </r>
  <r>
    <x v="3"/>
    <x v="3"/>
    <x v="0"/>
    <x v="5"/>
    <x v="28"/>
    <n v="1.8746317960000001"/>
    <n v="2.3414024200000001"/>
    <n v="2.7239149999999999E-3"/>
    <n v="1.8746317960000001"/>
  </r>
  <r>
    <x v="3"/>
    <x v="3"/>
    <x v="3"/>
    <x v="5"/>
    <x v="28"/>
    <n v="0.26463944700000003"/>
    <n v="0.330532877"/>
    <n v="4.7214700000000002E-4"/>
    <n v="0.26463944700000003"/>
  </r>
  <r>
    <x v="3"/>
    <x v="2"/>
    <x v="0"/>
    <x v="5"/>
    <x v="28"/>
    <n v="0.76648572800000003"/>
    <n v="0.95733548400000001"/>
    <n v="2.2899999999999999E-3"/>
    <n v="0.69286608299999997"/>
  </r>
  <r>
    <x v="3"/>
    <x v="2"/>
    <x v="2"/>
    <x v="5"/>
    <x v="28"/>
    <n v="3.1315227499999998"/>
    <n v="3.91125071"/>
    <n v="3.4709999999999998E-2"/>
    <n v="2.8307453360000001"/>
  </r>
  <r>
    <x v="3"/>
    <x v="0"/>
    <x v="2"/>
    <x v="5"/>
    <x v="28"/>
    <n v="13.35473316"/>
    <n v="16.679971290000001"/>
    <n v="0.21321983799999999"/>
    <n v="12.384051700000001"/>
  </r>
  <r>
    <x v="3"/>
    <x v="2"/>
    <x v="2"/>
    <x v="2"/>
    <x v="29"/>
    <n v="0.615306664"/>
    <n v="0.73865525300000001"/>
    <n v="1.2930000000000001E-2"/>
    <n v="0.53539428899999997"/>
  </r>
  <r>
    <x v="3"/>
    <x v="1"/>
    <x v="1"/>
    <x v="2"/>
    <x v="29"/>
    <n v="40.579202420000001"/>
    <n v="48.713987349999996"/>
    <n v="9.4772682820000007"/>
    <n v="37.461624749999999"/>
  </r>
  <r>
    <x v="3"/>
    <x v="1"/>
    <x v="2"/>
    <x v="2"/>
    <x v="29"/>
    <n v="1.333302588"/>
    <n v="1.600585559"/>
    <n v="0.13295999999999999"/>
    <n v="1.2308689740000001"/>
  </r>
  <r>
    <x v="3"/>
    <x v="1"/>
    <x v="0"/>
    <x v="2"/>
    <x v="29"/>
    <n v="0.41881125600000002"/>
    <n v="0.50276902999999995"/>
    <n v="0.17116500000000001"/>
    <n v="0.38663525100000001"/>
  </r>
  <r>
    <x v="3"/>
    <x v="1"/>
    <x v="3"/>
    <x v="2"/>
    <x v="29"/>
    <n v="10.804383380000001"/>
    <n v="12.970304090000001"/>
    <n v="3.037216038"/>
    <n v="9.9743152090000002"/>
  </r>
  <r>
    <x v="3"/>
    <x v="0"/>
    <x v="2"/>
    <x v="2"/>
    <x v="29"/>
    <n v="1.4138851809999999"/>
    <n v="1.697322292"/>
    <n v="1.9384680000000001E-2"/>
    <n v="1.2783473489999999"/>
  </r>
  <r>
    <x v="3"/>
    <x v="2"/>
    <x v="0"/>
    <x v="2"/>
    <x v="29"/>
    <n v="2.7607899999999998E-4"/>
    <n v="3.3142399999999998E-4"/>
    <n v="6.9999999999999994E-5"/>
    <n v="2.4022400000000001E-4"/>
  </r>
  <r>
    <x v="3"/>
    <x v="3"/>
    <x v="3"/>
    <x v="2"/>
    <x v="29"/>
    <n v="0.168570209"/>
    <n v="0.20236294799999999"/>
    <n v="1.29987E-4"/>
    <n v="0.168570209"/>
  </r>
  <r>
    <x v="3"/>
    <x v="3"/>
    <x v="0"/>
    <x v="2"/>
    <x v="29"/>
    <n v="2.4829971290000001"/>
    <n v="2.9807557450000002"/>
    <n v="1.254483E-3"/>
    <n v="2.4829971290000001"/>
  </r>
  <r>
    <x v="3"/>
    <x v="0"/>
    <x v="3"/>
    <x v="2"/>
    <x v="29"/>
    <n v="0.59264203199999999"/>
    <n v="0.71144711400000005"/>
    <n v="9.1431120000000001E-3"/>
    <n v="0.53583019399999998"/>
  </r>
  <r>
    <x v="3"/>
    <x v="0"/>
    <x v="0"/>
    <x v="2"/>
    <x v="29"/>
    <n v="4.4391738E-2"/>
    <n v="5.3290810000000001E-2"/>
    <n v="5.8936999999999998E-4"/>
    <n v="4.0136258000000001E-2"/>
  </r>
  <r>
    <x v="3"/>
    <x v="2"/>
    <x v="0"/>
    <x v="5"/>
    <x v="30"/>
    <n v="0.17575243400000001"/>
    <n v="0.21098497099999999"/>
    <n v="1.3193E-3"/>
    <n v="0.15514862600000001"/>
  </r>
  <r>
    <x v="3"/>
    <x v="1"/>
    <x v="2"/>
    <x v="5"/>
    <x v="30"/>
    <n v="7.1727234190000004"/>
    <n v="8.6106166969999993"/>
    <n v="1.1074535999999999"/>
    <n v="6.6389941029999999"/>
  </r>
  <r>
    <x v="3"/>
    <x v="1"/>
    <x v="1"/>
    <x v="5"/>
    <x v="30"/>
    <n v="304.44163559999998"/>
    <n v="365.4720916"/>
    <n v="70.730421879999994"/>
    <n v="281.78783779999998"/>
  </r>
  <r>
    <x v="3"/>
    <x v="1"/>
    <x v="3"/>
    <x v="5"/>
    <x v="30"/>
    <n v="105.3232823"/>
    <n v="126.4371091"/>
    <n v="33.295202879999998"/>
    <n v="97.486074610000003"/>
  </r>
  <r>
    <x v="3"/>
    <x v="0"/>
    <x v="2"/>
    <x v="5"/>
    <x v="30"/>
    <n v="8.355227481"/>
    <n v="10.030173619999999"/>
    <n v="0.14074262500000001"/>
    <n v="7.7442886980000001"/>
  </r>
  <r>
    <x v="3"/>
    <x v="0"/>
    <x v="3"/>
    <x v="5"/>
    <x v="30"/>
    <n v="2.0176146319999999"/>
    <n v="2.4220794840000002"/>
    <n v="3.3880985000000002E-2"/>
    <n v="1.8700855519999999"/>
  </r>
  <r>
    <x v="3"/>
    <x v="3"/>
    <x v="0"/>
    <x v="5"/>
    <x v="30"/>
    <n v="1.898886324"/>
    <n v="2.279550086"/>
    <n v="2.760017E-3"/>
    <n v="1.8932194019999999"/>
  </r>
  <r>
    <x v="3"/>
    <x v="2"/>
    <x v="2"/>
    <x v="5"/>
    <x v="30"/>
    <n v="1.4284018190000001"/>
    <n v="1.714749034"/>
    <n v="7.6100699999999993E-2"/>
    <n v="1.260947432"/>
  </r>
  <r>
    <x v="3"/>
    <x v="3"/>
    <x v="3"/>
    <x v="5"/>
    <x v="30"/>
    <n v="0.38692614600000003"/>
    <n v="0.46449201200000001"/>
    <n v="1.2062220000000001E-3"/>
    <n v="0.385771427"/>
  </r>
  <r>
    <x v="3"/>
    <x v="1"/>
    <x v="0"/>
    <x v="5"/>
    <x v="30"/>
    <n v="3.3410136339999998"/>
    <n v="4.0107761159999997"/>
    <n v="0.86935154999999997"/>
    <n v="3.0924055639999999"/>
  </r>
  <r>
    <x v="3"/>
    <x v="0"/>
    <x v="0"/>
    <x v="5"/>
    <x v="30"/>
    <n v="0.218569345"/>
    <n v="0.26238525400000001"/>
    <n v="3.2628510000000002E-3"/>
    <n v="0.20258743600000001"/>
  </r>
  <r>
    <x v="3"/>
    <x v="0"/>
    <x v="2"/>
    <x v="6"/>
    <x v="31"/>
    <n v="23.733393110000002"/>
    <n v="23.733393110000002"/>
    <n v="0.38476216000000002"/>
    <n v="20.5318352"/>
  </r>
  <r>
    <x v="3"/>
    <x v="1"/>
    <x v="1"/>
    <x v="6"/>
    <x v="31"/>
    <n v="200.8530653"/>
    <n v="200.8530653"/>
    <n v="50.611286710000002"/>
    <n v="183.26764069999999"/>
  </r>
  <r>
    <x v="3"/>
    <x v="1"/>
    <x v="3"/>
    <x v="6"/>
    <x v="31"/>
    <n v="60.61358448"/>
    <n v="60.61358448"/>
    <n v="15.861174739999999"/>
    <n v="55.30664221"/>
  </r>
  <r>
    <x v="3"/>
    <x v="0"/>
    <x v="0"/>
    <x v="6"/>
    <x v="31"/>
    <n v="0.28802794999999998"/>
    <n v="0.28802794999999998"/>
    <n v="1.076275E-3"/>
    <n v="0.249173912"/>
  </r>
  <r>
    <x v="3"/>
    <x v="0"/>
    <x v="3"/>
    <x v="6"/>
    <x v="31"/>
    <n v="1.242941904"/>
    <n v="1.242941904"/>
    <n v="2.7167488E-2"/>
    <n v="1.075273065"/>
  </r>
  <r>
    <x v="3"/>
    <x v="3"/>
    <x v="0"/>
    <x v="6"/>
    <x v="31"/>
    <n v="3.149090798"/>
    <n v="3.149090798"/>
    <n v="2.0745099999999999E-3"/>
    <n v="2.6025543789999999"/>
  </r>
  <r>
    <x v="3"/>
    <x v="3"/>
    <x v="3"/>
    <x v="6"/>
    <x v="31"/>
    <n v="4.4293030999999997E-2"/>
    <n v="4.4293030999999997E-2"/>
    <n v="2.9179E-5"/>
    <n v="3.6605811000000002E-2"/>
  </r>
  <r>
    <x v="3"/>
    <x v="2"/>
    <x v="2"/>
    <x v="6"/>
    <x v="31"/>
    <n v="5.9859913479999998"/>
    <n v="5.9859913479999998"/>
    <n v="6.8906040000000002E-2"/>
    <n v="5.5238520280000003"/>
  </r>
  <r>
    <x v="3"/>
    <x v="2"/>
    <x v="3"/>
    <x v="6"/>
    <x v="31"/>
    <n v="4.0258086999999998E-2"/>
    <n v="4.0258086999999998E-2"/>
    <n v="6.7657600000000002E-4"/>
    <n v="3.7150022999999997E-2"/>
  </r>
  <r>
    <x v="3"/>
    <x v="1"/>
    <x v="2"/>
    <x v="6"/>
    <x v="31"/>
    <n v="4.5408827929999998"/>
    <n v="4.5408827929999998"/>
    <n v="0.27340677200000002"/>
    <n v="4.1433118029999996"/>
  </r>
  <r>
    <x v="3"/>
    <x v="1"/>
    <x v="2"/>
    <x v="9"/>
    <x v="32"/>
    <n v="1.9066733140000001"/>
    <n v="4.0120599559999999"/>
    <n v="0.29438639999999999"/>
    <n v="1.7647959010000001"/>
  </r>
  <r>
    <x v="3"/>
    <x v="0"/>
    <x v="3"/>
    <x v="9"/>
    <x v="32"/>
    <n v="0.53632793999999995"/>
    <n v="1.1285519319999999"/>
    <n v="9.0063379999999991E-3"/>
    <n v="0.49711134899999998"/>
  </r>
  <r>
    <x v="3"/>
    <x v="1"/>
    <x v="1"/>
    <x v="9"/>
    <x v="32"/>
    <n v="80.927523379999997"/>
    <n v="170.28930629999999"/>
    <n v="18.801757720000001"/>
    <n v="74.905627760000002"/>
  </r>
  <r>
    <x v="3"/>
    <x v="1"/>
    <x v="0"/>
    <x v="9"/>
    <x v="32"/>
    <n v="0.88811754799999998"/>
    <n v="1.8687946310000001"/>
    <n v="0.23109345000000001"/>
    <n v="0.82203185899999998"/>
  </r>
  <r>
    <x v="3"/>
    <x v="1"/>
    <x v="3"/>
    <x v="9"/>
    <x v="32"/>
    <n v="27.99732822"/>
    <n v="58.912535570000003"/>
    <n v="8.850623551"/>
    <n v="25.914019830000001"/>
  </r>
  <r>
    <x v="3"/>
    <x v="0"/>
    <x v="2"/>
    <x v="9"/>
    <x v="32"/>
    <n v="2.221009837"/>
    <n v="4.6734931270000004"/>
    <n v="3.7412595999999999E-2"/>
    <n v="2.0586083880000001"/>
  </r>
  <r>
    <x v="3"/>
    <x v="0"/>
    <x v="0"/>
    <x v="9"/>
    <x v="32"/>
    <n v="5.8100711999999999E-2"/>
    <n v="0.122256675"/>
    <n v="8.6733999999999997E-4"/>
    <n v="5.3852355999999997E-2"/>
  </r>
  <r>
    <x v="3"/>
    <x v="3"/>
    <x v="0"/>
    <x v="9"/>
    <x v="32"/>
    <n v="0.50476725099999997"/>
    <n v="1.062141301"/>
    <n v="7.3367500000000004E-4"/>
    <n v="0.50326085399999998"/>
  </r>
  <r>
    <x v="3"/>
    <x v="2"/>
    <x v="0"/>
    <x v="9"/>
    <x v="32"/>
    <n v="4.6719001000000003E-2"/>
    <n v="9.8307053000000005E-2"/>
    <n v="3.5070000000000001E-4"/>
    <n v="4.1242040000000001E-2"/>
  </r>
  <r>
    <x v="3"/>
    <x v="2"/>
    <x v="2"/>
    <x v="9"/>
    <x v="32"/>
    <n v="0.37970174899999998"/>
    <n v="0.79897598199999997"/>
    <n v="2.0229299999999999E-2"/>
    <n v="0.33518855800000003"/>
  </r>
  <r>
    <x v="3"/>
    <x v="3"/>
    <x v="3"/>
    <x v="9"/>
    <x v="32"/>
    <n v="0.102853786"/>
    <n v="0.21642698399999999"/>
    <n v="3.2064099999999998E-4"/>
    <n v="0.102546835"/>
  </r>
  <r>
    <x v="3"/>
    <x v="1"/>
    <x v="1"/>
    <x v="0"/>
    <x v="33"/>
    <n v="157.83305329999999"/>
    <n v="157.83305329999999"/>
    <n v="43.934231400000002"/>
    <n v="150.80330900000001"/>
  </r>
  <r>
    <x v="3"/>
    <x v="2"/>
    <x v="0"/>
    <x v="0"/>
    <x v="33"/>
    <n v="0.158012076"/>
    <n v="0.158012076"/>
    <n v="2E-3"/>
    <n v="0.15290448200000001"/>
  </r>
  <r>
    <x v="3"/>
    <x v="2"/>
    <x v="2"/>
    <x v="0"/>
    <x v="33"/>
    <n v="4.0491016469999996"/>
    <n v="4.0491016469999996"/>
    <n v="4.7121161000000002E-2"/>
    <n v="3.9182182019999998"/>
  </r>
  <r>
    <x v="3"/>
    <x v="3"/>
    <x v="3"/>
    <x v="0"/>
    <x v="33"/>
    <n v="0.32984383499999997"/>
    <n v="0.32984383499999997"/>
    <n v="1.3847100000000001E-4"/>
    <n v="0.32191075099999999"/>
  </r>
  <r>
    <x v="3"/>
    <x v="3"/>
    <x v="0"/>
    <x v="0"/>
    <x v="33"/>
    <n v="5.1195351249999996"/>
    <n v="5.1195351249999996"/>
    <n v="1.8843410000000001E-3"/>
    <n v="4.9964050320000002"/>
  </r>
  <r>
    <x v="3"/>
    <x v="0"/>
    <x v="3"/>
    <x v="0"/>
    <x v="33"/>
    <n v="8.1087453739999997"/>
    <n v="8.1087453739999997"/>
    <n v="0.172814156"/>
    <n v="7.722923679"/>
  </r>
  <r>
    <x v="3"/>
    <x v="0"/>
    <x v="0"/>
    <x v="0"/>
    <x v="33"/>
    <n v="2.3761164950000002"/>
    <n v="2.3761164950000002"/>
    <n v="2.4786386000000001E-2"/>
    <n v="2.2630586479999999"/>
  </r>
  <r>
    <x v="3"/>
    <x v="0"/>
    <x v="2"/>
    <x v="0"/>
    <x v="33"/>
    <n v="43.570355540000001"/>
    <n v="43.570355540000001"/>
    <n v="0.53982814999999995"/>
    <n v="41.497237239999997"/>
  </r>
  <r>
    <x v="3"/>
    <x v="1"/>
    <x v="3"/>
    <x v="0"/>
    <x v="33"/>
    <n v="56.402890280000001"/>
    <n v="56.402890280000001"/>
    <n v="15.8169962"/>
    <n v="53.890755560000002"/>
  </r>
  <r>
    <x v="3"/>
    <x v="1"/>
    <x v="2"/>
    <x v="0"/>
    <x v="33"/>
    <n v="3.733162138"/>
    <n v="3.733162138"/>
    <n v="0.93768739999999995"/>
    <n v="3.5668904060000002"/>
  </r>
  <r>
    <x v="3"/>
    <x v="1"/>
    <x v="0"/>
    <x v="0"/>
    <x v="33"/>
    <n v="1.5902226500000001"/>
    <n v="1.5902226500000001"/>
    <n v="1.1004999999999999E-2"/>
    <n v="1.519395544"/>
  </r>
  <r>
    <x v="3"/>
    <x v="2"/>
    <x v="2"/>
    <x v="7"/>
    <x v="34"/>
    <n v="8.5450876929999993"/>
    <n v="9.4015911039999995"/>
    <n v="0.1774763"/>
    <n v="7.6211967779999998"/>
  </r>
  <r>
    <x v="3"/>
    <x v="3"/>
    <x v="0"/>
    <x v="7"/>
    <x v="34"/>
    <n v="3.126695035"/>
    <n v="3.440094389"/>
    <n v="1.4011366000000001E-2"/>
    <n v="3.126695035"/>
  </r>
  <r>
    <x v="3"/>
    <x v="1"/>
    <x v="0"/>
    <x v="7"/>
    <x v="34"/>
    <n v="2.1742048660000002"/>
    <n v="2.3921328669999999"/>
    <n v="0.59958635000000005"/>
    <n v="2.0511106890000002"/>
  </r>
  <r>
    <x v="3"/>
    <x v="1"/>
    <x v="2"/>
    <x v="7"/>
    <x v="34"/>
    <n v="5.9223615450000002"/>
    <n v="6.51598013"/>
    <n v="0.77804419999999996"/>
    <n v="5.5870627730000004"/>
  </r>
  <r>
    <x v="3"/>
    <x v="1"/>
    <x v="1"/>
    <x v="7"/>
    <x v="34"/>
    <n v="316.28272370000002"/>
    <n v="347.98482460000002"/>
    <n v="66.021217730000004"/>
    <n v="298.37614910000002"/>
  </r>
  <r>
    <x v="3"/>
    <x v="3"/>
    <x v="3"/>
    <x v="7"/>
    <x v="34"/>
    <n v="4.6862084749999999"/>
    <n v="5.1559232030000004"/>
    <n v="2.1812939999999999E-3"/>
    <n v="4.6862084749999999"/>
  </r>
  <r>
    <x v="3"/>
    <x v="0"/>
    <x v="3"/>
    <x v="7"/>
    <x v="34"/>
    <n v="7.6268360829999997"/>
    <n v="8.3912999900000003"/>
    <n v="0.113738055"/>
    <n v="7.067044364"/>
  </r>
  <r>
    <x v="3"/>
    <x v="0"/>
    <x v="0"/>
    <x v="7"/>
    <x v="34"/>
    <n v="0.79714302999999997"/>
    <n v="0.87704340599999997"/>
    <n v="1.2062395E-2"/>
    <n v="0.73863461799999997"/>
  </r>
  <r>
    <x v="3"/>
    <x v="0"/>
    <x v="2"/>
    <x v="7"/>
    <x v="34"/>
    <n v="30.346401279999998"/>
    <n v="33.388125029999998"/>
    <n v="0.49307158299999998"/>
    <n v="28.11904724"/>
  </r>
  <r>
    <x v="3"/>
    <x v="2"/>
    <x v="0"/>
    <x v="7"/>
    <x v="34"/>
    <n v="1.989910735"/>
    <n v="2.189366304"/>
    <n v="5.4336999999999996E-3"/>
    <n v="1.77476251"/>
  </r>
  <r>
    <x v="3"/>
    <x v="1"/>
    <x v="3"/>
    <x v="7"/>
    <x v="34"/>
    <n v="122.68019719999999"/>
    <n v="134.9768536"/>
    <n v="26.197774379999998"/>
    <n v="115.7345693"/>
  </r>
  <r>
    <x v="3"/>
    <x v="1"/>
    <x v="0"/>
    <x v="10"/>
    <x v="35"/>
    <n v="0.71391801600000004"/>
    <n v="0.78547646400000004"/>
    <n v="0.1968791"/>
    <n v="0.67349903200000005"/>
  </r>
  <r>
    <x v="3"/>
    <x v="1"/>
    <x v="2"/>
    <x v="10"/>
    <x v="35"/>
    <n v="1.94465603"/>
    <n v="2.1395755649999999"/>
    <n v="0.25547720000000002"/>
    <n v="1.8345579249999999"/>
  </r>
  <r>
    <x v="3"/>
    <x v="1"/>
    <x v="3"/>
    <x v="10"/>
    <x v="35"/>
    <n v="40.283049830000003"/>
    <n v="44.320757899999997"/>
    <n v="8.6022542729999998"/>
    <n v="38.002395890000003"/>
  </r>
  <r>
    <x v="3"/>
    <x v="0"/>
    <x v="2"/>
    <x v="10"/>
    <x v="35"/>
    <n v="9.9644899720000009"/>
    <n v="10.96326494"/>
    <n v="0.16190410199999999"/>
    <n v="9.2331199900000005"/>
  </r>
  <r>
    <x v="3"/>
    <x v="0"/>
    <x v="0"/>
    <x v="10"/>
    <x v="35"/>
    <n v="0.26174845699999999"/>
    <n v="0.28798440199999997"/>
    <n v="3.960786E-3"/>
    <n v="0.24253674"/>
  </r>
  <r>
    <x v="3"/>
    <x v="0"/>
    <x v="3"/>
    <x v="10"/>
    <x v="35"/>
    <n v="2.504334236"/>
    <n v="2.7553522350000001"/>
    <n v="3.7346824000000001E-2"/>
    <n v="2.3205220299999998"/>
  </r>
  <r>
    <x v="3"/>
    <x v="3"/>
    <x v="0"/>
    <x v="10"/>
    <x v="35"/>
    <n v="1.026675982"/>
    <n v="1.1295832320000001"/>
    <n v="4.6007469999999996E-3"/>
    <n v="1.026675982"/>
  </r>
  <r>
    <x v="3"/>
    <x v="3"/>
    <x v="3"/>
    <x v="10"/>
    <x v="35"/>
    <n v="1.5387550219999999"/>
    <n v="1.692989708"/>
    <n v="7.1624600000000003E-4"/>
    <n v="1.5387550219999999"/>
  </r>
  <r>
    <x v="3"/>
    <x v="2"/>
    <x v="2"/>
    <x v="10"/>
    <x v="35"/>
    <n v="2.8058496900000001"/>
    <n v="3.0870896160000001"/>
    <n v="5.8275800000000003E-2"/>
    <n v="2.5024825239999999"/>
  </r>
  <r>
    <x v="3"/>
    <x v="2"/>
    <x v="0"/>
    <x v="10"/>
    <x v="35"/>
    <n v="0.65340352499999999"/>
    <n v="0.71889639800000005"/>
    <n v="1.7841999999999999E-3"/>
    <n v="0.582757839"/>
  </r>
  <r>
    <x v="3"/>
    <x v="1"/>
    <x v="1"/>
    <x v="10"/>
    <x v="35"/>
    <n v="103.8540287"/>
    <n v="114.2636737"/>
    <n v="21.67860881"/>
    <n v="97.974257919999999"/>
  </r>
  <r>
    <x v="3"/>
    <x v="2"/>
    <x v="2"/>
    <x v="2"/>
    <x v="36"/>
    <n v="1.562429767"/>
    <n v="1.875645142"/>
    <n v="2.0058078999999999E-2"/>
    <n v="1.4108893220000001"/>
  </r>
  <r>
    <x v="3"/>
    <x v="0"/>
    <x v="2"/>
    <x v="2"/>
    <x v="36"/>
    <n v="2.997257946"/>
    <n v="3.5981088090000002"/>
    <n v="5.3884056E-2"/>
    <n v="2.7480947630000001"/>
  </r>
  <r>
    <x v="3"/>
    <x v="2"/>
    <x v="0"/>
    <x v="2"/>
    <x v="36"/>
    <n v="0.61626514300000002"/>
    <n v="0.73980587600000003"/>
    <n v="1.2589210000000001E-3"/>
    <n v="0.55649343699999998"/>
  </r>
  <r>
    <x v="3"/>
    <x v="3"/>
    <x v="3"/>
    <x v="2"/>
    <x v="36"/>
    <n v="0.40263749799999998"/>
    <n v="0.48335296900000002"/>
    <n v="2.9978900000000001E-4"/>
    <n v="0.40029720600000002"/>
  </r>
  <r>
    <x v="3"/>
    <x v="3"/>
    <x v="0"/>
    <x v="2"/>
    <x v="36"/>
    <n v="4.3645465120000004"/>
    <n v="5.2394934080000004"/>
    <n v="3.0731259999999998E-3"/>
    <n v="4.3391780019999997"/>
  </r>
  <r>
    <x v="3"/>
    <x v="1"/>
    <x v="1"/>
    <x v="2"/>
    <x v="36"/>
    <n v="38.466916240000003"/>
    <n v="46.178257809999998"/>
    <n v="6.3777657120000004"/>
    <n v="35.817502689999998"/>
  </r>
  <r>
    <x v="3"/>
    <x v="1"/>
    <x v="2"/>
    <x v="2"/>
    <x v="36"/>
    <n v="1.1271876190000001"/>
    <n v="1.353151371"/>
    <n v="7.9381058000000004E-2"/>
    <n v="1.049552434"/>
  </r>
  <r>
    <x v="3"/>
    <x v="1"/>
    <x v="3"/>
    <x v="2"/>
    <x v="36"/>
    <n v="11.938304260000001"/>
    <n v="14.331538520000001"/>
    <n v="2.085230927"/>
    <n v="11.116052099999999"/>
  </r>
  <r>
    <x v="3"/>
    <x v="0"/>
    <x v="0"/>
    <x v="2"/>
    <x v="36"/>
    <n v="6.9694764000000006E-2"/>
    <n v="8.3666253999999995E-2"/>
    <n v="1.0309620000000001E-3"/>
    <n v="6.3901011999999993E-2"/>
  </r>
  <r>
    <x v="3"/>
    <x v="0"/>
    <x v="3"/>
    <x v="2"/>
    <x v="36"/>
    <n v="0.81703417"/>
    <n v="0.98082243700000005"/>
    <n v="1.3083776E-2"/>
    <n v="0.74911381099999996"/>
  </r>
  <r>
    <x v="3"/>
    <x v="1"/>
    <x v="0"/>
    <x v="2"/>
    <x v="36"/>
    <n v="0.45941995400000002"/>
    <n v="0.55151842500000003"/>
    <n v="7.2475669000000006E-2"/>
    <n v="0.427777348"/>
  </r>
  <r>
    <x v="3"/>
    <x v="0"/>
    <x v="3"/>
    <x v="9"/>
    <x v="37"/>
    <n v="7.9572625490000002"/>
    <n v="16.74383031"/>
    <n v="0.15485895299999999"/>
    <n v="7.3542857760000002"/>
  </r>
  <r>
    <x v="3"/>
    <x v="1"/>
    <x v="1"/>
    <x v="9"/>
    <x v="37"/>
    <n v="347.30847260000002"/>
    <n v="730.81340439999997"/>
    <n v="73.070712110000002"/>
    <n v="327.60759460000003"/>
  </r>
  <r>
    <x v="3"/>
    <x v="2"/>
    <x v="0"/>
    <x v="9"/>
    <x v="37"/>
    <n v="0.48657269399999997"/>
    <n v="1.0238559519999999"/>
    <n v="3.1700000000000001E-3"/>
    <n v="0.45043856199999999"/>
  </r>
  <r>
    <x v="3"/>
    <x v="2"/>
    <x v="2"/>
    <x v="9"/>
    <x v="37"/>
    <n v="0.74618794899999996"/>
    <n v="1.570143541"/>
    <n v="2.9829999999999999E-2"/>
    <n v="0.69077412500000002"/>
  </r>
  <r>
    <x v="3"/>
    <x v="3"/>
    <x v="3"/>
    <x v="9"/>
    <x v="37"/>
    <n v="0.41541244599999999"/>
    <n v="0.87411914099999999"/>
    <n v="4.3293100000000001E-4"/>
    <n v="0.41541244599999999"/>
  </r>
  <r>
    <x v="3"/>
    <x v="3"/>
    <x v="0"/>
    <x v="9"/>
    <x v="37"/>
    <n v="2.863679506"/>
    <n v="6.0258114430000003"/>
    <n v="2.5741290000000001E-3"/>
    <n v="2.863679506"/>
  </r>
  <r>
    <x v="3"/>
    <x v="0"/>
    <x v="2"/>
    <x v="9"/>
    <x v="37"/>
    <n v="26.861106750000001"/>
    <n v="56.521675739999999"/>
    <n v="0.42351746000000001"/>
    <n v="24.82565507"/>
  </r>
  <r>
    <x v="3"/>
    <x v="1"/>
    <x v="3"/>
    <x v="9"/>
    <x v="37"/>
    <n v="113.5300848"/>
    <n v="238.8922652"/>
    <n v="26.657223009999999"/>
    <n v="107.0901545"/>
  </r>
  <r>
    <x v="3"/>
    <x v="1"/>
    <x v="2"/>
    <x v="9"/>
    <x v="37"/>
    <n v="6.0006199750000002"/>
    <n v="12.62662405"/>
    <n v="0.77480000000000004"/>
    <n v="5.6602381780000002"/>
  </r>
  <r>
    <x v="3"/>
    <x v="1"/>
    <x v="0"/>
    <x v="9"/>
    <x v="37"/>
    <n v="2.8873840849999999"/>
    <n v="6.0756910910000004"/>
    <n v="0.98016000000000003"/>
    <n v="2.7235988450000002"/>
  </r>
  <r>
    <x v="3"/>
    <x v="0"/>
    <x v="0"/>
    <x v="9"/>
    <x v="37"/>
    <n v="0.75124596799999999"/>
    <n v="1.580786727"/>
    <n v="1.1667927E-2"/>
    <n v="0.69431887000000003"/>
  </r>
  <r>
    <x v="3"/>
    <x v="0"/>
    <x v="2"/>
    <x v="7"/>
    <x v="38"/>
    <n v="4.9822449860000004"/>
    <n v="4.9851238589999998"/>
    <n v="8.0952050999999997E-2"/>
    <n v="4.6165599950000002"/>
  </r>
  <r>
    <x v="3"/>
    <x v="1"/>
    <x v="1"/>
    <x v="7"/>
    <x v="38"/>
    <n v="51.92701435"/>
    <n v="51.957019150000001"/>
    <n v="10.8393044"/>
    <n v="48.98712896"/>
  </r>
  <r>
    <x v="3"/>
    <x v="1"/>
    <x v="2"/>
    <x v="7"/>
    <x v="38"/>
    <n v="0.97232801499999999"/>
    <n v="0.972889852"/>
    <n v="0.12773860000000001"/>
    <n v="0.917278963"/>
  </r>
  <r>
    <x v="3"/>
    <x v="1"/>
    <x v="3"/>
    <x v="7"/>
    <x v="38"/>
    <n v="20.141524910000001"/>
    <n v="20.15316322"/>
    <n v="4.3011271369999999"/>
    <n v="19.001197950000002"/>
  </r>
  <r>
    <x v="3"/>
    <x v="0"/>
    <x v="0"/>
    <x v="7"/>
    <x v="38"/>
    <n v="0.13087422900000001"/>
    <n v="0.13094985100000001"/>
    <n v="1.980393E-3"/>
    <n v="0.12126837"/>
  </r>
  <r>
    <x v="3"/>
    <x v="0"/>
    <x v="3"/>
    <x v="7"/>
    <x v="38"/>
    <n v="1.252167118"/>
    <n v="1.252890654"/>
    <n v="1.8673412E-2"/>
    <n v="1.1602610149999999"/>
  </r>
  <r>
    <x v="3"/>
    <x v="3"/>
    <x v="0"/>
    <x v="7"/>
    <x v="38"/>
    <n v="0.51333799099999999"/>
    <n v="0.51363461099999996"/>
    <n v="2.3003730000000001E-3"/>
    <n v="0.51333799099999999"/>
  </r>
  <r>
    <x v="3"/>
    <x v="2"/>
    <x v="0"/>
    <x v="7"/>
    <x v="38"/>
    <n v="0.32670176200000001"/>
    <n v="0.32689053899999998"/>
    <n v="8.9209999999999995E-4"/>
    <n v="0.29137891999999999"/>
  </r>
  <r>
    <x v="3"/>
    <x v="3"/>
    <x v="3"/>
    <x v="7"/>
    <x v="38"/>
    <n v="0.76937751099999996"/>
    <n v="0.76982207800000002"/>
    <n v="3.5812300000000001E-4"/>
    <n v="0.76937751099999996"/>
  </r>
  <r>
    <x v="3"/>
    <x v="1"/>
    <x v="0"/>
    <x v="7"/>
    <x v="38"/>
    <n v="0.35695900800000002"/>
    <n v="0.35716526799999998"/>
    <n v="9.8439550000000001E-2"/>
    <n v="0.33674951600000003"/>
  </r>
  <r>
    <x v="3"/>
    <x v="2"/>
    <x v="2"/>
    <x v="7"/>
    <x v="38"/>
    <n v="1.402924845"/>
    <n v="1.403735492"/>
    <n v="2.9137900000000001E-2"/>
    <n v="1.251241262"/>
  </r>
  <r>
    <x v="3"/>
    <x v="2"/>
    <x v="3"/>
    <x v="1"/>
    <x v="39"/>
    <n v="0.17968058000000001"/>
    <n v="0.19834796800000001"/>
    <n v="4.602933E-3"/>
    <n v="0.17091324899999999"/>
  </r>
  <r>
    <x v="3"/>
    <x v="1"/>
    <x v="1"/>
    <x v="1"/>
    <x v="39"/>
    <n v="221.87453260000001"/>
    <n v="244.92553799999999"/>
    <n v="39.892693749999999"/>
    <n v="195.64510509999999"/>
  </r>
  <r>
    <x v="3"/>
    <x v="1"/>
    <x v="2"/>
    <x v="1"/>
    <x v="39"/>
    <n v="11.70407586"/>
    <n v="12.92003658"/>
    <n v="0.99078431899999997"/>
    <n v="10.32045059"/>
  </r>
  <r>
    <x v="3"/>
    <x v="1"/>
    <x v="3"/>
    <x v="1"/>
    <x v="39"/>
    <n v="93.458328390000005"/>
    <n v="103.167908"/>
    <n v="15.457947470000001"/>
    <n v="82.409929020000007"/>
  </r>
  <r>
    <x v="3"/>
    <x v="0"/>
    <x v="2"/>
    <x v="1"/>
    <x v="39"/>
    <n v="29.68936553"/>
    <n v="32.773855300000001"/>
    <n v="0.426654902"/>
    <n v="25.001131180000002"/>
  </r>
  <r>
    <x v="3"/>
    <x v="0"/>
    <x v="0"/>
    <x v="1"/>
    <x v="39"/>
    <n v="2.5012412089999998"/>
    <n v="2.7611003460000001"/>
    <n v="4.6609729999999997E-3"/>
    <n v="2.1062713359999998"/>
  </r>
  <r>
    <x v="3"/>
    <x v="0"/>
    <x v="3"/>
    <x v="1"/>
    <x v="39"/>
    <n v="2.0167918189999998"/>
    <n v="2.2263205049999999"/>
    <n v="4.0579698999999997E-2"/>
    <n v="1.6983211309999999"/>
  </r>
  <r>
    <x v="3"/>
    <x v="3"/>
    <x v="0"/>
    <x v="1"/>
    <x v="39"/>
    <n v="11.963465510000001"/>
    <n v="13.206374759999999"/>
    <n v="7.2347929999999998E-3"/>
    <n v="11.542351379999999"/>
  </r>
  <r>
    <x v="3"/>
    <x v="3"/>
    <x v="3"/>
    <x v="1"/>
    <x v="39"/>
    <n v="1.2895077450000001"/>
    <n v="1.4234773789999999"/>
    <n v="7.2402399999999998E-4"/>
    <n v="1.244117057"/>
  </r>
  <r>
    <x v="3"/>
    <x v="2"/>
    <x v="1"/>
    <x v="1"/>
    <x v="39"/>
    <n v="0.52982381599999995"/>
    <n v="0.58486831100000003"/>
    <n v="9.5862589999999998E-3"/>
    <n v="0.50397160100000005"/>
  </r>
  <r>
    <x v="3"/>
    <x v="2"/>
    <x v="2"/>
    <x v="1"/>
    <x v="39"/>
    <n v="5.6118444639999998"/>
    <n v="6.1948706260000002"/>
    <n v="2.8181055E-2"/>
    <n v="5.3380202109999999"/>
  </r>
  <r>
    <x v="3"/>
    <x v="1"/>
    <x v="0"/>
    <x v="10"/>
    <x v="40"/>
    <n v="0.96256567599999998"/>
    <n v="1.4664427209999999"/>
    <n v="0.26612999999999998"/>
    <n v="0.90114349599999999"/>
  </r>
  <r>
    <x v="3"/>
    <x v="1"/>
    <x v="3"/>
    <x v="10"/>
    <x v="40"/>
    <n v="33.620555330000002"/>
    <n v="51.220004899999999"/>
    <n v="10.1248801"/>
    <n v="31.4751975"/>
  </r>
  <r>
    <x v="3"/>
    <x v="0"/>
    <x v="3"/>
    <x v="10"/>
    <x v="40"/>
    <n v="3.8829043539999999"/>
    <n v="5.9154995540000002"/>
    <n v="6.6068128000000004E-2"/>
    <n v="3.6014835129999998"/>
  </r>
  <r>
    <x v="3"/>
    <x v="3"/>
    <x v="0"/>
    <x v="10"/>
    <x v="40"/>
    <n v="4.7818545400000003"/>
    <n v="7.2850258019999998"/>
    <n v="7.8336389999999999E-3"/>
    <n v="4.7818545400000003"/>
  </r>
  <r>
    <x v="3"/>
    <x v="3"/>
    <x v="3"/>
    <x v="10"/>
    <x v="40"/>
    <n v="16.248479880000001"/>
    <n v="24.754118760000001"/>
    <n v="7.1903879999999998E-3"/>
    <n v="16.248479880000001"/>
  </r>
  <r>
    <x v="3"/>
    <x v="2"/>
    <x v="2"/>
    <x v="10"/>
    <x v="40"/>
    <n v="2.0963272900000001"/>
    <n v="3.1936978140000001"/>
    <n v="3.8679999999999999E-2"/>
    <n v="1.9749317790000001"/>
  </r>
  <r>
    <x v="3"/>
    <x v="2"/>
    <x v="0"/>
    <x v="10"/>
    <x v="40"/>
    <n v="2.2351427770000001"/>
    <n v="3.4051794480000002"/>
    <n v="2.32E-3"/>
    <n v="2.1057086479999998"/>
  </r>
  <r>
    <x v="3"/>
    <x v="0"/>
    <x v="2"/>
    <x v="10"/>
    <x v="40"/>
    <n v="14.491617270000001"/>
    <n v="22.077586180000001"/>
    <n v="0.232068723"/>
    <n v="13.441309889999999"/>
  </r>
  <r>
    <x v="3"/>
    <x v="0"/>
    <x v="0"/>
    <x v="10"/>
    <x v="40"/>
    <n v="0.378828216"/>
    <n v="0.57713452099999996"/>
    <n v="6.0041280000000001E-3"/>
    <n v="0.351371924"/>
  </r>
  <r>
    <x v="3"/>
    <x v="1"/>
    <x v="1"/>
    <x v="10"/>
    <x v="40"/>
    <n v="105.59874430000001"/>
    <n v="160.87682509999999"/>
    <n v="25.486419919999999"/>
    <n v="98.860393590000001"/>
  </r>
  <r>
    <x v="3"/>
    <x v="1"/>
    <x v="2"/>
    <x v="10"/>
    <x v="40"/>
    <n v="4.1829052080000002"/>
    <n v="6.3725427249999997"/>
    <n v="0.42090499999999997"/>
    <n v="3.91599027"/>
  </r>
  <r>
    <x v="3"/>
    <x v="0"/>
    <x v="2"/>
    <x v="1"/>
    <x v="41"/>
    <n v="144.52034180000001"/>
    <n v="153.19141859999999"/>
    <n v="1.9394386669999999"/>
    <n v="123.7385659"/>
  </r>
  <r>
    <x v="3"/>
    <x v="1"/>
    <x v="3"/>
    <x v="1"/>
    <x v="41"/>
    <n v="117.08094699999999"/>
    <n v="124.1056875"/>
    <n v="22.777319729999999"/>
    <n v="106.7537777"/>
  </r>
  <r>
    <x v="3"/>
    <x v="1"/>
    <x v="2"/>
    <x v="1"/>
    <x v="41"/>
    <n v="16.351682279999999"/>
    <n v="17.332766970000002"/>
    <n v="1.5600486490000001"/>
    <n v="14.90937594"/>
  </r>
  <r>
    <x v="3"/>
    <x v="1"/>
    <x v="1"/>
    <x v="1"/>
    <x v="41"/>
    <n v="437.01016440000001"/>
    <n v="463.23034000000001"/>
    <n v="100.25236409999999"/>
    <n v="398.46351700000002"/>
  </r>
  <r>
    <x v="3"/>
    <x v="2"/>
    <x v="2"/>
    <x v="1"/>
    <x v="41"/>
    <n v="90.082702449999999"/>
    <n v="95.487575070000005"/>
    <n v="1.4753855760000001"/>
    <n v="82.8574287"/>
  </r>
  <r>
    <x v="3"/>
    <x v="2"/>
    <x v="1"/>
    <x v="1"/>
    <x v="41"/>
    <n v="1.2935769370000001"/>
    <n v="1.3711902680000001"/>
    <n v="3.6989029999999999E-2"/>
    <n v="1.189822862"/>
  </r>
  <r>
    <x v="3"/>
    <x v="3"/>
    <x v="3"/>
    <x v="1"/>
    <x v="41"/>
    <n v="0.10391545200000001"/>
    <n v="0.11015027600000001"/>
    <n v="2.9973700000000001E-4"/>
    <n v="0.10391545200000001"/>
  </r>
  <r>
    <x v="3"/>
    <x v="3"/>
    <x v="0"/>
    <x v="1"/>
    <x v="41"/>
    <n v="2.7385393169999999"/>
    <n v="2.9028489550000001"/>
    <n v="2.7873059999999998E-3"/>
    <n v="2.7385393169999999"/>
  </r>
  <r>
    <x v="3"/>
    <x v="0"/>
    <x v="3"/>
    <x v="1"/>
    <x v="41"/>
    <n v="12.583071410000001"/>
    <n v="13.33804319"/>
    <n v="0.36788063500000001"/>
    <n v="10.77364744"/>
  </r>
  <r>
    <x v="3"/>
    <x v="2"/>
    <x v="3"/>
    <x v="1"/>
    <x v="41"/>
    <n v="0.77614616199999997"/>
    <n v="0.82271416100000005"/>
    <n v="2.2193417E-2"/>
    <n v="0.71389371700000004"/>
  </r>
  <r>
    <x v="3"/>
    <x v="0"/>
    <x v="0"/>
    <x v="1"/>
    <x v="41"/>
    <n v="5.0318117280000001"/>
    <n v="5.3337154309999999"/>
    <n v="1.4116187000000001E-2"/>
    <n v="4.3082458810000004"/>
  </r>
  <r>
    <x v="3"/>
    <x v="2"/>
    <x v="0"/>
    <x v="2"/>
    <x v="42"/>
    <n v="0.28446944699999999"/>
    <n v="0.341496142"/>
    <n v="2.8317640000000001E-3"/>
    <n v="0.25305194600000003"/>
  </r>
  <r>
    <x v="3"/>
    <x v="3"/>
    <x v="0"/>
    <x v="2"/>
    <x v="42"/>
    <n v="34.519455540000003"/>
    <n v="41.439462089999999"/>
    <n v="1.8819144999999999E-2"/>
    <n v="34.517692199999999"/>
  </r>
  <r>
    <x v="3"/>
    <x v="0"/>
    <x v="3"/>
    <x v="2"/>
    <x v="42"/>
    <n v="3.3021929559999998"/>
    <n v="3.96417318"/>
    <n v="6.3143656000000006E-2"/>
    <n v="2.9994837360000002"/>
  </r>
  <r>
    <x v="3"/>
    <x v="0"/>
    <x v="0"/>
    <x v="2"/>
    <x v="42"/>
    <n v="0.26566003399999999"/>
    <n v="0.318916064"/>
    <n v="4.3103710000000003E-3"/>
    <n v="0.241307204"/>
  </r>
  <r>
    <x v="3"/>
    <x v="0"/>
    <x v="2"/>
    <x v="2"/>
    <x v="42"/>
    <n v="10.82874692"/>
    <n v="12.99955171"/>
    <n v="0.187745623"/>
    <n v="9.8360848959999991"/>
  </r>
  <r>
    <x v="3"/>
    <x v="1"/>
    <x v="3"/>
    <x v="2"/>
    <x v="42"/>
    <n v="101.3991084"/>
    <n v="121.7262684"/>
    <n v="18.066230220000001"/>
    <n v="94.198747679999997"/>
  </r>
  <r>
    <x v="3"/>
    <x v="1"/>
    <x v="0"/>
    <x v="2"/>
    <x v="42"/>
    <n v="3.5396426729999999"/>
    <n v="4.2492236940000003"/>
    <n v="0.64341367400000005"/>
    <n v="3.2882922950000002"/>
  </r>
  <r>
    <x v="3"/>
    <x v="1"/>
    <x v="2"/>
    <x v="2"/>
    <x v="42"/>
    <n v="12.93569402"/>
    <n v="15.528871860000001"/>
    <n v="0.84102892299999998"/>
    <n v="12.0171291"/>
  </r>
  <r>
    <x v="3"/>
    <x v="1"/>
    <x v="1"/>
    <x v="2"/>
    <x v="42"/>
    <n v="311.4034173"/>
    <n v="373.8294798"/>
    <n v="60.845377509999999"/>
    <n v="289.29062970000001"/>
  </r>
  <r>
    <x v="3"/>
    <x v="3"/>
    <x v="3"/>
    <x v="2"/>
    <x v="42"/>
    <n v="3.3569505579999999"/>
    <n v="4.0299078660000003"/>
    <n v="1.9268779999999999E-3"/>
    <n v="3.3567790770000001"/>
  </r>
  <r>
    <x v="3"/>
    <x v="2"/>
    <x v="2"/>
    <x v="2"/>
    <x v="42"/>
    <n v="6.0409747779999998"/>
    <n v="7.2519899700000003"/>
    <n v="0.14374193599999999"/>
    <n v="5.3737947500000001"/>
  </r>
  <r>
    <x v="3"/>
    <x v="3"/>
    <x v="3"/>
    <x v="2"/>
    <x v="43"/>
    <n v="1.326809822"/>
    <n v="1.744123299"/>
    <n v="1.004738E-3"/>
    <n v="1.326809822"/>
  </r>
  <r>
    <x v="3"/>
    <x v="1"/>
    <x v="2"/>
    <x v="2"/>
    <x v="43"/>
    <n v="6.5230826979999996"/>
    <n v="8.5747484889999992"/>
    <n v="0.59770999999999996"/>
    <n v="6.0554782810000001"/>
  </r>
  <r>
    <x v="3"/>
    <x v="2"/>
    <x v="0"/>
    <x v="2"/>
    <x v="43"/>
    <n v="0.44014473399999998"/>
    <n v="0.57858079799999995"/>
    <n v="3.4399999999999999E-3"/>
    <n v="0.38520115599999999"/>
  </r>
  <r>
    <x v="3"/>
    <x v="2"/>
    <x v="2"/>
    <x v="2"/>
    <x v="43"/>
    <n v="9.0899699050000002"/>
    <n v="11.948983220000001"/>
    <n v="5.9560000000000002E-2"/>
    <n v="7.9552625450000001"/>
  </r>
  <r>
    <x v="3"/>
    <x v="3"/>
    <x v="0"/>
    <x v="2"/>
    <x v="43"/>
    <n v="14.77900563"/>
    <n v="19.427356979999999"/>
    <n v="8.4334349999999995E-3"/>
    <n v="14.77900563"/>
  </r>
  <r>
    <x v="3"/>
    <x v="0"/>
    <x v="3"/>
    <x v="2"/>
    <x v="43"/>
    <n v="1.754459118"/>
    <n v="2.3062785450000001"/>
    <n v="2.8302435000000001E-2"/>
    <n v="1.5964353650000001"/>
  </r>
  <r>
    <x v="3"/>
    <x v="0"/>
    <x v="0"/>
    <x v="2"/>
    <x v="43"/>
    <n v="0.142843308"/>
    <n v="0.18777094999999999"/>
    <n v="2.0656300000000002E-3"/>
    <n v="0.129977442"/>
  </r>
  <r>
    <x v="3"/>
    <x v="0"/>
    <x v="2"/>
    <x v="2"/>
    <x v="43"/>
    <n v="5.2840702720000001"/>
    <n v="6.9460369699999998"/>
    <n v="0.12186033"/>
    <n v="4.8081352070000003"/>
  </r>
  <r>
    <x v="3"/>
    <x v="1"/>
    <x v="3"/>
    <x v="2"/>
    <x v="43"/>
    <n v="56.505415849999999"/>
    <n v="74.277722909999994"/>
    <n v="11.661685070000001"/>
    <n v="52.454849080000002"/>
  </r>
  <r>
    <x v="3"/>
    <x v="1"/>
    <x v="0"/>
    <x v="2"/>
    <x v="43"/>
    <n v="1.941051453"/>
    <n v="2.551558639"/>
    <n v="0.308"/>
    <n v="1.8019080030000001"/>
  </r>
  <r>
    <x v="3"/>
    <x v="1"/>
    <x v="1"/>
    <x v="2"/>
    <x v="43"/>
    <n v="219.27277219999999"/>
    <n v="288.23931240000002"/>
    <n v="38.780963620000001"/>
    <n v="203.55429649999999"/>
  </r>
  <r>
    <x v="3"/>
    <x v="3"/>
    <x v="3"/>
    <x v="2"/>
    <x v="44"/>
    <n v="2.2673688890000001"/>
    <n v="2.410511262"/>
    <n v="1.6112240000000001E-3"/>
    <n v="2.2631587519999998"/>
  </r>
  <r>
    <x v="3"/>
    <x v="1"/>
    <x v="1"/>
    <x v="2"/>
    <x v="44"/>
    <n v="194.97668730000001"/>
    <n v="207.28585580000001"/>
    <n v="34.664761349999999"/>
    <n v="180.3357523"/>
  </r>
  <r>
    <x v="3"/>
    <x v="1"/>
    <x v="2"/>
    <x v="2"/>
    <x v="44"/>
    <n v="4.9835605059999999"/>
    <n v="5.2981800979999996"/>
    <n v="0.45760758899999998"/>
    <n v="4.6093414839999998"/>
  </r>
  <r>
    <x v="3"/>
    <x v="1"/>
    <x v="0"/>
    <x v="2"/>
    <x v="44"/>
    <n v="2.3887138929999998"/>
    <n v="2.5395169559999999"/>
    <n v="0.47857438400000002"/>
    <n v="2.2093437059999999"/>
  </r>
  <r>
    <x v="3"/>
    <x v="1"/>
    <x v="3"/>
    <x v="2"/>
    <x v="44"/>
    <n v="58.41250402"/>
    <n v="62.100172329999999"/>
    <n v="11.52418009"/>
    <n v="54.02626849"/>
  </r>
  <r>
    <x v="3"/>
    <x v="0"/>
    <x v="2"/>
    <x v="2"/>
    <x v="44"/>
    <n v="22.8496615"/>
    <n v="24.292194640000002"/>
    <n v="0.35112366099999998"/>
    <n v="20.729635399999999"/>
  </r>
  <r>
    <x v="3"/>
    <x v="0"/>
    <x v="0"/>
    <x v="2"/>
    <x v="44"/>
    <n v="0.66546983500000001"/>
    <n v="0.70748193599999998"/>
    <n v="9.3060069999999998E-3"/>
    <n v="0.60372653899999995"/>
  </r>
  <r>
    <x v="3"/>
    <x v="3"/>
    <x v="0"/>
    <x v="2"/>
    <x v="44"/>
    <n v="17.503168760000001"/>
    <n v="18.608169849999999"/>
    <n v="1.3458998E-2"/>
    <n v="17.470668209999999"/>
  </r>
  <r>
    <x v="3"/>
    <x v="2"/>
    <x v="2"/>
    <x v="2"/>
    <x v="44"/>
    <n v="4.5875929839999996"/>
    <n v="4.8772145570000003"/>
    <n v="5.2325439000000001E-2"/>
    <n v="4.0187165279999997"/>
  </r>
  <r>
    <x v="3"/>
    <x v="2"/>
    <x v="0"/>
    <x v="2"/>
    <x v="44"/>
    <n v="10.46894983"/>
    <n v="11.12987021"/>
    <n v="9.0359610000000003E-3"/>
    <n v="9.1707659909999997"/>
  </r>
  <r>
    <x v="3"/>
    <x v="0"/>
    <x v="3"/>
    <x v="2"/>
    <x v="44"/>
    <n v="8.3919646409999995"/>
    <n v="8.9217618590000001"/>
    <n v="0.131540355"/>
    <n v="7.6133454880000002"/>
  </r>
  <r>
    <x v="3"/>
    <x v="1"/>
    <x v="2"/>
    <x v="4"/>
    <x v="45"/>
    <n v="3.772945499"/>
    <n v="4.098288707"/>
    <n v="0.17046959"/>
    <n v="3.388759378"/>
  </r>
  <r>
    <x v="3"/>
    <x v="0"/>
    <x v="3"/>
    <x v="4"/>
    <x v="45"/>
    <n v="2.5684223780000002"/>
    <n v="2.7898988810000001"/>
    <n v="7.6466287999999993E-2"/>
    <n v="2.1481455920000001"/>
  </r>
  <r>
    <x v="3"/>
    <x v="2"/>
    <x v="1"/>
    <x v="4"/>
    <x v="45"/>
    <n v="1.411291874"/>
    <n v="1.5329883639999999"/>
    <n v="2.6251022999999998E-2"/>
    <n v="1.2036001080000001"/>
  </r>
  <r>
    <x v="3"/>
    <x v="0"/>
    <x v="2"/>
    <x v="4"/>
    <x v="45"/>
    <n v="26.54340633"/>
    <n v="28.83225916"/>
    <n v="0.39213751000000002"/>
    <n v="22.20004848"/>
  </r>
  <r>
    <x v="3"/>
    <x v="2"/>
    <x v="2"/>
    <x v="4"/>
    <x v="45"/>
    <n v="1.4156160739999999"/>
    <n v="1.537685443"/>
    <n v="2.9232507000000001E-2"/>
    <n v="1.2072879409999999"/>
  </r>
  <r>
    <x v="3"/>
    <x v="1"/>
    <x v="3"/>
    <x v="4"/>
    <x v="45"/>
    <n v="50.210768649999999"/>
    <n v="54.540471410000002"/>
    <n v="13.94811655"/>
    <n v="45.097977999999998"/>
  </r>
  <r>
    <x v="3"/>
    <x v="3"/>
    <x v="3"/>
    <x v="4"/>
    <x v="45"/>
    <n v="0.53249673200000003"/>
    <n v="0.57841422399999998"/>
    <n v="3.3646099999999998E-4"/>
    <n v="0.53249673200000003"/>
  </r>
  <r>
    <x v="3"/>
    <x v="3"/>
    <x v="0"/>
    <x v="4"/>
    <x v="45"/>
    <n v="7.5457315170000001"/>
    <n v="8.1964041810000001"/>
    <n v="5.2525710000000001E-3"/>
    <n v="7.5457315170000001"/>
  </r>
  <r>
    <x v="3"/>
    <x v="1"/>
    <x v="1"/>
    <x v="4"/>
    <x v="45"/>
    <n v="176.1722164"/>
    <n v="191.36364549999999"/>
    <n v="49.189736889999999"/>
    <n v="158.23320279999999"/>
  </r>
  <r>
    <x v="3"/>
    <x v="0"/>
    <x v="0"/>
    <x v="4"/>
    <x v="45"/>
    <n v="1.566164879"/>
    <n v="1.701216155"/>
    <n v="2.1818900000000001E-3"/>
    <n v="1.309889764"/>
  </r>
  <r>
    <x v="3"/>
    <x v="2"/>
    <x v="1"/>
    <x v="6"/>
    <x v="46"/>
    <n v="0.85206963199999997"/>
    <n v="0.97880874699999998"/>
    <n v="1.5659843E-2"/>
    <n v="0.71005802699999998"/>
  </r>
  <r>
    <x v="3"/>
    <x v="2"/>
    <x v="2"/>
    <x v="6"/>
    <x v="46"/>
    <n v="2.7348246120000002"/>
    <n v="3.141609737"/>
    <n v="3.805215E-2"/>
    <n v="2.2790205100000001"/>
  </r>
  <r>
    <x v="3"/>
    <x v="2"/>
    <x v="3"/>
    <x v="6"/>
    <x v="46"/>
    <n v="0.26662783600000001"/>
    <n v="0.30628677300000001"/>
    <n v="5.4547440000000001E-3"/>
    <n v="0.22218986299999999"/>
  </r>
  <r>
    <x v="3"/>
    <x v="1"/>
    <x v="2"/>
    <x v="6"/>
    <x v="46"/>
    <n v="3.077185821"/>
    <n v="3.5348946680000002"/>
    <n v="0.50959659800000001"/>
    <n v="2.78698259"/>
  </r>
  <r>
    <x v="3"/>
    <x v="1"/>
    <x v="3"/>
    <x v="6"/>
    <x v="46"/>
    <n v="38.898397009999996"/>
    <n v="44.684248599999997"/>
    <n v="8.4117375200000009"/>
    <n v="35.229967109999997"/>
  </r>
  <r>
    <x v="3"/>
    <x v="0"/>
    <x v="2"/>
    <x v="6"/>
    <x v="46"/>
    <n v="14.40393952"/>
    <n v="16.546420000000001"/>
    <n v="0.40945416099999998"/>
    <n v="12.50160417"/>
  </r>
  <r>
    <x v="3"/>
    <x v="0"/>
    <x v="0"/>
    <x v="6"/>
    <x v="46"/>
    <n v="2.3573881079999999"/>
    <n v="2.708032319"/>
    <n v="2.9892569999999999E-3"/>
    <n v="2.0460467050000002"/>
  </r>
  <r>
    <x v="3"/>
    <x v="0"/>
    <x v="3"/>
    <x v="6"/>
    <x v="46"/>
    <n v="0.42395112899999998"/>
    <n v="0.48701075399999999"/>
    <n v="1.9544153000000002E-2"/>
    <n v="0.367959696"/>
  </r>
  <r>
    <x v="3"/>
    <x v="3"/>
    <x v="0"/>
    <x v="6"/>
    <x v="46"/>
    <n v="1.9164212789999999"/>
    <n v="2.201474905"/>
    <n v="9.8587499999999999E-4"/>
    <n v="1.9164212789999999"/>
  </r>
  <r>
    <x v="3"/>
    <x v="3"/>
    <x v="3"/>
    <x v="6"/>
    <x v="46"/>
    <n v="2.6955116000000001E-2"/>
    <n v="3.0964492E-2"/>
    <n v="1.3867E-5"/>
    <n v="2.6955116000000001E-2"/>
  </r>
  <r>
    <x v="3"/>
    <x v="1"/>
    <x v="1"/>
    <x v="6"/>
    <x v="46"/>
    <n v="109.7641711"/>
    <n v="126.0907874"/>
    <n v="28.797616640000001"/>
    <n v="99.412531970000003"/>
  </r>
  <r>
    <x v="3"/>
    <x v="1"/>
    <x v="1"/>
    <x v="7"/>
    <x v="47"/>
    <n v="114.6673969"/>
    <n v="182.0179024"/>
    <n v="28.022136329999999"/>
    <n v="106.5442127"/>
  </r>
  <r>
    <x v="3"/>
    <x v="1"/>
    <x v="0"/>
    <x v="7"/>
    <x v="47"/>
    <n v="0.68699100599999996"/>
    <n v="1.0904988280000001"/>
    <n v="0.231265"/>
    <n v="0.63832369"/>
  </r>
  <r>
    <x v="3"/>
    <x v="2"/>
    <x v="0"/>
    <x v="7"/>
    <x v="47"/>
    <n v="1.2678681000000001E-2"/>
    <n v="2.0125570999999998E-2"/>
    <n v="3.0000000000000001E-5"/>
    <n v="1.102494E-2"/>
  </r>
  <r>
    <x v="3"/>
    <x v="2"/>
    <x v="2"/>
    <x v="7"/>
    <x v="47"/>
    <n v="2.6978049890000002"/>
    <n v="4.2823750990000002"/>
    <n v="1.4970000000000001E-2"/>
    <n v="2.3459173820000001"/>
  </r>
  <r>
    <x v="3"/>
    <x v="3"/>
    <x v="3"/>
    <x v="7"/>
    <x v="47"/>
    <n v="2.2116476299999999"/>
    <n v="3.5106706289999998"/>
    <n v="1.710715E-3"/>
    <n v="2.2116476299999999"/>
  </r>
  <r>
    <x v="3"/>
    <x v="3"/>
    <x v="0"/>
    <x v="7"/>
    <x v="47"/>
    <n v="30.29945653"/>
    <n v="48.096003490000001"/>
    <n v="3.5324867000000003E-2"/>
    <n v="30.29945653"/>
  </r>
  <r>
    <x v="3"/>
    <x v="0"/>
    <x v="3"/>
    <x v="7"/>
    <x v="47"/>
    <n v="1.940972581"/>
    <n v="3.08101315"/>
    <n v="3.1268495E-2"/>
    <n v="1.7983289389999999"/>
  </r>
  <r>
    <x v="3"/>
    <x v="0"/>
    <x v="0"/>
    <x v="7"/>
    <x v="47"/>
    <n v="0.20051100199999999"/>
    <n v="0.31828220499999998"/>
    <n v="3.1273659999999999E-3"/>
    <n v="0.18577528600000001"/>
  </r>
  <r>
    <x v="3"/>
    <x v="0"/>
    <x v="2"/>
    <x v="7"/>
    <x v="47"/>
    <n v="7.2173112250000004"/>
    <n v="11.456437360000001"/>
    <n v="0.123851235"/>
    <n v="6.6869051959999997"/>
  </r>
  <r>
    <x v="3"/>
    <x v="1"/>
    <x v="3"/>
    <x v="7"/>
    <x v="47"/>
    <n v="37.482479720000001"/>
    <n v="59.498013550000003"/>
    <n v="8.6287840740000004"/>
    <n v="34.827173190000003"/>
  </r>
  <r>
    <x v="3"/>
    <x v="1"/>
    <x v="2"/>
    <x v="7"/>
    <x v="47"/>
    <n v="4.2454856330000004"/>
    <n v="6.7390942010000003"/>
    <n v="0.44531999999999999"/>
    <n v="3.9447300319999998"/>
  </r>
  <r>
    <x v="3"/>
    <x v="2"/>
    <x v="0"/>
    <x v="2"/>
    <x v="48"/>
    <n v="25.417746609999998"/>
    <n v="29.441823339999999"/>
    <n v="4.7080412000000002E-2"/>
    <n v="22.127850540000001"/>
  </r>
  <r>
    <x v="3"/>
    <x v="2"/>
    <x v="2"/>
    <x v="2"/>
    <x v="48"/>
    <n v="8.2240209340000003"/>
    <n v="9.5260282200000006"/>
    <n v="0.14020518800000001"/>
    <n v="7.1595609490000003"/>
  </r>
  <r>
    <x v="3"/>
    <x v="3"/>
    <x v="3"/>
    <x v="2"/>
    <x v="48"/>
    <n v="3.9963942179999998"/>
    <n v="4.6290937730000001"/>
    <n v="2.823042E-3"/>
    <n v="3.9778009879999998"/>
  </r>
  <r>
    <x v="3"/>
    <x v="3"/>
    <x v="0"/>
    <x v="2"/>
    <x v="48"/>
    <n v="47.071554200000001"/>
    <n v="54.52380986"/>
    <n v="2.5854984000000001E-2"/>
    <n v="46.852553729999997"/>
  </r>
  <r>
    <x v="3"/>
    <x v="0"/>
    <x v="3"/>
    <x v="2"/>
    <x v="48"/>
    <n v="15.14309059"/>
    <n v="17.5405084"/>
    <n v="0.239398112"/>
    <n v="14.5819376"/>
  </r>
  <r>
    <x v="3"/>
    <x v="0"/>
    <x v="0"/>
    <x v="2"/>
    <x v="48"/>
    <n v="1.257096285"/>
    <n v="1.4561167559999999"/>
    <n v="1.8200773E-2"/>
    <n v="1.210512443"/>
  </r>
  <r>
    <x v="3"/>
    <x v="0"/>
    <x v="2"/>
    <x v="2"/>
    <x v="48"/>
    <n v="147.7299299"/>
    <n v="171.11817830000001"/>
    <n v="3.6369892419999998"/>
    <n v="142.25554589999999"/>
  </r>
  <r>
    <x v="3"/>
    <x v="1"/>
    <x v="3"/>
    <x v="2"/>
    <x v="48"/>
    <n v="363.54600799999997"/>
    <n v="421.10174080000002"/>
    <n v="77.735241259999995"/>
    <n v="342.37879249999997"/>
  </r>
  <r>
    <x v="3"/>
    <x v="1"/>
    <x v="0"/>
    <x v="2"/>
    <x v="48"/>
    <n v="20.951998570000001"/>
    <n v="24.269068780000001"/>
    <n v="1.725014939"/>
    <n v="19.732082909999999"/>
  </r>
  <r>
    <x v="3"/>
    <x v="1"/>
    <x v="1"/>
    <x v="2"/>
    <x v="48"/>
    <n v="1182.348369"/>
    <n v="1369.53493"/>
    <n v="198.9014353"/>
    <n v="1113.5069510000001"/>
  </r>
  <r>
    <x v="3"/>
    <x v="1"/>
    <x v="2"/>
    <x v="2"/>
    <x v="48"/>
    <n v="41.155805649999998"/>
    <n v="47.671494180000003"/>
    <n v="2.49094829"/>
    <n v="38.759537260000002"/>
  </r>
  <r>
    <x v="3"/>
    <x v="2"/>
    <x v="0"/>
    <x v="3"/>
    <x v="49"/>
    <n v="99.056118190000007"/>
    <n v="99.056118190000007"/>
    <n v="0.31060765499999998"/>
    <n v="92.367485770000002"/>
  </r>
  <r>
    <x v="3"/>
    <x v="1"/>
    <x v="1"/>
    <x v="3"/>
    <x v="49"/>
    <n v="10439.46587"/>
    <n v="10439.46587"/>
    <n v="1979.2594409999999"/>
    <n v="10126.861790000001"/>
  </r>
  <r>
    <x v="3"/>
    <x v="3"/>
    <x v="3"/>
    <x v="3"/>
    <x v="49"/>
    <n v="167.9601888"/>
    <n v="167.9601888"/>
    <n v="9.6107816999999998E-2"/>
    <n v="151.34150829999999"/>
  </r>
  <r>
    <x v="3"/>
    <x v="3"/>
    <x v="0"/>
    <x v="3"/>
    <x v="49"/>
    <n v="1475.5269639999999"/>
    <n v="1475.5269639999999"/>
    <n v="0.80035302100000005"/>
    <n v="1329.5321819999999"/>
  </r>
  <r>
    <x v="3"/>
    <x v="2"/>
    <x v="2"/>
    <x v="3"/>
    <x v="49"/>
    <n v="65.118702049999996"/>
    <n v="65.118702049999996"/>
    <n v="1.445986717"/>
    <n v="60.721648450000004"/>
  </r>
  <r>
    <x v="3"/>
    <x v="1"/>
    <x v="2"/>
    <x v="3"/>
    <x v="49"/>
    <n v="526.09185600000001"/>
    <n v="526.09185600000001"/>
    <n v="59.509096599999999"/>
    <n v="510.33832410000002"/>
  </r>
  <r>
    <x v="3"/>
    <x v="1"/>
    <x v="0"/>
    <x v="3"/>
    <x v="49"/>
    <n v="327.09054320000001"/>
    <n v="327.09054320000001"/>
    <n v="37.863327290000001"/>
    <n v="317.29599639999998"/>
  </r>
  <r>
    <x v="3"/>
    <x v="1"/>
    <x v="3"/>
    <x v="3"/>
    <x v="49"/>
    <n v="8143.695624"/>
    <n v="8143.695624"/>
    <n v="2506.802447"/>
    <n v="7899.8371280000001"/>
  </r>
  <r>
    <x v="3"/>
    <x v="0"/>
    <x v="2"/>
    <x v="3"/>
    <x v="49"/>
    <n v="846.8271714"/>
    <n v="846.8271714"/>
    <n v="18.69906349"/>
    <n v="768.70015760000001"/>
  </r>
  <r>
    <x v="3"/>
    <x v="0"/>
    <x v="0"/>
    <x v="3"/>
    <x v="49"/>
    <n v="28.231839310000002"/>
    <n v="28.231839310000002"/>
    <n v="0.187361843"/>
    <n v="25.627211859999999"/>
  </r>
  <r>
    <x v="3"/>
    <x v="0"/>
    <x v="3"/>
    <x v="3"/>
    <x v="49"/>
    <n v="94.852328790000001"/>
    <n v="94.852328790000001"/>
    <n v="2.594477688"/>
    <n v="86.101394189999994"/>
  </r>
  <r>
    <x v="3"/>
    <x v="3"/>
    <x v="1"/>
    <x v="3"/>
    <x v="49"/>
    <n v="30.883686000000001"/>
    <n v="30.883686000000001"/>
    <n v="8.3999999999999995E-3"/>
    <n v="27.827925499999999"/>
  </r>
  <r>
    <x v="4"/>
    <x v="3"/>
    <x v="0"/>
    <x v="0"/>
    <x v="0"/>
    <n v="22.285769909999999"/>
    <n v="67.362949639999997"/>
    <n v="9.5392370000000008E-3"/>
    <n v="21.70702176"/>
  </r>
  <r>
    <x v="4"/>
    <x v="2"/>
    <x v="2"/>
    <x v="0"/>
    <x v="0"/>
    <n v="0.26053640099999997"/>
    <n v="0.78752049099999999"/>
    <n v="7.5599999999999999E-3"/>
    <n v="0.24522181100000001"/>
  </r>
  <r>
    <x v="4"/>
    <x v="1"/>
    <x v="1"/>
    <x v="0"/>
    <x v="0"/>
    <n v="55.621123279999999"/>
    <n v="168.12535270000001"/>
    <n v="11.255596089999999"/>
    <n v="53.56650484"/>
  </r>
  <r>
    <x v="4"/>
    <x v="1"/>
    <x v="2"/>
    <x v="0"/>
    <x v="0"/>
    <n v="2.9991556039999998"/>
    <n v="9.0655143920000008"/>
    <n v="0.293465484"/>
    <n v="2.88836819"/>
  </r>
  <r>
    <x v="4"/>
    <x v="1"/>
    <x v="3"/>
    <x v="0"/>
    <x v="0"/>
    <n v="19.941025939999999"/>
    <n v="60.27551802"/>
    <n v="4.1546851509999998"/>
    <n v="19.204413710000001"/>
  </r>
  <r>
    <x v="4"/>
    <x v="0"/>
    <x v="2"/>
    <x v="0"/>
    <x v="0"/>
    <n v="18.112301339999998"/>
    <n v="54.747852459999997"/>
    <n v="0.15402094399999999"/>
    <n v="17.238755260000001"/>
  </r>
  <r>
    <x v="4"/>
    <x v="0"/>
    <x v="0"/>
    <x v="0"/>
    <x v="0"/>
    <n v="1.2399138679999999"/>
    <n v="3.7478739010000002"/>
    <n v="6.2638429999999998E-3"/>
    <n v="1.180113521"/>
  </r>
  <r>
    <x v="4"/>
    <x v="0"/>
    <x v="3"/>
    <x v="0"/>
    <x v="0"/>
    <n v="3.2042456380000002"/>
    <n v="9.6854377659999997"/>
    <n v="0.118229379"/>
    <n v="3.0497066780000002"/>
  </r>
  <r>
    <x v="4"/>
    <x v="3"/>
    <x v="3"/>
    <x v="0"/>
    <x v="0"/>
    <n v="1.3111099310000001"/>
    <n v="3.9630774529999999"/>
    <n v="6.6304799999999996E-4"/>
    <n v="1.277061188"/>
  </r>
  <r>
    <x v="4"/>
    <x v="1"/>
    <x v="3"/>
    <x v="1"/>
    <x v="1"/>
    <n v="154.8735274"/>
    <n v="195.01914160000001"/>
    <n v="18.41604753"/>
    <n v="136.7885167"/>
  </r>
  <r>
    <x v="4"/>
    <x v="1"/>
    <x v="1"/>
    <x v="1"/>
    <x v="1"/>
    <n v="477.00558000000001"/>
    <n v="600.65280570000004"/>
    <n v="63.462529770000003"/>
    <n v="421.30431729999998"/>
  </r>
  <r>
    <x v="4"/>
    <x v="2"/>
    <x v="3"/>
    <x v="1"/>
    <x v="1"/>
    <n v="0.57607177799999998"/>
    <n v="0.725398494"/>
    <n v="6.3E-3"/>
    <n v="0.55853799599999998"/>
  </r>
  <r>
    <x v="4"/>
    <x v="1"/>
    <x v="0"/>
    <x v="1"/>
    <x v="1"/>
    <n v="0.72119461200000001"/>
    <n v="0.90813941300000001"/>
    <n v="2.0854535E-2"/>
    <n v="0.63697872"/>
  </r>
  <r>
    <x v="4"/>
    <x v="0"/>
    <x v="3"/>
    <x v="1"/>
    <x v="1"/>
    <n v="8.3287763219999995"/>
    <n v="10.487723989999999"/>
    <n v="8.5413542999999995E-2"/>
    <n v="7.1966012040000003"/>
  </r>
  <r>
    <x v="4"/>
    <x v="0"/>
    <x v="2"/>
    <x v="1"/>
    <x v="1"/>
    <n v="51.564009689999999"/>
    <n v="64.930198709999999"/>
    <n v="0.76383964900000001"/>
    <n v="44.55463803"/>
  </r>
  <r>
    <x v="4"/>
    <x v="0"/>
    <x v="0"/>
    <x v="1"/>
    <x v="1"/>
    <n v="2.266707453"/>
    <n v="2.8542730920000001"/>
    <n v="8.3474580000000003E-3"/>
    <n v="1.9585817839999999"/>
  </r>
  <r>
    <x v="4"/>
    <x v="2"/>
    <x v="2"/>
    <x v="1"/>
    <x v="1"/>
    <n v="0.91049928499999999"/>
    <n v="1.1465147849999999"/>
    <n v="1.479053E-2"/>
    <n v="0.88278660099999995"/>
  </r>
  <r>
    <x v="4"/>
    <x v="3"/>
    <x v="3"/>
    <x v="1"/>
    <x v="1"/>
    <n v="0.97325303200000002"/>
    <n v="1.2255352740000001"/>
    <n v="5.99666E-4"/>
    <n v="0.95604882800000002"/>
  </r>
  <r>
    <x v="4"/>
    <x v="3"/>
    <x v="0"/>
    <x v="1"/>
    <x v="1"/>
    <n v="20.030864900000001"/>
    <n v="25.223174960000001"/>
    <n v="1.2066208E-2"/>
    <n v="19.676779109999998"/>
  </r>
  <r>
    <x v="4"/>
    <x v="1"/>
    <x v="2"/>
    <x v="1"/>
    <x v="1"/>
    <n v="22.84576264"/>
    <n v="28.767737749999998"/>
    <n v="1.2560931369999999"/>
    <n v="20.177999660000001"/>
  </r>
  <r>
    <x v="4"/>
    <x v="0"/>
    <x v="2"/>
    <x v="2"/>
    <x v="2"/>
    <n v="4.3358270579999996"/>
    <n v="5.1070450730000001"/>
    <n v="6.9536004999999998E-2"/>
    <n v="3.9313497919999998"/>
  </r>
  <r>
    <x v="4"/>
    <x v="2"/>
    <x v="0"/>
    <x v="2"/>
    <x v="2"/>
    <n v="1.6053641329999999"/>
    <n v="1.890911902"/>
    <n v="3.0999999999999999E-3"/>
    <n v="1.3717942919999999"/>
  </r>
  <r>
    <x v="4"/>
    <x v="1"/>
    <x v="1"/>
    <x v="2"/>
    <x v="2"/>
    <n v="150.44140820000001"/>
    <n v="177.20057610000001"/>
    <n v="24.151418289999999"/>
    <n v="138.79279220000001"/>
  </r>
  <r>
    <x v="4"/>
    <x v="1"/>
    <x v="2"/>
    <x v="2"/>
    <x v="2"/>
    <n v="5.4511887049999999"/>
    <n v="6.4207972440000001"/>
    <n v="0.346094607"/>
    <n v="5.0291054199999996"/>
  </r>
  <r>
    <x v="4"/>
    <x v="1"/>
    <x v="0"/>
    <x v="2"/>
    <x v="2"/>
    <n v="2.7631853890000002"/>
    <n v="3.2546760140000002"/>
    <n v="0.56718637999999999"/>
    <n v="2.5492330879999998"/>
  </r>
  <r>
    <x v="4"/>
    <x v="1"/>
    <x v="3"/>
    <x v="2"/>
    <x v="2"/>
    <n v="47.434149419999997"/>
    <n v="55.87131033"/>
    <n v="7.4341032880000002"/>
    <n v="43.761342859999999"/>
  </r>
  <r>
    <x v="4"/>
    <x v="0"/>
    <x v="3"/>
    <x v="2"/>
    <x v="2"/>
    <n v="1.6352392090000001"/>
    <n v="1.9261008879999999"/>
    <n v="1.1905781000000001E-2"/>
    <n v="1.4826922840000001"/>
  </r>
  <r>
    <x v="4"/>
    <x v="3"/>
    <x v="0"/>
    <x v="2"/>
    <x v="2"/>
    <n v="5.992774131"/>
    <n v="7.0587150249999997"/>
    <n v="5.9664899999999996E-3"/>
    <n v="5.992774131"/>
  </r>
  <r>
    <x v="4"/>
    <x v="2"/>
    <x v="2"/>
    <x v="2"/>
    <x v="2"/>
    <n v="0.745397274"/>
    <n v="0.87798185399999995"/>
    <n v="1.5900000000000001E-2"/>
    <n v="0.63694691199999998"/>
  </r>
  <r>
    <x v="4"/>
    <x v="0"/>
    <x v="0"/>
    <x v="2"/>
    <x v="2"/>
    <n v="0.141393725"/>
    <n v="0.166543572"/>
    <n v="1.2317669999999999E-3"/>
    <n v="0.128203497"/>
  </r>
  <r>
    <x v="4"/>
    <x v="3"/>
    <x v="3"/>
    <x v="2"/>
    <x v="2"/>
    <n v="0.53090851800000005"/>
    <n v="0.62534176200000002"/>
    <n v="2.7327599999999998E-4"/>
    <n v="0.53090851800000005"/>
  </r>
  <r>
    <x v="4"/>
    <x v="3"/>
    <x v="3"/>
    <x v="2"/>
    <x v="3"/>
    <n v="1.4715578250000001"/>
    <n v="1.7333053270000001"/>
    <n v="6.9470800000000004E-4"/>
    <n v="1.46112993"/>
  </r>
  <r>
    <x v="4"/>
    <x v="1"/>
    <x v="1"/>
    <x v="2"/>
    <x v="3"/>
    <n v="149.85284669999999"/>
    <n v="176.5073266"/>
    <n v="20.967057929999999"/>
    <n v="139.1170568"/>
  </r>
  <r>
    <x v="4"/>
    <x v="1"/>
    <x v="0"/>
    <x v="2"/>
    <x v="3"/>
    <n v="1.3413008559999999"/>
    <n v="1.579879418"/>
    <n v="0.18367650699999999"/>
    <n v="1.2452070909999999"/>
  </r>
  <r>
    <x v="4"/>
    <x v="1"/>
    <x v="3"/>
    <x v="2"/>
    <x v="3"/>
    <n v="47.314971180000001"/>
    <n v="55.730933729999997"/>
    <n v="6.4537910419999998"/>
    <n v="43.925221829999998"/>
  </r>
  <r>
    <x v="4"/>
    <x v="0"/>
    <x v="2"/>
    <x v="2"/>
    <x v="3"/>
    <n v="9.2259484379999996"/>
    <n v="10.866977370000001"/>
    <n v="0.17584659799999999"/>
    <n v="8.3886620129999994"/>
  </r>
  <r>
    <x v="4"/>
    <x v="0"/>
    <x v="0"/>
    <x v="2"/>
    <x v="3"/>
    <n v="0.28337718699999997"/>
    <n v="0.33378177799999997"/>
    <n v="2.1452060000000002E-3"/>
    <n v="0.257659737"/>
  </r>
  <r>
    <x v="4"/>
    <x v="3"/>
    <x v="0"/>
    <x v="2"/>
    <x v="3"/>
    <n v="18.319081929999999"/>
    <n v="21.577515859999998"/>
    <n v="1.1126924E-2"/>
    <n v="18.189267489999999"/>
  </r>
  <r>
    <x v="4"/>
    <x v="2"/>
    <x v="2"/>
    <x v="2"/>
    <x v="3"/>
    <n v="5.601091963"/>
    <n v="6.5973639479999999"/>
    <n v="7.5936124999999993E-2"/>
    <n v="5.3317984669999996"/>
  </r>
  <r>
    <x v="4"/>
    <x v="2"/>
    <x v="0"/>
    <x v="2"/>
    <x v="3"/>
    <n v="7.8514240060000002"/>
    <n v="9.2479648640000001"/>
    <n v="2.0174075E-2"/>
    <n v="7.4739373599999999"/>
  </r>
  <r>
    <x v="4"/>
    <x v="1"/>
    <x v="2"/>
    <x v="2"/>
    <x v="3"/>
    <n v="3.8197355929999999"/>
    <n v="4.4991558889999999"/>
    <n v="0.25897217500000003"/>
    <n v="3.5460812740000001"/>
  </r>
  <r>
    <x v="4"/>
    <x v="0"/>
    <x v="3"/>
    <x v="2"/>
    <x v="3"/>
    <n v="4.2326807259999999"/>
    <n v="4.985551997"/>
    <n v="3.2570962000000002E-2"/>
    <n v="3.8485504509999999"/>
  </r>
  <r>
    <x v="4"/>
    <x v="0"/>
    <x v="0"/>
    <x v="0"/>
    <x v="4"/>
    <n v="8.7124649129999998"/>
    <n v="12.88620485"/>
    <n v="2.6271955999999999E-2"/>
    <n v="8.3202210000000001"/>
  </r>
  <r>
    <x v="4"/>
    <x v="1"/>
    <x v="0"/>
    <x v="0"/>
    <x v="4"/>
    <n v="1.5268317410000001"/>
    <n v="2.2582663799999998"/>
    <n v="7.5329999999999998E-3"/>
    <n v="1.471979921"/>
  </r>
  <r>
    <x v="4"/>
    <x v="1"/>
    <x v="1"/>
    <x v="0"/>
    <x v="4"/>
    <n v="312.59222690000001"/>
    <n v="462.34073949999998"/>
    <n v="87.587520530000006"/>
    <n v="301.36227129999997"/>
  </r>
  <r>
    <x v="4"/>
    <x v="0"/>
    <x v="2"/>
    <x v="0"/>
    <x v="4"/>
    <n v="49.411987099999997"/>
    <n v="73.082990210000006"/>
    <n v="0.37031929600000002"/>
    <n v="47.187409850000002"/>
  </r>
  <r>
    <x v="4"/>
    <x v="0"/>
    <x v="3"/>
    <x v="0"/>
    <x v="4"/>
    <n v="8.4761501060000004"/>
    <n v="12.53668253"/>
    <n v="0.30331625200000001"/>
    <n v="8.0945453230000002"/>
  </r>
  <r>
    <x v="4"/>
    <x v="3"/>
    <x v="0"/>
    <x v="0"/>
    <x v="4"/>
    <n v="201.1637163"/>
    <n v="297.53197089999998"/>
    <n v="7.9668456999999998E-2"/>
    <n v="196.44894170000001"/>
  </r>
  <r>
    <x v="4"/>
    <x v="3"/>
    <x v="3"/>
    <x v="0"/>
    <x v="4"/>
    <n v="13.585558260000001"/>
    <n v="20.09377237"/>
    <n v="6.2246480000000002E-3"/>
    <n v="13.267146739999999"/>
  </r>
  <r>
    <x v="4"/>
    <x v="1"/>
    <x v="2"/>
    <x v="0"/>
    <x v="4"/>
    <n v="10.12745694"/>
    <n v="14.97905428"/>
    <n v="1.8427983189999999"/>
    <n v="9.7636254670000007"/>
  </r>
  <r>
    <x v="4"/>
    <x v="1"/>
    <x v="3"/>
    <x v="0"/>
    <x v="4"/>
    <n v="98.266732289999993"/>
    <n v="145.3417896"/>
    <n v="26.067938569999999"/>
    <n v="94.73647484"/>
  </r>
  <r>
    <x v="4"/>
    <x v="2"/>
    <x v="2"/>
    <x v="0"/>
    <x v="4"/>
    <n v="3.9997142339999998"/>
    <n v="5.9157927739999998"/>
    <n v="5.0529999999999999E-2"/>
    <n v="3.8458790710000001"/>
  </r>
  <r>
    <x v="4"/>
    <x v="0"/>
    <x v="3"/>
    <x v="3"/>
    <x v="5"/>
    <n v="3.847209221"/>
    <n v="4.8474598499999999"/>
    <n v="8.9855533000000001E-2"/>
    <n v="3.5342421129999999"/>
  </r>
  <r>
    <x v="4"/>
    <x v="1"/>
    <x v="3"/>
    <x v="3"/>
    <x v="5"/>
    <n v="301.45023830000002"/>
    <n v="379.82543779999997"/>
    <n v="96.815426700000003"/>
    <n v="291.27166390000002"/>
  </r>
  <r>
    <x v="4"/>
    <x v="0"/>
    <x v="0"/>
    <x v="3"/>
    <x v="5"/>
    <n v="18.277450420000001"/>
    <n v="23.029474610000001"/>
    <n v="0.30947829399999999"/>
    <n v="16.790595799999998"/>
  </r>
  <r>
    <x v="4"/>
    <x v="2"/>
    <x v="0"/>
    <x v="3"/>
    <x v="5"/>
    <n v="5.5653934459999999"/>
    <n v="7.0123613579999997"/>
    <n v="3.0200227E-2"/>
    <n v="5.1310619959999997"/>
  </r>
  <r>
    <x v="4"/>
    <x v="2"/>
    <x v="2"/>
    <x v="3"/>
    <x v="5"/>
    <n v="8.4082686350000007"/>
    <n v="10.59436653"/>
    <n v="9.4359771999999995E-2"/>
    <n v="7.7520750449999998"/>
  </r>
  <r>
    <x v="4"/>
    <x v="3"/>
    <x v="0"/>
    <x v="3"/>
    <x v="5"/>
    <n v="149.69768680000001"/>
    <n v="188.61816049999999"/>
    <n v="7.6062603000000006E-2"/>
    <n v="132.63753980000001"/>
  </r>
  <r>
    <x v="4"/>
    <x v="1"/>
    <x v="0"/>
    <x v="3"/>
    <x v="5"/>
    <n v="13.23991118"/>
    <n v="16.682206279999999"/>
    <n v="1.433237527"/>
    <n v="12.79286087"/>
  </r>
  <r>
    <x v="4"/>
    <x v="1"/>
    <x v="2"/>
    <x v="3"/>
    <x v="5"/>
    <n v="76.322588120000006"/>
    <n v="96.165989490000001"/>
    <n v="5.6126366369999996"/>
    <n v="73.745528809999996"/>
  </r>
  <r>
    <x v="4"/>
    <x v="1"/>
    <x v="1"/>
    <x v="3"/>
    <x v="5"/>
    <n v="706.32135019999998"/>
    <n v="889.96053740000002"/>
    <n v="193.17953919999999"/>
    <n v="682.47215879999999"/>
  </r>
  <r>
    <x v="4"/>
    <x v="0"/>
    <x v="2"/>
    <x v="3"/>
    <x v="5"/>
    <n v="61.22512467"/>
    <n v="77.143278820000006"/>
    <n v="1.1255650049999999"/>
    <n v="56.244514279999997"/>
  </r>
  <r>
    <x v="4"/>
    <x v="3"/>
    <x v="3"/>
    <x v="3"/>
    <x v="5"/>
    <n v="4.2081410750000003"/>
    <n v="5.3022317560000003"/>
    <n v="2.9196890000000001E-3"/>
    <n v="3.7285644919999998"/>
  </r>
  <r>
    <x v="4"/>
    <x v="1"/>
    <x v="1"/>
    <x v="0"/>
    <x v="6"/>
    <n v="55.339398060000001"/>
    <n v="72.47056671"/>
    <n v="12.58217063"/>
    <n v="52.672952899999999"/>
  </r>
  <r>
    <x v="4"/>
    <x v="3"/>
    <x v="3"/>
    <x v="0"/>
    <x v="6"/>
    <n v="1.410996803"/>
    <n v="1.847792739"/>
    <n v="5.7799800000000003E-4"/>
    <n v="1.3779265650000001"/>
  </r>
  <r>
    <x v="4"/>
    <x v="2"/>
    <x v="2"/>
    <x v="0"/>
    <x v="6"/>
    <n v="0.49116772600000003"/>
    <n v="0.64321631000000001"/>
    <n v="1.3729999999999999E-2"/>
    <n v="0.461190353"/>
  </r>
  <r>
    <x v="4"/>
    <x v="0"/>
    <x v="3"/>
    <x v="0"/>
    <x v="6"/>
    <n v="1.7337214439999999"/>
    <n v="2.270421797"/>
    <n v="5.0483281999999997E-2"/>
    <n v="1.65211942"/>
  </r>
  <r>
    <x v="4"/>
    <x v="0"/>
    <x v="0"/>
    <x v="0"/>
    <x v="6"/>
    <n v="2.7245217230000001"/>
    <n v="3.5679396639999998"/>
    <n v="9.2370549999999992E-3"/>
    <n v="2.596285156"/>
  </r>
  <r>
    <x v="4"/>
    <x v="0"/>
    <x v="2"/>
    <x v="0"/>
    <x v="6"/>
    <n v="14.826164820000001"/>
    <n v="19.415834"/>
    <n v="0.220811434"/>
    <n v="14.128333530000001"/>
  </r>
  <r>
    <x v="4"/>
    <x v="1"/>
    <x v="3"/>
    <x v="0"/>
    <x v="6"/>
    <n v="21.658561339999999"/>
    <n v="28.363304800000002"/>
    <n v="4.8461896900000001"/>
    <n v="20.614976330000001"/>
  </r>
  <r>
    <x v="4"/>
    <x v="1"/>
    <x v="2"/>
    <x v="0"/>
    <x v="6"/>
    <n v="5.3473220120000002"/>
    <n v="7.0026684450000003"/>
    <n v="0.36816915300000003"/>
    <n v="5.0896693920000002"/>
  </r>
  <r>
    <x v="4"/>
    <x v="3"/>
    <x v="0"/>
    <x v="0"/>
    <x v="6"/>
    <n v="26.096955260000001"/>
    <n v="34.175672370000001"/>
    <n v="1.1484401999999999E-2"/>
    <n v="25.48530787"/>
  </r>
  <r>
    <x v="4"/>
    <x v="1"/>
    <x v="0"/>
    <x v="0"/>
    <x v="6"/>
    <n v="0.234084127"/>
    <n v="0.306548498"/>
    <n v="7.1720000000000004E-3"/>
    <n v="0.22280513699999999"/>
  </r>
  <r>
    <x v="4"/>
    <x v="3"/>
    <x v="3"/>
    <x v="4"/>
    <x v="7"/>
    <n v="14.609877969999999"/>
    <n v="16.056144840000002"/>
    <n v="8.1623619999999994E-3"/>
    <n v="14.609877969999999"/>
  </r>
  <r>
    <x v="4"/>
    <x v="3"/>
    <x v="0"/>
    <x v="4"/>
    <x v="7"/>
    <n v="207.4520407"/>
    <n v="227.9882159"/>
    <n v="0.122853447"/>
    <n v="207.4520407"/>
  </r>
  <r>
    <x v="4"/>
    <x v="2"/>
    <x v="1"/>
    <x v="4"/>
    <x v="7"/>
    <n v="3.2766457199999999"/>
    <n v="3.6010087409999998"/>
    <n v="5.7000000000000002E-2"/>
    <n v="2.8517289880000001"/>
  </r>
  <r>
    <x v="4"/>
    <x v="2"/>
    <x v="2"/>
    <x v="4"/>
    <x v="7"/>
    <n v="64.331013119999994"/>
    <n v="70.699294440000003"/>
    <n v="0.95730000000000004"/>
    <n v="55.988541509999997"/>
  </r>
  <r>
    <x v="4"/>
    <x v="2"/>
    <x v="3"/>
    <x v="4"/>
    <x v="7"/>
    <n v="1.149012784"/>
    <n v="1.2627563159999999"/>
    <n v="2.07E-2"/>
    <n v="1.0000083449999999"/>
  </r>
  <r>
    <x v="4"/>
    <x v="0"/>
    <x v="0"/>
    <x v="4"/>
    <x v="7"/>
    <n v="9.2368599919999994"/>
    <n v="10.151238920000001"/>
    <n v="3.2408534000000003E-2"/>
    <n v="7.6592944279999999"/>
  </r>
  <r>
    <x v="4"/>
    <x v="0"/>
    <x v="2"/>
    <x v="4"/>
    <x v="7"/>
    <n v="336.41640059999997"/>
    <n v="369.71906710000002"/>
    <n v="5.195825825"/>
    <n v="278.9597617"/>
  </r>
  <r>
    <x v="4"/>
    <x v="1"/>
    <x v="3"/>
    <x v="4"/>
    <x v="7"/>
    <n v="4540.2406629999996"/>
    <n v="4989.6899789999998"/>
    <n v="944.53037470000004"/>
    <n v="4228.8095290000001"/>
  </r>
  <r>
    <x v="4"/>
    <x v="1"/>
    <x v="0"/>
    <x v="4"/>
    <x v="7"/>
    <n v="0.273855876"/>
    <n v="0.30096552599999998"/>
    <n v="1.473847E-2"/>
    <n v="0.25507113399999998"/>
  </r>
  <r>
    <x v="4"/>
    <x v="1"/>
    <x v="1"/>
    <x v="4"/>
    <x v="7"/>
    <n v="8803.9163090000002"/>
    <n v="9675.4371050000009"/>
    <n v="1925.914309"/>
    <n v="8200.0246110000007"/>
  </r>
  <r>
    <x v="4"/>
    <x v="0"/>
    <x v="3"/>
    <x v="4"/>
    <x v="7"/>
    <n v="97.984475410000002"/>
    <n v="107.68419369999999"/>
    <n v="0.93349620700000002"/>
    <n v="81.249683020000006"/>
  </r>
  <r>
    <x v="4"/>
    <x v="1"/>
    <x v="2"/>
    <x v="4"/>
    <x v="7"/>
    <n v="62.215152549999999"/>
    <n v="68.373979759999997"/>
    <n v="2.6551848950000001"/>
    <n v="57.947595620000001"/>
  </r>
  <r>
    <x v="4"/>
    <x v="3"/>
    <x v="3"/>
    <x v="0"/>
    <x v="8"/>
    <n v="0.19539163100000001"/>
    <n v="0.30834526600000001"/>
    <n v="8.2015999999999995E-5"/>
    <n v="0.19081213899999999"/>
  </r>
  <r>
    <x v="4"/>
    <x v="1"/>
    <x v="1"/>
    <x v="0"/>
    <x v="8"/>
    <n v="59.704992869999998"/>
    <n v="94.219756579999995"/>
    <n v="12.63339942"/>
    <n v="56.953661750000002"/>
  </r>
  <r>
    <x v="4"/>
    <x v="1"/>
    <x v="2"/>
    <x v="0"/>
    <x v="8"/>
    <n v="3.1004407120000002"/>
    <n v="4.8927695169999996"/>
    <n v="0.33079640199999999"/>
    <n v="2.95756591"/>
  </r>
  <r>
    <x v="4"/>
    <x v="1"/>
    <x v="0"/>
    <x v="0"/>
    <x v="8"/>
    <n v="0.112006576"/>
    <n v="0.17675627799999999"/>
    <n v="1.0994510000000001E-2"/>
    <n v="0.106845078"/>
  </r>
  <r>
    <x v="4"/>
    <x v="1"/>
    <x v="3"/>
    <x v="0"/>
    <x v="8"/>
    <n v="20.29268493"/>
    <n v="32.023650670000002"/>
    <n v="4.0482567979999997"/>
    <n v="19.357555510000001"/>
  </r>
  <r>
    <x v="4"/>
    <x v="0"/>
    <x v="2"/>
    <x v="0"/>
    <x v="8"/>
    <n v="12.005847040000001"/>
    <n v="18.94628793"/>
    <n v="0.12242660399999999"/>
    <n v="11.510296800000001"/>
  </r>
  <r>
    <x v="4"/>
    <x v="0"/>
    <x v="0"/>
    <x v="0"/>
    <x v="8"/>
    <n v="3.3661801090000001"/>
    <n v="5.312129777"/>
    <n v="7.9330630000000006E-3"/>
    <n v="3.2272385290000001"/>
  </r>
  <r>
    <x v="4"/>
    <x v="3"/>
    <x v="0"/>
    <x v="0"/>
    <x v="8"/>
    <n v="2.2072897720000002"/>
    <n v="3.4832983799999999"/>
    <n v="8.9699099999999998E-4"/>
    <n v="2.1555564180000002"/>
  </r>
  <r>
    <x v="4"/>
    <x v="2"/>
    <x v="2"/>
    <x v="0"/>
    <x v="8"/>
    <n v="0.535224802"/>
    <n v="0.84463205100000005"/>
    <n v="1.3509999999999999E-2"/>
    <n v="0.49103192899999998"/>
  </r>
  <r>
    <x v="4"/>
    <x v="0"/>
    <x v="3"/>
    <x v="0"/>
    <x v="8"/>
    <n v="1.729676016"/>
    <n v="2.7295816529999999"/>
    <n v="2.9030935000000001E-2"/>
    <n v="1.6582823550000001"/>
  </r>
  <r>
    <x v="4"/>
    <x v="1"/>
    <x v="0"/>
    <x v="5"/>
    <x v="9"/>
    <n v="1.1240149049999999"/>
    <n v="1.343014283"/>
    <n v="0.264190382"/>
    <n v="1.0574558979999999"/>
  </r>
  <r>
    <x v="4"/>
    <x v="2"/>
    <x v="2"/>
    <x v="5"/>
    <x v="9"/>
    <n v="1.984469423"/>
    <n v="2.371116937"/>
    <n v="2.4760000000000001E-2"/>
    <n v="1.8268176169999999"/>
  </r>
  <r>
    <x v="4"/>
    <x v="3"/>
    <x v="3"/>
    <x v="5"/>
    <x v="9"/>
    <n v="2.7026379E-2"/>
    <n v="3.2292109999999999E-2"/>
    <n v="1.9080999999999999E-5"/>
    <n v="2.7026379E-2"/>
  </r>
  <r>
    <x v="4"/>
    <x v="3"/>
    <x v="0"/>
    <x v="5"/>
    <x v="9"/>
    <n v="0.20513568500000001"/>
    <n v="0.24510364900000001"/>
    <n v="1.4483200000000001E-4"/>
    <n v="0.20513568500000001"/>
  </r>
  <r>
    <x v="4"/>
    <x v="0"/>
    <x v="3"/>
    <x v="5"/>
    <x v="9"/>
    <n v="1.2585337910000001"/>
    <n v="1.503742387"/>
    <n v="9.0464250000000003E-3"/>
    <n v="1.16748904"/>
  </r>
  <r>
    <x v="4"/>
    <x v="0"/>
    <x v="0"/>
    <x v="5"/>
    <x v="9"/>
    <n v="0.12018511"/>
    <n v="0.143601583"/>
    <n v="1.077843E-3"/>
    <n v="0.111490689"/>
  </r>
  <r>
    <x v="4"/>
    <x v="0"/>
    <x v="2"/>
    <x v="5"/>
    <x v="9"/>
    <n v="3.6795934379999999"/>
    <n v="4.3965133549999997"/>
    <n v="5.7277092000000002E-2"/>
    <n v="3.4134045849999999"/>
  </r>
  <r>
    <x v="4"/>
    <x v="1"/>
    <x v="3"/>
    <x v="5"/>
    <x v="9"/>
    <n v="28.757263559999998"/>
    <n v="34.360234480000003"/>
    <n v="6.842477293"/>
    <n v="27.05439032"/>
  </r>
  <r>
    <x v="4"/>
    <x v="2"/>
    <x v="0"/>
    <x v="5"/>
    <x v="9"/>
    <n v="0.86710082200000005"/>
    <n v="1.0360439020000001"/>
    <n v="2.2399999999999998E-3"/>
    <n v="0.79821590499999995"/>
  </r>
  <r>
    <x v="4"/>
    <x v="1"/>
    <x v="2"/>
    <x v="5"/>
    <x v="9"/>
    <n v="3.2465240780000002"/>
    <n v="3.8790661819999999"/>
    <n v="0.33410128100000003"/>
    <n v="3.054279813"/>
  </r>
  <r>
    <x v="4"/>
    <x v="1"/>
    <x v="1"/>
    <x v="5"/>
    <x v="9"/>
    <n v="97.281930239999994"/>
    <n v="116.2360225"/>
    <n v="18.773030890000001"/>
    <n v="91.521340550000005"/>
  </r>
  <r>
    <x v="4"/>
    <x v="1"/>
    <x v="2"/>
    <x v="2"/>
    <x v="10"/>
    <n v="3.4098154730000001"/>
    <n v="4.0059767510000004"/>
    <n v="0.24528596799999999"/>
    <n v="3.1672897550000001"/>
  </r>
  <r>
    <x v="4"/>
    <x v="1"/>
    <x v="1"/>
    <x v="2"/>
    <x v="10"/>
    <n v="108.37319460000001"/>
    <n v="127.32081890000001"/>
    <n v="16.144231659999999"/>
    <n v="100.6650688"/>
  </r>
  <r>
    <x v="4"/>
    <x v="1"/>
    <x v="0"/>
    <x v="2"/>
    <x v="10"/>
    <n v="0.92789320900000005"/>
    <n v="1.090123103"/>
    <n v="0.16659392100000001"/>
    <n v="0.86189609899999997"/>
  </r>
  <r>
    <x v="4"/>
    <x v="1"/>
    <x v="3"/>
    <x v="2"/>
    <x v="10"/>
    <n v="35.428662500000002"/>
    <n v="41.622897020000003"/>
    <n v="5.9167165309999996"/>
    <n v="32.908771950000002"/>
  </r>
  <r>
    <x v="4"/>
    <x v="0"/>
    <x v="2"/>
    <x v="2"/>
    <x v="10"/>
    <n v="5.5969075989999997"/>
    <n v="6.5754530989999997"/>
    <n v="9.6768937999999999E-2"/>
    <n v="5.0422590979999997"/>
  </r>
  <r>
    <x v="4"/>
    <x v="0"/>
    <x v="0"/>
    <x v="2"/>
    <x v="10"/>
    <n v="0.180135877"/>
    <n v="0.21163025999999999"/>
    <n v="1.6686730000000001E-3"/>
    <n v="0.16228457399999999"/>
  </r>
  <r>
    <x v="4"/>
    <x v="0"/>
    <x v="3"/>
    <x v="2"/>
    <x v="10"/>
    <n v="2.2406848840000002"/>
    <n v="2.6324390929999999"/>
    <n v="1.6370260000000001E-2"/>
    <n v="2.01863503"/>
  </r>
  <r>
    <x v="4"/>
    <x v="3"/>
    <x v="0"/>
    <x v="2"/>
    <x v="10"/>
    <n v="12.951205290000001"/>
    <n v="15.215552779999999"/>
    <n v="9.0615130000000002E-3"/>
    <n v="12.89307777"/>
  </r>
  <r>
    <x v="4"/>
    <x v="3"/>
    <x v="3"/>
    <x v="2"/>
    <x v="10"/>
    <n v="1.1710570259999999"/>
    <n v="1.3758009069999999"/>
    <n v="5.5855599999999998E-4"/>
    <n v="1.165801095"/>
  </r>
  <r>
    <x v="4"/>
    <x v="2"/>
    <x v="2"/>
    <x v="2"/>
    <x v="10"/>
    <n v="0.16730651499999999"/>
    <n v="0.196557853"/>
    <n v="6.412765E-3"/>
    <n v="0.14548392600000001"/>
  </r>
  <r>
    <x v="4"/>
    <x v="2"/>
    <x v="0"/>
    <x v="2"/>
    <x v="10"/>
    <n v="9.9234600000000007E-4"/>
    <n v="1.1658440000000001E-3"/>
    <n v="4.6134999999999998E-5"/>
    <n v="8.6290900000000003E-4"/>
  </r>
  <r>
    <x v="4"/>
    <x v="2"/>
    <x v="0"/>
    <x v="2"/>
    <x v="11"/>
    <n v="0.41406725599999999"/>
    <n v="0.48771782400000002"/>
    <n v="1.0200000000000001E-3"/>
    <n v="0.387613245"/>
  </r>
  <r>
    <x v="4"/>
    <x v="2"/>
    <x v="2"/>
    <x v="2"/>
    <x v="11"/>
    <n v="0.39258854700000001"/>
    <n v="0.462418675"/>
    <n v="2.98E-3"/>
    <n v="0.36750677199999998"/>
  </r>
  <r>
    <x v="4"/>
    <x v="0"/>
    <x v="2"/>
    <x v="2"/>
    <x v="11"/>
    <n v="2.1568612150000002"/>
    <n v="2.5405043360000001"/>
    <n v="4.2811749000000003E-2"/>
    <n v="1.951325099"/>
  </r>
  <r>
    <x v="4"/>
    <x v="1"/>
    <x v="1"/>
    <x v="2"/>
    <x v="11"/>
    <n v="164.3262422"/>
    <n v="193.5551198"/>
    <n v="25.78395858"/>
    <n v="151.07950299999999"/>
  </r>
  <r>
    <x v="4"/>
    <x v="1"/>
    <x v="2"/>
    <x v="2"/>
    <x v="11"/>
    <n v="2.8279902880000001"/>
    <n v="3.3310078270000001"/>
    <n v="0.32381725900000002"/>
    <n v="2.6000190939999999"/>
  </r>
  <r>
    <x v="4"/>
    <x v="1"/>
    <x v="3"/>
    <x v="2"/>
    <x v="11"/>
    <n v="37.714047389999998"/>
    <n v="44.422283759999999"/>
    <n v="7.1529320060000003"/>
    <n v="34.673826050000002"/>
  </r>
  <r>
    <x v="4"/>
    <x v="3"/>
    <x v="3"/>
    <x v="2"/>
    <x v="11"/>
    <n v="0.44804668199999997"/>
    <n v="0.52774120599999996"/>
    <n v="2.3093300000000001E-4"/>
    <n v="0.44804668199999997"/>
  </r>
  <r>
    <x v="4"/>
    <x v="0"/>
    <x v="0"/>
    <x v="2"/>
    <x v="11"/>
    <n v="6.9299861000000004E-2"/>
    <n v="8.1626298999999999E-2"/>
    <n v="5.0270800000000004E-4"/>
    <n v="6.2695995000000004E-2"/>
  </r>
  <r>
    <x v="4"/>
    <x v="0"/>
    <x v="3"/>
    <x v="2"/>
    <x v="11"/>
    <n v="0.88995370299999998"/>
    <n v="1.048250683"/>
    <n v="5.6687049999999996E-3"/>
    <n v="0.80514637899999997"/>
  </r>
  <r>
    <x v="4"/>
    <x v="3"/>
    <x v="0"/>
    <x v="2"/>
    <x v="11"/>
    <n v="2.1722419890000002"/>
    <n v="2.5586209040000001"/>
    <n v="1.183896E-3"/>
    <n v="2.1722419890000002"/>
  </r>
  <r>
    <x v="4"/>
    <x v="1"/>
    <x v="0"/>
    <x v="2"/>
    <x v="11"/>
    <n v="1.757225496"/>
    <n v="2.0697850020000002"/>
    <n v="0.31712521300000002"/>
    <n v="1.615571264"/>
  </r>
  <r>
    <x v="4"/>
    <x v="1"/>
    <x v="3"/>
    <x v="2"/>
    <x v="12"/>
    <n v="477.68577240000002"/>
    <n v="562.65223170000002"/>
    <n v="59.610760880000001"/>
    <n v="453.73795969999998"/>
  </r>
  <r>
    <x v="4"/>
    <x v="0"/>
    <x v="2"/>
    <x v="2"/>
    <x v="12"/>
    <n v="73.182494579999997"/>
    <n v="86.199540110000001"/>
    <n v="1.4314175520000001"/>
    <n v="68.439925830000007"/>
  </r>
  <r>
    <x v="4"/>
    <x v="2"/>
    <x v="0"/>
    <x v="2"/>
    <x v="12"/>
    <n v="4.610182086"/>
    <n v="5.430199913"/>
    <n v="1.051474E-2"/>
    <n v="4.0551005079999998"/>
  </r>
  <r>
    <x v="4"/>
    <x v="0"/>
    <x v="0"/>
    <x v="2"/>
    <x v="12"/>
    <n v="1.6805105"/>
    <n v="1.97942463"/>
    <n v="1.2283054999999999E-2"/>
    <n v="1.5716055410000001"/>
  </r>
  <r>
    <x v="4"/>
    <x v="3"/>
    <x v="3"/>
    <x v="2"/>
    <x v="12"/>
    <n v="12.06743983"/>
    <n v="14.21388775"/>
    <n v="5.9229469999999996E-3"/>
    <n v="12.06743983"/>
  </r>
  <r>
    <x v="4"/>
    <x v="3"/>
    <x v="0"/>
    <x v="2"/>
    <x v="12"/>
    <n v="163.27124269999999"/>
    <n v="192.31246640000001"/>
    <n v="8.1363546999999994E-2"/>
    <n v="163.27124269999999"/>
  </r>
  <r>
    <x v="4"/>
    <x v="0"/>
    <x v="3"/>
    <x v="2"/>
    <x v="12"/>
    <n v="22.99789058"/>
    <n v="27.088549010000001"/>
    <n v="0.17068794400000001"/>
    <n v="21.50751945"/>
  </r>
  <r>
    <x v="4"/>
    <x v="1"/>
    <x v="0"/>
    <x v="2"/>
    <x v="12"/>
    <n v="39.16852686"/>
    <n v="46.135472989999997"/>
    <n v="1.9222379279999999"/>
    <n v="37.204891770000003"/>
  </r>
  <r>
    <x v="4"/>
    <x v="1"/>
    <x v="2"/>
    <x v="2"/>
    <x v="12"/>
    <n v="20.32845726"/>
    <n v="23.944300850000001"/>
    <n v="1.936443564"/>
    <n v="19.309331060000002"/>
  </r>
  <r>
    <x v="4"/>
    <x v="1"/>
    <x v="1"/>
    <x v="2"/>
    <x v="12"/>
    <n v="945.74752779999994"/>
    <n v="1113.968613"/>
    <n v="159.4958493"/>
    <n v="898.33438320000005"/>
  </r>
  <r>
    <x v="4"/>
    <x v="2"/>
    <x v="2"/>
    <x v="2"/>
    <x v="12"/>
    <n v="5.8024222659999998"/>
    <n v="6.8345050790000004"/>
    <n v="6.5447259999999993E-2"/>
    <n v="5.1037909209999999"/>
  </r>
  <r>
    <x v="4"/>
    <x v="1"/>
    <x v="0"/>
    <x v="2"/>
    <x v="13"/>
    <n v="25.055954530000001"/>
    <n v="29.512682909999999"/>
    <n v="3.9139521180000001"/>
    <n v="23.407310559999999"/>
  </r>
  <r>
    <x v="4"/>
    <x v="1"/>
    <x v="3"/>
    <x v="2"/>
    <x v="13"/>
    <n v="653.63437520000002"/>
    <n v="769.89699340000004"/>
    <n v="135.1468773"/>
    <n v="610.6262203"/>
  </r>
  <r>
    <x v="4"/>
    <x v="0"/>
    <x v="2"/>
    <x v="2"/>
    <x v="13"/>
    <n v="141.03244230000001"/>
    <n v="166.1180277"/>
    <n v="2.6489322789999998"/>
    <n v="133.13284619999999"/>
  </r>
  <r>
    <x v="4"/>
    <x v="0"/>
    <x v="0"/>
    <x v="2"/>
    <x v="13"/>
    <n v="6.538309645"/>
    <n v="7.7012855030000003"/>
    <n v="5.6455166000000001E-2"/>
    <n v="6.1720818150000003"/>
  </r>
  <r>
    <x v="4"/>
    <x v="0"/>
    <x v="3"/>
    <x v="2"/>
    <x v="13"/>
    <n v="31.928891589999999"/>
    <n v="37.608116359999997"/>
    <n v="0.244753254"/>
    <n v="30.140470830000002"/>
  </r>
  <r>
    <x v="4"/>
    <x v="1"/>
    <x v="1"/>
    <x v="2"/>
    <x v="13"/>
    <n v="1608.9249339999999"/>
    <n v="1895.1060649999999"/>
    <n v="235.98100930000001"/>
    <n v="1503.060103"/>
  </r>
  <r>
    <x v="4"/>
    <x v="3"/>
    <x v="3"/>
    <x v="2"/>
    <x v="13"/>
    <n v="9.409849758"/>
    <n v="11.08358941"/>
    <n v="4.5276159999999999E-3"/>
    <n v="9.3402563280000006"/>
  </r>
  <r>
    <x v="4"/>
    <x v="3"/>
    <x v="0"/>
    <x v="2"/>
    <x v="13"/>
    <n v="211.82181689999999"/>
    <n v="249.4987812"/>
    <n v="0.108733012"/>
    <n v="210.25522369999999"/>
  </r>
  <r>
    <x v="4"/>
    <x v="2"/>
    <x v="0"/>
    <x v="2"/>
    <x v="13"/>
    <n v="12.2636728"/>
    <n v="14.44502488"/>
    <n v="2.3730000000000001E-2"/>
    <n v="10.60271384"/>
  </r>
  <r>
    <x v="4"/>
    <x v="1"/>
    <x v="2"/>
    <x v="2"/>
    <x v="13"/>
    <n v="59.144203689999998"/>
    <n v="69.664243990000003"/>
    <n v="3.6050200989999999"/>
    <n v="55.252604400000003"/>
  </r>
  <r>
    <x v="4"/>
    <x v="2"/>
    <x v="2"/>
    <x v="2"/>
    <x v="13"/>
    <n v="8.5144578949999996"/>
    <n v="10.02893327"/>
    <n v="8.6269999999999999E-2"/>
    <n v="7.3612825510000004"/>
  </r>
  <r>
    <x v="4"/>
    <x v="1"/>
    <x v="1"/>
    <x v="2"/>
    <x v="14"/>
    <n v="46.287588880000001"/>
    <n v="54.520809890000002"/>
    <n v="9.0026400639999995"/>
    <n v="43.368844709999998"/>
  </r>
  <r>
    <x v="4"/>
    <x v="0"/>
    <x v="0"/>
    <x v="2"/>
    <x v="14"/>
    <n v="3.6832098000000001E-2"/>
    <n v="4.3383461999999998E-2"/>
    <n v="4.1225499999999999E-4"/>
    <n v="3.3182071E-2"/>
  </r>
  <r>
    <x v="4"/>
    <x v="1"/>
    <x v="2"/>
    <x v="2"/>
    <x v="14"/>
    <n v="1.3172079109999999"/>
    <n v="1.5515010359999999"/>
    <n v="0.12883491799999999"/>
    <n v="1.2341490820000001"/>
  </r>
  <r>
    <x v="4"/>
    <x v="1"/>
    <x v="0"/>
    <x v="2"/>
    <x v="14"/>
    <n v="0.486460964"/>
    <n v="0.57298827500000005"/>
    <n v="0.117096741"/>
    <n v="0.45578632400000002"/>
  </r>
  <r>
    <x v="4"/>
    <x v="0"/>
    <x v="2"/>
    <x v="2"/>
    <x v="14"/>
    <n v="2.072546311"/>
    <n v="2.4411922540000002"/>
    <n v="4.5634906000000003E-2"/>
    <n v="1.867158839"/>
  </r>
  <r>
    <x v="4"/>
    <x v="0"/>
    <x v="3"/>
    <x v="2"/>
    <x v="14"/>
    <n v="0.84896137800000004"/>
    <n v="0.99996701099999996"/>
    <n v="8.2381929999999996E-3"/>
    <n v="0.76483007000000003"/>
  </r>
  <r>
    <x v="4"/>
    <x v="3"/>
    <x v="0"/>
    <x v="2"/>
    <x v="14"/>
    <n v="4.2522336770000004"/>
    <n v="5.008582852"/>
    <n v="2.250723E-3"/>
    <n v="4.2522336770000004"/>
  </r>
  <r>
    <x v="4"/>
    <x v="3"/>
    <x v="3"/>
    <x v="2"/>
    <x v="14"/>
    <n v="0.75806964099999996"/>
    <n v="0.89290826700000003"/>
    <n v="3.7675700000000003E-4"/>
    <n v="0.75806964099999996"/>
  </r>
  <r>
    <x v="4"/>
    <x v="2"/>
    <x v="2"/>
    <x v="2"/>
    <x v="14"/>
    <n v="0.89946069900000003"/>
    <n v="1.059448699"/>
    <n v="7.4051999999999998E-3"/>
    <n v="0.84102149400000004"/>
  </r>
  <r>
    <x v="4"/>
    <x v="2"/>
    <x v="0"/>
    <x v="2"/>
    <x v="14"/>
    <n v="0.34826948299999999"/>
    <n v="0.41021653400000002"/>
    <n v="1.0097999999999999E-3"/>
    <n v="0.32564193299999999"/>
  </r>
  <r>
    <x v="4"/>
    <x v="1"/>
    <x v="3"/>
    <x v="2"/>
    <x v="14"/>
    <n v="14.28744298"/>
    <n v="16.828765149999999"/>
    <n v="3.0047303080000001"/>
    <n v="13.38652349"/>
  </r>
  <r>
    <x v="4"/>
    <x v="3"/>
    <x v="3"/>
    <x v="4"/>
    <x v="15"/>
    <n v="1.3429270090000001"/>
    <n v="1.3491181940000001"/>
    <n v="1.3098439999999999E-3"/>
    <n v="1.28430545"/>
  </r>
  <r>
    <x v="4"/>
    <x v="0"/>
    <x v="2"/>
    <x v="4"/>
    <x v="15"/>
    <n v="22.479235360000001"/>
    <n v="22.582869519999999"/>
    <n v="0.349291982"/>
    <n v="18.8889247"/>
  </r>
  <r>
    <x v="4"/>
    <x v="0"/>
    <x v="3"/>
    <x v="4"/>
    <x v="15"/>
    <n v="6.4532096790000004"/>
    <n v="6.4829603779999996"/>
    <n v="6.3749974000000001E-2"/>
    <n v="5.4225239299999997"/>
  </r>
  <r>
    <x v="4"/>
    <x v="2"/>
    <x v="3"/>
    <x v="4"/>
    <x v="15"/>
    <n v="6.2814178999999998E-2"/>
    <n v="6.3103766000000006E-2"/>
    <n v="2.852552E-3"/>
    <n v="5.1068438000000001E-2"/>
  </r>
  <r>
    <x v="4"/>
    <x v="2"/>
    <x v="2"/>
    <x v="4"/>
    <x v="15"/>
    <n v="0.75164312300000002"/>
    <n v="0.75510836100000001"/>
    <n v="1.0565690000000001E-2"/>
    <n v="0.61109197000000004"/>
  </r>
  <r>
    <x v="4"/>
    <x v="2"/>
    <x v="1"/>
    <x v="4"/>
    <x v="15"/>
    <n v="1.5703544999999999E-2"/>
    <n v="1.5775941000000002E-2"/>
    <n v="7.1313799999999999E-4"/>
    <n v="1.276711E-2"/>
  </r>
  <r>
    <x v="4"/>
    <x v="3"/>
    <x v="0"/>
    <x v="4"/>
    <x v="15"/>
    <n v="19.663969179999999"/>
    <n v="19.75462435"/>
    <n v="1.6617935E-2"/>
    <n v="18.805596000000001"/>
  </r>
  <r>
    <x v="4"/>
    <x v="0"/>
    <x v="0"/>
    <x v="4"/>
    <x v="15"/>
    <n v="2.971336048"/>
    <n v="2.9850345530000002"/>
    <n v="6.6257449999999997E-3"/>
    <n v="2.496763879"/>
  </r>
  <r>
    <x v="4"/>
    <x v="1"/>
    <x v="3"/>
    <x v="4"/>
    <x v="15"/>
    <n v="97.863099489999996"/>
    <n v="98.314269640000006"/>
    <n v="15.59749746"/>
    <n v="88.205929609999998"/>
  </r>
  <r>
    <x v="4"/>
    <x v="1"/>
    <x v="0"/>
    <x v="4"/>
    <x v="15"/>
    <n v="2.6185E-2"/>
    <n v="2.6305719000000002E-2"/>
    <n v="1E-3"/>
    <n v="2.3601054E-2"/>
  </r>
  <r>
    <x v="4"/>
    <x v="1"/>
    <x v="2"/>
    <x v="4"/>
    <x v="15"/>
    <n v="7.5619304229999997"/>
    <n v="7.5967925650000003"/>
    <n v="0.54808543600000004"/>
    <n v="6.8157160970000001"/>
  </r>
  <r>
    <x v="4"/>
    <x v="1"/>
    <x v="1"/>
    <x v="4"/>
    <x v="15"/>
    <n v="258.89738269999998"/>
    <n v="260.09095589999998"/>
    <n v="38.922520509999998"/>
    <n v="233.3492852"/>
  </r>
  <r>
    <x v="4"/>
    <x v="3"/>
    <x v="0"/>
    <x v="5"/>
    <x v="16"/>
    <n v="0.22674211499999999"/>
    <n v="0.278202756"/>
    <n v="1.17825E-4"/>
    <n v="0.22674211499999999"/>
  </r>
  <r>
    <x v="4"/>
    <x v="2"/>
    <x v="0"/>
    <x v="5"/>
    <x v="16"/>
    <n v="1.1270315550000001"/>
    <n v="1.382818908"/>
    <n v="2.0300000000000001E-3"/>
    <n v="1.0826650529999999"/>
  </r>
  <r>
    <x v="4"/>
    <x v="1"/>
    <x v="1"/>
    <x v="5"/>
    <x v="16"/>
    <n v="70.883888220000003"/>
    <n v="86.971461009999999"/>
    <n v="14.806130980000001"/>
    <n v="66.000367940000004"/>
  </r>
  <r>
    <x v="4"/>
    <x v="3"/>
    <x v="3"/>
    <x v="5"/>
    <x v="16"/>
    <n v="4.1936213999999999E-2"/>
    <n v="5.1453919000000001E-2"/>
    <n v="2.1792000000000001E-5"/>
    <n v="4.1936213999999999E-2"/>
  </r>
  <r>
    <x v="4"/>
    <x v="1"/>
    <x v="2"/>
    <x v="5"/>
    <x v="16"/>
    <n v="2.0212461510000002"/>
    <n v="2.4799814910000002"/>
    <n v="0.25322327300000003"/>
    <n v="1.8819931160000001"/>
  </r>
  <r>
    <x v="4"/>
    <x v="0"/>
    <x v="3"/>
    <x v="5"/>
    <x v="16"/>
    <n v="0.52606155799999998"/>
    <n v="0.64545474899999999"/>
    <n v="5.470585E-3"/>
    <n v="0.48596910700000001"/>
  </r>
  <r>
    <x v="4"/>
    <x v="0"/>
    <x v="0"/>
    <x v="5"/>
    <x v="16"/>
    <n v="4.1539002999999998E-2"/>
    <n v="5.0966558000000002E-2"/>
    <n v="5.23618E-4"/>
    <n v="3.8373213000000003E-2"/>
  </r>
  <r>
    <x v="4"/>
    <x v="0"/>
    <x v="2"/>
    <x v="5"/>
    <x v="16"/>
    <n v="1.822017051"/>
    <n v="2.235536014"/>
    <n v="3.2991143000000001E-2"/>
    <n v="1.683156629"/>
  </r>
  <r>
    <x v="4"/>
    <x v="1"/>
    <x v="3"/>
    <x v="5"/>
    <x v="16"/>
    <n v="19.558143730000001"/>
    <n v="23.996995340000002"/>
    <n v="5.8203763080000002"/>
    <n v="18.21069237"/>
  </r>
  <r>
    <x v="4"/>
    <x v="1"/>
    <x v="0"/>
    <x v="5"/>
    <x v="16"/>
    <n v="0.68418011999999995"/>
    <n v="0.83945937699999995"/>
    <n v="0.17631612499999999"/>
    <n v="0.63704377400000001"/>
  </r>
  <r>
    <x v="4"/>
    <x v="2"/>
    <x v="2"/>
    <x v="5"/>
    <x v="16"/>
    <n v="0.48359987799999998"/>
    <n v="0.59335610599999999"/>
    <n v="1.197E-2"/>
    <n v="0.46456258"/>
  </r>
  <r>
    <x v="4"/>
    <x v="1"/>
    <x v="1"/>
    <x v="6"/>
    <x v="17"/>
    <n v="598.55922780000003"/>
    <n v="665.73872470000003"/>
    <n v="101.74336700000001"/>
    <n v="546.78049980000003"/>
  </r>
  <r>
    <x v="4"/>
    <x v="2"/>
    <x v="3"/>
    <x v="6"/>
    <x v="17"/>
    <n v="3.9974999819999999"/>
    <n v="4.4461607409999999"/>
    <n v="6.7000000000000004E-2"/>
    <n v="3.4760869410000002"/>
  </r>
  <r>
    <x v="4"/>
    <x v="0"/>
    <x v="0"/>
    <x v="6"/>
    <x v="17"/>
    <n v="14.88737272"/>
    <n v="16.558262020000001"/>
    <n v="2.7855459999999999E-2"/>
    <n v="13.1118051"/>
  </r>
  <r>
    <x v="4"/>
    <x v="2"/>
    <x v="2"/>
    <x v="6"/>
    <x v="17"/>
    <n v="29.228700910000001"/>
    <n v="32.509194020000002"/>
    <n v="0.47299999999999998"/>
    <n v="25.41626166"/>
  </r>
  <r>
    <x v="4"/>
    <x v="3"/>
    <x v="3"/>
    <x v="6"/>
    <x v="17"/>
    <n v="1.076471408"/>
    <n v="1.197289539"/>
    <n v="7.2867099999999996E-4"/>
    <n v="1.050585616"/>
  </r>
  <r>
    <x v="4"/>
    <x v="0"/>
    <x v="3"/>
    <x v="6"/>
    <x v="17"/>
    <n v="16.13981313"/>
    <n v="17.9512705"/>
    <n v="0.153297765"/>
    <n v="14.214871090000001"/>
  </r>
  <r>
    <x v="4"/>
    <x v="0"/>
    <x v="2"/>
    <x v="6"/>
    <x v="17"/>
    <n v="58.827885500000001"/>
    <n v="65.430453080000007"/>
    <n v="0.94831520599999997"/>
    <n v="51.811678489999998"/>
  </r>
  <r>
    <x v="4"/>
    <x v="1"/>
    <x v="3"/>
    <x v="6"/>
    <x v="17"/>
    <n v="193.26815260000001"/>
    <n v="214.95966899999999"/>
    <n v="33.54365018"/>
    <n v="176.54937419999999"/>
  </r>
  <r>
    <x v="4"/>
    <x v="1"/>
    <x v="0"/>
    <x v="6"/>
    <x v="17"/>
    <n v="8.7517880000000006E-2"/>
    <n v="9.7340478999999994E-2"/>
    <n v="6.0000000000000001E-3"/>
    <n v="7.9947092999999997E-2"/>
  </r>
  <r>
    <x v="4"/>
    <x v="1"/>
    <x v="2"/>
    <x v="6"/>
    <x v="17"/>
    <n v="19.507448969999999"/>
    <n v="21.696874090000001"/>
    <n v="1.552789755"/>
    <n v="17.819945300000001"/>
  </r>
  <r>
    <x v="4"/>
    <x v="3"/>
    <x v="0"/>
    <x v="6"/>
    <x v="17"/>
    <n v="10.93909839"/>
    <n v="12.166851790000001"/>
    <n v="6.9016720000000002E-3"/>
    <n v="10.676047069999999"/>
  </r>
  <r>
    <x v="4"/>
    <x v="2"/>
    <x v="3"/>
    <x v="6"/>
    <x v="18"/>
    <n v="0.25412246700000002"/>
    <n v="0.32569408399999999"/>
    <n v="2.2499999999999998E-3"/>
    <n v="0.21176872199999999"/>
  </r>
  <r>
    <x v="4"/>
    <x v="1"/>
    <x v="2"/>
    <x v="6"/>
    <x v="18"/>
    <n v="7.6276763719999998"/>
    <n v="9.7759521310000004"/>
    <n v="1.265562482"/>
    <n v="6.6936417610000003"/>
  </r>
  <r>
    <x v="4"/>
    <x v="1"/>
    <x v="3"/>
    <x v="6"/>
    <x v="18"/>
    <n v="55.970166480000003"/>
    <n v="71.733728799999994"/>
    <n v="11.652136520000001"/>
    <n v="49.116431460000001"/>
  </r>
  <r>
    <x v="4"/>
    <x v="0"/>
    <x v="2"/>
    <x v="6"/>
    <x v="18"/>
    <n v="13.16996499"/>
    <n v="16.879183260000001"/>
    <n v="0.25161240099999999"/>
    <n v="11.8861732"/>
  </r>
  <r>
    <x v="4"/>
    <x v="0"/>
    <x v="0"/>
    <x v="6"/>
    <x v="18"/>
    <n v="6.6085084639999998"/>
    <n v="8.4697435030000001"/>
    <n v="1.9228546999999999E-2"/>
    <n v="5.964319283"/>
  </r>
  <r>
    <x v="4"/>
    <x v="0"/>
    <x v="3"/>
    <x v="6"/>
    <x v="18"/>
    <n v="3.3998370630000001"/>
    <n v="4.3573747440000004"/>
    <n v="2.6551091999999998E-2"/>
    <n v="3.0684251769999999"/>
  </r>
  <r>
    <x v="4"/>
    <x v="3"/>
    <x v="0"/>
    <x v="6"/>
    <x v="18"/>
    <n v="14.18490053"/>
    <n v="18.1799675"/>
    <n v="8.060378E-3"/>
    <n v="11.347920419999999"/>
  </r>
  <r>
    <x v="4"/>
    <x v="3"/>
    <x v="3"/>
    <x v="6"/>
    <x v="18"/>
    <n v="0.86900619899999998"/>
    <n v="1.1137550389999999"/>
    <n v="5.6172100000000005E-4"/>
    <n v="0.69520495900000001"/>
  </r>
  <r>
    <x v="4"/>
    <x v="2"/>
    <x v="1"/>
    <x v="6"/>
    <x v="18"/>
    <n v="0.59295242199999998"/>
    <n v="0.75995286299999998"/>
    <n v="5.2500000000000003E-3"/>
    <n v="0.494127019"/>
  </r>
  <r>
    <x v="4"/>
    <x v="2"/>
    <x v="2"/>
    <x v="6"/>
    <x v="18"/>
    <n v="1.684595348"/>
    <n v="2.159048533"/>
    <n v="5.0786625000000002E-2"/>
    <n v="1.4038294570000001"/>
  </r>
  <r>
    <x v="4"/>
    <x v="1"/>
    <x v="1"/>
    <x v="6"/>
    <x v="18"/>
    <n v="182.30474229999999"/>
    <n v="233.64945589999999"/>
    <n v="39.219146639999998"/>
    <n v="159.98091389999999"/>
  </r>
  <r>
    <x v="4"/>
    <x v="3"/>
    <x v="0"/>
    <x v="2"/>
    <x v="19"/>
    <n v="1.591517643"/>
    <n v="1.874602522"/>
    <n v="8.6224000000000001E-4"/>
    <n v="1.591517643"/>
  </r>
  <r>
    <x v="4"/>
    <x v="0"/>
    <x v="3"/>
    <x v="2"/>
    <x v="19"/>
    <n v="0.55325972999999995"/>
    <n v="0.65166860699999996"/>
    <n v="5.3850240000000004E-3"/>
    <n v="0.50581046600000001"/>
  </r>
  <r>
    <x v="4"/>
    <x v="0"/>
    <x v="0"/>
    <x v="2"/>
    <x v="19"/>
    <n v="1.5273393999999999E-2"/>
    <n v="1.7990088000000001E-2"/>
    <n v="1.30004E-4"/>
    <n v="1.3963501E-2"/>
  </r>
  <r>
    <x v="4"/>
    <x v="0"/>
    <x v="2"/>
    <x v="2"/>
    <x v="19"/>
    <n v="1.3404244329999999"/>
    <n v="1.5788471040000001"/>
    <n v="3.0696187E-2"/>
    <n v="1.2254654920000001"/>
  </r>
  <r>
    <x v="4"/>
    <x v="1"/>
    <x v="3"/>
    <x v="2"/>
    <x v="19"/>
    <n v="49.824956010000001"/>
    <n v="58.687372150000002"/>
    <n v="7.944217364"/>
    <n v="47.119062509999999"/>
  </r>
  <r>
    <x v="4"/>
    <x v="1"/>
    <x v="0"/>
    <x v="2"/>
    <x v="19"/>
    <n v="2.2042823509999998"/>
    <n v="2.596360319"/>
    <n v="0.31763167599999997"/>
    <n v="2.0845721949999998"/>
  </r>
  <r>
    <x v="4"/>
    <x v="2"/>
    <x v="2"/>
    <x v="2"/>
    <x v="19"/>
    <n v="0.20388441500000001"/>
    <n v="0.24014954499999999"/>
    <n v="3.9699999999999996E-3"/>
    <n v="0.18078443499999999"/>
  </r>
  <r>
    <x v="4"/>
    <x v="1"/>
    <x v="1"/>
    <x v="2"/>
    <x v="19"/>
    <n v="213.86657700000001"/>
    <n v="251.90724489999999"/>
    <n v="35.27338039"/>
    <n v="202.25191179999999"/>
  </r>
  <r>
    <x v="4"/>
    <x v="2"/>
    <x v="0"/>
    <x v="2"/>
    <x v="19"/>
    <n v="1.824134E-3"/>
    <n v="2.1485950000000001E-3"/>
    <n v="3.0000000000000001E-5"/>
    <n v="1.6174609999999999E-3"/>
  </r>
  <r>
    <x v="4"/>
    <x v="1"/>
    <x v="2"/>
    <x v="2"/>
    <x v="19"/>
    <n v="3.614043637"/>
    <n v="4.2568772929999996"/>
    <n v="0.43220387399999999"/>
    <n v="3.4177721700000001"/>
  </r>
  <r>
    <x v="4"/>
    <x v="3"/>
    <x v="3"/>
    <x v="2"/>
    <x v="19"/>
    <n v="0.53699000699999999"/>
    <n v="0.632504972"/>
    <n v="2.7606400000000002E-4"/>
    <n v="0.53699000699999999"/>
  </r>
  <r>
    <x v="4"/>
    <x v="0"/>
    <x v="2"/>
    <x v="7"/>
    <x v="20"/>
    <n v="5.1043272799999997"/>
    <n v="5.0871223619999997"/>
    <n v="8.0005928000000004E-2"/>
    <n v="4.7395853209999999"/>
  </r>
  <r>
    <x v="4"/>
    <x v="2"/>
    <x v="2"/>
    <x v="7"/>
    <x v="20"/>
    <n v="0.16876213200000001"/>
    <n v="0.16819329299999999"/>
    <n v="9.8999999999999999E-4"/>
    <n v="0.14674967999999999"/>
  </r>
  <r>
    <x v="4"/>
    <x v="1"/>
    <x v="1"/>
    <x v="7"/>
    <x v="20"/>
    <n v="204.8120806"/>
    <n v="204.12173010000001"/>
    <n v="34.542052120000001"/>
    <n v="189.59594530000001"/>
  </r>
  <r>
    <x v="4"/>
    <x v="1"/>
    <x v="2"/>
    <x v="7"/>
    <x v="20"/>
    <n v="3.5609251510000002"/>
    <n v="3.5489225069999999"/>
    <n v="0.45831452499999997"/>
    <n v="3.2963727920000001"/>
  </r>
  <r>
    <x v="4"/>
    <x v="1"/>
    <x v="0"/>
    <x v="7"/>
    <x v="20"/>
    <n v="1.5947316970000001"/>
    <n v="1.5893564090000001"/>
    <n v="0.32706423099999998"/>
    <n v="1.4762540500000001"/>
  </r>
  <r>
    <x v="4"/>
    <x v="2"/>
    <x v="0"/>
    <x v="7"/>
    <x v="20"/>
    <n v="1.7046679999999999E-3"/>
    <n v="1.6989220000000001E-3"/>
    <n v="1.0000000000000001E-5"/>
    <n v="1.4823200000000001E-3"/>
  </r>
  <r>
    <x v="4"/>
    <x v="3"/>
    <x v="3"/>
    <x v="7"/>
    <x v="20"/>
    <n v="1.1769832360000001"/>
    <n v="1.173016034"/>
    <n v="5.6127499999999997E-4"/>
    <n v="1.1769832360000001"/>
  </r>
  <r>
    <x v="4"/>
    <x v="3"/>
    <x v="0"/>
    <x v="7"/>
    <x v="20"/>
    <n v="10.132707699999999"/>
    <n v="10.09855385"/>
    <n v="4.9166870000000003E-3"/>
    <n v="10.132707699999999"/>
  </r>
  <r>
    <x v="4"/>
    <x v="0"/>
    <x v="3"/>
    <x v="7"/>
    <x v="20"/>
    <n v="0.79311014999999996"/>
    <n v="0.79043684999999997"/>
    <n v="6.1053820000000003E-3"/>
    <n v="0.73643656000000002"/>
  </r>
  <r>
    <x v="4"/>
    <x v="1"/>
    <x v="3"/>
    <x v="7"/>
    <x v="20"/>
    <n v="61.841284479999999"/>
    <n v="61.63283895"/>
    <n v="11.664601660000001"/>
    <n v="57.246900439999997"/>
  </r>
  <r>
    <x v="4"/>
    <x v="0"/>
    <x v="0"/>
    <x v="7"/>
    <x v="20"/>
    <n v="0.13759682500000001"/>
    <n v="0.13713303299999999"/>
    <n v="1.168486E-3"/>
    <n v="0.127764513"/>
  </r>
  <r>
    <x v="4"/>
    <x v="2"/>
    <x v="0"/>
    <x v="2"/>
    <x v="21"/>
    <n v="0.824933519"/>
    <n v="0.97166529199999996"/>
    <n v="4.2404039999999997E-3"/>
    <n v="0.74741134499999995"/>
  </r>
  <r>
    <x v="4"/>
    <x v="3"/>
    <x v="3"/>
    <x v="2"/>
    <x v="21"/>
    <n v="7.6555172149999997"/>
    <n v="9.0172119310000003"/>
    <n v="3.707625E-3"/>
    <n v="7.6555172149999997"/>
  </r>
  <r>
    <x v="4"/>
    <x v="3"/>
    <x v="0"/>
    <x v="2"/>
    <x v="21"/>
    <n v="78.273518640000006"/>
    <n v="92.196109860000007"/>
    <n v="3.8237394000000001E-2"/>
    <n v="78.273518640000006"/>
  </r>
  <r>
    <x v="4"/>
    <x v="0"/>
    <x v="3"/>
    <x v="2"/>
    <x v="21"/>
    <n v="10.63887912"/>
    <n v="12.53122748"/>
    <n v="8.6132589999999995E-2"/>
    <n v="9.5949220910000008"/>
  </r>
  <r>
    <x v="4"/>
    <x v="0"/>
    <x v="2"/>
    <x v="2"/>
    <x v="21"/>
    <n v="21.633807170000001"/>
    <n v="25.481834689999999"/>
    <n v="0.39561013499999997"/>
    <n v="19.510955240000001"/>
  </r>
  <r>
    <x v="4"/>
    <x v="1"/>
    <x v="3"/>
    <x v="2"/>
    <x v="21"/>
    <n v="130.90619000000001"/>
    <n v="154.1906085"/>
    <n v="24.84067954"/>
    <n v="121.9913877"/>
  </r>
  <r>
    <x v="4"/>
    <x v="1"/>
    <x v="0"/>
    <x v="2"/>
    <x v="21"/>
    <n v="5.2743137339999997"/>
    <n v="6.2124613389999999"/>
    <n v="1.289757485"/>
    <n v="4.9151293120000004"/>
  </r>
  <r>
    <x v="4"/>
    <x v="1"/>
    <x v="2"/>
    <x v="2"/>
    <x v="21"/>
    <n v="15.83783597"/>
    <n v="18.654928129999998"/>
    <n v="1.081322766"/>
    <n v="14.759268349999999"/>
  </r>
  <r>
    <x v="4"/>
    <x v="2"/>
    <x v="2"/>
    <x v="2"/>
    <x v="21"/>
    <n v="4.9297811530000004"/>
    <n v="5.8066463930000003"/>
    <n v="4.6524995999999999E-2"/>
    <n v="4.4665106689999998"/>
  </r>
  <r>
    <x v="4"/>
    <x v="1"/>
    <x v="1"/>
    <x v="2"/>
    <x v="21"/>
    <n v="384.18178119999999"/>
    <n v="452.51658950000001"/>
    <n v="70.638366579999996"/>
    <n v="358.01873549999999"/>
  </r>
  <r>
    <x v="4"/>
    <x v="0"/>
    <x v="0"/>
    <x v="2"/>
    <x v="21"/>
    <n v="0.74318742599999998"/>
    <n v="0.87537893700000002"/>
    <n v="5.702019E-3"/>
    <n v="0.67026097100000004"/>
  </r>
  <r>
    <x v="4"/>
    <x v="3"/>
    <x v="0"/>
    <x v="8"/>
    <x v="22"/>
    <n v="547.1375726"/>
    <n v="628.83542920000002"/>
    <n v="0.26588443"/>
    <n v="536.82738319999999"/>
  </r>
  <r>
    <x v="4"/>
    <x v="1"/>
    <x v="0"/>
    <x v="8"/>
    <x v="22"/>
    <n v="32.063933249999998"/>
    <n v="36.851677240000001"/>
    <n v="0.44128569200000001"/>
    <n v="29.270499480000002"/>
  </r>
  <r>
    <x v="4"/>
    <x v="1"/>
    <x v="3"/>
    <x v="8"/>
    <x v="22"/>
    <n v="922.86038029999997"/>
    <n v="1060.660668"/>
    <n v="127.74384550000001"/>
    <n v="842.46009579999998"/>
  </r>
  <r>
    <x v="4"/>
    <x v="0"/>
    <x v="2"/>
    <x v="8"/>
    <x v="22"/>
    <n v="203.7980852"/>
    <n v="234.22894500000001"/>
    <n v="3.8686894060000001"/>
    <n v="189.18228250000001"/>
  </r>
  <r>
    <x v="4"/>
    <x v="0"/>
    <x v="3"/>
    <x v="8"/>
    <x v="22"/>
    <n v="24.829584350000001"/>
    <n v="28.53710495"/>
    <n v="0.59906777499999997"/>
    <n v="23.04887918"/>
  </r>
  <r>
    <x v="4"/>
    <x v="3"/>
    <x v="3"/>
    <x v="8"/>
    <x v="22"/>
    <n v="17.277416930000001"/>
    <n v="19.857257910000001"/>
    <n v="7.1155699999999999E-3"/>
    <n v="16.951843530000001"/>
  </r>
  <r>
    <x v="4"/>
    <x v="2"/>
    <x v="2"/>
    <x v="8"/>
    <x v="22"/>
    <n v="56.50425568"/>
    <n v="64.941396190000006"/>
    <n v="1.014"/>
    <n v="54.022863229999999"/>
  </r>
  <r>
    <x v="4"/>
    <x v="2"/>
    <x v="0"/>
    <x v="8"/>
    <x v="22"/>
    <n v="38.955482189999998"/>
    <n v="44.772263119999998"/>
    <n v="8.4000000000000005E-2"/>
    <n v="37.244746630000002"/>
  </r>
  <r>
    <x v="4"/>
    <x v="1"/>
    <x v="2"/>
    <x v="8"/>
    <x v="22"/>
    <n v="67.244703749999999"/>
    <n v="77.285593730000002"/>
    <n v="4.0481039660000002"/>
    <n v="61.386295019999999"/>
  </r>
  <r>
    <x v="4"/>
    <x v="0"/>
    <x v="0"/>
    <x v="8"/>
    <x v="22"/>
    <n v="5.0923407279999999"/>
    <n v="5.8527222910000001"/>
    <n v="8.1974927000000003E-2"/>
    <n v="4.7271329440000001"/>
  </r>
  <r>
    <x v="4"/>
    <x v="1"/>
    <x v="1"/>
    <x v="8"/>
    <x v="22"/>
    <n v="2105.8887949999998"/>
    <n v="2420.337317"/>
    <n v="312.5438843"/>
    <n v="1922.4221930000001"/>
  </r>
  <r>
    <x v="4"/>
    <x v="1"/>
    <x v="1"/>
    <x v="6"/>
    <x v="23"/>
    <n v="101.95541540000001"/>
    <n v="139.1520515"/>
    <n v="17.26922296"/>
    <n v="91.615750079999998"/>
  </r>
  <r>
    <x v="4"/>
    <x v="2"/>
    <x v="2"/>
    <x v="6"/>
    <x v="23"/>
    <n v="2.0688994279999999"/>
    <n v="2.8237009139999998"/>
    <n v="3.6605533000000003E-2"/>
    <n v="1.945194259"/>
  </r>
  <r>
    <x v="4"/>
    <x v="3"/>
    <x v="3"/>
    <x v="6"/>
    <x v="23"/>
    <n v="0.97575448499999995"/>
    <n v="1.331741308"/>
    <n v="4.9915199999999999E-4"/>
    <n v="0.92346071399999996"/>
  </r>
  <r>
    <x v="4"/>
    <x v="3"/>
    <x v="0"/>
    <x v="6"/>
    <x v="23"/>
    <n v="8.4008971470000002"/>
    <n v="11.46581638"/>
    <n v="4.820614E-3"/>
    <n v="7.9506664850000002"/>
  </r>
  <r>
    <x v="4"/>
    <x v="0"/>
    <x v="3"/>
    <x v="6"/>
    <x v="23"/>
    <n v="1.6782702869999999"/>
    <n v="2.2905576179999998"/>
    <n v="1.2546722999999999E-2"/>
    <n v="1.3974654019999999"/>
  </r>
  <r>
    <x v="4"/>
    <x v="0"/>
    <x v="0"/>
    <x v="6"/>
    <x v="23"/>
    <n v="0.561895229"/>
    <n v="0.76689279899999996"/>
    <n v="2.48401E-3"/>
    <n v="0.46788002400000001"/>
  </r>
  <r>
    <x v="4"/>
    <x v="0"/>
    <x v="2"/>
    <x v="6"/>
    <x v="23"/>
    <n v="9.7165281930000003"/>
    <n v="13.26143223"/>
    <n v="0.16097657200000001"/>
    <n v="8.0907777969999994"/>
  </r>
  <r>
    <x v="4"/>
    <x v="1"/>
    <x v="2"/>
    <x v="6"/>
    <x v="23"/>
    <n v="5.8841356559999998"/>
    <n v="8.0308588269999994"/>
    <n v="0.23338709999999999"/>
    <n v="5.2874042970000001"/>
  </r>
  <r>
    <x v="4"/>
    <x v="1"/>
    <x v="3"/>
    <x v="6"/>
    <x v="23"/>
    <n v="40.100059090000002"/>
    <n v="54.729858790000002"/>
    <n v="7.4771966379999997"/>
    <n v="36.03336788"/>
  </r>
  <r>
    <x v="4"/>
    <x v="0"/>
    <x v="2"/>
    <x v="0"/>
    <x v="24"/>
    <n v="27.71373535"/>
    <n v="41.06614295"/>
    <n v="0.30378698500000001"/>
    <n v="26.374071109999999"/>
  </r>
  <r>
    <x v="4"/>
    <x v="0"/>
    <x v="0"/>
    <x v="0"/>
    <x v="24"/>
    <n v="4.854395008"/>
    <n v="7.1932302459999997"/>
    <n v="1.4890591999999999E-2"/>
    <n v="4.619736659"/>
  </r>
  <r>
    <x v="4"/>
    <x v="1"/>
    <x v="0"/>
    <x v="0"/>
    <x v="24"/>
    <n v="0.36310215200000001"/>
    <n v="0.53804384999999999"/>
    <n v="8.2050000000000005E-3"/>
    <n v="0.35053162799999998"/>
  </r>
  <r>
    <x v="4"/>
    <x v="2"/>
    <x v="2"/>
    <x v="0"/>
    <x v="24"/>
    <n v="3.5101108320000001"/>
    <n v="5.2012733539999996"/>
    <n v="5.3260000000000002E-2"/>
    <n v="3.4278426089999998"/>
  </r>
  <r>
    <x v="4"/>
    <x v="3"/>
    <x v="3"/>
    <x v="0"/>
    <x v="24"/>
    <n v="1.5066402270000001"/>
    <n v="2.2325356780000001"/>
    <n v="7.2664500000000005E-4"/>
    <n v="1.471328347"/>
  </r>
  <r>
    <x v="4"/>
    <x v="3"/>
    <x v="0"/>
    <x v="0"/>
    <x v="24"/>
    <n v="23.168915460000001"/>
    <n v="34.33164034"/>
    <n v="9.544126E-3"/>
    <n v="22.625893999999999"/>
  </r>
  <r>
    <x v="4"/>
    <x v="0"/>
    <x v="3"/>
    <x v="0"/>
    <x v="24"/>
    <n v="4.0496747339999999"/>
    <n v="6.000797779"/>
    <n v="0.16310718099999999"/>
    <n v="3.853916049"/>
  </r>
  <r>
    <x v="4"/>
    <x v="1"/>
    <x v="3"/>
    <x v="0"/>
    <x v="24"/>
    <n v="51.465459490000001"/>
    <n v="76.261387709999994"/>
    <n v="13.14133073"/>
    <n v="49.683735589999998"/>
  </r>
  <r>
    <x v="4"/>
    <x v="1"/>
    <x v="2"/>
    <x v="0"/>
    <x v="24"/>
    <n v="7.5706767749999999"/>
    <n v="11.218209699999999"/>
    <n v="0.98362234800000004"/>
    <n v="7.3085814620000003"/>
  </r>
  <r>
    <x v="4"/>
    <x v="1"/>
    <x v="1"/>
    <x v="0"/>
    <x v="24"/>
    <n v="152.87922090000001"/>
    <n v="226.53604290000001"/>
    <n v="38.182329240000001"/>
    <n v="147.58657289999999"/>
  </r>
  <r>
    <x v="4"/>
    <x v="3"/>
    <x v="0"/>
    <x v="2"/>
    <x v="25"/>
    <n v="6.2724900359999998"/>
    <n v="7.3881842860000004"/>
    <n v="3.4690720000000001E-3"/>
    <n v="6.2724900359999998"/>
  </r>
  <r>
    <x v="4"/>
    <x v="0"/>
    <x v="0"/>
    <x v="2"/>
    <x v="25"/>
    <n v="0.16669051500000001"/>
    <n v="0.196339928"/>
    <n v="1.3075750000000001E-3"/>
    <n v="0.15334915499999999"/>
  </r>
  <r>
    <x v="4"/>
    <x v="3"/>
    <x v="3"/>
    <x v="2"/>
    <x v="25"/>
    <n v="1.3328292740000001"/>
    <n v="1.569900987"/>
    <n v="6.7100299999999999E-4"/>
    <n v="1.3328292740000001"/>
  </r>
  <r>
    <x v="4"/>
    <x v="0"/>
    <x v="3"/>
    <x v="2"/>
    <x v="25"/>
    <n v="2.1287010159999999"/>
    <n v="2.507335254"/>
    <n v="1.4084522E-2"/>
    <n v="1.9583267959999999"/>
  </r>
  <r>
    <x v="4"/>
    <x v="1"/>
    <x v="2"/>
    <x v="2"/>
    <x v="25"/>
    <n v="14.35264291"/>
    <n v="16.90556226"/>
    <n v="1.0980331510000001"/>
    <n v="13.32043457"/>
  </r>
  <r>
    <x v="4"/>
    <x v="2"/>
    <x v="2"/>
    <x v="2"/>
    <x v="25"/>
    <n v="1.6650036159999999"/>
    <n v="1.96115952"/>
    <n v="1.7909999999999999E-2"/>
    <n v="1.447829231"/>
  </r>
  <r>
    <x v="4"/>
    <x v="1"/>
    <x v="0"/>
    <x v="2"/>
    <x v="25"/>
    <n v="5.2092104739999998"/>
    <n v="6.135778095"/>
    <n v="0.78576582100000003"/>
    <n v="4.8345763010000002"/>
  </r>
  <r>
    <x v="4"/>
    <x v="1"/>
    <x v="3"/>
    <x v="2"/>
    <x v="25"/>
    <n v="136.7294856"/>
    <n v="161.04969969999999"/>
    <n v="25.604863160000001"/>
    <n v="126.89622230000001"/>
  </r>
  <r>
    <x v="4"/>
    <x v="2"/>
    <x v="0"/>
    <x v="2"/>
    <x v="25"/>
    <n v="2.7817059720000001"/>
    <n v="3.2764908730000002"/>
    <n v="4.0899999999999999E-3"/>
    <n v="2.4188747589999999"/>
  </r>
  <r>
    <x v="4"/>
    <x v="1"/>
    <x v="1"/>
    <x v="2"/>
    <x v="25"/>
    <n v="556.55026699999996"/>
    <n v="655.54443500000002"/>
    <n v="91.872776709999997"/>
    <n v="516.52448000000004"/>
  </r>
  <r>
    <x v="4"/>
    <x v="0"/>
    <x v="2"/>
    <x v="2"/>
    <x v="25"/>
    <n v="10.630671059999999"/>
    <n v="12.52155945"/>
    <n v="0.45888252899999998"/>
    <n v="9.7798271559999996"/>
  </r>
  <r>
    <x v="4"/>
    <x v="0"/>
    <x v="2"/>
    <x v="1"/>
    <x v="26"/>
    <n v="2.261925089"/>
    <n v="2.6095617089999998"/>
    <n v="5.1225028999999998E-2"/>
    <n v="2.1185463910000002"/>
  </r>
  <r>
    <x v="4"/>
    <x v="1"/>
    <x v="3"/>
    <x v="1"/>
    <x v="26"/>
    <n v="10.161571950000001"/>
    <n v="11.72331002"/>
    <n v="1.49847777"/>
    <n v="8.9909670110000004"/>
  </r>
  <r>
    <x v="4"/>
    <x v="1"/>
    <x v="2"/>
    <x v="1"/>
    <x v="26"/>
    <n v="1.834339972"/>
    <n v="2.1162607800000002"/>
    <n v="0.14421240799999999"/>
    <n v="1.623025479"/>
  </r>
  <r>
    <x v="4"/>
    <x v="1"/>
    <x v="1"/>
    <x v="1"/>
    <x v="26"/>
    <n v="48.314616209999997"/>
    <n v="55.74011849"/>
    <n v="6.6485488400000001"/>
    <n v="42.748811189999998"/>
  </r>
  <r>
    <x v="4"/>
    <x v="0"/>
    <x v="3"/>
    <x v="1"/>
    <x v="26"/>
    <n v="0.60431734699999995"/>
    <n v="0.69719524200000005"/>
    <n v="1.7354113000000001E-2"/>
    <n v="0.56601093499999999"/>
  </r>
  <r>
    <x v="4"/>
    <x v="0"/>
    <x v="0"/>
    <x v="1"/>
    <x v="26"/>
    <n v="4.1597237399999996"/>
    <n v="4.7990341709999997"/>
    <n v="4.4174119999999999E-3"/>
    <n v="3.8960475570000002"/>
  </r>
  <r>
    <x v="4"/>
    <x v="2"/>
    <x v="2"/>
    <x v="1"/>
    <x v="26"/>
    <n v="0.31880524399999999"/>
    <n v="0.367802613"/>
    <n v="6.2866249999999997E-3"/>
    <n v="0.25919125500000001"/>
  </r>
  <r>
    <x v="4"/>
    <x v="2"/>
    <x v="3"/>
    <x v="1"/>
    <x v="26"/>
    <n v="9.6110859999999996E-3"/>
    <n v="1.1088219999999999E-2"/>
    <n v="5.9999999999999995E-4"/>
    <n v="7.8138909999999999E-3"/>
  </r>
  <r>
    <x v="4"/>
    <x v="0"/>
    <x v="0"/>
    <x v="2"/>
    <x v="27"/>
    <n v="4.1225869999999998E-2"/>
    <n v="5.8006422000000002E-2"/>
    <n v="4.7942699999999999E-4"/>
    <n v="3.7140423999999998E-2"/>
  </r>
  <r>
    <x v="4"/>
    <x v="2"/>
    <x v="0"/>
    <x v="2"/>
    <x v="27"/>
    <n v="1.4925976190000001"/>
    <n v="2.1001436039999999"/>
    <n v="1.014E-2"/>
    <n v="1.39642906"/>
  </r>
  <r>
    <x v="4"/>
    <x v="1"/>
    <x v="2"/>
    <x v="2"/>
    <x v="27"/>
    <n v="1.194450928"/>
    <n v="1.6806394739999999"/>
    <n v="0.15855718199999999"/>
    <n v="1.1071824260000001"/>
  </r>
  <r>
    <x v="4"/>
    <x v="1"/>
    <x v="0"/>
    <x v="2"/>
    <x v="27"/>
    <n v="0.76066879399999998"/>
    <n v="1.0702909359999999"/>
    <n v="0.103116113"/>
    <n v="0.70509311100000005"/>
  </r>
  <r>
    <x v="4"/>
    <x v="0"/>
    <x v="2"/>
    <x v="2"/>
    <x v="27"/>
    <n v="1.4789313660000001"/>
    <n v="2.0809146489999999"/>
    <n v="2.6902433E-2"/>
    <n v="1.3323706"/>
  </r>
  <r>
    <x v="4"/>
    <x v="2"/>
    <x v="2"/>
    <x v="2"/>
    <x v="27"/>
    <n v="1.4425291609999999"/>
    <n v="2.0296953129999999"/>
    <n v="2.1860000000000001E-2"/>
    <n v="1.3495865300000001"/>
  </r>
  <r>
    <x v="4"/>
    <x v="1"/>
    <x v="1"/>
    <x v="2"/>
    <x v="27"/>
    <n v="90.725697510000003"/>
    <n v="127.65462770000001"/>
    <n v="13.45268096"/>
    <n v="84.097132400000007"/>
  </r>
  <r>
    <x v="4"/>
    <x v="3"/>
    <x v="3"/>
    <x v="2"/>
    <x v="27"/>
    <n v="0.16277143399999999"/>
    <n v="0.22902581499999999"/>
    <n v="8.0280999999999999E-5"/>
    <n v="0.16277143399999999"/>
  </r>
  <r>
    <x v="4"/>
    <x v="3"/>
    <x v="0"/>
    <x v="2"/>
    <x v="27"/>
    <n v="2.314871063"/>
    <n v="3.257114708"/>
    <n v="1.0806489999999999E-3"/>
    <n v="2.314871063"/>
  </r>
  <r>
    <x v="4"/>
    <x v="0"/>
    <x v="3"/>
    <x v="2"/>
    <x v="27"/>
    <n v="0.49292606"/>
    <n v="0.69356636999999999"/>
    <n v="4.5376890000000001E-3"/>
    <n v="0.444077532"/>
  </r>
  <r>
    <x v="4"/>
    <x v="1"/>
    <x v="3"/>
    <x v="2"/>
    <x v="27"/>
    <n v="25.514185749999999"/>
    <n v="35.899463679999997"/>
    <n v="4.6906522060000002"/>
    <n v="23.65007838"/>
  </r>
  <r>
    <x v="4"/>
    <x v="2"/>
    <x v="0"/>
    <x v="5"/>
    <x v="28"/>
    <n v="1.4371702340000001"/>
    <n v="1.7174217510000001"/>
    <n v="3.13E-3"/>
    <n v="1.382889091"/>
  </r>
  <r>
    <x v="4"/>
    <x v="0"/>
    <x v="3"/>
    <x v="5"/>
    <x v="28"/>
    <n v="4.7613393090000002"/>
    <n v="5.6898114790000003"/>
    <n v="3.7523343000000001E-2"/>
    <n v="4.4066583699999997"/>
  </r>
  <r>
    <x v="4"/>
    <x v="3"/>
    <x v="3"/>
    <x v="5"/>
    <x v="28"/>
    <n v="3.5986691000000001E-2"/>
    <n v="4.3004178999999997E-2"/>
    <n v="2.5408000000000001E-5"/>
    <n v="3.5986691000000001E-2"/>
  </r>
  <r>
    <x v="4"/>
    <x v="3"/>
    <x v="0"/>
    <x v="5"/>
    <x v="28"/>
    <n v="0.273146263"/>
    <n v="0.32641041500000001"/>
    <n v="1.9285E-4"/>
    <n v="0.273146263"/>
  </r>
  <r>
    <x v="4"/>
    <x v="1"/>
    <x v="1"/>
    <x v="5"/>
    <x v="28"/>
    <n v="188.19381859999999"/>
    <n v="224.8920482"/>
    <n v="37.715320200000001"/>
    <n v="177.5327565"/>
  </r>
  <r>
    <x v="4"/>
    <x v="1"/>
    <x v="2"/>
    <x v="5"/>
    <x v="28"/>
    <n v="4.7618023579999997"/>
    <n v="5.6903648240000004"/>
    <n v="0.64479603699999999"/>
    <n v="4.4920492330000004"/>
  </r>
  <r>
    <x v="4"/>
    <x v="1"/>
    <x v="0"/>
    <x v="5"/>
    <x v="28"/>
    <n v="2.8622438969999999"/>
    <n v="3.4203880729999998"/>
    <n v="0.66921604800000001"/>
    <n v="2.700099571"/>
  </r>
  <r>
    <x v="4"/>
    <x v="1"/>
    <x v="3"/>
    <x v="5"/>
    <x v="28"/>
    <n v="63.75119368"/>
    <n v="76.18282379"/>
    <n v="17.298275319999998"/>
    <n v="60.139728429999998"/>
  </r>
  <r>
    <x v="4"/>
    <x v="0"/>
    <x v="2"/>
    <x v="5"/>
    <x v="28"/>
    <n v="10.03266627"/>
    <n v="11.98905938"/>
    <n v="0.17400142699999999"/>
    <n v="9.2853144679999993"/>
  </r>
  <r>
    <x v="4"/>
    <x v="2"/>
    <x v="2"/>
    <x v="5"/>
    <x v="28"/>
    <n v="0.57756436799999999"/>
    <n v="0.69019075500000004"/>
    <n v="1.2869999999999999E-2"/>
    <n v="0.55575007399999998"/>
  </r>
  <r>
    <x v="4"/>
    <x v="0"/>
    <x v="0"/>
    <x v="5"/>
    <x v="28"/>
    <n v="0.35484517399999999"/>
    <n v="0.42404080300000002"/>
    <n v="2.5794680000000001E-3"/>
    <n v="0.32841210300000001"/>
  </r>
  <r>
    <x v="4"/>
    <x v="1"/>
    <x v="1"/>
    <x v="2"/>
    <x v="29"/>
    <n v="41.261592700000001"/>
    <n v="48.600834599999999"/>
    <n v="9.2191175120000004"/>
    <n v="38.189548539999997"/>
  </r>
  <r>
    <x v="4"/>
    <x v="0"/>
    <x v="3"/>
    <x v="2"/>
    <x v="29"/>
    <n v="0.51658509699999999"/>
    <n v="0.60847061999999996"/>
    <n v="4.753185E-3"/>
    <n v="0.46715746600000002"/>
  </r>
  <r>
    <x v="4"/>
    <x v="0"/>
    <x v="0"/>
    <x v="2"/>
    <x v="29"/>
    <n v="3.4727839000000003E-2"/>
    <n v="4.0904915999999999E-2"/>
    <n v="3.0035100000000003E-4"/>
    <n v="3.1405028000000001E-2"/>
  </r>
  <r>
    <x v="4"/>
    <x v="0"/>
    <x v="2"/>
    <x v="2"/>
    <x v="29"/>
    <n v="0.91444564100000003"/>
    <n v="1.077099027"/>
    <n v="1.08635E-2"/>
    <n v="0.82695012000000001"/>
  </r>
  <r>
    <x v="4"/>
    <x v="1"/>
    <x v="3"/>
    <x v="2"/>
    <x v="29"/>
    <n v="12.564431340000001"/>
    <n v="14.799279650000001"/>
    <n v="3.3005769420000002"/>
    <n v="11.62897332"/>
  </r>
  <r>
    <x v="4"/>
    <x v="1"/>
    <x v="0"/>
    <x v="2"/>
    <x v="29"/>
    <n v="0.37098555799999999"/>
    <n v="0.43697313999999998"/>
    <n v="0.153451849"/>
    <n v="0.34336461699999998"/>
  </r>
  <r>
    <x v="4"/>
    <x v="1"/>
    <x v="2"/>
    <x v="2"/>
    <x v="29"/>
    <n v="1.477655073"/>
    <n v="1.7404871"/>
    <n v="0.13570470100000001"/>
    <n v="1.367639407"/>
  </r>
  <r>
    <x v="4"/>
    <x v="3"/>
    <x v="3"/>
    <x v="2"/>
    <x v="29"/>
    <n v="0.13156332500000001"/>
    <n v="0.15496462899999999"/>
    <n v="8.4773999999999998E-5"/>
    <n v="0.13156332500000001"/>
  </r>
  <r>
    <x v="4"/>
    <x v="3"/>
    <x v="0"/>
    <x v="2"/>
    <x v="29"/>
    <n v="0.85519249500000005"/>
    <n v="1.0073064629999999"/>
    <n v="5.67254E-4"/>
    <n v="0.85519249500000005"/>
  </r>
  <r>
    <x v="4"/>
    <x v="2"/>
    <x v="0"/>
    <x v="2"/>
    <x v="29"/>
    <n v="3.1213899999999999E-3"/>
    <n v="3.6765949999999999E-3"/>
    <n v="3.0000000000000001E-5"/>
    <n v="2.7530139999999998E-3"/>
  </r>
  <r>
    <x v="4"/>
    <x v="2"/>
    <x v="2"/>
    <x v="2"/>
    <x v="29"/>
    <n v="0.48258946800000002"/>
    <n v="0.56842815300000005"/>
    <n v="6.9699999999999996E-3"/>
    <n v="0.42563592500000003"/>
  </r>
  <r>
    <x v="4"/>
    <x v="3"/>
    <x v="3"/>
    <x v="5"/>
    <x v="30"/>
    <n v="1.954219986"/>
    <n v="2.3018191030000001"/>
    <n v="5.631647E-3"/>
    <n v="1.9335127999999999"/>
  </r>
  <r>
    <x v="4"/>
    <x v="1"/>
    <x v="1"/>
    <x v="5"/>
    <x v="30"/>
    <n v="315.59061559999998"/>
    <n v="371.72504279999998"/>
    <n v="69.361616870000006"/>
    <n v="293.46793020000001"/>
  </r>
  <r>
    <x v="4"/>
    <x v="1"/>
    <x v="2"/>
    <x v="5"/>
    <x v="30"/>
    <n v="7.5845726579999999"/>
    <n v="8.9336483930000004"/>
    <n v="1.1472763429999999"/>
    <n v="7.0528993230000001"/>
  </r>
  <r>
    <x v="4"/>
    <x v="1"/>
    <x v="0"/>
    <x v="5"/>
    <x v="30"/>
    <n v="3.432333597"/>
    <n v="4.0428463020000001"/>
    <n v="0.83765099300000001"/>
    <n v="3.1917293689999999"/>
  </r>
  <r>
    <x v="4"/>
    <x v="1"/>
    <x v="3"/>
    <x v="5"/>
    <x v="30"/>
    <n v="117.44506680000001"/>
    <n v="138.33514149999999"/>
    <n v="35.635720659999997"/>
    <n v="109.2122482"/>
  </r>
  <r>
    <x v="4"/>
    <x v="0"/>
    <x v="2"/>
    <x v="5"/>
    <x v="30"/>
    <n v="6.6425103740000004"/>
    <n v="7.8240205219999996"/>
    <n v="0.12865713000000001"/>
    <n v="6.1591804559999996"/>
  </r>
  <r>
    <x v="4"/>
    <x v="0"/>
    <x v="0"/>
    <x v="5"/>
    <x v="30"/>
    <n v="0.223336901"/>
    <n v="0.26306206500000001"/>
    <n v="1.618909E-3"/>
    <n v="0.20708620599999999"/>
  </r>
  <r>
    <x v="4"/>
    <x v="3"/>
    <x v="0"/>
    <x v="5"/>
    <x v="30"/>
    <n v="3.0272341319999998"/>
    <n v="3.5656913779999999"/>
    <n v="1.844016E-3"/>
    <n v="2.9951571389999998"/>
  </r>
  <r>
    <x v="4"/>
    <x v="2"/>
    <x v="2"/>
    <x v="5"/>
    <x v="30"/>
    <n v="2.1795710320000001"/>
    <n v="2.5672535710000002"/>
    <n v="4.1633000000000003E-2"/>
    <n v="1.927668275"/>
  </r>
  <r>
    <x v="4"/>
    <x v="2"/>
    <x v="0"/>
    <x v="5"/>
    <x v="30"/>
    <n v="0.59726820999999997"/>
    <n v="0.70350492099999995"/>
    <n v="1.817E-3"/>
    <n v="0.52823925599999999"/>
  </r>
  <r>
    <x v="4"/>
    <x v="0"/>
    <x v="3"/>
    <x v="5"/>
    <x v="30"/>
    <n v="3.0710299980000002"/>
    <n v="3.6172772599999998"/>
    <n v="2.3728787000000001E-2"/>
    <n v="2.84757221"/>
  </r>
  <r>
    <x v="4"/>
    <x v="3"/>
    <x v="3"/>
    <x v="6"/>
    <x v="31"/>
    <n v="0.225921333"/>
    <n v="0.225921333"/>
    <n v="1.13347E-4"/>
    <n v="0.225921333"/>
  </r>
  <r>
    <x v="4"/>
    <x v="1"/>
    <x v="1"/>
    <x v="6"/>
    <x v="31"/>
    <n v="260.16234070000002"/>
    <n v="260.16234070000002"/>
    <n v="57.032399929999997"/>
    <n v="238.29758820000001"/>
  </r>
  <r>
    <x v="4"/>
    <x v="2"/>
    <x v="2"/>
    <x v="6"/>
    <x v="31"/>
    <n v="1.5656765989999999"/>
    <n v="1.5656765989999999"/>
    <n v="3.2952681999999997E-2"/>
    <n v="1.3470265800000001"/>
  </r>
  <r>
    <x v="4"/>
    <x v="3"/>
    <x v="0"/>
    <x v="6"/>
    <x v="31"/>
    <n v="3.7503575260000002"/>
    <n v="3.7503575260000002"/>
    <n v="1.783155E-3"/>
    <n v="3.7503575260000002"/>
  </r>
  <r>
    <x v="4"/>
    <x v="0"/>
    <x v="3"/>
    <x v="6"/>
    <x v="31"/>
    <n v="4.2592973929999998"/>
    <n v="4.2592973929999998"/>
    <n v="3.3876440000000001E-2"/>
    <n v="3.5950198040000001"/>
  </r>
  <r>
    <x v="4"/>
    <x v="0"/>
    <x v="0"/>
    <x v="6"/>
    <x v="31"/>
    <n v="2.1821174559999998"/>
    <n v="2.1821174559999998"/>
    <n v="5.7534989999999996E-3"/>
    <n v="1.8417956639999999"/>
  </r>
  <r>
    <x v="4"/>
    <x v="0"/>
    <x v="2"/>
    <x v="6"/>
    <x v="31"/>
    <n v="30.27705036"/>
    <n v="30.27705036"/>
    <n v="0.48256926900000002"/>
    <n v="25.55505887"/>
  </r>
  <r>
    <x v="4"/>
    <x v="1"/>
    <x v="3"/>
    <x v="6"/>
    <x v="31"/>
    <n v="70.134575409999997"/>
    <n v="70.134575409999997"/>
    <n v="14.22528754"/>
    <n v="64.240274459999995"/>
  </r>
  <r>
    <x v="4"/>
    <x v="1"/>
    <x v="2"/>
    <x v="6"/>
    <x v="31"/>
    <n v="4.3858027609999999"/>
    <n v="4.3858027609999999"/>
    <n v="0.25910183799999997"/>
    <n v="4.0172079380000003"/>
  </r>
  <r>
    <x v="4"/>
    <x v="2"/>
    <x v="3"/>
    <x v="6"/>
    <x v="31"/>
    <n v="8.1822743000000003E-2"/>
    <n v="8.1822743000000003E-2"/>
    <n v="3.540081E-3"/>
    <n v="7.0396026E-2"/>
  </r>
  <r>
    <x v="4"/>
    <x v="2"/>
    <x v="0"/>
    <x v="9"/>
    <x v="32"/>
    <n v="0.15876749900000001"/>
    <n v="0.29066557900000001"/>
    <n v="4.8299999999999998E-4"/>
    <n v="0.14041803"/>
  </r>
  <r>
    <x v="4"/>
    <x v="0"/>
    <x v="2"/>
    <x v="9"/>
    <x v="32"/>
    <n v="1.765730606"/>
    <n v="3.232633329"/>
    <n v="3.4199996000000003E-2"/>
    <n v="1.637250501"/>
  </r>
  <r>
    <x v="4"/>
    <x v="1"/>
    <x v="2"/>
    <x v="9"/>
    <x v="32"/>
    <n v="2.016152226"/>
    <n v="3.6910958329999999"/>
    <n v="0.30497219199999998"/>
    <n v="1.8748213389999999"/>
  </r>
  <r>
    <x v="4"/>
    <x v="1"/>
    <x v="0"/>
    <x v="9"/>
    <x v="32"/>
    <n v="0.91239247499999998"/>
    <n v="1.6703739040000001"/>
    <n v="0.22266672000000001"/>
    <n v="0.84843438900000001"/>
  </r>
  <r>
    <x v="4"/>
    <x v="1"/>
    <x v="3"/>
    <x v="9"/>
    <x v="32"/>
    <n v="31.21957471"/>
    <n v="57.155625780000001"/>
    <n v="9.4727865040000001"/>
    <n v="29.031103959999999"/>
  </r>
  <r>
    <x v="4"/>
    <x v="0"/>
    <x v="0"/>
    <x v="9"/>
    <x v="32"/>
    <n v="5.9368036999999999E-2"/>
    <n v="0.108688774"/>
    <n v="4.3034300000000002E-4"/>
    <n v="5.5048232000000002E-2"/>
  </r>
  <r>
    <x v="4"/>
    <x v="0"/>
    <x v="3"/>
    <x v="9"/>
    <x v="32"/>
    <n v="0.81634974599999999"/>
    <n v="1.49454248"/>
    <n v="6.3076520000000004E-3"/>
    <n v="0.75694957500000004"/>
  </r>
  <r>
    <x v="4"/>
    <x v="3"/>
    <x v="0"/>
    <x v="9"/>
    <x v="32"/>
    <n v="0.804707807"/>
    <n v="1.4732288549999999"/>
    <n v="4.9018200000000003E-4"/>
    <n v="0.79618101200000002"/>
  </r>
  <r>
    <x v="4"/>
    <x v="2"/>
    <x v="2"/>
    <x v="9"/>
    <x v="32"/>
    <n v="0.57937964099999995"/>
    <n v="1.060706505"/>
    <n v="1.1067E-2"/>
    <n v="0.51241814900000004"/>
  </r>
  <r>
    <x v="4"/>
    <x v="1"/>
    <x v="1"/>
    <x v="9"/>
    <x v="32"/>
    <n v="83.891176299999998"/>
    <n v="153.5848173"/>
    <n v="18.43789816"/>
    <n v="78.010462450000006"/>
  </r>
  <r>
    <x v="4"/>
    <x v="3"/>
    <x v="3"/>
    <x v="9"/>
    <x v="32"/>
    <n v="0.51947619899999997"/>
    <n v="0.95103753000000002"/>
    <n v="1.4970199999999999E-3"/>
    <n v="0.51397175699999997"/>
  </r>
  <r>
    <x v="4"/>
    <x v="1"/>
    <x v="3"/>
    <x v="0"/>
    <x v="33"/>
    <n v="56.143092660000001"/>
    <n v="56.143092660000001"/>
    <n v="15.200810300000001"/>
    <n v="53.632904840000002"/>
  </r>
  <r>
    <x v="4"/>
    <x v="2"/>
    <x v="2"/>
    <x v="0"/>
    <x v="33"/>
    <n v="2.7600800350000001"/>
    <n v="2.7600800350000001"/>
    <n v="3.5409999999999997E-2"/>
    <n v="2.694436241"/>
  </r>
  <r>
    <x v="4"/>
    <x v="1"/>
    <x v="0"/>
    <x v="0"/>
    <x v="33"/>
    <n v="0.104805726"/>
    <n v="0.104805726"/>
    <n v="7.0004999999999998E-3"/>
    <n v="0.10011980600000001"/>
  </r>
  <r>
    <x v="4"/>
    <x v="0"/>
    <x v="2"/>
    <x v="0"/>
    <x v="33"/>
    <n v="44.978303179999997"/>
    <n v="44.978303179999997"/>
    <n v="0.25737231399999999"/>
    <n v="42.841279950000001"/>
  </r>
  <r>
    <x v="4"/>
    <x v="0"/>
    <x v="0"/>
    <x v="0"/>
    <x v="33"/>
    <n v="9.3173327389999994"/>
    <n v="9.3173327389999994"/>
    <n v="2.4095531999999999E-2"/>
    <n v="8.8746447079999999"/>
  </r>
  <r>
    <x v="4"/>
    <x v="0"/>
    <x v="3"/>
    <x v="0"/>
    <x v="33"/>
    <n v="8.9020486810000001"/>
    <n v="8.9020486810000001"/>
    <n v="0.362972713"/>
    <n v="8.4790917560000008"/>
  </r>
  <r>
    <x v="4"/>
    <x v="3"/>
    <x v="0"/>
    <x v="0"/>
    <x v="33"/>
    <n v="3.8324566550000001"/>
    <n v="3.8324566550000001"/>
    <n v="1.6633139999999999E-3"/>
    <n v="3.7365136780000001"/>
  </r>
  <r>
    <x v="4"/>
    <x v="3"/>
    <x v="3"/>
    <x v="0"/>
    <x v="33"/>
    <n v="0.34067582200000002"/>
    <n v="0.34067582200000002"/>
    <n v="1.9525900000000001E-4"/>
    <n v="0.33214723200000001"/>
  </r>
  <r>
    <x v="4"/>
    <x v="1"/>
    <x v="1"/>
    <x v="0"/>
    <x v="33"/>
    <n v="152.91022419999999"/>
    <n v="152.91022419999999"/>
    <n v="41.988638270000003"/>
    <n v="146.07352589999999"/>
  </r>
  <r>
    <x v="4"/>
    <x v="1"/>
    <x v="2"/>
    <x v="0"/>
    <x v="33"/>
    <n v="3.5962167620000001"/>
    <n v="3.5962167620000001"/>
    <n v="0.871575408"/>
    <n v="3.43542798"/>
  </r>
  <r>
    <x v="4"/>
    <x v="2"/>
    <x v="0"/>
    <x v="7"/>
    <x v="34"/>
    <n v="2.4509730639999998"/>
    <n v="2.6689516129999999"/>
    <n v="5.0451000000000003E-3"/>
    <n v="2.1982260569999998"/>
  </r>
  <r>
    <x v="4"/>
    <x v="0"/>
    <x v="2"/>
    <x v="7"/>
    <x v="34"/>
    <n v="28.157109949999999"/>
    <n v="30.661276999999998"/>
    <n v="0.44107560600000001"/>
    <n v="26.044474229999999"/>
  </r>
  <r>
    <x v="4"/>
    <x v="1"/>
    <x v="1"/>
    <x v="7"/>
    <x v="34"/>
    <n v="333.94455169999998"/>
    <n v="363.64408200000003"/>
    <n v="65.657360330000003"/>
    <n v="316.01373740000002"/>
  </r>
  <r>
    <x v="4"/>
    <x v="1"/>
    <x v="2"/>
    <x v="7"/>
    <x v="34"/>
    <n v="6.2034698309999996"/>
    <n v="6.7551786089999997"/>
    <n v="0.79442031800000001"/>
    <n v="5.870380806"/>
  </r>
  <r>
    <x v="4"/>
    <x v="1"/>
    <x v="0"/>
    <x v="7"/>
    <x v="34"/>
    <n v="2.9404439010000001"/>
    <n v="3.2019537910000002"/>
    <n v="0.566133373"/>
    <n v="2.782559746"/>
  </r>
  <r>
    <x v="4"/>
    <x v="1"/>
    <x v="3"/>
    <x v="7"/>
    <x v="34"/>
    <n v="140.70443739999999"/>
    <n v="153.21805879999999"/>
    <n v="25.087093930000002"/>
    <n v="133.14945520000001"/>
  </r>
  <r>
    <x v="4"/>
    <x v="0"/>
    <x v="0"/>
    <x v="7"/>
    <x v="34"/>
    <n v="0.819954721"/>
    <n v="0.89287781499999996"/>
    <n v="6.3647460000000001E-3"/>
    <n v="0.75843329199999998"/>
  </r>
  <r>
    <x v="4"/>
    <x v="0"/>
    <x v="3"/>
    <x v="7"/>
    <x v="34"/>
    <n v="6.5407974400000004"/>
    <n v="7.1225066220000004"/>
    <n v="6.0989464E-2"/>
    <n v="6.0500396050000003"/>
  </r>
  <r>
    <x v="4"/>
    <x v="3"/>
    <x v="0"/>
    <x v="7"/>
    <x v="34"/>
    <n v="9.0656816429999996"/>
    <n v="9.8719426989999999"/>
    <n v="4.4393000000000002E-3"/>
    <n v="9.0656816429999996"/>
  </r>
  <r>
    <x v="4"/>
    <x v="2"/>
    <x v="2"/>
    <x v="7"/>
    <x v="34"/>
    <n v="5.1564193559999998"/>
    <n v="5.6150081619999996"/>
    <n v="9.2104900000000003E-2"/>
    <n v="4.6246837870000004"/>
  </r>
  <r>
    <x v="4"/>
    <x v="3"/>
    <x v="3"/>
    <x v="7"/>
    <x v="34"/>
    <n v="1.3514091239999999"/>
    <n v="1.471597389"/>
    <n v="6.2969899999999995E-4"/>
    <n v="1.3514091239999999"/>
  </r>
  <r>
    <x v="4"/>
    <x v="2"/>
    <x v="2"/>
    <x v="10"/>
    <x v="35"/>
    <n v="1.693152625"/>
    <n v="1.8437340230000001"/>
    <n v="3.02434E-2"/>
    <n v="1.5185528850000001"/>
  </r>
  <r>
    <x v="4"/>
    <x v="2"/>
    <x v="0"/>
    <x v="10"/>
    <x v="35"/>
    <n v="0.804797125"/>
    <n v="0.87637217099999998"/>
    <n v="1.6566E-3"/>
    <n v="0.72180557099999998"/>
  </r>
  <r>
    <x v="4"/>
    <x v="1"/>
    <x v="2"/>
    <x v="10"/>
    <x v="35"/>
    <n v="2.0369602429999998"/>
    <n v="2.218118349"/>
    <n v="0.260854433"/>
    <n v="1.9275877269999999"/>
  </r>
  <r>
    <x v="4"/>
    <x v="1"/>
    <x v="0"/>
    <x v="10"/>
    <x v="35"/>
    <n v="0.96551889300000004"/>
    <n v="1.051387812"/>
    <n v="0.18589454"/>
    <n v="0.91367633500000001"/>
  </r>
  <r>
    <x v="4"/>
    <x v="1"/>
    <x v="3"/>
    <x v="10"/>
    <x v="35"/>
    <n v="46.201457050000002"/>
    <n v="50.310407380000001"/>
    <n v="8.2375532309999997"/>
    <n v="43.720716639999999"/>
  </r>
  <r>
    <x v="4"/>
    <x v="3"/>
    <x v="0"/>
    <x v="10"/>
    <x v="35"/>
    <n v="2.9767909870000002"/>
    <n v="3.2415334229999999"/>
    <n v="1.457681E-3"/>
    <n v="2.9767909870000002"/>
  </r>
  <r>
    <x v="4"/>
    <x v="0"/>
    <x v="2"/>
    <x v="10"/>
    <x v="35"/>
    <n v="9.2456181930000003"/>
    <n v="10.067882000000001"/>
    <n v="0.14483079600000001"/>
    <n v="8.5519169109999993"/>
  </r>
  <r>
    <x v="4"/>
    <x v="0"/>
    <x v="0"/>
    <x v="10"/>
    <x v="35"/>
    <n v="0.26923886400000002"/>
    <n v="0.29318376000000002"/>
    <n v="2.0899170000000002E-3"/>
    <n v="0.24903779700000001"/>
  </r>
  <r>
    <x v="4"/>
    <x v="0"/>
    <x v="3"/>
    <x v="10"/>
    <x v="35"/>
    <n v="2.1477245319999998"/>
    <n v="2.3387335180000002"/>
    <n v="2.0026391000000001E-2"/>
    <n v="1.986580169"/>
  </r>
  <r>
    <x v="4"/>
    <x v="1"/>
    <x v="1"/>
    <x v="10"/>
    <x v="35"/>
    <n v="109.65343489999999"/>
    <n v="119.4055195"/>
    <n v="21.559133240000001"/>
    <n v="103.76570479999999"/>
  </r>
  <r>
    <x v="4"/>
    <x v="3"/>
    <x v="3"/>
    <x v="10"/>
    <x v="35"/>
    <n v="0.44374627999999999"/>
    <n v="0.48321108299999999"/>
    <n v="2.0676700000000001E-4"/>
    <n v="0.44374627999999999"/>
  </r>
  <r>
    <x v="4"/>
    <x v="2"/>
    <x v="2"/>
    <x v="2"/>
    <x v="36"/>
    <n v="0.74273721100000001"/>
    <n v="0.87484864299999998"/>
    <n v="9.8469960000000002E-3"/>
    <n v="0.69909303700000003"/>
  </r>
  <r>
    <x v="4"/>
    <x v="3"/>
    <x v="3"/>
    <x v="2"/>
    <x v="36"/>
    <n v="0.39202252700000001"/>
    <n v="0.46175197699999998"/>
    <n v="1.8808099999999999E-4"/>
    <n v="0.39037114499999997"/>
  </r>
  <r>
    <x v="4"/>
    <x v="3"/>
    <x v="0"/>
    <x v="2"/>
    <x v="36"/>
    <n v="4.437419427"/>
    <n v="5.226707781"/>
    <n v="2.691555E-3"/>
    <n v="4.4187269389999999"/>
  </r>
  <r>
    <x v="4"/>
    <x v="0"/>
    <x v="3"/>
    <x v="2"/>
    <x v="36"/>
    <n v="0.90609797700000005"/>
    <n v="1.067266555"/>
    <n v="7.0503780000000004E-3"/>
    <n v="0.82796667400000001"/>
  </r>
  <r>
    <x v="4"/>
    <x v="1"/>
    <x v="1"/>
    <x v="2"/>
    <x v="36"/>
    <n v="37.742495089999998"/>
    <n v="44.455791490000003"/>
    <n v="5.68132986"/>
    <n v="35.13134282"/>
  </r>
  <r>
    <x v="4"/>
    <x v="0"/>
    <x v="0"/>
    <x v="2"/>
    <x v="36"/>
    <n v="6.2073973999999997E-2"/>
    <n v="7.3115134999999998E-2"/>
    <n v="5.0005700000000004E-4"/>
    <n v="5.6721439999999998E-2"/>
  </r>
  <r>
    <x v="4"/>
    <x v="0"/>
    <x v="2"/>
    <x v="2"/>
    <x v="36"/>
    <n v="2.275364739"/>
    <n v="2.6800862040000002"/>
    <n v="4.4802578000000003E-2"/>
    <n v="2.0791638699999999"/>
  </r>
  <r>
    <x v="4"/>
    <x v="1"/>
    <x v="3"/>
    <x v="2"/>
    <x v="36"/>
    <n v="12.13829351"/>
    <n v="14.297344259999999"/>
    <n v="1.932682247"/>
    <n v="11.298525700000001"/>
  </r>
  <r>
    <x v="4"/>
    <x v="1"/>
    <x v="0"/>
    <x v="2"/>
    <x v="36"/>
    <n v="0.41801028800000001"/>
    <n v="0.492362207"/>
    <n v="6.0261209000000003E-2"/>
    <n v="0.38909093500000003"/>
  </r>
  <r>
    <x v="4"/>
    <x v="1"/>
    <x v="2"/>
    <x v="2"/>
    <x v="36"/>
    <n v="1.106241969"/>
    <n v="1.303010365"/>
    <n v="7.8305058999999996E-2"/>
    <n v="1.0297084430000001"/>
  </r>
  <r>
    <x v="4"/>
    <x v="2"/>
    <x v="0"/>
    <x v="2"/>
    <x v="36"/>
    <n v="0.93503714000000004"/>
    <n v="1.1013531569999999"/>
    <n v="2.3519040000000001E-3"/>
    <n v="0.88009317899999995"/>
  </r>
  <r>
    <x v="4"/>
    <x v="0"/>
    <x v="0"/>
    <x v="9"/>
    <x v="37"/>
    <n v="0.97878844799999998"/>
    <n v="1.79192916"/>
    <n v="8.1747799999999995E-3"/>
    <n v="0.90476809199999997"/>
  </r>
  <r>
    <x v="4"/>
    <x v="1"/>
    <x v="1"/>
    <x v="9"/>
    <x v="37"/>
    <n v="468.20710409999998"/>
    <n v="857.17599540000003"/>
    <n v="82.418056750000005"/>
    <n v="443.2801642"/>
  </r>
  <r>
    <x v="4"/>
    <x v="1"/>
    <x v="2"/>
    <x v="9"/>
    <x v="37"/>
    <n v="6.85178157"/>
    <n v="12.543984569999999"/>
    <n v="0.85075039600000002"/>
    <n v="6.4869986659999999"/>
  </r>
  <r>
    <x v="4"/>
    <x v="1"/>
    <x v="0"/>
    <x v="9"/>
    <x v="37"/>
    <n v="3.4229545379999999"/>
    <n v="6.2666167120000003"/>
    <n v="0.93536228899999996"/>
    <n v="3.240719409"/>
  </r>
  <r>
    <x v="4"/>
    <x v="0"/>
    <x v="2"/>
    <x v="9"/>
    <x v="37"/>
    <n v="30.10702818"/>
    <n v="55.11881735"/>
    <n v="0.541668382"/>
    <n v="27.830200179999999"/>
  </r>
  <r>
    <x v="4"/>
    <x v="0"/>
    <x v="3"/>
    <x v="9"/>
    <x v="37"/>
    <n v="12.97874678"/>
    <n v="23.761002529999999"/>
    <n v="0.111186749"/>
    <n v="11.99723595"/>
  </r>
  <r>
    <x v="4"/>
    <x v="3"/>
    <x v="0"/>
    <x v="9"/>
    <x v="37"/>
    <n v="0.95208740800000002"/>
    <n v="1.7430458959999999"/>
    <n v="4.9950199999999998E-4"/>
    <n v="0.95208740800000002"/>
  </r>
  <r>
    <x v="4"/>
    <x v="3"/>
    <x v="3"/>
    <x v="9"/>
    <x v="37"/>
    <n v="0.117770969"/>
    <n v="0.21561067"/>
    <n v="6.1824999999999998E-5"/>
    <n v="0.117770969"/>
  </r>
  <r>
    <x v="4"/>
    <x v="2"/>
    <x v="2"/>
    <x v="9"/>
    <x v="37"/>
    <n v="1.517125676"/>
    <n v="2.7774967529999999"/>
    <n v="1.6910000000000001E-2"/>
    <n v="1.3451172979999999"/>
  </r>
  <r>
    <x v="4"/>
    <x v="2"/>
    <x v="0"/>
    <x v="9"/>
    <x v="37"/>
    <n v="0.23906355100000001"/>
    <n v="0.437668577"/>
    <n v="1.09E-3"/>
    <n v="0.21195905000000001"/>
  </r>
  <r>
    <x v="4"/>
    <x v="1"/>
    <x v="3"/>
    <x v="9"/>
    <x v="37"/>
    <n v="166.6456331"/>
    <n v="305.08857130000001"/>
    <n v="31.329239470000001"/>
    <n v="157.77356420000001"/>
  </r>
  <r>
    <x v="4"/>
    <x v="1"/>
    <x v="2"/>
    <x v="7"/>
    <x v="38"/>
    <n v="1.0184801219999999"/>
    <n v="1.0187675839999999"/>
    <n v="0.13042721600000001"/>
    <n v="0.963793864"/>
  </r>
  <r>
    <x v="4"/>
    <x v="1"/>
    <x v="0"/>
    <x v="7"/>
    <x v="38"/>
    <n v="0.48275944599999998"/>
    <n v="0.48289570300000001"/>
    <n v="9.2947269999999999E-2"/>
    <n v="0.45683816700000002"/>
  </r>
  <r>
    <x v="4"/>
    <x v="1"/>
    <x v="1"/>
    <x v="7"/>
    <x v="38"/>
    <n v="54.826717440000003"/>
    <n v="54.842192060000002"/>
    <n v="10.779566620000001"/>
    <n v="51.882852409999998"/>
  </r>
  <r>
    <x v="4"/>
    <x v="1"/>
    <x v="3"/>
    <x v="7"/>
    <x v="38"/>
    <n v="23.100728520000001"/>
    <n v="23.107248609999999"/>
    <n v="4.1187766159999999"/>
    <n v="21.86035832"/>
  </r>
  <r>
    <x v="4"/>
    <x v="0"/>
    <x v="2"/>
    <x v="7"/>
    <x v="38"/>
    <n v="4.6228090960000001"/>
    <n v="4.6241138660000001"/>
    <n v="7.2415398000000006E-2"/>
    <n v="4.2759584549999996"/>
  </r>
  <r>
    <x v="4"/>
    <x v="0"/>
    <x v="0"/>
    <x v="7"/>
    <x v="38"/>
    <n v="0.13461943200000001"/>
    <n v="0.134657428"/>
    <n v="1.0449579999999999E-3"/>
    <n v="0.124518899"/>
  </r>
  <r>
    <x v="4"/>
    <x v="3"/>
    <x v="0"/>
    <x v="7"/>
    <x v="38"/>
    <n v="1.4883954939999999"/>
    <n v="1.4888155869999999"/>
    <n v="7.2884000000000002E-4"/>
    <n v="1.4883954939999999"/>
  </r>
  <r>
    <x v="4"/>
    <x v="3"/>
    <x v="3"/>
    <x v="7"/>
    <x v="38"/>
    <n v="0.22187314"/>
    <n v="0.22193576300000001"/>
    <n v="1.03383E-4"/>
    <n v="0.22187314"/>
  </r>
  <r>
    <x v="4"/>
    <x v="2"/>
    <x v="2"/>
    <x v="7"/>
    <x v="38"/>
    <n v="0.84657631200000005"/>
    <n v="0.84681525499999999"/>
    <n v="1.51217E-2"/>
    <n v="0.75927644299999997"/>
  </r>
  <r>
    <x v="4"/>
    <x v="2"/>
    <x v="0"/>
    <x v="7"/>
    <x v="38"/>
    <n v="0.40239856299999999"/>
    <n v="0.40251213800000002"/>
    <n v="8.2830000000000002E-4"/>
    <n v="0.360902785"/>
  </r>
  <r>
    <x v="4"/>
    <x v="0"/>
    <x v="3"/>
    <x v="7"/>
    <x v="38"/>
    <n v="1.0738622659999999"/>
    <n v="1.0741653600000001"/>
    <n v="1.0013196E-2"/>
    <n v="0.99329008399999996"/>
  </r>
  <r>
    <x v="4"/>
    <x v="1"/>
    <x v="2"/>
    <x v="1"/>
    <x v="39"/>
    <n v="13.70646739"/>
    <n v="15.124924099999999"/>
    <n v="0.87283461900000003"/>
    <n v="12.068056589999999"/>
  </r>
  <r>
    <x v="4"/>
    <x v="2"/>
    <x v="2"/>
    <x v="1"/>
    <x v="39"/>
    <n v="1.7317576109999999"/>
    <n v="1.910973971"/>
    <n v="3.9956070000000003E-2"/>
    <n v="1.4297573690000001"/>
  </r>
  <r>
    <x v="4"/>
    <x v="2"/>
    <x v="1"/>
    <x v="1"/>
    <x v="39"/>
    <n v="0.99434674000000001"/>
    <n v="1.0972498260000001"/>
    <n v="2.2518690000000001E-2"/>
    <n v="0.82094316700000003"/>
  </r>
  <r>
    <x v="4"/>
    <x v="3"/>
    <x v="3"/>
    <x v="1"/>
    <x v="39"/>
    <n v="0.60554063300000005"/>
    <n v="0.66820690199999999"/>
    <n v="4.3415499999999998E-4"/>
    <n v="0.56777097399999998"/>
  </r>
  <r>
    <x v="4"/>
    <x v="3"/>
    <x v="0"/>
    <x v="1"/>
    <x v="39"/>
    <n v="8.0790966839999996"/>
    <n v="8.9151873080000001"/>
    <n v="6.901346E-3"/>
    <n v="7.5751755369999998"/>
  </r>
  <r>
    <x v="4"/>
    <x v="0"/>
    <x v="0"/>
    <x v="1"/>
    <x v="39"/>
    <n v="1.6376318080000001"/>
    <n v="1.8071072640000001"/>
    <n v="3.9183839999999996E-3"/>
    <n v="1.382345454"/>
  </r>
  <r>
    <x v="4"/>
    <x v="1"/>
    <x v="1"/>
    <x v="1"/>
    <x v="39"/>
    <n v="269.2090943"/>
    <n v="297.06904059999999"/>
    <n v="34.795798519999998"/>
    <n v="237.0290238"/>
  </r>
  <r>
    <x v="4"/>
    <x v="1"/>
    <x v="0"/>
    <x v="1"/>
    <x v="39"/>
    <n v="0.282739829"/>
    <n v="0.312000045"/>
    <n v="4.0000000000000001E-3"/>
    <n v="0.248942354"/>
  </r>
  <r>
    <x v="4"/>
    <x v="2"/>
    <x v="3"/>
    <x v="1"/>
    <x v="39"/>
    <n v="0.34204562599999999"/>
    <n v="0.37744328900000002"/>
    <n v="1.211869E-2"/>
    <n v="0.28239648000000001"/>
  </r>
  <r>
    <x v="4"/>
    <x v="0"/>
    <x v="3"/>
    <x v="1"/>
    <x v="39"/>
    <n v="2.7040715890000002"/>
    <n v="2.9839109069999998"/>
    <n v="1.9119434000000001E-2"/>
    <n v="2.2825405879999998"/>
  </r>
  <r>
    <x v="4"/>
    <x v="1"/>
    <x v="3"/>
    <x v="1"/>
    <x v="39"/>
    <n v="93.622710440000006"/>
    <n v="103.3115499"/>
    <n v="11.66259196"/>
    <n v="82.431463600000001"/>
  </r>
  <r>
    <x v="4"/>
    <x v="0"/>
    <x v="2"/>
    <x v="1"/>
    <x v="39"/>
    <n v="14.78023694"/>
    <n v="16.309816049999998"/>
    <n v="0.24234475999999999"/>
    <n v="12.476182530000001"/>
  </r>
  <r>
    <x v="4"/>
    <x v="3"/>
    <x v="3"/>
    <x v="10"/>
    <x v="40"/>
    <n v="0.79846976199999997"/>
    <n v="1.101581873"/>
    <n v="3.8584300000000003E-4"/>
    <n v="0.79846976199999997"/>
  </r>
  <r>
    <x v="4"/>
    <x v="1"/>
    <x v="2"/>
    <x v="10"/>
    <x v="40"/>
    <n v="4.3476346100000001"/>
    <n v="5.998067432"/>
    <n v="0.42921499200000002"/>
    <n v="4.0820481319999997"/>
  </r>
  <r>
    <x v="4"/>
    <x v="1"/>
    <x v="0"/>
    <x v="10"/>
    <x v="40"/>
    <n v="3.2886421330000002"/>
    <n v="4.537064183"/>
    <n v="0.29903440100000001"/>
    <n v="3.087746943"/>
  </r>
  <r>
    <x v="4"/>
    <x v="1"/>
    <x v="3"/>
    <x v="10"/>
    <x v="40"/>
    <n v="38.17047968"/>
    <n v="52.660614700000004"/>
    <n v="10.368671709999999"/>
    <n v="35.838737450000004"/>
  </r>
  <r>
    <x v="4"/>
    <x v="0"/>
    <x v="2"/>
    <x v="10"/>
    <x v="40"/>
    <n v="18.88789877"/>
    <n v="26.05805239"/>
    <n v="0.27751667400000002"/>
    <n v="17.462354470000001"/>
  </r>
  <r>
    <x v="4"/>
    <x v="0"/>
    <x v="0"/>
    <x v="10"/>
    <x v="40"/>
    <n v="0.56522996000000003"/>
    <n v="0.77980044800000003"/>
    <n v="4.1684729999999998E-3"/>
    <n v="0.52256982299999999"/>
  </r>
  <r>
    <x v="4"/>
    <x v="3"/>
    <x v="0"/>
    <x v="10"/>
    <x v="40"/>
    <n v="11.19306549"/>
    <n v="15.44213523"/>
    <n v="5.3402620000000001E-3"/>
    <n v="11.19306549"/>
  </r>
  <r>
    <x v="4"/>
    <x v="1"/>
    <x v="1"/>
    <x v="10"/>
    <x v="40"/>
    <n v="105.76683079999999"/>
    <n v="145.91764029999999"/>
    <n v="23.823427160000001"/>
    <n v="99.305791080000006"/>
  </r>
  <r>
    <x v="4"/>
    <x v="2"/>
    <x v="2"/>
    <x v="10"/>
    <x v="40"/>
    <n v="0.37340047500000001"/>
    <n v="0.51514936899999997"/>
    <n v="6.9499999999999996E-3"/>
    <n v="0.35224155699999998"/>
  </r>
  <r>
    <x v="4"/>
    <x v="2"/>
    <x v="0"/>
    <x v="10"/>
    <x v="40"/>
    <n v="5.4472431559999999"/>
    <n v="7.5151052700000003"/>
    <n v="9.0500000000000008E-3"/>
    <n v="5.1385724960000001"/>
  </r>
  <r>
    <x v="4"/>
    <x v="0"/>
    <x v="3"/>
    <x v="10"/>
    <x v="40"/>
    <n v="4.4285302800000004"/>
    <n v="6.1096724140000003"/>
    <n v="3.9345511E-2"/>
    <n v="4.0942916140000003"/>
  </r>
  <r>
    <x v="4"/>
    <x v="1"/>
    <x v="1"/>
    <x v="1"/>
    <x v="41"/>
    <n v="628.4137154"/>
    <n v="648.61049390000005"/>
    <n v="113.27675910000001"/>
    <n v="572.22626000000002"/>
  </r>
  <r>
    <x v="4"/>
    <x v="2"/>
    <x v="1"/>
    <x v="1"/>
    <x v="41"/>
    <n v="0.59582749499999998"/>
    <n v="0.61497697500000004"/>
    <n v="1.6524E-2"/>
    <n v="0.51811086500000003"/>
  </r>
  <r>
    <x v="4"/>
    <x v="3"/>
    <x v="3"/>
    <x v="1"/>
    <x v="41"/>
    <n v="0.20074915400000001"/>
    <n v="0.207201092"/>
    <n v="3.68489E-4"/>
    <n v="0.20074915400000001"/>
  </r>
  <r>
    <x v="4"/>
    <x v="2"/>
    <x v="3"/>
    <x v="1"/>
    <x v="41"/>
    <n v="0.35749649700000002"/>
    <n v="0.36898618500000002"/>
    <n v="9.9144000000000003E-3"/>
    <n v="0.31086651900000001"/>
  </r>
  <r>
    <x v="4"/>
    <x v="3"/>
    <x v="0"/>
    <x v="1"/>
    <x v="41"/>
    <n v="1.9603197539999999"/>
    <n v="2.0233230629999999"/>
    <n v="5.534588E-3"/>
    <n v="1.9603197539999999"/>
  </r>
  <r>
    <x v="4"/>
    <x v="2"/>
    <x v="2"/>
    <x v="1"/>
    <x v="41"/>
    <n v="63.620818499999999"/>
    <n v="65.665547230000001"/>
    <n v="0.87004159999999997"/>
    <n v="55.322450869999997"/>
  </r>
  <r>
    <x v="4"/>
    <x v="0"/>
    <x v="3"/>
    <x v="1"/>
    <x v="41"/>
    <n v="27.029231530000001"/>
    <n v="27.897932180000002"/>
    <n v="0.26206277300000003"/>
    <n v="22.878624439999999"/>
  </r>
  <r>
    <x v="4"/>
    <x v="0"/>
    <x v="0"/>
    <x v="1"/>
    <x v="41"/>
    <n v="6.8148587799999998"/>
    <n v="7.033883587"/>
    <n v="1.6366619999999998E-2"/>
    <n v="5.768369495"/>
  </r>
  <r>
    <x v="4"/>
    <x v="0"/>
    <x v="2"/>
    <x v="1"/>
    <x v="41"/>
    <n v="104.22953390000001"/>
    <n v="107.5793984"/>
    <n v="1.6654915850000001"/>
    <n v="88.224053249999997"/>
  </r>
  <r>
    <x v="4"/>
    <x v="1"/>
    <x v="3"/>
    <x v="1"/>
    <x v="41"/>
    <n v="174.49493559999999"/>
    <n v="180.1030811"/>
    <n v="28.844066470000001"/>
    <n v="158.89306980000001"/>
  </r>
  <r>
    <x v="4"/>
    <x v="1"/>
    <x v="0"/>
    <x v="1"/>
    <x v="41"/>
    <n v="0.22294456800000001"/>
    <n v="0.230109851"/>
    <n v="5.0000000000000001E-3"/>
    <n v="0.20301074499999999"/>
  </r>
  <r>
    <x v="4"/>
    <x v="1"/>
    <x v="2"/>
    <x v="1"/>
    <x v="41"/>
    <n v="18.057754339999999"/>
    <n v="18.638117959999999"/>
    <n v="1.3766590219999999"/>
    <n v="16.44318221"/>
  </r>
  <r>
    <x v="4"/>
    <x v="3"/>
    <x v="3"/>
    <x v="2"/>
    <x v="42"/>
    <n v="4.5278333069999999"/>
    <n v="5.3332036709999997"/>
    <n v="2.2005420000000002E-3"/>
    <n v="4.5269260530000004"/>
  </r>
  <r>
    <x v="4"/>
    <x v="1"/>
    <x v="2"/>
    <x v="2"/>
    <x v="42"/>
    <n v="13.98842863"/>
    <n v="16.476564799999998"/>
    <n v="0.78944475599999997"/>
    <n v="13.01831352"/>
  </r>
  <r>
    <x v="4"/>
    <x v="3"/>
    <x v="0"/>
    <x v="2"/>
    <x v="42"/>
    <n v="36.175257979999998"/>
    <n v="42.609788299999998"/>
    <n v="2.1948261E-2"/>
    <n v="36.16800945"/>
  </r>
  <r>
    <x v="4"/>
    <x v="0"/>
    <x v="3"/>
    <x v="2"/>
    <x v="42"/>
    <n v="7.6426852680000001"/>
    <n v="9.0020975520000004"/>
    <n v="6.0700212000000003E-2"/>
    <n v="6.9300567300000004"/>
  </r>
  <r>
    <x v="4"/>
    <x v="0"/>
    <x v="0"/>
    <x v="2"/>
    <x v="42"/>
    <n v="0.48497905400000002"/>
    <n v="0.57124277700000003"/>
    <n v="3.1776650000000001E-3"/>
    <n v="0.43975804899999998"/>
  </r>
  <r>
    <x v="4"/>
    <x v="2"/>
    <x v="0"/>
    <x v="2"/>
    <x v="42"/>
    <n v="3.8576754320000002"/>
    <n v="4.5438441269999998"/>
    <n v="7.2389459999999996E-3"/>
    <n v="3.3759636199999998"/>
  </r>
  <r>
    <x v="4"/>
    <x v="0"/>
    <x v="2"/>
    <x v="2"/>
    <x v="42"/>
    <n v="13.60509259"/>
    <n v="16.025044390000001"/>
    <n v="0.26215715099999998"/>
    <n v="12.336510029999999"/>
  </r>
  <r>
    <x v="4"/>
    <x v="1"/>
    <x v="3"/>
    <x v="2"/>
    <x v="42"/>
    <n v="110.00262410000001"/>
    <n v="129.56890390000001"/>
    <n v="17.026912469999999"/>
    <n v="102.3738039"/>
  </r>
  <r>
    <x v="4"/>
    <x v="1"/>
    <x v="0"/>
    <x v="2"/>
    <x v="42"/>
    <n v="3.9329396339999998"/>
    <n v="4.632495649"/>
    <n v="0.62860877900000001"/>
    <n v="3.6601853270000002"/>
  </r>
  <r>
    <x v="4"/>
    <x v="1"/>
    <x v="1"/>
    <x v="2"/>
    <x v="42"/>
    <n v="304.92867280000002"/>
    <n v="359.16664930000002"/>
    <n v="53.72912565"/>
    <n v="283.78148620000002"/>
  </r>
  <r>
    <x v="4"/>
    <x v="2"/>
    <x v="2"/>
    <x v="2"/>
    <x v="42"/>
    <n v="2.0381968769999999"/>
    <n v="2.4007330499999999"/>
    <n v="5.3584154000000002E-2"/>
    <n v="1.7836851819999999"/>
  </r>
  <r>
    <x v="4"/>
    <x v="1"/>
    <x v="1"/>
    <x v="2"/>
    <x v="43"/>
    <n v="212.06615479999999"/>
    <n v="278.27821849999998"/>
    <n v="34.884491369999999"/>
    <n v="197.3584913"/>
  </r>
  <r>
    <x v="4"/>
    <x v="2"/>
    <x v="2"/>
    <x v="2"/>
    <x v="43"/>
    <n v="3.8941381580000001"/>
    <n v="5.1099800919999998"/>
    <n v="2.8809999999999999E-2"/>
    <n v="3.6077677869999998"/>
  </r>
  <r>
    <x v="4"/>
    <x v="3"/>
    <x v="3"/>
    <x v="2"/>
    <x v="43"/>
    <n v="0.74011619100000003"/>
    <n v="0.97119795099999995"/>
    <n v="3.63245E-4"/>
    <n v="0.74011619100000003"/>
  </r>
  <r>
    <x v="4"/>
    <x v="3"/>
    <x v="0"/>
    <x v="2"/>
    <x v="43"/>
    <n v="17.03305645"/>
    <n v="22.351179089999999"/>
    <n v="8.2350289999999996E-3"/>
    <n v="17.03305645"/>
  </r>
  <r>
    <x v="4"/>
    <x v="0"/>
    <x v="3"/>
    <x v="2"/>
    <x v="43"/>
    <n v="4.1084262650000003"/>
    <n v="5.3911740090000002"/>
    <n v="3.1096595000000001E-2"/>
    <n v="3.7302078980000002"/>
  </r>
  <r>
    <x v="4"/>
    <x v="0"/>
    <x v="0"/>
    <x v="2"/>
    <x v="43"/>
    <n v="0.26685444899999999"/>
    <n v="0.35017271300000002"/>
    <n v="1.8711419999999999E-3"/>
    <n v="0.24228804600000001"/>
  </r>
  <r>
    <x v="4"/>
    <x v="0"/>
    <x v="2"/>
    <x v="2"/>
    <x v="43"/>
    <n v="7.5442727229999997"/>
    <n v="9.8997729040000007"/>
    <n v="0.160443"/>
    <n v="6.8497531360000004"/>
  </r>
  <r>
    <x v="4"/>
    <x v="1"/>
    <x v="3"/>
    <x v="2"/>
    <x v="43"/>
    <n v="58.857614390000002"/>
    <n v="77.234352139999999"/>
    <n v="11.389712340000001"/>
    <n v="54.775595799999998"/>
  </r>
  <r>
    <x v="4"/>
    <x v="1"/>
    <x v="0"/>
    <x v="2"/>
    <x v="43"/>
    <n v="1.8202577630000001"/>
    <n v="2.3885852409999999"/>
    <n v="0.250280057"/>
    <n v="1.6940153710000001"/>
  </r>
  <r>
    <x v="4"/>
    <x v="2"/>
    <x v="0"/>
    <x v="2"/>
    <x v="43"/>
    <n v="3.0478354300000001"/>
    <n v="3.9994416579999998"/>
    <n v="7.1900000000000002E-3"/>
    <n v="2.8237011729999999"/>
  </r>
  <r>
    <x v="4"/>
    <x v="1"/>
    <x v="2"/>
    <x v="2"/>
    <x v="43"/>
    <n v="6.6669334689999999"/>
    <n v="8.7485076080000006"/>
    <n v="0.56702883500000001"/>
    <n v="6.2045541039999996"/>
  </r>
  <r>
    <x v="4"/>
    <x v="0"/>
    <x v="0"/>
    <x v="2"/>
    <x v="44"/>
    <n v="0.54688326700000001"/>
    <n v="0.5810149"/>
    <n v="3.994437E-3"/>
    <n v="0.49659358300000001"/>
  </r>
  <r>
    <x v="4"/>
    <x v="2"/>
    <x v="2"/>
    <x v="2"/>
    <x v="44"/>
    <n v="1.6344432689999999"/>
    <n v="1.736450812"/>
    <n v="2.563323E-2"/>
    <n v="1.404633214"/>
  </r>
  <r>
    <x v="4"/>
    <x v="3"/>
    <x v="3"/>
    <x v="2"/>
    <x v="44"/>
    <n v="1.252218228"/>
    <n v="1.3303706529999999"/>
    <n v="6.1269899999999997E-4"/>
    <n v="1.2504464980000001"/>
  </r>
  <r>
    <x v="4"/>
    <x v="3"/>
    <x v="0"/>
    <x v="2"/>
    <x v="44"/>
    <n v="38.077237869999998"/>
    <n v="40.453683460000001"/>
    <n v="2.1405501E-2"/>
    <n v="38.023363410000002"/>
  </r>
  <r>
    <x v="4"/>
    <x v="0"/>
    <x v="3"/>
    <x v="2"/>
    <x v="44"/>
    <n v="8.2348243490000002"/>
    <n v="8.7487695060000004"/>
    <n v="6.5111634000000002E-2"/>
    <n v="7.4775755210000003"/>
  </r>
  <r>
    <x v="4"/>
    <x v="0"/>
    <x v="2"/>
    <x v="2"/>
    <x v="44"/>
    <n v="15.92829965"/>
    <n v="16.922403729999999"/>
    <n v="0.29188719000000002"/>
    <n v="14.46358277"/>
  </r>
  <r>
    <x v="4"/>
    <x v="1"/>
    <x v="0"/>
    <x v="2"/>
    <x v="44"/>
    <n v="2.7856964550000001"/>
    <n v="2.9595550749999999"/>
    <n v="0.46313452300000002"/>
    <n v="2.5733579459999998"/>
  </r>
  <r>
    <x v="4"/>
    <x v="1"/>
    <x v="2"/>
    <x v="2"/>
    <x v="44"/>
    <n v="5.3136478570000003"/>
    <n v="5.6452789240000003"/>
    <n v="0.43664267899999998"/>
    <n v="4.9086173449999997"/>
  </r>
  <r>
    <x v="4"/>
    <x v="1"/>
    <x v="1"/>
    <x v="2"/>
    <x v="44"/>
    <n v="243.7113726"/>
    <n v="258.92168850000002"/>
    <n v="33.878646369999998"/>
    <n v="225.1345785"/>
  </r>
  <r>
    <x v="4"/>
    <x v="2"/>
    <x v="0"/>
    <x v="2"/>
    <x v="44"/>
    <n v="3.5321143450000001"/>
    <n v="3.7525577920000002"/>
    <n v="5.0474700000000001E-3"/>
    <n v="3.0354832250000001"/>
  </r>
  <r>
    <x v="4"/>
    <x v="1"/>
    <x v="3"/>
    <x v="2"/>
    <x v="44"/>
    <n v="74.544314540000002"/>
    <n v="79.196713639999999"/>
    <n v="11.9765242"/>
    <n v="68.862206360000002"/>
  </r>
  <r>
    <x v="4"/>
    <x v="2"/>
    <x v="2"/>
    <x v="4"/>
    <x v="45"/>
    <n v="1.0362988980000001"/>
    <n v="1.0619576989999999"/>
    <n v="2.9678446000000001E-2"/>
    <n v="0.87083940999999998"/>
  </r>
  <r>
    <x v="4"/>
    <x v="3"/>
    <x v="0"/>
    <x v="4"/>
    <x v="45"/>
    <n v="14.0313725"/>
    <n v="14.37878984"/>
    <n v="9.2028609999999997E-3"/>
    <n v="14.0313725"/>
  </r>
  <r>
    <x v="4"/>
    <x v="0"/>
    <x v="3"/>
    <x v="4"/>
    <x v="45"/>
    <n v="4.9845130309999996"/>
    <n v="5.1079297700000001"/>
    <n v="4.4604193E-2"/>
    <n v="4.1731732020000001"/>
  </r>
  <r>
    <x v="4"/>
    <x v="0"/>
    <x v="0"/>
    <x v="4"/>
    <x v="45"/>
    <n v="0.48228542200000002"/>
    <n v="0.49422682800000001"/>
    <n v="2.5662530000000001E-3"/>
    <n v="0.403782794"/>
  </r>
  <r>
    <x v="4"/>
    <x v="2"/>
    <x v="1"/>
    <x v="4"/>
    <x v="45"/>
    <n v="1.651963998"/>
    <n v="1.6928666910000001"/>
    <n v="1.9E-2"/>
    <n v="1.3882050399999999"/>
  </r>
  <r>
    <x v="4"/>
    <x v="0"/>
    <x v="2"/>
    <x v="4"/>
    <x v="45"/>
    <n v="17.698144769999999"/>
    <n v="18.136351529999999"/>
    <n v="0.33883593400000001"/>
    <n v="14.81737996"/>
  </r>
  <r>
    <x v="4"/>
    <x v="1"/>
    <x v="3"/>
    <x v="4"/>
    <x v="45"/>
    <n v="59.011334789999999"/>
    <n v="60.472457769999998"/>
    <n v="13.551265190000001"/>
    <n v="52.550247229999997"/>
  </r>
  <r>
    <x v="4"/>
    <x v="1"/>
    <x v="2"/>
    <x v="4"/>
    <x v="45"/>
    <n v="3.5133008010000002"/>
    <n v="3.6002902680000002"/>
    <n v="0.151861722"/>
    <n v="3.128633276"/>
  </r>
  <r>
    <x v="4"/>
    <x v="1"/>
    <x v="1"/>
    <x v="4"/>
    <x v="45"/>
    <n v="226.44393009999999"/>
    <n v="232.05069069999999"/>
    <n v="47.465343949999998"/>
    <n v="201.6508278"/>
  </r>
  <r>
    <x v="4"/>
    <x v="3"/>
    <x v="3"/>
    <x v="4"/>
    <x v="45"/>
    <n v="1.4387527529999999"/>
    <n v="1.474376328"/>
    <n v="9.9536200000000007E-4"/>
    <n v="1.4387527529999999"/>
  </r>
  <r>
    <x v="4"/>
    <x v="2"/>
    <x v="3"/>
    <x v="6"/>
    <x v="46"/>
    <n v="0.10419265699999999"/>
    <n v="0.11509353999999999"/>
    <n v="4.31373E-3"/>
    <n v="8.6827214E-2"/>
  </r>
  <r>
    <x v="4"/>
    <x v="2"/>
    <x v="2"/>
    <x v="6"/>
    <x v="46"/>
    <n v="0.95470551999999997"/>
    <n v="1.0545890769999999"/>
    <n v="2.3192832E-2"/>
    <n v="0.79558793400000005"/>
  </r>
  <r>
    <x v="4"/>
    <x v="2"/>
    <x v="1"/>
    <x v="6"/>
    <x v="46"/>
    <n v="0.64212754999999999"/>
    <n v="0.70930845799999998"/>
    <n v="1.0251641000000001E-2"/>
    <n v="0.53510629200000004"/>
  </r>
  <r>
    <x v="4"/>
    <x v="3"/>
    <x v="3"/>
    <x v="6"/>
    <x v="46"/>
    <n v="0.34689160099999999"/>
    <n v="0.38318422299999999"/>
    <n v="1.8984199999999999E-4"/>
    <n v="0.34346968500000002"/>
  </r>
  <r>
    <x v="4"/>
    <x v="3"/>
    <x v="0"/>
    <x v="6"/>
    <x v="46"/>
    <n v="7.719464232"/>
    <n v="8.5270928979999994"/>
    <n v="4.6266759999999997E-3"/>
    <n v="7.6433154979999998"/>
  </r>
  <r>
    <x v="4"/>
    <x v="0"/>
    <x v="3"/>
    <x v="6"/>
    <x v="46"/>
    <n v="2.143820785"/>
    <n v="2.368112403"/>
    <n v="2.0754561000000001E-2"/>
    <n v="1.966525251"/>
  </r>
  <r>
    <x v="4"/>
    <x v="0"/>
    <x v="0"/>
    <x v="6"/>
    <x v="46"/>
    <n v="14.10953743"/>
    <n v="15.58571072"/>
    <n v="2.1556367999999999E-2"/>
    <n v="12.942668449999999"/>
  </r>
  <r>
    <x v="4"/>
    <x v="0"/>
    <x v="2"/>
    <x v="6"/>
    <x v="46"/>
    <n v="14.175513990000001"/>
    <n v="15.658589900000001"/>
    <n v="0.43244387099999998"/>
    <n v="13.003188700000001"/>
  </r>
  <r>
    <x v="4"/>
    <x v="1"/>
    <x v="3"/>
    <x v="6"/>
    <x v="46"/>
    <n v="34.995658169999999"/>
    <n v="38.656986969999998"/>
    <n v="5.950296775"/>
    <n v="31.26644971"/>
  </r>
  <r>
    <x v="4"/>
    <x v="1"/>
    <x v="2"/>
    <x v="6"/>
    <x v="46"/>
    <n v="4.0384689749999998"/>
    <n v="4.4609831819999997"/>
    <n v="0.52673327999999997"/>
    <n v="3.608121514"/>
  </r>
  <r>
    <x v="4"/>
    <x v="1"/>
    <x v="1"/>
    <x v="6"/>
    <x v="46"/>
    <n v="128.2030834"/>
    <n v="141.61599419999999"/>
    <n v="27.294613869999999"/>
    <n v="114.5415023"/>
  </r>
  <r>
    <x v="4"/>
    <x v="1"/>
    <x v="0"/>
    <x v="7"/>
    <x v="47"/>
    <n v="0.69902055699999999"/>
    <n v="1.3384791890000001"/>
    <n v="0.19884033700000001"/>
    <n v="0.65480483300000003"/>
  </r>
  <r>
    <x v="4"/>
    <x v="1"/>
    <x v="1"/>
    <x v="7"/>
    <x v="47"/>
    <n v="113.8640327"/>
    <n v="218.02597449999999"/>
    <n v="24.24265862"/>
    <n v="106.66169720000001"/>
  </r>
  <r>
    <x v="4"/>
    <x v="3"/>
    <x v="3"/>
    <x v="7"/>
    <x v="47"/>
    <n v="0.929829503"/>
    <n v="1.7804303850000001"/>
    <n v="4.6722000000000002E-4"/>
    <n v="0.929829503"/>
  </r>
  <r>
    <x v="4"/>
    <x v="1"/>
    <x v="3"/>
    <x v="7"/>
    <x v="47"/>
    <n v="42.999571150000001"/>
    <n v="82.335248300000003"/>
    <n v="8.0728181320000001"/>
    <n v="40.279683830000003"/>
  </r>
  <r>
    <x v="4"/>
    <x v="0"/>
    <x v="2"/>
    <x v="7"/>
    <x v="47"/>
    <n v="9.498916908"/>
    <n v="18.188453079999999"/>
    <n v="0.15120022299999999"/>
    <n v="8.795220746"/>
  </r>
  <r>
    <x v="4"/>
    <x v="1"/>
    <x v="2"/>
    <x v="7"/>
    <x v="47"/>
    <n v="4.3411055200000002"/>
    <n v="8.3123154800000005"/>
    <n v="0.41223163400000001"/>
    <n v="4.0665139940000001"/>
  </r>
  <r>
    <x v="4"/>
    <x v="0"/>
    <x v="3"/>
    <x v="7"/>
    <x v="47"/>
    <n v="2.2082791749999999"/>
    <n v="4.2283959900000001"/>
    <n v="2.0635253999999999E-2"/>
    <n v="2.0446860419999999"/>
  </r>
  <r>
    <x v="4"/>
    <x v="2"/>
    <x v="2"/>
    <x v="7"/>
    <x v="47"/>
    <n v="1.4252904310000001"/>
    <n v="2.7291351609999999"/>
    <n v="1.392E-2"/>
    <n v="1.2466508220000001"/>
  </r>
  <r>
    <x v="4"/>
    <x v="3"/>
    <x v="0"/>
    <x v="7"/>
    <x v="47"/>
    <n v="14.92498917"/>
    <n v="28.57825454"/>
    <n v="7.2626339999999996E-3"/>
    <n v="14.92498917"/>
  </r>
  <r>
    <x v="4"/>
    <x v="2"/>
    <x v="0"/>
    <x v="7"/>
    <x v="47"/>
    <n v="6.8253127999999996E-2"/>
    <n v="0.13069056400000001"/>
    <n v="1.08E-3"/>
    <n v="5.9698582E-2"/>
  </r>
  <r>
    <x v="4"/>
    <x v="0"/>
    <x v="0"/>
    <x v="7"/>
    <x v="47"/>
    <n v="0.27593141100000002"/>
    <n v="0.52835134500000003"/>
    <n v="2.1632209999999999E-3"/>
    <n v="0.25548993599999997"/>
  </r>
  <r>
    <x v="4"/>
    <x v="3"/>
    <x v="0"/>
    <x v="2"/>
    <x v="48"/>
    <n v="59.477558690000002"/>
    <n v="72.189687169999999"/>
    <n v="3.3286436000000003E-2"/>
    <n v="59.477558690000002"/>
  </r>
  <r>
    <x v="4"/>
    <x v="2"/>
    <x v="0"/>
    <x v="2"/>
    <x v="48"/>
    <n v="12.77459277"/>
    <n v="15.5049043"/>
    <n v="2.7126526000000001E-2"/>
    <n v="11.10834154"/>
  </r>
  <r>
    <x v="4"/>
    <x v="3"/>
    <x v="3"/>
    <x v="2"/>
    <x v="48"/>
    <n v="5.8136410400000003"/>
    <n v="7.0561895489999999"/>
    <n v="2.8146740000000001E-3"/>
    <n v="5.8136410400000003"/>
  </r>
  <r>
    <x v="4"/>
    <x v="0"/>
    <x v="3"/>
    <x v="2"/>
    <x v="48"/>
    <n v="14.47611296"/>
    <n v="17.570090109999999"/>
    <n v="0.10933683299999999"/>
    <n v="13.913409270000001"/>
  </r>
  <r>
    <x v="4"/>
    <x v="0"/>
    <x v="0"/>
    <x v="2"/>
    <x v="48"/>
    <n v="1.01862392"/>
    <n v="1.2363342369999999"/>
    <n v="7.2230389999999997E-3"/>
    <n v="0.97902879899999995"/>
  </r>
  <r>
    <x v="4"/>
    <x v="1"/>
    <x v="3"/>
    <x v="2"/>
    <x v="48"/>
    <n v="358.78802039999999"/>
    <n v="435.47172289999997"/>
    <n v="64.291823859999994"/>
    <n v="337.33781979999998"/>
  </r>
  <r>
    <x v="4"/>
    <x v="1"/>
    <x v="0"/>
    <x v="2"/>
    <x v="48"/>
    <n v="22.03132321"/>
    <n v="26.740074159999999"/>
    <n v="1.492652168"/>
    <n v="20.714176940000002"/>
  </r>
  <r>
    <x v="4"/>
    <x v="1"/>
    <x v="2"/>
    <x v="2"/>
    <x v="48"/>
    <n v="41.05740462"/>
    <n v="49.832596709999997"/>
    <n v="2.449898073"/>
    <n v="38.602780950000003"/>
  </r>
  <r>
    <x v="4"/>
    <x v="1"/>
    <x v="1"/>
    <x v="2"/>
    <x v="48"/>
    <n v="1141.4092519999999"/>
    <n v="1385.3624569999999"/>
    <n v="165.25964149999999"/>
    <n v="1073.1699120000001"/>
  </r>
  <r>
    <x v="4"/>
    <x v="2"/>
    <x v="2"/>
    <x v="2"/>
    <x v="48"/>
    <n v="10.804402899999999"/>
    <n v="13.11362609"/>
    <n v="8.1459273999999998E-2"/>
    <n v="9.3951329520000009"/>
  </r>
  <r>
    <x v="4"/>
    <x v="0"/>
    <x v="2"/>
    <x v="2"/>
    <x v="48"/>
    <n v="97.291742959999993"/>
    <n v="118.0858906"/>
    <n v="2.3814404570000001"/>
    <n v="93.509897469999999"/>
  </r>
  <r>
    <x v="4"/>
    <x v="0"/>
    <x v="2"/>
    <x v="3"/>
    <x v="49"/>
    <n v="649.50283230000002"/>
    <n v="649.50283230000002"/>
    <n v="13.95711375"/>
    <n v="591.58554900000001"/>
  </r>
  <r>
    <x v="4"/>
    <x v="3"/>
    <x v="3"/>
    <x v="3"/>
    <x v="49"/>
    <n v="144.0634848"/>
    <n v="144.0634848"/>
    <n v="9.6745539000000005E-2"/>
    <n v="129.17677939999999"/>
  </r>
  <r>
    <x v="4"/>
    <x v="3"/>
    <x v="0"/>
    <x v="3"/>
    <x v="49"/>
    <n v="1968.1467640000001"/>
    <n v="1968.1467640000001"/>
    <n v="1.0253638039999999"/>
    <n v="1764.769614"/>
  </r>
  <r>
    <x v="4"/>
    <x v="3"/>
    <x v="1"/>
    <x v="3"/>
    <x v="49"/>
    <n v="23.162764500000002"/>
    <n v="23.162764500000002"/>
    <n v="6.3E-3"/>
    <n v="20.769255480000002"/>
  </r>
  <r>
    <x v="4"/>
    <x v="2"/>
    <x v="2"/>
    <x v="3"/>
    <x v="49"/>
    <n v="84.096682319999999"/>
    <n v="84.096682319999999"/>
    <n v="0.86479077199999999"/>
    <n v="77.554291980000002"/>
  </r>
  <r>
    <x v="4"/>
    <x v="0"/>
    <x v="0"/>
    <x v="3"/>
    <x v="49"/>
    <n v="62.425374410000003"/>
    <n v="62.425374410000003"/>
    <n v="0.68148002799999996"/>
    <n v="56.858796529999999"/>
  </r>
  <r>
    <x v="4"/>
    <x v="1"/>
    <x v="3"/>
    <x v="3"/>
    <x v="49"/>
    <n v="9275.3757750000004"/>
    <n v="9275.3757750000004"/>
    <n v="2855.015222"/>
    <n v="9031.8322719999996"/>
  </r>
  <r>
    <x v="4"/>
    <x v="1"/>
    <x v="0"/>
    <x v="3"/>
    <x v="49"/>
    <n v="352.26973779999997"/>
    <n v="352.26973779999997"/>
    <n v="35.501889970000001"/>
    <n v="343.02019280000002"/>
  </r>
  <r>
    <x v="4"/>
    <x v="1"/>
    <x v="2"/>
    <x v="3"/>
    <x v="49"/>
    <n v="539.88162609999995"/>
    <n v="539.88162609999995"/>
    <n v="64.617934050000002"/>
    <n v="525.70595649999996"/>
  </r>
  <r>
    <x v="4"/>
    <x v="1"/>
    <x v="1"/>
    <x v="3"/>
    <x v="49"/>
    <n v="10346.0622"/>
    <n v="10346.0622"/>
    <n v="1791.0594470000001"/>
    <n v="10074.40569"/>
  </r>
  <r>
    <x v="4"/>
    <x v="2"/>
    <x v="0"/>
    <x v="3"/>
    <x v="49"/>
    <n v="57.460731459999998"/>
    <n v="57.460731459999998"/>
    <n v="0.27489922700000002"/>
    <n v="52.99051309"/>
  </r>
  <r>
    <x v="4"/>
    <x v="0"/>
    <x v="3"/>
    <x v="3"/>
    <x v="49"/>
    <n v="134.55644229999999"/>
    <n v="134.55644229999999"/>
    <n v="2.5207849090000001"/>
    <n v="122.5578132"/>
  </r>
  <r>
    <x v="5"/>
    <x v="0"/>
    <x v="3"/>
    <x v="0"/>
    <x v="0"/>
    <n v="0.20439532099999999"/>
    <n v="0.71072076799999995"/>
    <n v="1.8019710000000001E-3"/>
    <n v="0.195126099"/>
  </r>
  <r>
    <x v="5"/>
    <x v="1"/>
    <x v="1"/>
    <x v="0"/>
    <x v="0"/>
    <n v="37.615040479999998"/>
    <n v="130.79453229999999"/>
    <n v="10.69694221"/>
    <n v="35.712502839999999"/>
  </r>
  <r>
    <x v="5"/>
    <x v="1"/>
    <x v="2"/>
    <x v="0"/>
    <x v="0"/>
    <n v="1.6576929389999999"/>
    <n v="5.7641084510000002"/>
    <n v="0.201565412"/>
    <n v="1.5738482009999999"/>
  </r>
  <r>
    <x v="5"/>
    <x v="1"/>
    <x v="3"/>
    <x v="0"/>
    <x v="0"/>
    <n v="21.580045299999998"/>
    <n v="75.037854449999998"/>
    <n v="5.6916540800000002"/>
    <n v="20.48854446"/>
  </r>
  <r>
    <x v="5"/>
    <x v="0"/>
    <x v="0"/>
    <x v="0"/>
    <x v="0"/>
    <n v="8.1421621E-2"/>
    <n v="0.28311820799999998"/>
    <n v="6.1358199999999999E-4"/>
    <n v="7.7729193000000002E-2"/>
  </r>
  <r>
    <x v="5"/>
    <x v="3"/>
    <x v="0"/>
    <x v="0"/>
    <x v="0"/>
    <n v="4.2089008860000003"/>
    <n v="14.635135740000001"/>
    <n v="2.4670489999999998E-3"/>
    <n v="3.9506381749999999"/>
  </r>
  <r>
    <x v="5"/>
    <x v="3"/>
    <x v="3"/>
    <x v="0"/>
    <x v="0"/>
    <n v="0.452911699"/>
    <n v="1.5748587030000001"/>
    <n v="2.6205100000000002E-4"/>
    <n v="0.42512054700000002"/>
  </r>
  <r>
    <x v="5"/>
    <x v="2"/>
    <x v="2"/>
    <x v="0"/>
    <x v="0"/>
    <n v="0.182057257"/>
    <n v="0.63304713999999995"/>
    <n v="1.1245E-2"/>
    <n v="0.169531925"/>
  </r>
  <r>
    <x v="5"/>
    <x v="0"/>
    <x v="2"/>
    <x v="0"/>
    <x v="0"/>
    <n v="6.9324506000000001"/>
    <n v="24.105427580000001"/>
    <n v="0.216212448"/>
    <n v="6.6180675339999997"/>
  </r>
  <r>
    <x v="5"/>
    <x v="2"/>
    <x v="2"/>
    <x v="1"/>
    <x v="1"/>
    <n v="1.317413248"/>
    <n v="1.5985404599999999"/>
    <n v="6.4664200000000005E-2"/>
    <n v="1.0674111129999999"/>
  </r>
  <r>
    <x v="5"/>
    <x v="3"/>
    <x v="3"/>
    <x v="1"/>
    <x v="1"/>
    <n v="10.81096363"/>
    <n v="13.11795126"/>
    <n v="8.1630160000000004E-3"/>
    <n v="9.3345897309999994"/>
  </r>
  <r>
    <x v="5"/>
    <x v="3"/>
    <x v="0"/>
    <x v="1"/>
    <x v="1"/>
    <n v="18.580051229999999"/>
    <n v="22.544910399999999"/>
    <n v="1.2135084000000001E-2"/>
    <n v="16.042710100000001"/>
  </r>
  <r>
    <x v="5"/>
    <x v="0"/>
    <x v="3"/>
    <x v="1"/>
    <x v="1"/>
    <n v="1.1007418069999999"/>
    <n v="1.335632776"/>
    <n v="0.13994015100000001"/>
    <n v="0.94418133599999998"/>
  </r>
  <r>
    <x v="5"/>
    <x v="0"/>
    <x v="0"/>
    <x v="1"/>
    <x v="1"/>
    <n v="1.3479883130000001"/>
    <n v="1.63564004"/>
    <n v="4.7226910000000002E-3"/>
    <n v="1.156261531"/>
  </r>
  <r>
    <x v="5"/>
    <x v="0"/>
    <x v="2"/>
    <x v="1"/>
    <x v="1"/>
    <n v="73.360577140000004"/>
    <n v="89.015235649999994"/>
    <n v="1.162836258"/>
    <n v="62.926371400000001"/>
  </r>
  <r>
    <x v="5"/>
    <x v="1"/>
    <x v="3"/>
    <x v="1"/>
    <x v="1"/>
    <n v="231.94824740000001"/>
    <n v="281.44445830000001"/>
    <n v="31.590305260000001"/>
    <n v="211.62071539999999"/>
  </r>
  <r>
    <x v="5"/>
    <x v="1"/>
    <x v="2"/>
    <x v="1"/>
    <x v="1"/>
    <n v="8.6891327100000009"/>
    <n v="10.543335750000001"/>
    <n v="0.39226058200000002"/>
    <n v="7.9276325679999999"/>
  </r>
  <r>
    <x v="5"/>
    <x v="1"/>
    <x v="1"/>
    <x v="1"/>
    <x v="1"/>
    <n v="417.22758370000003"/>
    <n v="506.26117090000002"/>
    <n v="58.982980650000002"/>
    <n v="380.66250009999999"/>
  </r>
  <r>
    <x v="5"/>
    <x v="3"/>
    <x v="0"/>
    <x v="2"/>
    <x v="2"/>
    <n v="4.1498501579999996"/>
    <n v="4.5174664240000002"/>
    <n v="2.6315890000000002E-3"/>
    <n v="4.1495416939999998"/>
  </r>
  <r>
    <x v="5"/>
    <x v="0"/>
    <x v="0"/>
    <x v="2"/>
    <x v="2"/>
    <n v="0.11848550300000001"/>
    <n v="0.12898159200000001"/>
    <n v="3.55764E-4"/>
    <n v="0.108987415"/>
  </r>
  <r>
    <x v="5"/>
    <x v="0"/>
    <x v="2"/>
    <x v="2"/>
    <x v="2"/>
    <n v="6.8509095169999998"/>
    <n v="7.4578002909999999"/>
    <n v="5.9597435999999997E-2"/>
    <n v="6.3017238630000003"/>
  </r>
  <r>
    <x v="5"/>
    <x v="1"/>
    <x v="3"/>
    <x v="2"/>
    <x v="2"/>
    <n v="67.770119010000002"/>
    <n v="73.773564230000005"/>
    <n v="8.9029966359999992"/>
    <n v="64.405214709999996"/>
  </r>
  <r>
    <x v="5"/>
    <x v="1"/>
    <x v="0"/>
    <x v="2"/>
    <x v="2"/>
    <n v="2.9183857930000001"/>
    <n v="3.1769122570000001"/>
    <n v="0.49265768300000001"/>
    <n v="2.7734828610000002"/>
  </r>
  <r>
    <x v="5"/>
    <x v="1"/>
    <x v="2"/>
    <x v="2"/>
    <x v="2"/>
    <n v="6.3640781019999997"/>
    <n v="6.9278427049999998"/>
    <n v="0.33946796899999998"/>
    <n v="6.0480905529999998"/>
  </r>
  <r>
    <x v="5"/>
    <x v="1"/>
    <x v="1"/>
    <x v="2"/>
    <x v="2"/>
    <n v="194.0365831"/>
    <n v="211.22539750000001"/>
    <n v="25.929978510000002"/>
    <n v="184.4023292"/>
  </r>
  <r>
    <x v="5"/>
    <x v="2"/>
    <x v="2"/>
    <x v="2"/>
    <x v="2"/>
    <n v="0.86582770899999995"/>
    <n v="0.94252743000000005"/>
    <n v="2.3136E-2"/>
    <n v="0.72653965600000003"/>
  </r>
  <r>
    <x v="5"/>
    <x v="3"/>
    <x v="3"/>
    <x v="2"/>
    <x v="2"/>
    <n v="0.61471617999999995"/>
    <n v="0.66917107799999997"/>
    <n v="3.8721099999999999E-4"/>
    <n v="0.61467048700000004"/>
  </r>
  <r>
    <x v="5"/>
    <x v="2"/>
    <x v="0"/>
    <x v="2"/>
    <x v="3"/>
    <n v="3.375806066"/>
    <n v="3.6748533019999998"/>
    <n v="1.1190219999999999E-3"/>
    <n v="2.918248545"/>
  </r>
  <r>
    <x v="5"/>
    <x v="1"/>
    <x v="2"/>
    <x v="2"/>
    <x v="3"/>
    <n v="4.3304954520000001"/>
    <n v="4.7141142589999996"/>
    <n v="0.20928368999999999"/>
    <n v="4.0590364040000004"/>
  </r>
  <r>
    <x v="5"/>
    <x v="1"/>
    <x v="0"/>
    <x v="2"/>
    <x v="3"/>
    <n v="8.1240028169999992"/>
    <n v="8.8436711100000007"/>
    <n v="0.32259216400000001"/>
    <n v="7.6147460589999998"/>
  </r>
  <r>
    <x v="5"/>
    <x v="1"/>
    <x v="3"/>
    <x v="2"/>
    <x v="3"/>
    <n v="48.734053840000001"/>
    <n v="53.051181020000001"/>
    <n v="6.467572552"/>
    <n v="45.679137840000003"/>
  </r>
  <r>
    <x v="5"/>
    <x v="0"/>
    <x v="2"/>
    <x v="2"/>
    <x v="3"/>
    <n v="8.1480901889999995"/>
    <n v="8.8698922719999995"/>
    <n v="9.1029417000000001E-2"/>
    <n v="7.6372321760000004"/>
  </r>
  <r>
    <x v="5"/>
    <x v="1"/>
    <x v="1"/>
    <x v="2"/>
    <x v="3"/>
    <n v="173.91451480000001"/>
    <n v="189.3208071"/>
    <n v="23.52659109"/>
    <n v="163.01260550000001"/>
  </r>
  <r>
    <x v="5"/>
    <x v="3"/>
    <x v="0"/>
    <x v="2"/>
    <x v="3"/>
    <n v="17.222767380000001"/>
    <n v="18.748453659999999"/>
    <n v="1.0971145999999999E-2"/>
    <n v="17.22166661"/>
  </r>
  <r>
    <x v="5"/>
    <x v="2"/>
    <x v="2"/>
    <x v="2"/>
    <x v="3"/>
    <n v="3.0353748270000001"/>
    <n v="3.3042648149999998"/>
    <n v="3.8323877999999999E-2"/>
    <n v="2.6239594340000001"/>
  </r>
  <r>
    <x v="5"/>
    <x v="3"/>
    <x v="3"/>
    <x v="2"/>
    <x v="3"/>
    <n v="2.2551674419999999"/>
    <n v="2.4549424219999998"/>
    <n v="1.3699540000000001E-3"/>
    <n v="2.255023306"/>
  </r>
  <r>
    <x v="5"/>
    <x v="0"/>
    <x v="0"/>
    <x v="2"/>
    <x v="3"/>
    <n v="0.50653446000000002"/>
    <n v="0.55140603300000002"/>
    <n v="1.423683E-3"/>
    <n v="0.47477644299999999"/>
  </r>
  <r>
    <x v="5"/>
    <x v="2"/>
    <x v="2"/>
    <x v="0"/>
    <x v="4"/>
    <n v="1.3088708570000001"/>
    <n v="1.94821394"/>
    <n v="8.5751000000000004E-3"/>
    <n v="1.2583300740000001"/>
  </r>
  <r>
    <x v="5"/>
    <x v="3"/>
    <x v="0"/>
    <x v="0"/>
    <x v="4"/>
    <n v="144.27552700000001"/>
    <n v="214.7496763"/>
    <n v="6.2872987000000005E-2"/>
    <n v="140.26061189999999"/>
  </r>
  <r>
    <x v="5"/>
    <x v="0"/>
    <x v="2"/>
    <x v="0"/>
    <x v="4"/>
    <n v="54.218717570000003"/>
    <n v="80.702890460000006"/>
    <n v="0.67183599000000005"/>
    <n v="51.685189399999999"/>
  </r>
  <r>
    <x v="5"/>
    <x v="1"/>
    <x v="3"/>
    <x v="0"/>
    <x v="4"/>
    <n v="132.21172429999999"/>
    <n v="196.79307779999999"/>
    <n v="30.687303719999999"/>
    <n v="128.77756880000001"/>
  </r>
  <r>
    <x v="5"/>
    <x v="1"/>
    <x v="2"/>
    <x v="0"/>
    <x v="4"/>
    <n v="8.8803178480000007"/>
    <n v="13.218079489999999"/>
    <n v="1.4799159200000001"/>
    <n v="8.6496545470000008"/>
  </r>
  <r>
    <x v="5"/>
    <x v="1"/>
    <x v="1"/>
    <x v="0"/>
    <x v="4"/>
    <n v="309.17055269999997"/>
    <n v="460.19084129999999"/>
    <n v="80.56225766"/>
    <n v="301.1399505"/>
  </r>
  <r>
    <x v="5"/>
    <x v="3"/>
    <x v="3"/>
    <x v="0"/>
    <x v="4"/>
    <n v="14.58499314"/>
    <n v="21.709312879999999"/>
    <n v="5.9924130000000003E-3"/>
    <n v="14.17912037"/>
  </r>
  <r>
    <x v="5"/>
    <x v="0"/>
    <x v="0"/>
    <x v="0"/>
    <x v="4"/>
    <n v="1.3640967900000001"/>
    <n v="2.0304160410000001"/>
    <n v="1.9549352999999998E-2"/>
    <n v="1.3003553779999999"/>
  </r>
  <r>
    <x v="5"/>
    <x v="0"/>
    <x v="3"/>
    <x v="0"/>
    <x v="4"/>
    <n v="0.207644735"/>
    <n v="0.30907278999999999"/>
    <n v="1.3192569999999999E-3"/>
    <n v="0.19794192699999999"/>
  </r>
  <r>
    <x v="5"/>
    <x v="0"/>
    <x v="0"/>
    <x v="3"/>
    <x v="5"/>
    <n v="1.955001E-2"/>
    <n v="2.3588662999999999E-2"/>
    <n v="1.9406429999999999E-3"/>
    <n v="1.5732128000000001E-2"/>
  </r>
  <r>
    <x v="5"/>
    <x v="2"/>
    <x v="0"/>
    <x v="3"/>
    <x v="5"/>
    <n v="3.5745228689999999"/>
    <n v="4.3129500160000003"/>
    <n v="7.4613459999999998E-3"/>
    <n v="3.2438158769999998"/>
  </r>
  <r>
    <x v="5"/>
    <x v="2"/>
    <x v="2"/>
    <x v="3"/>
    <x v="5"/>
    <n v="0.85967990299999997"/>
    <n v="1.037273109"/>
    <n v="4.3754554000000001E-2"/>
    <n v="0.78014420900000003"/>
  </r>
  <r>
    <x v="5"/>
    <x v="3"/>
    <x v="0"/>
    <x v="3"/>
    <x v="5"/>
    <n v="54.151552539999997"/>
    <n v="65.338213789999998"/>
    <n v="2.6494153999999999E-2"/>
    <n v="53.356334189999998"/>
  </r>
  <r>
    <x v="5"/>
    <x v="0"/>
    <x v="2"/>
    <x v="3"/>
    <x v="5"/>
    <n v="31.289856"/>
    <n v="37.753733820000001"/>
    <n v="1.402408557"/>
    <n v="25.17932437"/>
  </r>
  <r>
    <x v="5"/>
    <x v="1"/>
    <x v="3"/>
    <x v="3"/>
    <x v="5"/>
    <n v="396.24057749999997"/>
    <n v="478.09620130000002"/>
    <n v="120.2174954"/>
    <n v="377.78164079999999"/>
  </r>
  <r>
    <x v="5"/>
    <x v="1"/>
    <x v="0"/>
    <x v="3"/>
    <x v="5"/>
    <n v="14.33719561"/>
    <n v="17.298982349999999"/>
    <n v="1.199524869"/>
    <n v="13.669294839999999"/>
  </r>
  <r>
    <x v="5"/>
    <x v="1"/>
    <x v="2"/>
    <x v="3"/>
    <x v="5"/>
    <n v="70.119609800000006"/>
    <n v="84.604962200000003"/>
    <n v="4.5617453000000001"/>
    <n v="66.853075500000003"/>
  </r>
  <r>
    <x v="5"/>
    <x v="1"/>
    <x v="1"/>
    <x v="3"/>
    <x v="5"/>
    <n v="706.74034549999999"/>
    <n v="852.7392036"/>
    <n v="208.08287859999999"/>
    <n v="673.81672270000001"/>
  </r>
  <r>
    <x v="5"/>
    <x v="3"/>
    <x v="3"/>
    <x v="3"/>
    <x v="5"/>
    <n v="3.2826434099999999"/>
    <n v="3.9607739180000001"/>
    <n v="1.5869460000000001E-3"/>
    <n v="3.2344376220000002"/>
  </r>
  <r>
    <x v="5"/>
    <x v="3"/>
    <x v="3"/>
    <x v="0"/>
    <x v="6"/>
    <n v="0.20511210799999999"/>
    <n v="0.25057175300000001"/>
    <n v="9.2156600000000005E-5"/>
    <n v="0.18646351899999999"/>
  </r>
  <r>
    <x v="5"/>
    <x v="0"/>
    <x v="2"/>
    <x v="0"/>
    <x v="6"/>
    <n v="29.772279040000001"/>
    <n v="36.370803359999996"/>
    <n v="0.53614765399999997"/>
    <n v="28.345399359999998"/>
  </r>
  <r>
    <x v="5"/>
    <x v="1"/>
    <x v="1"/>
    <x v="0"/>
    <x v="6"/>
    <n v="59.872560729999996"/>
    <n v="73.142305620000002"/>
    <n v="12.22989246"/>
    <n v="56.578578690000001"/>
  </r>
  <r>
    <x v="5"/>
    <x v="1"/>
    <x v="2"/>
    <x v="0"/>
    <x v="6"/>
    <n v="8.4170897979999992"/>
    <n v="10.28259602"/>
    <n v="0.45054288199999998"/>
    <n v="7.9540105130000001"/>
  </r>
  <r>
    <x v="5"/>
    <x v="1"/>
    <x v="3"/>
    <x v="0"/>
    <x v="6"/>
    <n v="29.948163839999999"/>
    <n v="36.585670059999998"/>
    <n v="6.2850776589999997"/>
    <n v="28.30051903"/>
  </r>
  <r>
    <x v="5"/>
    <x v="0"/>
    <x v="0"/>
    <x v="0"/>
    <x v="6"/>
    <n v="0.32221000599999999"/>
    <n v="0.393622429"/>
    <n v="1.43564E-3"/>
    <n v="0.30676762400000002"/>
  </r>
  <r>
    <x v="5"/>
    <x v="3"/>
    <x v="0"/>
    <x v="0"/>
    <x v="6"/>
    <n v="3.1375777139999999"/>
    <n v="3.8329689810000001"/>
    <n v="1.2725429999999999E-3"/>
    <n v="2.8523122750000001"/>
  </r>
  <r>
    <x v="5"/>
    <x v="2"/>
    <x v="2"/>
    <x v="0"/>
    <x v="6"/>
    <n v="1.507314461"/>
    <n v="1.841385329"/>
    <n v="3.90058E-2"/>
    <n v="1.4142618570000001"/>
  </r>
  <r>
    <x v="5"/>
    <x v="0"/>
    <x v="3"/>
    <x v="0"/>
    <x v="6"/>
    <n v="0.56746693000000004"/>
    <n v="0.69323641899999999"/>
    <n v="2.6324059999999999E-3"/>
    <n v="0.54027025299999998"/>
  </r>
  <r>
    <x v="5"/>
    <x v="1"/>
    <x v="1"/>
    <x v="4"/>
    <x v="7"/>
    <n v="8463.6895069999991"/>
    <n v="8844.8751379999994"/>
    <n v="1884.40769"/>
    <n v="7726.5771530000002"/>
  </r>
  <r>
    <x v="5"/>
    <x v="2"/>
    <x v="2"/>
    <x v="4"/>
    <x v="7"/>
    <n v="171.2819839"/>
    <n v="178.99614109999999"/>
    <n v="1.9370064"/>
    <n v="157.34607740000001"/>
  </r>
  <r>
    <x v="5"/>
    <x v="3"/>
    <x v="3"/>
    <x v="4"/>
    <x v="7"/>
    <n v="18.144226110000002"/>
    <n v="18.961401439999999"/>
    <n v="1.5163301000000001E-2"/>
    <n v="18.117297050000001"/>
  </r>
  <r>
    <x v="5"/>
    <x v="3"/>
    <x v="0"/>
    <x v="4"/>
    <x v="7"/>
    <n v="126.13221900000001"/>
    <n v="131.8129319"/>
    <n v="0.10126689899999999"/>
    <n v="125.9450178"/>
  </r>
  <r>
    <x v="5"/>
    <x v="0"/>
    <x v="3"/>
    <x v="4"/>
    <x v="7"/>
    <n v="20.618978039999998"/>
    <n v="21.547610649999999"/>
    <n v="0.15025343899999999"/>
    <n v="17.0517173"/>
  </r>
  <r>
    <x v="5"/>
    <x v="0"/>
    <x v="0"/>
    <x v="4"/>
    <x v="7"/>
    <n v="4.3311006519999999"/>
    <n v="4.5261637309999996"/>
    <n v="2.4036188E-2"/>
    <n v="3.5817829470000002"/>
  </r>
  <r>
    <x v="5"/>
    <x v="0"/>
    <x v="2"/>
    <x v="4"/>
    <x v="7"/>
    <n v="857.98197909999999"/>
    <n v="896.62356699999998"/>
    <n v="11.25795377"/>
    <n v="709.54370919999997"/>
  </r>
  <r>
    <x v="5"/>
    <x v="1"/>
    <x v="3"/>
    <x v="4"/>
    <x v="7"/>
    <n v="5029.2582759999996"/>
    <n v="5255.7648120000003"/>
    <n v="1317.479936"/>
    <n v="4591.2544479999997"/>
  </r>
  <r>
    <x v="5"/>
    <x v="3"/>
    <x v="0"/>
    <x v="0"/>
    <x v="8"/>
    <n v="1.8211705650000001"/>
    <n v="2.7842317140000001"/>
    <n v="7.9169199999999998E-4"/>
    <n v="1.655623066"/>
  </r>
  <r>
    <x v="5"/>
    <x v="3"/>
    <x v="3"/>
    <x v="0"/>
    <x v="8"/>
    <n v="6.2356971999999997E-2"/>
    <n v="9.5332234000000002E-2"/>
    <n v="2.7108199999999999E-5"/>
    <n v="5.6688616999999997E-2"/>
  </r>
  <r>
    <x v="5"/>
    <x v="0"/>
    <x v="0"/>
    <x v="0"/>
    <x v="8"/>
    <n v="0.23242325699999999"/>
    <n v="0.35533201399999997"/>
    <n v="3.2448500000000001E-3"/>
    <n v="0.221764237"/>
  </r>
  <r>
    <x v="5"/>
    <x v="2"/>
    <x v="2"/>
    <x v="0"/>
    <x v="8"/>
    <n v="0.98289064699999995"/>
    <n v="1.502657337"/>
    <n v="3.00342E-2"/>
    <n v="0.90174849199999996"/>
  </r>
  <r>
    <x v="5"/>
    <x v="1"/>
    <x v="1"/>
    <x v="0"/>
    <x v="8"/>
    <n v="59.456377799999999"/>
    <n v="90.897764240000001"/>
    <n v="15.5896436"/>
    <n v="57.654224249999999"/>
  </r>
  <r>
    <x v="5"/>
    <x v="0"/>
    <x v="3"/>
    <x v="0"/>
    <x v="8"/>
    <n v="0.138880543"/>
    <n v="0.21232256899999999"/>
    <n v="8.6977300000000001E-4"/>
    <n v="0.13251142799999999"/>
  </r>
  <r>
    <x v="5"/>
    <x v="0"/>
    <x v="2"/>
    <x v="0"/>
    <x v="8"/>
    <n v="9.6148095550000008"/>
    <n v="14.699258929999999"/>
    <n v="0.142937177"/>
    <n v="9.1738706729999997"/>
  </r>
  <r>
    <x v="5"/>
    <x v="1"/>
    <x v="3"/>
    <x v="0"/>
    <x v="8"/>
    <n v="27.707198559999998"/>
    <n v="42.35916306"/>
    <n v="6.1593203340000002"/>
    <n v="26.86737905"/>
  </r>
  <r>
    <x v="5"/>
    <x v="1"/>
    <x v="2"/>
    <x v="0"/>
    <x v="8"/>
    <n v="5.0609169600000001"/>
    <n v="7.7372025290000002"/>
    <n v="0.46311086200000001"/>
    <n v="4.907517951"/>
  </r>
  <r>
    <x v="5"/>
    <x v="0"/>
    <x v="0"/>
    <x v="5"/>
    <x v="9"/>
    <n v="0.85747723899999995"/>
    <n v="0.91253360100000003"/>
    <n v="6.0905200000000003E-3"/>
    <n v="0.79723312099999999"/>
  </r>
  <r>
    <x v="5"/>
    <x v="0"/>
    <x v="3"/>
    <x v="5"/>
    <x v="9"/>
    <n v="0.50900612999999995"/>
    <n v="0.54168807699999999"/>
    <n v="6.0988029999999999E-3"/>
    <n v="0.473244685"/>
  </r>
  <r>
    <x v="5"/>
    <x v="0"/>
    <x v="2"/>
    <x v="5"/>
    <x v="9"/>
    <n v="16.842909479999999"/>
    <n v="17.924348470000002"/>
    <n v="0.17483517800000001"/>
    <n v="15.659570520000001"/>
  </r>
  <r>
    <x v="5"/>
    <x v="1"/>
    <x v="3"/>
    <x v="5"/>
    <x v="9"/>
    <n v="28.100845719999999"/>
    <n v="29.905127230000002"/>
    <n v="6.7027214869999998"/>
    <n v="25.80141326"/>
  </r>
  <r>
    <x v="5"/>
    <x v="1"/>
    <x v="0"/>
    <x v="5"/>
    <x v="9"/>
    <n v="1.4079733329999999"/>
    <n v="1.498375604"/>
    <n v="0.29293445499999998"/>
    <n v="1.292761869"/>
  </r>
  <r>
    <x v="5"/>
    <x v="2"/>
    <x v="2"/>
    <x v="5"/>
    <x v="9"/>
    <n v="1.5795452780000001"/>
    <n v="1.680963733"/>
    <n v="1.7739899999999999E-2"/>
    <n v="1.3683551220000001"/>
  </r>
  <r>
    <x v="5"/>
    <x v="1"/>
    <x v="2"/>
    <x v="5"/>
    <x v="9"/>
    <n v="2.897035394"/>
    <n v="3.0830464289999999"/>
    <n v="0.320740046"/>
    <n v="2.6599771470000002"/>
  </r>
  <r>
    <x v="5"/>
    <x v="1"/>
    <x v="1"/>
    <x v="5"/>
    <x v="9"/>
    <n v="114.63521900000001"/>
    <n v="121.9956454"/>
    <n v="21.573934009999999"/>
    <n v="105.2548628"/>
  </r>
  <r>
    <x v="5"/>
    <x v="2"/>
    <x v="2"/>
    <x v="2"/>
    <x v="10"/>
    <n v="0.39774726500000002"/>
    <n v="0.43202686699999998"/>
    <n v="4.3257369999999996E-3"/>
    <n v="0.364358556"/>
  </r>
  <r>
    <x v="5"/>
    <x v="2"/>
    <x v="0"/>
    <x v="2"/>
    <x v="10"/>
    <n v="1.6271970330000001"/>
    <n v="1.767436002"/>
    <n v="1.741163E-3"/>
    <n v="1.4906027340000001"/>
  </r>
  <r>
    <x v="5"/>
    <x v="1"/>
    <x v="1"/>
    <x v="2"/>
    <x v="10"/>
    <n v="151.84771259999999"/>
    <n v="164.9346137"/>
    <n v="19.973084790000001"/>
    <n v="143.41752690000001"/>
  </r>
  <r>
    <x v="5"/>
    <x v="3"/>
    <x v="0"/>
    <x v="2"/>
    <x v="10"/>
    <n v="18.683300580000001"/>
    <n v="20.293509270000001"/>
    <n v="1.1857552E-2"/>
    <n v="18.682143960000001"/>
  </r>
  <r>
    <x v="5"/>
    <x v="0"/>
    <x v="0"/>
    <x v="2"/>
    <x v="10"/>
    <n v="7.9811507000000004E-2"/>
    <n v="8.6690012999999996E-2"/>
    <n v="4.6924400000000001E-4"/>
    <n v="7.2246675999999996E-2"/>
  </r>
  <r>
    <x v="5"/>
    <x v="0"/>
    <x v="2"/>
    <x v="2"/>
    <x v="10"/>
    <n v="2.2747515749999998"/>
    <n v="2.4707996310000002"/>
    <n v="4.5857856000000002E-2"/>
    <n v="2.0591421740000002"/>
  </r>
  <r>
    <x v="5"/>
    <x v="1"/>
    <x v="3"/>
    <x v="2"/>
    <x v="10"/>
    <n v="49.05779398"/>
    <n v="53.28580959"/>
    <n v="7.0337376850000002"/>
    <n v="46.334234270000003"/>
  </r>
  <r>
    <x v="5"/>
    <x v="1"/>
    <x v="2"/>
    <x v="2"/>
    <x v="10"/>
    <n v="3.648666156"/>
    <n v="3.9631241899999998"/>
    <n v="0.225687582"/>
    <n v="3.4461018060000002"/>
  </r>
  <r>
    <x v="5"/>
    <x v="1"/>
    <x v="0"/>
    <x v="2"/>
    <x v="10"/>
    <n v="1.9507080919999999"/>
    <n v="2.1188286619999999"/>
    <n v="0.234026242"/>
    <n v="1.8424099089999999"/>
  </r>
  <r>
    <x v="5"/>
    <x v="3"/>
    <x v="3"/>
    <x v="2"/>
    <x v="10"/>
    <n v="2.6637058379999998"/>
    <n v="2.8932756770000001"/>
    <n v="1.637948E-3"/>
    <n v="2.663540936"/>
  </r>
  <r>
    <x v="5"/>
    <x v="3"/>
    <x v="0"/>
    <x v="2"/>
    <x v="11"/>
    <n v="1.994926918"/>
    <n v="2.1716483800000002"/>
    <n v="1.7067219999999999E-3"/>
    <n v="1.99479443"/>
  </r>
  <r>
    <x v="5"/>
    <x v="1"/>
    <x v="1"/>
    <x v="2"/>
    <x v="11"/>
    <n v="208.1991448"/>
    <n v="226.6425558"/>
    <n v="28.248574919999999"/>
    <n v="197.20341289999999"/>
  </r>
  <r>
    <x v="5"/>
    <x v="1"/>
    <x v="2"/>
    <x v="2"/>
    <x v="11"/>
    <n v="3.862718664"/>
    <n v="4.2048992629999997"/>
    <n v="0.308140215"/>
    <n v="3.6587148539999998"/>
  </r>
  <r>
    <x v="5"/>
    <x v="1"/>
    <x v="0"/>
    <x v="2"/>
    <x v="11"/>
    <n v="2.2106666540000002"/>
    <n v="2.406499513"/>
    <n v="0.30555441500000002"/>
    <n v="2.0939135430000002"/>
  </r>
  <r>
    <x v="5"/>
    <x v="1"/>
    <x v="3"/>
    <x v="2"/>
    <x v="11"/>
    <n v="63.711975809999998"/>
    <n v="69.355928669999997"/>
    <n v="9.8100751549999998"/>
    <n v="60.347121430000001"/>
  </r>
  <r>
    <x v="5"/>
    <x v="0"/>
    <x v="0"/>
    <x v="2"/>
    <x v="11"/>
    <n v="3.3596609E-2"/>
    <n v="3.6572779E-2"/>
    <n v="1.21141E-4"/>
    <n v="3.4151962000000001E-2"/>
  </r>
  <r>
    <x v="5"/>
    <x v="3"/>
    <x v="3"/>
    <x v="2"/>
    <x v="11"/>
    <n v="0.422355011"/>
    <n v="0.45976951199999999"/>
    <n v="3.35378E-4"/>
    <n v="0.42232696199999997"/>
  </r>
  <r>
    <x v="5"/>
    <x v="2"/>
    <x v="2"/>
    <x v="2"/>
    <x v="11"/>
    <n v="3.6559870879999998"/>
    <n v="3.9798542810000002"/>
    <n v="3.7078699999999999E-2"/>
    <n v="3.5767268699999999"/>
  </r>
  <r>
    <x v="5"/>
    <x v="0"/>
    <x v="2"/>
    <x v="2"/>
    <x v="11"/>
    <n v="2.7719764859999998"/>
    <n v="3.0175332180000001"/>
    <n v="4.0265058999999999E-2"/>
    <n v="2.8177973719999998"/>
  </r>
  <r>
    <x v="5"/>
    <x v="0"/>
    <x v="2"/>
    <x v="2"/>
    <x v="12"/>
    <n v="61.865892500000001"/>
    <n v="67.346309270000006"/>
    <n v="1.031484576"/>
    <n v="60.688642530000003"/>
  </r>
  <r>
    <x v="5"/>
    <x v="2"/>
    <x v="2"/>
    <x v="2"/>
    <x v="12"/>
    <n v="6.508315294"/>
    <n v="7.0848572120000002"/>
    <n v="7.9565186999999996E-2"/>
    <n v="6.8845931849999999"/>
  </r>
  <r>
    <x v="5"/>
    <x v="1"/>
    <x v="0"/>
    <x v="2"/>
    <x v="12"/>
    <n v="30.808797169999998"/>
    <n v="33.538007759999999"/>
    <n v="1.785531086"/>
    <n v="28.87514955"/>
  </r>
  <r>
    <x v="5"/>
    <x v="1"/>
    <x v="3"/>
    <x v="2"/>
    <x v="12"/>
    <n v="398.68916910000002"/>
    <n v="434.00722109999998"/>
    <n v="58.495686829999997"/>
    <n v="373.66630429999998"/>
  </r>
  <r>
    <x v="5"/>
    <x v="1"/>
    <x v="2"/>
    <x v="2"/>
    <x v="12"/>
    <n v="23.668046629999999"/>
    <n v="25.76469075"/>
    <n v="1.8312485730000001"/>
    <n v="22.182572789999998"/>
  </r>
  <r>
    <x v="5"/>
    <x v="0"/>
    <x v="3"/>
    <x v="2"/>
    <x v="12"/>
    <n v="3.4081468680000002"/>
    <n v="3.7100590279999999"/>
    <n v="0.108264861"/>
    <n v="3.343293026"/>
  </r>
  <r>
    <x v="5"/>
    <x v="3"/>
    <x v="3"/>
    <x v="2"/>
    <x v="12"/>
    <n v="9.4329861879999992"/>
    <n v="10.26861134"/>
    <n v="6.2860260000000001E-3"/>
    <n v="9.4323617160000008"/>
  </r>
  <r>
    <x v="5"/>
    <x v="2"/>
    <x v="0"/>
    <x v="2"/>
    <x v="12"/>
    <n v="0.583102444"/>
    <n v="0.63475682600000005"/>
    <n v="3.48513E-4"/>
    <n v="0.61681448000000005"/>
  </r>
  <r>
    <x v="5"/>
    <x v="1"/>
    <x v="1"/>
    <x v="2"/>
    <x v="12"/>
    <n v="976.10311950000005"/>
    <n v="1062.571635"/>
    <n v="151.98898940000001"/>
    <n v="914.84011499999997"/>
  </r>
  <r>
    <x v="5"/>
    <x v="0"/>
    <x v="0"/>
    <x v="2"/>
    <x v="12"/>
    <n v="1.123239066"/>
    <n v="1.2227416840000001"/>
    <n v="2.1368663E-2"/>
    <n v="1.1018648790000001"/>
  </r>
  <r>
    <x v="5"/>
    <x v="3"/>
    <x v="0"/>
    <x v="2"/>
    <x v="12"/>
    <n v="58.89040267"/>
    <n v="64.107234390000002"/>
    <n v="4.1813174000000002E-2"/>
    <n v="58.886504080000002"/>
  </r>
  <r>
    <x v="5"/>
    <x v="3"/>
    <x v="0"/>
    <x v="2"/>
    <x v="13"/>
    <n v="241.0957119"/>
    <n v="262.45327959999997"/>
    <n v="0.13954956900000001"/>
    <n v="239.24613740000001"/>
  </r>
  <r>
    <x v="5"/>
    <x v="1"/>
    <x v="1"/>
    <x v="2"/>
    <x v="13"/>
    <n v="1551.253858"/>
    <n v="1688.6723500000001"/>
    <n v="219.3856849"/>
    <n v="1431.6614830000001"/>
  </r>
  <r>
    <x v="5"/>
    <x v="1"/>
    <x v="2"/>
    <x v="2"/>
    <x v="13"/>
    <n v="65.463532709999996"/>
    <n v="71.262647990000005"/>
    <n v="3.3344888720000001"/>
    <n v="60.41668671"/>
  </r>
  <r>
    <x v="5"/>
    <x v="1"/>
    <x v="0"/>
    <x v="2"/>
    <x v="13"/>
    <n v="32.18279261"/>
    <n v="35.033719169999998"/>
    <n v="3.2087079709999999"/>
    <n v="29.701692189999999"/>
  </r>
  <r>
    <x v="5"/>
    <x v="1"/>
    <x v="3"/>
    <x v="2"/>
    <x v="13"/>
    <n v="744.76664129999995"/>
    <n v="810.74211539999999"/>
    <n v="137.38462490000001"/>
    <n v="687.34959709999998"/>
  </r>
  <r>
    <x v="5"/>
    <x v="0"/>
    <x v="2"/>
    <x v="2"/>
    <x v="13"/>
    <n v="61.783874040000001"/>
    <n v="67.257025170000006"/>
    <n v="1.173173166"/>
    <n v="57.45939954"/>
  </r>
  <r>
    <x v="5"/>
    <x v="0"/>
    <x v="3"/>
    <x v="2"/>
    <x v="13"/>
    <n v="5.4602426370000003"/>
    <n v="5.9439405860000001"/>
    <n v="0.171461163"/>
    <n v="5.0780607089999998"/>
  </r>
  <r>
    <x v="5"/>
    <x v="3"/>
    <x v="3"/>
    <x v="2"/>
    <x v="13"/>
    <n v="17.426757940000002"/>
    <n v="18.970514810000001"/>
    <n v="1.5954230999999999E-2"/>
    <n v="17.293067929999999"/>
  </r>
  <r>
    <x v="5"/>
    <x v="2"/>
    <x v="0"/>
    <x v="2"/>
    <x v="13"/>
    <n v="1.5845660109999999"/>
    <n v="1.7249354750000001"/>
    <n v="1.8545129999999999E-3"/>
    <n v="1.241514741"/>
  </r>
  <r>
    <x v="5"/>
    <x v="0"/>
    <x v="0"/>
    <x v="2"/>
    <x v="13"/>
    <n v="2.0692061050000001"/>
    <n v="2.2525076199999998"/>
    <n v="3.1891571000000001E-2"/>
    <n v="1.924374963"/>
  </r>
  <r>
    <x v="5"/>
    <x v="2"/>
    <x v="2"/>
    <x v="2"/>
    <x v="13"/>
    <n v="18.302264950000001"/>
    <n v="19.923578989999999"/>
    <n v="0.22659768699999999"/>
    <n v="14.339908579999999"/>
  </r>
  <r>
    <x v="5"/>
    <x v="1"/>
    <x v="1"/>
    <x v="2"/>
    <x v="14"/>
    <n v="58.367331710000002"/>
    <n v="63.537826959999997"/>
    <n v="9.3424831019999992"/>
    <n v="55.430647"/>
  </r>
  <r>
    <x v="5"/>
    <x v="1"/>
    <x v="2"/>
    <x v="2"/>
    <x v="14"/>
    <n v="1.5554706359999999"/>
    <n v="1.693262673"/>
    <n v="9.3948083000000002E-2"/>
    <n v="1.4772089319999999"/>
  </r>
  <r>
    <x v="5"/>
    <x v="1"/>
    <x v="0"/>
    <x v="2"/>
    <x v="14"/>
    <n v="0.58728573500000003"/>
    <n v="0.63931069500000004"/>
    <n v="7.9991047999999995E-2"/>
    <n v="0.55773713300000005"/>
  </r>
  <r>
    <x v="5"/>
    <x v="1"/>
    <x v="3"/>
    <x v="2"/>
    <x v="14"/>
    <n v="17.788090929999999"/>
    <n v="19.363856640000002"/>
    <n v="3.2468873679999999"/>
    <n v="16.89310373"/>
  </r>
  <r>
    <x v="5"/>
    <x v="0"/>
    <x v="2"/>
    <x v="2"/>
    <x v="14"/>
    <n v="1.972791126"/>
    <n v="2.1475516780000001"/>
    <n v="2.649E-2"/>
    <n v="1.8231740169999999"/>
  </r>
  <r>
    <x v="5"/>
    <x v="3"/>
    <x v="0"/>
    <x v="2"/>
    <x v="14"/>
    <n v="0.34947051800000001"/>
    <n v="0.38042851500000002"/>
    <n v="2.9435099999999999E-4"/>
    <n v="0.34943006599999998"/>
  </r>
  <r>
    <x v="5"/>
    <x v="2"/>
    <x v="2"/>
    <x v="2"/>
    <x v="14"/>
    <n v="1.876137078"/>
    <n v="2.0423354900000001"/>
    <n v="2.8495072E-2"/>
    <n v="1.738093036"/>
  </r>
  <r>
    <x v="5"/>
    <x v="3"/>
    <x v="3"/>
    <x v="2"/>
    <x v="14"/>
    <n v="7.0988097999999999E-2"/>
    <n v="7.7276609999999996E-2"/>
    <n v="6.0848899999999999E-5"/>
    <n v="7.0979880999999995E-2"/>
  </r>
  <r>
    <x v="5"/>
    <x v="2"/>
    <x v="0"/>
    <x v="2"/>
    <x v="14"/>
    <n v="0.58330631700000002"/>
    <n v="0.63497875800000003"/>
    <n v="8.9812799999999999E-4"/>
    <n v="0.54038729900000004"/>
  </r>
  <r>
    <x v="5"/>
    <x v="1"/>
    <x v="3"/>
    <x v="4"/>
    <x v="15"/>
    <n v="79.042592240000005"/>
    <n v="79.682216819999994"/>
    <n v="17.592606050000001"/>
    <n v="74.592878979999995"/>
  </r>
  <r>
    <x v="5"/>
    <x v="1"/>
    <x v="1"/>
    <x v="4"/>
    <x v="15"/>
    <n v="186.9549897"/>
    <n v="188.4678576"/>
    <n v="37.855366150000002"/>
    <n v="176.43033360000001"/>
  </r>
  <r>
    <x v="5"/>
    <x v="2"/>
    <x v="2"/>
    <x v="4"/>
    <x v="15"/>
    <n v="0.85536082499999999"/>
    <n v="0.86228253399999999"/>
    <n v="0.1331254"/>
    <n v="0.83086770799999998"/>
  </r>
  <r>
    <x v="5"/>
    <x v="3"/>
    <x v="0"/>
    <x v="4"/>
    <x v="15"/>
    <n v="10.53664964"/>
    <n v="10.621913790000001"/>
    <n v="9.7572000000000006E-3"/>
    <n v="8.8539603249999992"/>
  </r>
  <r>
    <x v="5"/>
    <x v="0"/>
    <x v="3"/>
    <x v="4"/>
    <x v="15"/>
    <n v="0.147270707"/>
    <n v="0.148462444"/>
    <n v="7.6773180999999996E-2"/>
    <n v="0.124146232"/>
  </r>
  <r>
    <x v="5"/>
    <x v="0"/>
    <x v="2"/>
    <x v="4"/>
    <x v="15"/>
    <n v="11.334274690000001"/>
    <n v="11.425993350000001"/>
    <n v="0.64876548899999997"/>
    <n v="9.5545647000000002"/>
  </r>
  <r>
    <x v="5"/>
    <x v="0"/>
    <x v="0"/>
    <x v="4"/>
    <x v="15"/>
    <n v="3.9104715999999998E-2"/>
    <n v="3.9421156999999998E-2"/>
    <n v="2.8003000000000001E-4"/>
    <n v="3.2964486000000001E-2"/>
  </r>
  <r>
    <x v="5"/>
    <x v="2"/>
    <x v="0"/>
    <x v="5"/>
    <x v="16"/>
    <n v="0.34394446499999998"/>
    <n v="0.38924719600000002"/>
    <n v="5.2444099999999995E-4"/>
    <n v="0.28692025399999999"/>
  </r>
  <r>
    <x v="5"/>
    <x v="3"/>
    <x v="3"/>
    <x v="5"/>
    <x v="16"/>
    <n v="7.777534E-3"/>
    <n v="8.8019540000000007E-3"/>
    <n v="4.2851899999999998E-4"/>
    <n v="7.069657E-3"/>
  </r>
  <r>
    <x v="5"/>
    <x v="0"/>
    <x v="0"/>
    <x v="5"/>
    <x v="16"/>
    <n v="8.2492511000000004E-2"/>
    <n v="9.3358033000000007E-2"/>
    <n v="7.8572799999999997E-4"/>
    <n v="7.5994221000000001E-2"/>
  </r>
  <r>
    <x v="5"/>
    <x v="2"/>
    <x v="2"/>
    <x v="5"/>
    <x v="16"/>
    <n v="0.37397466299999998"/>
    <n v="0.42323282800000001"/>
    <n v="6.7668590000000001E-3"/>
    <n v="0.31197160000000002"/>
  </r>
  <r>
    <x v="5"/>
    <x v="0"/>
    <x v="2"/>
    <x v="5"/>
    <x v="16"/>
    <n v="2.3827740130000001"/>
    <n v="2.6966216840000001"/>
    <n v="3.0344682000000001E-2"/>
    <n v="2.1950726540000001"/>
  </r>
  <r>
    <x v="5"/>
    <x v="1"/>
    <x v="3"/>
    <x v="5"/>
    <x v="16"/>
    <n v="19.103303950000001"/>
    <n v="21.619500370000001"/>
    <n v="5.1659120160000001"/>
    <n v="17.447412199999999"/>
  </r>
  <r>
    <x v="5"/>
    <x v="1"/>
    <x v="0"/>
    <x v="5"/>
    <x v="16"/>
    <n v="0.71034818700000002"/>
    <n v="0.80391187500000005"/>
    <n v="0.159921701"/>
    <n v="0.64877456099999997"/>
  </r>
  <r>
    <x v="5"/>
    <x v="1"/>
    <x v="2"/>
    <x v="5"/>
    <x v="16"/>
    <n v="1.593435589"/>
    <n v="1.803315354"/>
    <n v="0.19663551700000001"/>
    <n v="1.4553151440000001"/>
  </r>
  <r>
    <x v="5"/>
    <x v="1"/>
    <x v="1"/>
    <x v="5"/>
    <x v="16"/>
    <n v="69.793258969999997"/>
    <n v="78.986095430000006"/>
    <n v="13.85528017"/>
    <n v="63.743515860000002"/>
  </r>
  <r>
    <x v="5"/>
    <x v="0"/>
    <x v="3"/>
    <x v="5"/>
    <x v="16"/>
    <n v="4.9389065000000003E-2"/>
    <n v="5.5894357999999998E-2"/>
    <n v="8.9658999999999995E-4"/>
    <n v="4.5498476000000003E-2"/>
  </r>
  <r>
    <x v="5"/>
    <x v="3"/>
    <x v="0"/>
    <x v="5"/>
    <x v="16"/>
    <n v="6.0703937999999999E-2"/>
    <n v="6.8699573E-2"/>
    <n v="3.3520809999999998E-3"/>
    <n v="5.5178926000000003E-2"/>
  </r>
  <r>
    <x v="5"/>
    <x v="1"/>
    <x v="2"/>
    <x v="6"/>
    <x v="17"/>
    <n v="12.48765165"/>
    <n v="13.578679510000001"/>
    <n v="0.37476413600000003"/>
    <n v="11.56860592"/>
  </r>
  <r>
    <x v="5"/>
    <x v="1"/>
    <x v="3"/>
    <x v="6"/>
    <x v="17"/>
    <n v="263.76689750000003"/>
    <n v="286.8118255"/>
    <n v="56.632713430000003"/>
    <n v="244.35461340000001"/>
  </r>
  <r>
    <x v="5"/>
    <x v="2"/>
    <x v="2"/>
    <x v="6"/>
    <x v="17"/>
    <n v="13.10166351"/>
    <n v="14.24633669"/>
    <n v="0.23903160000000001"/>
    <n v="12.451533100000001"/>
  </r>
  <r>
    <x v="5"/>
    <x v="0"/>
    <x v="3"/>
    <x v="6"/>
    <x v="17"/>
    <n v="0.26697495500000001"/>
    <n v="0.29030016600000003"/>
    <n v="2.4592187000000001E-2"/>
    <n v="0.23108704299999999"/>
  </r>
  <r>
    <x v="5"/>
    <x v="1"/>
    <x v="1"/>
    <x v="6"/>
    <x v="17"/>
    <n v="601.96466039999996"/>
    <n v="654.55743219999999"/>
    <n v="104.7282601"/>
    <n v="557.66225129999998"/>
  </r>
  <r>
    <x v="5"/>
    <x v="0"/>
    <x v="0"/>
    <x v="6"/>
    <x v="17"/>
    <n v="1.9006723969999999"/>
    <n v="2.0667313639999998"/>
    <n v="3.0579919999999998E-3"/>
    <n v="1.6451759100000001"/>
  </r>
  <r>
    <x v="5"/>
    <x v="0"/>
    <x v="2"/>
    <x v="6"/>
    <x v="17"/>
    <n v="42.529003699999997"/>
    <n v="46.244700549999997"/>
    <n v="0.65635882099999998"/>
    <n v="36.81207371"/>
  </r>
  <r>
    <x v="5"/>
    <x v="0"/>
    <x v="2"/>
    <x v="6"/>
    <x v="18"/>
    <n v="13.77379331"/>
    <n v="17.63065769"/>
    <n v="0.16082197100000001"/>
    <n v="11.07579911"/>
  </r>
  <r>
    <x v="5"/>
    <x v="1"/>
    <x v="1"/>
    <x v="6"/>
    <x v="18"/>
    <n v="159.2966098"/>
    <n v="203.90199960000001"/>
    <n v="32.74751448"/>
    <n v="137.65678600000001"/>
  </r>
  <r>
    <x v="5"/>
    <x v="1"/>
    <x v="2"/>
    <x v="6"/>
    <x v="18"/>
    <n v="2.015771875"/>
    <n v="2.580217599"/>
    <n v="0.12157428300000001"/>
    <n v="1.74193712"/>
  </r>
  <r>
    <x v="5"/>
    <x v="1"/>
    <x v="3"/>
    <x v="6"/>
    <x v="18"/>
    <n v="44.630982889999999"/>
    <n v="57.12831345"/>
    <n v="11.07834794"/>
    <n v="38.568037760000003"/>
  </r>
  <r>
    <x v="5"/>
    <x v="2"/>
    <x v="2"/>
    <x v="6"/>
    <x v="18"/>
    <n v="1.2594649840000001"/>
    <n v="1.6121336740000001"/>
    <n v="5.1828600000000002E-2"/>
    <n v="0.70710080099999995"/>
  </r>
  <r>
    <x v="5"/>
    <x v="0"/>
    <x v="3"/>
    <x v="6"/>
    <x v="18"/>
    <n v="0.12505632699999999"/>
    <n v="0.160073935"/>
    <n v="1.6800157E-2"/>
    <n v="0.100560443"/>
  </r>
  <r>
    <x v="5"/>
    <x v="0"/>
    <x v="0"/>
    <x v="6"/>
    <x v="18"/>
    <n v="0.94440462300000005"/>
    <n v="1.2088517839999999"/>
    <n v="7.2347100000000005E-4"/>
    <n v="0.75941577199999999"/>
  </r>
  <r>
    <x v="5"/>
    <x v="3"/>
    <x v="0"/>
    <x v="6"/>
    <x v="18"/>
    <n v="0.95296816100000004"/>
    <n v="1.2198132399999999"/>
    <n v="1.4506E-3"/>
    <n v="0.76236658999999996"/>
  </r>
  <r>
    <x v="5"/>
    <x v="1"/>
    <x v="1"/>
    <x v="2"/>
    <x v="19"/>
    <n v="327.98849200000001"/>
    <n v="357.04349400000001"/>
    <n v="50.51773962"/>
    <n v="305.723073"/>
  </r>
  <r>
    <x v="5"/>
    <x v="2"/>
    <x v="2"/>
    <x v="2"/>
    <x v="19"/>
    <n v="7.1372141129999997"/>
    <n v="7.769467304"/>
    <n v="1.2517199999999999E-2"/>
    <n v="8.0328457390000008"/>
  </r>
  <r>
    <x v="5"/>
    <x v="1"/>
    <x v="2"/>
    <x v="2"/>
    <x v="19"/>
    <n v="4.3112701400000004"/>
    <n v="4.6931858640000002"/>
    <n v="0.42012593100000001"/>
    <n v="4.0186006150000004"/>
  </r>
  <r>
    <x v="5"/>
    <x v="1"/>
    <x v="3"/>
    <x v="2"/>
    <x v="19"/>
    <n v="90.196608690000005"/>
    <n v="98.186714170000002"/>
    <n v="14.53297201"/>
    <n v="84.073633849999993"/>
  </r>
  <r>
    <x v="5"/>
    <x v="1"/>
    <x v="0"/>
    <x v="2"/>
    <x v="19"/>
    <n v="3.2042767479999998"/>
    <n v="3.488128986"/>
    <n v="0.43823624100000003"/>
    <n v="2.9867552000000002"/>
  </r>
  <r>
    <x v="5"/>
    <x v="0"/>
    <x v="2"/>
    <x v="2"/>
    <x v="19"/>
    <n v="0.471986658"/>
    <n v="0.51379779999999997"/>
    <n v="5.0476999999999996E-3"/>
    <n v="0.42069552100000002"/>
  </r>
  <r>
    <x v="5"/>
    <x v="2"/>
    <x v="2"/>
    <x v="7"/>
    <x v="20"/>
    <n v="4.1781889000000003E-2"/>
    <n v="3.9590583999999998E-2"/>
    <n v="2.4924000000000001E-3"/>
    <n v="3.5911917000000002E-2"/>
  </r>
  <r>
    <x v="5"/>
    <x v="3"/>
    <x v="3"/>
    <x v="7"/>
    <x v="20"/>
    <n v="0.57361808199999997"/>
    <n v="0.54353394499999996"/>
    <n v="2.7029700000000002E-4"/>
    <n v="0.57337152400000002"/>
  </r>
  <r>
    <x v="5"/>
    <x v="1"/>
    <x v="1"/>
    <x v="7"/>
    <x v="20"/>
    <n v="232.0886342"/>
    <n v="219.91644740000001"/>
    <n v="37.129108279999997"/>
    <n v="215.28789850000001"/>
  </r>
  <r>
    <x v="5"/>
    <x v="3"/>
    <x v="0"/>
    <x v="7"/>
    <x v="20"/>
    <n v="5.8495266360000002"/>
    <n v="5.5427406939999999"/>
    <n v="2.786003E-3"/>
    <n v="5.8470123330000003"/>
  </r>
  <r>
    <x v="5"/>
    <x v="0"/>
    <x v="0"/>
    <x v="7"/>
    <x v="20"/>
    <n v="5.4786024000000003E-2"/>
    <n v="5.1912700999999999E-2"/>
    <n v="7.2656800000000003E-4"/>
    <n v="4.8477444000000001E-2"/>
  </r>
  <r>
    <x v="5"/>
    <x v="1"/>
    <x v="2"/>
    <x v="7"/>
    <x v="20"/>
    <n v="4.3336878639999998"/>
    <n v="4.1064020340000003"/>
    <n v="0.51057218900000001"/>
    <n v="4.0199751969999999"/>
  </r>
  <r>
    <x v="5"/>
    <x v="1"/>
    <x v="0"/>
    <x v="7"/>
    <x v="20"/>
    <n v="2.1612669859999998"/>
    <n v="2.0479165610000001"/>
    <n v="0.32429245600000001"/>
    <n v="2.004814364"/>
  </r>
  <r>
    <x v="5"/>
    <x v="1"/>
    <x v="3"/>
    <x v="7"/>
    <x v="20"/>
    <n v="62.041343869999999"/>
    <n v="58.787505850000002"/>
    <n v="11.90586568"/>
    <n v="57.550213900000003"/>
  </r>
  <r>
    <x v="5"/>
    <x v="0"/>
    <x v="2"/>
    <x v="7"/>
    <x v="20"/>
    <n v="1.1588755639999999"/>
    <n v="1.0980968449999999"/>
    <n v="2.7138020999999998E-2"/>
    <n v="1.0254316800000001"/>
  </r>
  <r>
    <x v="5"/>
    <x v="0"/>
    <x v="3"/>
    <x v="7"/>
    <x v="20"/>
    <n v="2.2908702999999999E-2"/>
    <n v="2.1707226E-2"/>
    <n v="1.3171100000000001E-4"/>
    <n v="2.0270778E-2"/>
  </r>
  <r>
    <x v="5"/>
    <x v="0"/>
    <x v="2"/>
    <x v="2"/>
    <x v="21"/>
    <n v="23.47068251"/>
    <n v="25.54984305"/>
    <n v="0.32017290199999998"/>
    <n v="19.46916517"/>
  </r>
  <r>
    <x v="5"/>
    <x v="3"/>
    <x v="3"/>
    <x v="2"/>
    <x v="21"/>
    <n v="7.478780671"/>
    <n v="8.1412916820000003"/>
    <n v="4.6277790000000003E-3"/>
    <n v="7.4782822060000003"/>
  </r>
  <r>
    <x v="5"/>
    <x v="1"/>
    <x v="1"/>
    <x v="2"/>
    <x v="21"/>
    <n v="509.99678920000002"/>
    <n v="555.17507479999995"/>
    <n v="82.342885789999997"/>
    <n v="471.69417520000002"/>
  </r>
  <r>
    <x v="5"/>
    <x v="1"/>
    <x v="2"/>
    <x v="2"/>
    <x v="21"/>
    <n v="16.877232580000001"/>
    <n v="18.372309510000001"/>
    <n v="1.111769878"/>
    <n v="15.60969102"/>
  </r>
  <r>
    <x v="5"/>
    <x v="1"/>
    <x v="0"/>
    <x v="2"/>
    <x v="21"/>
    <n v="16.01986608"/>
    <n v="17.43899283"/>
    <n v="1.663991088"/>
    <n v="14.81671586"/>
  </r>
  <r>
    <x v="5"/>
    <x v="1"/>
    <x v="3"/>
    <x v="2"/>
    <x v="21"/>
    <n v="168.58264790000001"/>
    <n v="183.51661440000001"/>
    <n v="28.361508539999999"/>
    <n v="155.92147779999999"/>
  </r>
  <r>
    <x v="5"/>
    <x v="0"/>
    <x v="0"/>
    <x v="2"/>
    <x v="21"/>
    <n v="1.07719615"/>
    <n v="1.1726200360000001"/>
    <n v="1.391745E-2"/>
    <n v="0.89354494699999998"/>
  </r>
  <r>
    <x v="5"/>
    <x v="0"/>
    <x v="3"/>
    <x v="2"/>
    <x v="21"/>
    <n v="5.2521470749999999"/>
    <n v="5.7174107889999997"/>
    <n v="0.110284349"/>
    <n v="4.3567083679999996"/>
  </r>
  <r>
    <x v="5"/>
    <x v="2"/>
    <x v="0"/>
    <x v="2"/>
    <x v="21"/>
    <n v="0.58528774800000005"/>
    <n v="0.63713571499999999"/>
    <n v="2.2112910000000002E-3"/>
    <n v="0.55605845600000003"/>
  </r>
  <r>
    <x v="5"/>
    <x v="3"/>
    <x v="0"/>
    <x v="2"/>
    <x v="21"/>
    <n v="48.152913329999997"/>
    <n v="52.41855992"/>
    <n v="3.0620121E-2"/>
    <n v="48.149703909999999"/>
  </r>
  <r>
    <x v="5"/>
    <x v="2"/>
    <x v="2"/>
    <x v="2"/>
    <x v="21"/>
    <n v="10.12928035"/>
    <n v="11.026587019999999"/>
    <n v="3.9148508999999998E-2"/>
    <n v="9.6234237090000008"/>
  </r>
  <r>
    <x v="5"/>
    <x v="1"/>
    <x v="0"/>
    <x v="8"/>
    <x v="22"/>
    <n v="17.74809222"/>
    <n v="20.167328609999998"/>
    <n v="0.27091680699999998"/>
    <n v="16.053001330000001"/>
  </r>
  <r>
    <x v="5"/>
    <x v="1"/>
    <x v="2"/>
    <x v="8"/>
    <x v="22"/>
    <n v="47.499229470000003"/>
    <n v="53.973833210000002"/>
    <n v="3.1570481880000001"/>
    <n v="42.962656750000001"/>
  </r>
  <r>
    <x v="5"/>
    <x v="1"/>
    <x v="1"/>
    <x v="8"/>
    <x v="22"/>
    <n v="2174.910723"/>
    <n v="2471.372061"/>
    <n v="342.77248300000002"/>
    <n v="1967.1886030000001"/>
  </r>
  <r>
    <x v="5"/>
    <x v="0"/>
    <x v="3"/>
    <x v="8"/>
    <x v="22"/>
    <n v="22.14578101"/>
    <n v="25.164464850000002"/>
    <n v="0.31309322499999998"/>
    <n v="19.835932110000002"/>
  </r>
  <r>
    <x v="5"/>
    <x v="2"/>
    <x v="2"/>
    <x v="8"/>
    <x v="22"/>
    <n v="50.299447790000002"/>
    <n v="57.155748340000002"/>
    <n v="0.575353424"/>
    <n v="48.602891769999999"/>
  </r>
  <r>
    <x v="5"/>
    <x v="3"/>
    <x v="2"/>
    <x v="8"/>
    <x v="22"/>
    <n v="55.280290030000003"/>
    <n v="62.81552748"/>
    <n v="0.17010087500000001"/>
    <n v="45.65822764"/>
  </r>
  <r>
    <x v="5"/>
    <x v="1"/>
    <x v="3"/>
    <x v="8"/>
    <x v="22"/>
    <n v="859.7052764"/>
    <n v="976.89140889999999"/>
    <n v="125.4393573"/>
    <n v="777.5962495"/>
  </r>
  <r>
    <x v="5"/>
    <x v="2"/>
    <x v="0"/>
    <x v="8"/>
    <x v="22"/>
    <n v="12.722305889999999"/>
    <n v="14.456479059999999"/>
    <n v="1.5151776E-2"/>
    <n v="12.29319373"/>
  </r>
  <r>
    <x v="5"/>
    <x v="3"/>
    <x v="3"/>
    <x v="8"/>
    <x v="22"/>
    <n v="28.040726830000001"/>
    <n v="31.862948719999999"/>
    <n v="1.025406E-3"/>
    <n v="23.15997054"/>
  </r>
  <r>
    <x v="5"/>
    <x v="0"/>
    <x v="2"/>
    <x v="8"/>
    <x v="22"/>
    <n v="171.3661626"/>
    <n v="194.72502560000001"/>
    <n v="3.2698217490000001"/>
    <n v="153.49233179999999"/>
  </r>
  <r>
    <x v="5"/>
    <x v="0"/>
    <x v="0"/>
    <x v="8"/>
    <x v="22"/>
    <n v="13.094132419999999"/>
    <n v="14.87898914"/>
    <n v="0.21723262600000001"/>
    <n v="11.728388430000001"/>
  </r>
  <r>
    <x v="5"/>
    <x v="3"/>
    <x v="0"/>
    <x v="8"/>
    <x v="22"/>
    <n v="362.5265397"/>
    <n v="411.9424085"/>
    <n v="7.7376190000000003E-3"/>
    <n v="299.4253334"/>
  </r>
  <r>
    <x v="5"/>
    <x v="0"/>
    <x v="2"/>
    <x v="6"/>
    <x v="23"/>
    <n v="12.17396667"/>
    <n v="15.278972189999999"/>
    <n v="0.15036180499999999"/>
    <n v="9.5842783469999997"/>
  </r>
  <r>
    <x v="5"/>
    <x v="1"/>
    <x v="3"/>
    <x v="6"/>
    <x v="23"/>
    <n v="52.917072169999997"/>
    <n v="66.413724979999998"/>
    <n v="11.163348409999999"/>
    <n v="47.282175049999999"/>
  </r>
  <r>
    <x v="5"/>
    <x v="1"/>
    <x v="2"/>
    <x v="6"/>
    <x v="23"/>
    <n v="2.448062959"/>
    <n v="3.07244852"/>
    <n v="8.1988111000000002E-2"/>
    <n v="2.1873799250000001"/>
  </r>
  <r>
    <x v="5"/>
    <x v="3"/>
    <x v="0"/>
    <x v="6"/>
    <x v="23"/>
    <n v="2.793474405"/>
    <n v="3.5059581579999999"/>
    <n v="2.6451000000000001E-3"/>
    <n v="2.793474405"/>
  </r>
  <r>
    <x v="5"/>
    <x v="2"/>
    <x v="2"/>
    <x v="6"/>
    <x v="23"/>
    <n v="0.107563504"/>
    <n v="0.13499788700000001"/>
    <n v="4.8079000000000004E-3"/>
    <n v="6.9528835999999997E-2"/>
  </r>
  <r>
    <x v="5"/>
    <x v="1"/>
    <x v="1"/>
    <x v="6"/>
    <x v="23"/>
    <n v="129.6268307"/>
    <n v="162.68852999999999"/>
    <n v="20.33392328"/>
    <n v="115.82346200000001"/>
  </r>
  <r>
    <x v="5"/>
    <x v="0"/>
    <x v="3"/>
    <x v="6"/>
    <x v="23"/>
    <n v="0.132237572"/>
    <n v="0.16596514800000001"/>
    <n v="1.4428595000000001E-2"/>
    <n v="0.104107538"/>
  </r>
  <r>
    <x v="5"/>
    <x v="2"/>
    <x v="2"/>
    <x v="0"/>
    <x v="24"/>
    <n v="2.3981857400000002"/>
    <n v="3.5530373599999998"/>
    <n v="6.8959099999999995E-2"/>
    <n v="2.3288739710000002"/>
  </r>
  <r>
    <x v="5"/>
    <x v="3"/>
    <x v="3"/>
    <x v="0"/>
    <x v="24"/>
    <n v="1.672225474"/>
    <n v="2.4774893310000001"/>
    <n v="1.1522049999999999E-3"/>
    <n v="1.6330330120000001"/>
  </r>
  <r>
    <x v="5"/>
    <x v="3"/>
    <x v="0"/>
    <x v="0"/>
    <x v="24"/>
    <n v="16.644674869999999"/>
    <n v="24.659954679999998"/>
    <n v="1.1947694999999999E-2"/>
    <n v="16.254568509999999"/>
  </r>
  <r>
    <x v="5"/>
    <x v="0"/>
    <x v="3"/>
    <x v="0"/>
    <x v="24"/>
    <n v="0.18929374700000001"/>
    <n v="0.28044856699999998"/>
    <n v="1.08518E-3"/>
    <n v="0.180582034"/>
  </r>
  <r>
    <x v="5"/>
    <x v="0"/>
    <x v="0"/>
    <x v="0"/>
    <x v="24"/>
    <n v="0.608870248"/>
    <n v="0.90207305599999998"/>
    <n v="1.2844104E-2"/>
    <n v="0.58084870700000002"/>
  </r>
  <r>
    <x v="5"/>
    <x v="0"/>
    <x v="2"/>
    <x v="0"/>
    <x v="24"/>
    <n v="25.426888080000001"/>
    <n v="37.671261999999999"/>
    <n v="0.63014671600000005"/>
    <n v="24.25668705"/>
  </r>
  <r>
    <x v="5"/>
    <x v="1"/>
    <x v="3"/>
    <x v="0"/>
    <x v="24"/>
    <n v="59.738698409999998"/>
    <n v="88.506000090000001"/>
    <n v="14.64615659"/>
    <n v="56.440144480000001"/>
  </r>
  <r>
    <x v="5"/>
    <x v="1"/>
    <x v="2"/>
    <x v="0"/>
    <x v="24"/>
    <n v="6.9244816399999998"/>
    <n v="10.258981009999999"/>
    <n v="0.75297255600000002"/>
    <n v="6.5421369159999996"/>
  </r>
  <r>
    <x v="5"/>
    <x v="1"/>
    <x v="1"/>
    <x v="0"/>
    <x v="24"/>
    <n v="139.46988859999999"/>
    <n v="206.63192029999999"/>
    <n v="36.202737149999997"/>
    <n v="131.7688679"/>
  </r>
  <r>
    <x v="5"/>
    <x v="0"/>
    <x v="0"/>
    <x v="2"/>
    <x v="25"/>
    <n v="0.23715025100000001"/>
    <n v="0.258158308"/>
    <n v="2.2536959999999999E-3"/>
    <n v="0.22033608700000001"/>
  </r>
  <r>
    <x v="5"/>
    <x v="0"/>
    <x v="3"/>
    <x v="2"/>
    <x v="25"/>
    <n v="1.6667733000000001E-2"/>
    <n v="1.8144252E-2"/>
    <n v="3.39816E-4"/>
    <n v="1.5485976E-2"/>
  </r>
  <r>
    <x v="5"/>
    <x v="3"/>
    <x v="0"/>
    <x v="2"/>
    <x v="25"/>
    <n v="19.63085843"/>
    <n v="21.36986649"/>
    <n v="1.2455915E-2"/>
    <n v="19.6295313"/>
  </r>
  <r>
    <x v="5"/>
    <x v="3"/>
    <x v="3"/>
    <x v="2"/>
    <x v="25"/>
    <n v="1.949211647"/>
    <n v="2.1218834019999999"/>
    <n v="1.2170849999999999E-3"/>
    <n v="1.949079872"/>
  </r>
  <r>
    <x v="5"/>
    <x v="2"/>
    <x v="2"/>
    <x v="2"/>
    <x v="25"/>
    <n v="1.2854481"/>
    <n v="1.3993200750000001"/>
    <n v="5.4741679999999997E-3"/>
    <n v="1.174573131"/>
  </r>
  <r>
    <x v="5"/>
    <x v="1"/>
    <x v="3"/>
    <x v="2"/>
    <x v="25"/>
    <n v="200.74930470000001"/>
    <n v="218.5327685"/>
    <n v="33.427484200000002"/>
    <n v="190.5252265"/>
  </r>
  <r>
    <x v="5"/>
    <x v="1"/>
    <x v="0"/>
    <x v="2"/>
    <x v="25"/>
    <n v="6.5540820310000001"/>
    <n v="7.134678214"/>
    <n v="0.81711181600000005"/>
    <n v="6.220285369"/>
  </r>
  <r>
    <x v="5"/>
    <x v="1"/>
    <x v="2"/>
    <x v="2"/>
    <x v="25"/>
    <n v="14.742763269999999"/>
    <n v="16.048757309999999"/>
    <n v="1.07790341"/>
    <n v="13.99192049"/>
  </r>
  <r>
    <x v="5"/>
    <x v="0"/>
    <x v="2"/>
    <x v="2"/>
    <x v="25"/>
    <n v="8.6415642310000003"/>
    <n v="9.4070809250000007"/>
    <n v="0.10506438799999999"/>
    <n v="8.0288696379999998"/>
  </r>
  <r>
    <x v="5"/>
    <x v="1"/>
    <x v="1"/>
    <x v="2"/>
    <x v="25"/>
    <n v="671.05438249999997"/>
    <n v="730.50002440000003"/>
    <n v="99.794604770000007"/>
    <n v="636.87786300000005"/>
  </r>
  <r>
    <x v="5"/>
    <x v="2"/>
    <x v="0"/>
    <x v="2"/>
    <x v="25"/>
    <n v="5.1393536930000003"/>
    <n v="5.5946255569999996"/>
    <n v="3.6570320000000002E-3"/>
    <n v="4.6960641619999999"/>
  </r>
  <r>
    <x v="5"/>
    <x v="1"/>
    <x v="2"/>
    <x v="1"/>
    <x v="26"/>
    <n v="0.53858985299999995"/>
    <n v="0.60797592300000003"/>
    <n v="3.0000580999999998E-2"/>
    <n v="0.46846712299999999"/>
  </r>
  <r>
    <x v="5"/>
    <x v="1"/>
    <x v="1"/>
    <x v="1"/>
    <x v="26"/>
    <n v="42.143373359999998"/>
    <n v="47.57266808"/>
    <n v="7.0023266419999999"/>
    <n v="36.656436669999998"/>
  </r>
  <r>
    <x v="5"/>
    <x v="0"/>
    <x v="0"/>
    <x v="1"/>
    <x v="26"/>
    <n v="2.3603306000000001E-2"/>
    <n v="2.66441E-2"/>
    <n v="1.66572E-4"/>
    <n v="2.1060478000000001E-2"/>
  </r>
  <r>
    <x v="5"/>
    <x v="0"/>
    <x v="2"/>
    <x v="1"/>
    <x v="26"/>
    <n v="0.69172195999999997"/>
    <n v="0.78083590800000002"/>
    <n v="6.0973131999999999E-2"/>
    <n v="0.61720144200000004"/>
  </r>
  <r>
    <x v="5"/>
    <x v="3"/>
    <x v="0"/>
    <x v="1"/>
    <x v="26"/>
    <n v="3.0224649999999998E-3"/>
    <n v="3.4118460000000001E-3"/>
    <n v="5.5110000000000001E-4"/>
    <n v="2.7125650000000001E-3"/>
  </r>
  <r>
    <x v="5"/>
    <x v="2"/>
    <x v="2"/>
    <x v="1"/>
    <x v="26"/>
    <n v="4.3950146000000002E-2"/>
    <n v="4.9612205999999999E-2"/>
    <n v="4.8684000000000002E-3"/>
    <n v="3.3432684999999997E-2"/>
  </r>
  <r>
    <x v="5"/>
    <x v="1"/>
    <x v="3"/>
    <x v="1"/>
    <x v="26"/>
    <n v="11.39769117"/>
    <n v="12.86604597"/>
    <n v="2.2329511759999998"/>
    <n v="9.9137470810000003"/>
  </r>
  <r>
    <x v="5"/>
    <x v="0"/>
    <x v="3"/>
    <x v="1"/>
    <x v="26"/>
    <n v="9.2348629999999994E-3"/>
    <n v="1.0424582999999999E-2"/>
    <n v="9.2097959999999993E-3"/>
    <n v="8.2399740000000006E-3"/>
  </r>
  <r>
    <x v="5"/>
    <x v="2"/>
    <x v="0"/>
    <x v="2"/>
    <x v="27"/>
    <n v="0.174091407"/>
    <n v="0.23414564900000001"/>
    <n v="6.1399899999999995E-4"/>
    <n v="0.154084577"/>
  </r>
  <r>
    <x v="5"/>
    <x v="3"/>
    <x v="0"/>
    <x v="2"/>
    <x v="27"/>
    <n v="2.2918432279999998"/>
    <n v="3.0824331360000001"/>
    <n v="1.793677E-3"/>
    <n v="2.2917308529999998"/>
  </r>
  <r>
    <x v="5"/>
    <x v="0"/>
    <x v="2"/>
    <x v="2"/>
    <x v="27"/>
    <n v="2.771904084"/>
    <n v="3.7280948760000001"/>
    <n v="2.2616684000000001E-2"/>
    <n v="2.7713093010000001"/>
  </r>
  <r>
    <x v="5"/>
    <x v="1"/>
    <x v="3"/>
    <x v="2"/>
    <x v="27"/>
    <n v="29.91552905"/>
    <n v="40.235133400000002"/>
    <n v="5.4607239520000004"/>
    <n v="28.482152620000001"/>
  </r>
  <r>
    <x v="5"/>
    <x v="1"/>
    <x v="0"/>
    <x v="2"/>
    <x v="27"/>
    <n v="1.1282310950000001"/>
    <n v="1.517423561"/>
    <n v="0.17777337700000001"/>
    <n v="1.074172889"/>
  </r>
  <r>
    <x v="5"/>
    <x v="1"/>
    <x v="2"/>
    <x v="2"/>
    <x v="27"/>
    <n v="1.47569507"/>
    <n v="1.984748052"/>
    <n v="0.17599392899999999"/>
    <n v="1.404988431"/>
  </r>
  <r>
    <x v="5"/>
    <x v="1"/>
    <x v="1"/>
    <x v="2"/>
    <x v="27"/>
    <n v="102.42618299999999"/>
    <n v="137.75892540000001"/>
    <n v="15.891855339999999"/>
    <n v="97.518521939999999"/>
  </r>
  <r>
    <x v="5"/>
    <x v="3"/>
    <x v="3"/>
    <x v="2"/>
    <x v="27"/>
    <n v="0.203393456"/>
    <n v="0.27355567800000002"/>
    <n v="1.5962300000000001E-4"/>
    <n v="0.203383483"/>
  </r>
  <r>
    <x v="5"/>
    <x v="2"/>
    <x v="2"/>
    <x v="2"/>
    <x v="27"/>
    <n v="5.0358401490000002"/>
    <n v="6.7729940480000002"/>
    <n v="6.6906901000000005E-2"/>
    <n v="4.4571142960000003"/>
  </r>
  <r>
    <x v="5"/>
    <x v="0"/>
    <x v="0"/>
    <x v="2"/>
    <x v="27"/>
    <n v="7.4293049999999999E-2"/>
    <n v="9.9921040000000003E-2"/>
    <n v="4.55616E-4"/>
    <n v="7.4277108999999994E-2"/>
  </r>
  <r>
    <x v="5"/>
    <x v="2"/>
    <x v="0"/>
    <x v="5"/>
    <x v="28"/>
    <n v="2.7008059389999999"/>
    <n v="2.9102544529999999"/>
    <n v="1.7552100000000001E-3"/>
    <n v="2.0695481689999999"/>
  </r>
  <r>
    <x v="5"/>
    <x v="3"/>
    <x v="0"/>
    <x v="5"/>
    <x v="28"/>
    <n v="4.8933762349999999"/>
    <n v="5.2728593979999996"/>
    <n v="3.5691529999999998E-3"/>
    <n v="4.8933762349999999"/>
  </r>
  <r>
    <x v="5"/>
    <x v="2"/>
    <x v="2"/>
    <x v="5"/>
    <x v="28"/>
    <n v="6.1522118529999998"/>
    <n v="6.6293181910000003"/>
    <n v="1.3817690000000001E-2"/>
    <n v="4.7142590269999998"/>
  </r>
  <r>
    <x v="5"/>
    <x v="3"/>
    <x v="3"/>
    <x v="5"/>
    <x v="28"/>
    <n v="0.84349928900000004"/>
    <n v="0.90891297599999998"/>
    <n v="6.0524699999999995E-4"/>
    <n v="0.84349928900000004"/>
  </r>
  <r>
    <x v="5"/>
    <x v="0"/>
    <x v="3"/>
    <x v="5"/>
    <x v="28"/>
    <n v="0.26162123700000001"/>
    <n v="0.28191006299999999"/>
    <n v="4.1570369999999997E-3"/>
    <n v="0.241419099"/>
  </r>
  <r>
    <x v="5"/>
    <x v="0"/>
    <x v="2"/>
    <x v="5"/>
    <x v="28"/>
    <n v="8.5768183400000009"/>
    <n v="9.2419538209999992"/>
    <n v="0.101346308"/>
    <n v="7.9145247559999996"/>
  </r>
  <r>
    <x v="5"/>
    <x v="1"/>
    <x v="3"/>
    <x v="5"/>
    <x v="28"/>
    <n v="57.416147860000002"/>
    <n v="61.86879167"/>
    <n v="15.09638112"/>
    <n v="52.907186549999999"/>
  </r>
  <r>
    <x v="5"/>
    <x v="1"/>
    <x v="0"/>
    <x v="5"/>
    <x v="28"/>
    <n v="3.1786589699999999"/>
    <n v="3.4251651660000002"/>
    <n v="0.59685097099999995"/>
    <n v="2.929034938"/>
  </r>
  <r>
    <x v="5"/>
    <x v="1"/>
    <x v="2"/>
    <x v="5"/>
    <x v="28"/>
    <n v="4.6831190789999999"/>
    <n v="5.046296721"/>
    <n v="0.56980759000000003"/>
    <n v="4.3153479280000004"/>
  </r>
  <r>
    <x v="5"/>
    <x v="1"/>
    <x v="1"/>
    <x v="5"/>
    <x v="28"/>
    <n v="203.86179430000001"/>
    <n v="219.67135289999999"/>
    <n v="38.611268019999997"/>
    <n v="187.85227470000001"/>
  </r>
  <r>
    <x v="5"/>
    <x v="0"/>
    <x v="0"/>
    <x v="5"/>
    <x v="28"/>
    <n v="0.494954746"/>
    <n v="0.53333867300000004"/>
    <n v="5.0971560000000003E-3"/>
    <n v="0.45673482100000001"/>
  </r>
  <r>
    <x v="5"/>
    <x v="2"/>
    <x v="0"/>
    <x v="2"/>
    <x v="29"/>
    <n v="5.2416447999999997E-2"/>
    <n v="5.7059782000000003E-2"/>
    <n v="1.7598570000000001E-3"/>
    <n v="5.0159328000000003E-2"/>
  </r>
  <r>
    <x v="5"/>
    <x v="2"/>
    <x v="2"/>
    <x v="2"/>
    <x v="29"/>
    <n v="0.27157033400000002"/>
    <n v="0.29562750900000001"/>
    <n v="9.8502429999999998E-3"/>
    <n v="0.25987616299999999"/>
  </r>
  <r>
    <x v="5"/>
    <x v="1"/>
    <x v="1"/>
    <x v="2"/>
    <x v="29"/>
    <n v="57.762352800000002"/>
    <n v="62.879255729999997"/>
    <n v="10.403940090000001"/>
    <n v="55.05680461"/>
  </r>
  <r>
    <x v="5"/>
    <x v="1"/>
    <x v="2"/>
    <x v="2"/>
    <x v="29"/>
    <n v="1.6602423479999999"/>
    <n v="1.807315633"/>
    <n v="0.116719581"/>
    <n v="1.582477758"/>
  </r>
  <r>
    <x v="5"/>
    <x v="1"/>
    <x v="0"/>
    <x v="2"/>
    <x v="29"/>
    <n v="0.61150476799999998"/>
    <n v="0.665675181"/>
    <n v="0.18078868000000001"/>
    <n v="0.58286231200000005"/>
  </r>
  <r>
    <x v="5"/>
    <x v="1"/>
    <x v="3"/>
    <x v="2"/>
    <x v="29"/>
    <n v="17.935232249999999"/>
    <n v="19.524032529999999"/>
    <n v="3.4415957530000001"/>
    <n v="17.095158519999998"/>
  </r>
  <r>
    <x v="5"/>
    <x v="0"/>
    <x v="2"/>
    <x v="2"/>
    <x v="29"/>
    <n v="1.2793703400000001"/>
    <n v="1.3927039139999999"/>
    <n v="1.6485354000000001E-2"/>
    <n v="1.2401463530000001"/>
  </r>
  <r>
    <x v="5"/>
    <x v="0"/>
    <x v="0"/>
    <x v="2"/>
    <x v="29"/>
    <n v="1.2756925000000001E-2"/>
    <n v="1.3887003E-2"/>
    <n v="3.5545600000000001E-5"/>
    <n v="1.2365813E-2"/>
  </r>
  <r>
    <x v="5"/>
    <x v="1"/>
    <x v="0"/>
    <x v="5"/>
    <x v="30"/>
    <n v="5.3752402100000003"/>
    <n v="5.8514081820000001"/>
    <n v="1.035080789"/>
    <n v="4.9156313970000003"/>
  </r>
  <r>
    <x v="5"/>
    <x v="1"/>
    <x v="3"/>
    <x v="5"/>
    <x v="30"/>
    <n v="119.7266503"/>
    <n v="130.33268720000001"/>
    <n v="36.637971329999999"/>
    <n v="109.48944760000001"/>
  </r>
  <r>
    <x v="5"/>
    <x v="0"/>
    <x v="2"/>
    <x v="5"/>
    <x v="30"/>
    <n v="8.8918801989999992"/>
    <n v="9.6795712409999997"/>
    <n v="0.11199439899999999"/>
    <n v="8.2208657830000007"/>
  </r>
  <r>
    <x v="5"/>
    <x v="0"/>
    <x v="0"/>
    <x v="5"/>
    <x v="30"/>
    <n v="0.63570775300000004"/>
    <n v="0.69202219799999998"/>
    <n v="6.0474350000000003E-3"/>
    <n v="0.58773487700000004"/>
  </r>
  <r>
    <x v="5"/>
    <x v="2"/>
    <x v="2"/>
    <x v="5"/>
    <x v="30"/>
    <n v="1.9570302639999999"/>
    <n v="2.130394634"/>
    <n v="9.2581043000000002E-2"/>
    <n v="2.2670390610000002"/>
  </r>
  <r>
    <x v="5"/>
    <x v="3"/>
    <x v="3"/>
    <x v="5"/>
    <x v="30"/>
    <n v="0.168519063"/>
    <n v="0.18344739700000001"/>
    <n v="1.3411900000000001E-4"/>
    <n v="0.168519063"/>
  </r>
  <r>
    <x v="5"/>
    <x v="3"/>
    <x v="0"/>
    <x v="5"/>
    <x v="30"/>
    <n v="3.508495946"/>
    <n v="3.819297572"/>
    <n v="2.7800809999999998E-3"/>
    <n v="3.508495946"/>
  </r>
  <r>
    <x v="5"/>
    <x v="1"/>
    <x v="1"/>
    <x v="5"/>
    <x v="30"/>
    <n v="384.76256840000002"/>
    <n v="418.8469265"/>
    <n v="78.035665980000005"/>
    <n v="351.8635238"/>
  </r>
  <r>
    <x v="5"/>
    <x v="0"/>
    <x v="3"/>
    <x v="5"/>
    <x v="30"/>
    <n v="0.469986073"/>
    <n v="0.51161999199999997"/>
    <n v="6.5713660000000004E-3"/>
    <n v="0.43451917299999998"/>
  </r>
  <r>
    <x v="5"/>
    <x v="1"/>
    <x v="2"/>
    <x v="5"/>
    <x v="30"/>
    <n v="8.9511661250000003"/>
    <n v="9.7441090359999993"/>
    <n v="1.1030852019999999"/>
    <n v="8.1857984990000006"/>
  </r>
  <r>
    <x v="5"/>
    <x v="2"/>
    <x v="0"/>
    <x v="5"/>
    <x v="30"/>
    <n v="8.0453450000000006E-3"/>
    <n v="8.7580450000000008E-3"/>
    <n v="6.1705699999999996E-4"/>
    <n v="9.3197899999999997E-3"/>
  </r>
  <r>
    <x v="5"/>
    <x v="1"/>
    <x v="1"/>
    <x v="6"/>
    <x v="31"/>
    <n v="268.40901559999998"/>
    <n v="268.40901559999998"/>
    <n v="55.027068149999998"/>
    <n v="242.98470599999999"/>
  </r>
  <r>
    <x v="5"/>
    <x v="2"/>
    <x v="2"/>
    <x v="6"/>
    <x v="31"/>
    <n v="2.0533248469999998"/>
    <n v="2.0533248469999998"/>
    <n v="9.3686400000000003E-2"/>
    <n v="1.788794051"/>
  </r>
  <r>
    <x v="5"/>
    <x v="0"/>
    <x v="2"/>
    <x v="6"/>
    <x v="31"/>
    <n v="23.574913859999999"/>
    <n v="23.574913859999999"/>
    <n v="0.207126479"/>
    <n v="20.219893339999999"/>
  </r>
  <r>
    <x v="5"/>
    <x v="1"/>
    <x v="3"/>
    <x v="6"/>
    <x v="31"/>
    <n v="80.734605419999994"/>
    <n v="80.734605419999994"/>
    <n v="18.02392613"/>
    <n v="73.087240820000005"/>
  </r>
  <r>
    <x v="5"/>
    <x v="1"/>
    <x v="2"/>
    <x v="6"/>
    <x v="31"/>
    <n v="3.0398065829999998"/>
    <n v="3.0398065829999998"/>
    <n v="0.17481802499999999"/>
    <n v="2.7518692219999998"/>
  </r>
  <r>
    <x v="5"/>
    <x v="0"/>
    <x v="0"/>
    <x v="6"/>
    <x v="31"/>
    <n v="2.10474469"/>
    <n v="2.10474469"/>
    <n v="1.494984E-3"/>
    <n v="1.80521182"/>
  </r>
  <r>
    <x v="5"/>
    <x v="0"/>
    <x v="3"/>
    <x v="6"/>
    <x v="31"/>
    <n v="0.20782916700000001"/>
    <n v="0.20782916700000001"/>
    <n v="9.0737360000000006E-3"/>
    <n v="0.17825234100000001"/>
  </r>
  <r>
    <x v="5"/>
    <x v="3"/>
    <x v="0"/>
    <x v="6"/>
    <x v="31"/>
    <n v="10.78829956"/>
    <n v="10.78829956"/>
    <n v="1.1178E-2"/>
    <n v="8.9354318970000008"/>
  </r>
  <r>
    <x v="5"/>
    <x v="2"/>
    <x v="0"/>
    <x v="9"/>
    <x v="32"/>
    <n v="7.1902049999999999E-3"/>
    <n v="1.2779608E-2"/>
    <n v="5.0870199999999998E-4"/>
    <n v="8.3260269999999997E-3"/>
  </r>
  <r>
    <x v="5"/>
    <x v="2"/>
    <x v="2"/>
    <x v="9"/>
    <x v="32"/>
    <n v="0.47269505299999998"/>
    <n v="0.84015094400000001"/>
    <n v="2.0631397999999999E-2"/>
    <n v="0.54736571099999998"/>
  </r>
  <r>
    <x v="5"/>
    <x v="3"/>
    <x v="3"/>
    <x v="9"/>
    <x v="32"/>
    <n v="6.0243603E-2"/>
    <n v="0.10707478300000001"/>
    <n v="4.4661099999999998E-5"/>
    <n v="6.0243603E-2"/>
  </r>
  <r>
    <x v="5"/>
    <x v="3"/>
    <x v="0"/>
    <x v="9"/>
    <x v="32"/>
    <n v="1.326706384"/>
    <n v="2.3580395319999998"/>
    <n v="9.7923900000000002E-4"/>
    <n v="1.326706384"/>
  </r>
  <r>
    <x v="5"/>
    <x v="1"/>
    <x v="1"/>
    <x v="9"/>
    <x v="32"/>
    <n v="103.09231389999999"/>
    <n v="183.23251809999999"/>
    <n v="19.562957130000001"/>
    <n v="94.279949639999998"/>
  </r>
  <r>
    <x v="5"/>
    <x v="0"/>
    <x v="0"/>
    <x v="9"/>
    <x v="32"/>
    <n v="0.114993235"/>
    <n v="0.20438478099999999"/>
    <n v="1.038876E-3"/>
    <n v="0.106330489"/>
  </r>
  <r>
    <x v="5"/>
    <x v="1"/>
    <x v="2"/>
    <x v="9"/>
    <x v="32"/>
    <n v="2.4423981010000002"/>
    <n v="4.3410292930000001"/>
    <n v="0.28529419"/>
    <n v="2.2336211239999999"/>
  </r>
  <r>
    <x v="5"/>
    <x v="1"/>
    <x v="0"/>
    <x v="9"/>
    <x v="32"/>
    <n v="1.3929474610000001"/>
    <n v="2.4757740049999999"/>
    <n v="0.24634571899999999"/>
    <n v="1.2738778630000001"/>
  </r>
  <r>
    <x v="5"/>
    <x v="0"/>
    <x v="3"/>
    <x v="9"/>
    <x v="32"/>
    <n v="7.1405720000000004E-3"/>
    <n v="1.2691391999999999E-2"/>
    <n v="8.5495700000000002E-5"/>
    <n v="6.6026540000000003E-3"/>
  </r>
  <r>
    <x v="5"/>
    <x v="1"/>
    <x v="3"/>
    <x v="9"/>
    <x v="32"/>
    <n v="33.195725060000001"/>
    <n v="59.000870839999997"/>
    <n v="9.6556844640000001"/>
    <n v="30.358143779999999"/>
  </r>
  <r>
    <x v="5"/>
    <x v="0"/>
    <x v="2"/>
    <x v="9"/>
    <x v="32"/>
    <n v="1.6740889299999999"/>
    <n v="2.9754645970000002"/>
    <n v="1.9952628E-2"/>
    <n v="1.5479753549999999"/>
  </r>
  <r>
    <x v="5"/>
    <x v="0"/>
    <x v="3"/>
    <x v="0"/>
    <x v="33"/>
    <n v="0.12966143699999999"/>
    <n v="0.12966143699999999"/>
    <n v="3.7713759999999999E-3"/>
    <n v="0.124045058"/>
  </r>
  <r>
    <x v="5"/>
    <x v="0"/>
    <x v="0"/>
    <x v="0"/>
    <x v="33"/>
    <n v="7.0712741999999995E-2"/>
    <n v="7.0712741999999995E-2"/>
    <n v="4.184938E-3"/>
    <n v="6.7649767999999999E-2"/>
  </r>
  <r>
    <x v="5"/>
    <x v="1"/>
    <x v="2"/>
    <x v="0"/>
    <x v="33"/>
    <n v="3.862597192"/>
    <n v="3.862597192"/>
    <n v="0.84258217899999999"/>
    <n v="3.6844762759999998"/>
  </r>
  <r>
    <x v="5"/>
    <x v="1"/>
    <x v="1"/>
    <x v="0"/>
    <x v="33"/>
    <n v="147.41567040000001"/>
    <n v="147.41567040000001"/>
    <n v="41.793829459999998"/>
    <n v="140.61770189999999"/>
  </r>
  <r>
    <x v="5"/>
    <x v="2"/>
    <x v="2"/>
    <x v="0"/>
    <x v="33"/>
    <n v="0.65901566499999997"/>
    <n v="0.65901566499999997"/>
    <n v="1.85828E-2"/>
    <n v="0.63236392100000005"/>
  </r>
  <r>
    <x v="5"/>
    <x v="1"/>
    <x v="3"/>
    <x v="0"/>
    <x v="33"/>
    <n v="66.657160009999998"/>
    <n v="66.657160009999998"/>
    <n v="16.218760459999999"/>
    <n v="63.583312599999999"/>
  </r>
  <r>
    <x v="5"/>
    <x v="3"/>
    <x v="3"/>
    <x v="0"/>
    <x v="33"/>
    <n v="0.76005497399999999"/>
    <n v="0.76005497399999999"/>
    <n v="3.5124199999999998E-4"/>
    <n v="0.70268417100000002"/>
  </r>
  <r>
    <x v="5"/>
    <x v="0"/>
    <x v="2"/>
    <x v="0"/>
    <x v="33"/>
    <n v="5.5721750419999996"/>
    <n v="5.5721750419999996"/>
    <n v="0.12949308500000001"/>
    <n v="5.3308122390000001"/>
  </r>
  <r>
    <x v="5"/>
    <x v="3"/>
    <x v="0"/>
    <x v="0"/>
    <x v="33"/>
    <n v="6.9451962219999999"/>
    <n v="6.9451962219999999"/>
    <n v="3.378458E-3"/>
    <n v="6.4209558710000003"/>
  </r>
  <r>
    <x v="5"/>
    <x v="0"/>
    <x v="0"/>
    <x v="7"/>
    <x v="34"/>
    <n v="1.6084400089999999"/>
    <n v="1.6796821850000001"/>
    <n v="1.5698294000000002E-2"/>
    <n v="1.49724217"/>
  </r>
  <r>
    <x v="5"/>
    <x v="2"/>
    <x v="0"/>
    <x v="7"/>
    <x v="34"/>
    <n v="0.63642950300000001"/>
    <n v="0.66461869399999995"/>
    <n v="2.5638710000000001E-3"/>
    <n v="0.612454053"/>
  </r>
  <r>
    <x v="5"/>
    <x v="1"/>
    <x v="0"/>
    <x v="7"/>
    <x v="34"/>
    <n v="3.4933405290000001"/>
    <n v="3.6480700669999999"/>
    <n v="0.57471102399999996"/>
    <n v="3.267730453"/>
  </r>
  <r>
    <x v="5"/>
    <x v="2"/>
    <x v="2"/>
    <x v="7"/>
    <x v="34"/>
    <n v="16.663940870000001"/>
    <n v="17.40203206"/>
    <n v="0.12614992899999999"/>
    <n v="16.036180089999998"/>
  </r>
  <r>
    <x v="5"/>
    <x v="3"/>
    <x v="3"/>
    <x v="7"/>
    <x v="34"/>
    <n v="1.2133511290000001"/>
    <n v="1.267093746"/>
    <n v="1.7623440000000001E-3"/>
    <n v="1.21286136"/>
  </r>
  <r>
    <x v="5"/>
    <x v="3"/>
    <x v="0"/>
    <x v="7"/>
    <x v="34"/>
    <n v="8.9424577109999994"/>
    <n v="9.3385434469999993"/>
    <n v="1.2877256E-2"/>
    <n v="8.938848084"/>
  </r>
  <r>
    <x v="5"/>
    <x v="1"/>
    <x v="1"/>
    <x v="7"/>
    <x v="34"/>
    <n v="400.02237009999999"/>
    <n v="417.74044720000001"/>
    <n v="72.420048050000005"/>
    <n v="374.18776389999999"/>
  </r>
  <r>
    <x v="5"/>
    <x v="0"/>
    <x v="3"/>
    <x v="7"/>
    <x v="34"/>
    <n v="1.3802391780000001"/>
    <n v="1.441373719"/>
    <n v="1.183587E-2"/>
    <n v="1.2848177679999999"/>
  </r>
  <r>
    <x v="5"/>
    <x v="0"/>
    <x v="2"/>
    <x v="7"/>
    <x v="34"/>
    <n v="30.091501409999999"/>
    <n v="31.424335719999998"/>
    <n v="0.35862783599999998"/>
    <n v="28.011156540000002"/>
  </r>
  <r>
    <x v="5"/>
    <x v="1"/>
    <x v="3"/>
    <x v="7"/>
    <x v="34"/>
    <n v="101.36554870000001"/>
    <n v="105.8553041"/>
    <n v="19.509252719999999"/>
    <n v="94.819067230000002"/>
  </r>
  <r>
    <x v="5"/>
    <x v="1"/>
    <x v="2"/>
    <x v="7"/>
    <x v="34"/>
    <n v="7.5517188659999999"/>
    <n v="7.8862050019999996"/>
    <n v="0.91335310300000006"/>
    <n v="7.0640069329999999"/>
  </r>
  <r>
    <x v="5"/>
    <x v="1"/>
    <x v="1"/>
    <x v="10"/>
    <x v="35"/>
    <n v="130.76303129999999"/>
    <n v="136.55488109999999"/>
    <n v="23.498808570000001"/>
    <n v="122.42991499999999"/>
  </r>
  <r>
    <x v="5"/>
    <x v="0"/>
    <x v="2"/>
    <x v="10"/>
    <x v="35"/>
    <n v="7.5137151769999999"/>
    <n v="7.8465180270000001"/>
    <n v="8.9310050000000002E-2"/>
    <n v="6.9941758370000002"/>
  </r>
  <r>
    <x v="5"/>
    <x v="0"/>
    <x v="3"/>
    <x v="10"/>
    <x v="35"/>
    <n v="0.28062445400000002"/>
    <n v="0.29305407300000003"/>
    <n v="2.4256159999999998E-3"/>
    <n v="0.26122054500000003"/>
  </r>
  <r>
    <x v="5"/>
    <x v="3"/>
    <x v="0"/>
    <x v="10"/>
    <x v="35"/>
    <n v="4.3131765470000003"/>
    <n v="4.5042188489999999"/>
    <n v="6.2110289999999999E-3"/>
    <n v="4.3113520220000003"/>
  </r>
  <r>
    <x v="5"/>
    <x v="3"/>
    <x v="3"/>
    <x v="10"/>
    <x v="35"/>
    <n v="0.58553954600000002"/>
    <n v="0.61147468299999996"/>
    <n v="8.50471E-4"/>
    <n v="0.585291856"/>
  </r>
  <r>
    <x v="5"/>
    <x v="2"/>
    <x v="2"/>
    <x v="10"/>
    <x v="35"/>
    <n v="4.3892558429999999"/>
    <n v="4.5836679040000003"/>
    <n v="3.2915856E-2"/>
    <n v="4.2240931159999997"/>
  </r>
  <r>
    <x v="5"/>
    <x v="2"/>
    <x v="0"/>
    <x v="10"/>
    <x v="35"/>
    <n v="0.16766281399999999"/>
    <n v="0.17508905499999999"/>
    <n v="6.6964399999999995E-4"/>
    <n v="0.16135385199999999"/>
  </r>
  <r>
    <x v="5"/>
    <x v="1"/>
    <x v="2"/>
    <x v="10"/>
    <x v="35"/>
    <n v="2.4639977399999999"/>
    <n v="2.573134891"/>
    <n v="0.29506740100000001"/>
    <n v="2.3069749220000002"/>
  </r>
  <r>
    <x v="5"/>
    <x v="1"/>
    <x v="0"/>
    <x v="10"/>
    <x v="35"/>
    <n v="1.144708861"/>
    <n v="1.1954111249999999"/>
    <n v="0.18758556400000001"/>
    <n v="1.071760169"/>
  </r>
  <r>
    <x v="5"/>
    <x v="1"/>
    <x v="3"/>
    <x v="10"/>
    <x v="35"/>
    <n v="33.068190479999998"/>
    <n v="34.532870430000003"/>
    <n v="6.2975245639999997"/>
    <n v="30.960858810000001"/>
  </r>
  <r>
    <x v="5"/>
    <x v="0"/>
    <x v="0"/>
    <x v="10"/>
    <x v="35"/>
    <n v="0.401805358"/>
    <n v="0.41960240900000001"/>
    <n v="3.9099349999999998E-3"/>
    <n v="0.37402233899999998"/>
  </r>
  <r>
    <x v="5"/>
    <x v="2"/>
    <x v="0"/>
    <x v="2"/>
    <x v="36"/>
    <n v="0.45666938299999998"/>
    <n v="0.49712363700000001"/>
    <n v="2.11926E-4"/>
    <n v="0.40511838300000003"/>
  </r>
  <r>
    <x v="5"/>
    <x v="1"/>
    <x v="2"/>
    <x v="2"/>
    <x v="36"/>
    <n v="1.199952932"/>
    <n v="1.306251281"/>
    <n v="7.1449943000000002E-2"/>
    <n v="1.13456947"/>
  </r>
  <r>
    <x v="5"/>
    <x v="3"/>
    <x v="0"/>
    <x v="2"/>
    <x v="36"/>
    <n v="3.0820223109999998"/>
    <n v="3.355044586"/>
    <n v="1.9609620000000001E-3"/>
    <n v="3.0818335110000001"/>
  </r>
  <r>
    <x v="5"/>
    <x v="1"/>
    <x v="0"/>
    <x v="2"/>
    <x v="36"/>
    <n v="1.6469443349999999"/>
    <n v="1.7928396090000001"/>
    <n v="8.9573757000000004E-2"/>
    <n v="1.557205046"/>
  </r>
  <r>
    <x v="5"/>
    <x v="1"/>
    <x v="3"/>
    <x v="2"/>
    <x v="36"/>
    <n v="14.18505483"/>
    <n v="15.441644030000001"/>
    <n v="1.954571093"/>
    <n v="13.41213451"/>
  </r>
  <r>
    <x v="5"/>
    <x v="0"/>
    <x v="2"/>
    <x v="2"/>
    <x v="36"/>
    <n v="6.4106658269999999"/>
    <n v="6.9785574239999999"/>
    <n v="4.8995571000000002E-2"/>
    <n v="5.9028509769999999"/>
  </r>
  <r>
    <x v="5"/>
    <x v="0"/>
    <x v="0"/>
    <x v="2"/>
    <x v="36"/>
    <n v="0.31297947399999998"/>
    <n v="0.34070489599999998"/>
    <n v="1.0563199999999999E-3"/>
    <n v="0.28818709999999997"/>
  </r>
  <r>
    <x v="5"/>
    <x v="0"/>
    <x v="3"/>
    <x v="2"/>
    <x v="36"/>
    <n v="0.16216128899999999"/>
    <n v="0.17652641699999999"/>
    <n v="1.8897090000000001E-3"/>
    <n v="0.14931583600000001"/>
  </r>
  <r>
    <x v="5"/>
    <x v="2"/>
    <x v="2"/>
    <x v="2"/>
    <x v="36"/>
    <n v="0.50387953500000005"/>
    <n v="0.54851592100000002"/>
    <n v="5.3843739999999999E-3"/>
    <n v="0.44699923000000003"/>
  </r>
  <r>
    <x v="5"/>
    <x v="3"/>
    <x v="3"/>
    <x v="2"/>
    <x v="36"/>
    <n v="0.42116817699999998"/>
    <n v="0.45847754200000002"/>
    <n v="2.58638E-4"/>
    <n v="0.42114237700000001"/>
  </r>
  <r>
    <x v="5"/>
    <x v="1"/>
    <x v="1"/>
    <x v="2"/>
    <x v="36"/>
    <n v="44.981977620000002"/>
    <n v="48.966725510000003"/>
    <n v="6.0134744080000004"/>
    <n v="42.530983620000001"/>
  </r>
  <r>
    <x v="5"/>
    <x v="0"/>
    <x v="2"/>
    <x v="9"/>
    <x v="37"/>
    <n v="36.630637640000003"/>
    <n v="65.105959150000004"/>
    <n v="0.46198029200000001"/>
    <n v="33.86373433"/>
  </r>
  <r>
    <x v="5"/>
    <x v="1"/>
    <x v="2"/>
    <x v="9"/>
    <x v="37"/>
    <n v="8.1423869900000003"/>
    <n v="14.471981619999999"/>
    <n v="0.89764790900000002"/>
    <n v="7.7422936839999998"/>
  </r>
  <r>
    <x v="5"/>
    <x v="1"/>
    <x v="3"/>
    <x v="9"/>
    <x v="37"/>
    <n v="113.5784766"/>
    <n v="201.8702413"/>
    <n v="21.061833790000001"/>
    <n v="107.9975594"/>
  </r>
  <r>
    <x v="5"/>
    <x v="1"/>
    <x v="1"/>
    <x v="9"/>
    <x v="37"/>
    <n v="541.60106919999998"/>
    <n v="962.62198420000004"/>
    <n v="100.5365283"/>
    <n v="514.98836189999997"/>
  </r>
  <r>
    <x v="5"/>
    <x v="0"/>
    <x v="0"/>
    <x v="9"/>
    <x v="37"/>
    <n v="3.270722788"/>
    <n v="5.8132633760000001"/>
    <n v="4.1446967000000001E-2"/>
    <n v="3.023668019"/>
  </r>
  <r>
    <x v="5"/>
    <x v="0"/>
    <x v="3"/>
    <x v="9"/>
    <x v="37"/>
    <n v="1.118980807"/>
    <n v="1.9888356679999999"/>
    <n v="2.0191242000000002E-2"/>
    <n v="1.0344583439999999"/>
  </r>
  <r>
    <x v="5"/>
    <x v="3"/>
    <x v="0"/>
    <x v="9"/>
    <x v="37"/>
    <n v="3.7497411359999999"/>
    <n v="6.6646531150000001"/>
    <n v="1.633221E-3"/>
    <n v="3.7497411359999999"/>
  </r>
  <r>
    <x v="5"/>
    <x v="3"/>
    <x v="3"/>
    <x v="9"/>
    <x v="37"/>
    <n v="0.93346546399999997"/>
    <n v="1.659107466"/>
    <n v="4.1467899999999999E-4"/>
    <n v="0.93346546399999997"/>
  </r>
  <r>
    <x v="5"/>
    <x v="2"/>
    <x v="2"/>
    <x v="9"/>
    <x v="37"/>
    <n v="1.619299971"/>
    <n v="2.8780847010000001"/>
    <n v="2.4785219999999999E-3"/>
    <n v="1.189197115"/>
  </r>
  <r>
    <x v="5"/>
    <x v="2"/>
    <x v="0"/>
    <x v="9"/>
    <x v="37"/>
    <n v="4.1941895999999999E-2"/>
    <n v="7.4545995000000004E-2"/>
    <n v="4.5167800000000001E-4"/>
    <n v="3.0801693000000002E-2"/>
  </r>
  <r>
    <x v="5"/>
    <x v="1"/>
    <x v="0"/>
    <x v="9"/>
    <x v="37"/>
    <n v="7.9718739520000002"/>
    <n v="14.168917970000001"/>
    <n v="2.0971064830000001"/>
    <n v="7.5801591630000003"/>
  </r>
  <r>
    <x v="5"/>
    <x v="0"/>
    <x v="3"/>
    <x v="7"/>
    <x v="38"/>
    <n v="0.22600113899999999"/>
    <n v="0.22599008900000001"/>
    <n v="2.0471E-3"/>
    <n v="0.210356671"/>
  </r>
  <r>
    <x v="5"/>
    <x v="3"/>
    <x v="0"/>
    <x v="7"/>
    <x v="38"/>
    <n v="0.72015324800000002"/>
    <n v="0.72011803799999996"/>
    <n v="1.0918970000000001E-3"/>
    <n v="0.71986149700000002"/>
  </r>
  <r>
    <x v="5"/>
    <x v="3"/>
    <x v="3"/>
    <x v="7"/>
    <x v="38"/>
    <n v="9.7758734E-2"/>
    <n v="9.7753954000000004E-2"/>
    <n v="1.4950299999999999E-4"/>
    <n v="9.7719130000000001E-2"/>
  </r>
  <r>
    <x v="5"/>
    <x v="2"/>
    <x v="2"/>
    <x v="7"/>
    <x v="38"/>
    <n v="2.5672393019999999"/>
    <n v="2.5671137819999998"/>
    <n v="2.0784398999999999E-2"/>
    <n v="2.4699468649999998"/>
  </r>
  <r>
    <x v="5"/>
    <x v="2"/>
    <x v="0"/>
    <x v="7"/>
    <x v="38"/>
    <n v="8.5993456999999995E-2"/>
    <n v="8.5989253000000002E-2"/>
    <n v="2.8640099999999998E-4"/>
    <n v="8.2734504E-2"/>
  </r>
  <r>
    <x v="5"/>
    <x v="0"/>
    <x v="2"/>
    <x v="7"/>
    <x v="38"/>
    <n v="4.906052538"/>
    <n v="4.9058126670000002"/>
    <n v="6.1276895999999997E-2"/>
    <n v="4.566441041"/>
  </r>
  <r>
    <x v="5"/>
    <x v="1"/>
    <x v="3"/>
    <x v="7"/>
    <x v="38"/>
    <n v="14.004833"/>
    <n v="14.004148259999999"/>
    <n v="2.7607551909999999"/>
    <n v="13.131598650000001"/>
  </r>
  <r>
    <x v="5"/>
    <x v="1"/>
    <x v="0"/>
    <x v="7"/>
    <x v="38"/>
    <n v="0.48798755599999999"/>
    <n v="0.48796369699999997"/>
    <n v="8.3530281999999997E-2"/>
    <n v="0.45756038199999999"/>
  </r>
  <r>
    <x v="5"/>
    <x v="1"/>
    <x v="2"/>
    <x v="7"/>
    <x v="38"/>
    <n v="1.043783017"/>
    <n v="1.043731983"/>
    <n v="0.129355094"/>
    <n v="0.97870068600000004"/>
  </r>
  <r>
    <x v="5"/>
    <x v="1"/>
    <x v="1"/>
    <x v="7"/>
    <x v="38"/>
    <n v="55.54218685"/>
    <n v="55.539471229999997"/>
    <n v="10.35454303"/>
    <n v="52.079000600000001"/>
  </r>
  <r>
    <x v="5"/>
    <x v="0"/>
    <x v="0"/>
    <x v="7"/>
    <x v="38"/>
    <n v="0.26241555700000002"/>
    <n v="0.262402727"/>
    <n v="2.6889050000000001E-3"/>
    <n v="0.24425037499999999"/>
  </r>
  <r>
    <x v="5"/>
    <x v="3"/>
    <x v="3"/>
    <x v="1"/>
    <x v="39"/>
    <n v="1.8392081689999999"/>
    <n v="1.942731558"/>
    <n v="1.4955159999999999E-3"/>
    <n v="1.671910349"/>
  </r>
  <r>
    <x v="5"/>
    <x v="2"/>
    <x v="2"/>
    <x v="1"/>
    <x v="39"/>
    <n v="1.5820899749999999"/>
    <n v="1.671140968"/>
    <n v="6.0039099999999998E-2"/>
    <n v="1.555723352"/>
  </r>
  <r>
    <x v="5"/>
    <x v="1"/>
    <x v="2"/>
    <x v="1"/>
    <x v="39"/>
    <n v="4.704937353"/>
    <n v="4.9697638499999996"/>
    <n v="0.27164885700000002"/>
    <n v="4.179156281"/>
  </r>
  <r>
    <x v="5"/>
    <x v="1"/>
    <x v="1"/>
    <x v="1"/>
    <x v="39"/>
    <n v="270.39759370000002"/>
    <n v="285.6174451"/>
    <n v="39.13619284"/>
    <n v="240.18041410000001"/>
  </r>
  <r>
    <x v="5"/>
    <x v="1"/>
    <x v="3"/>
    <x v="1"/>
    <x v="39"/>
    <n v="119.4065861"/>
    <n v="126.1276167"/>
    <n v="18.877957599999998"/>
    <n v="106.0627904"/>
  </r>
  <r>
    <x v="5"/>
    <x v="0"/>
    <x v="2"/>
    <x v="1"/>
    <x v="39"/>
    <n v="16.891749489999999"/>
    <n v="17.842534279999999"/>
    <n v="0.28144338299999999"/>
    <n v="14.398492490000001"/>
  </r>
  <r>
    <x v="5"/>
    <x v="0"/>
    <x v="0"/>
    <x v="1"/>
    <x v="39"/>
    <n v="1.0843225329999999"/>
    <n v="1.145355723"/>
    <n v="3.3345979999999998E-3"/>
    <n v="0.92427429400000005"/>
  </r>
  <r>
    <x v="5"/>
    <x v="0"/>
    <x v="3"/>
    <x v="1"/>
    <x v="39"/>
    <n v="0.237071737"/>
    <n v="0.25041577799999998"/>
    <n v="4.0964017999999998E-2"/>
    <n v="0.20207945999999999"/>
  </r>
  <r>
    <x v="5"/>
    <x v="3"/>
    <x v="0"/>
    <x v="1"/>
    <x v="39"/>
    <n v="1.3273162679999999"/>
    <n v="1.4020268309999999"/>
    <n v="1.4435839999999999E-3"/>
    <n v="1.2065810939999999"/>
  </r>
  <r>
    <x v="5"/>
    <x v="3"/>
    <x v="3"/>
    <x v="10"/>
    <x v="40"/>
    <n v="1.7905121959999999"/>
    <n v="2.2644206429999998"/>
    <n v="7.5672000000000001E-4"/>
    <n v="1.789773525"/>
  </r>
  <r>
    <x v="5"/>
    <x v="1"/>
    <x v="1"/>
    <x v="10"/>
    <x v="40"/>
    <n v="169.14824290000001"/>
    <n v="213.91799169999999"/>
    <n v="31.338891650000001"/>
    <n v="159.37817910000001"/>
  </r>
  <r>
    <x v="5"/>
    <x v="1"/>
    <x v="2"/>
    <x v="10"/>
    <x v="40"/>
    <n v="4.2297350050000002"/>
    <n v="5.3492510590000002"/>
    <n v="0.44247955700000002"/>
    <n v="3.9854239790000001"/>
  </r>
  <r>
    <x v="5"/>
    <x v="1"/>
    <x v="3"/>
    <x v="10"/>
    <x v="40"/>
    <n v="42.723965810000003"/>
    <n v="54.032041980000002"/>
    <n v="10.2327853"/>
    <n v="40.256214069999999"/>
  </r>
  <r>
    <x v="5"/>
    <x v="0"/>
    <x v="2"/>
    <x v="10"/>
    <x v="40"/>
    <n v="19.535493030000001"/>
    <n v="24.706100190000001"/>
    <n v="0.28779698100000001"/>
    <n v="18.184877050000001"/>
  </r>
  <r>
    <x v="5"/>
    <x v="0"/>
    <x v="0"/>
    <x v="10"/>
    <x v="40"/>
    <n v="1.065035374"/>
    <n v="1.346926367"/>
    <n v="1.1410450000000001E-2"/>
    <n v="0.99140253599999995"/>
  </r>
  <r>
    <x v="5"/>
    <x v="1"/>
    <x v="0"/>
    <x v="10"/>
    <x v="40"/>
    <n v="1.4240599229999999"/>
    <n v="1.8009766679999999"/>
    <n v="0.23773949599999999"/>
    <n v="1.3418057059999999"/>
  </r>
  <r>
    <x v="5"/>
    <x v="3"/>
    <x v="0"/>
    <x v="10"/>
    <x v="40"/>
    <n v="15.557097730000001"/>
    <n v="19.67471282"/>
    <n v="6.78198E-3"/>
    <n v="15.5506797"/>
  </r>
  <r>
    <x v="5"/>
    <x v="2"/>
    <x v="2"/>
    <x v="10"/>
    <x v="40"/>
    <n v="14.644143740000001"/>
    <n v="18.52012036"/>
    <n v="1.8294516E-2"/>
    <n v="8.5204678840000003"/>
  </r>
  <r>
    <x v="5"/>
    <x v="2"/>
    <x v="0"/>
    <x v="10"/>
    <x v="40"/>
    <n v="1.762793091"/>
    <n v="2.2293649129999999"/>
    <n v="1.001984E-3"/>
    <n v="1.025653817"/>
  </r>
  <r>
    <x v="5"/>
    <x v="0"/>
    <x v="3"/>
    <x v="10"/>
    <x v="40"/>
    <n v="0.79717375599999996"/>
    <n v="1.008167783"/>
    <n v="9.1102690000000007E-3"/>
    <n v="0.74205993800000003"/>
  </r>
  <r>
    <x v="5"/>
    <x v="0"/>
    <x v="2"/>
    <x v="1"/>
    <x v="41"/>
    <n v="68.299840439999997"/>
    <n v="66.549110780000007"/>
    <n v="1.1179365590000001"/>
    <n v="58.078878340000003"/>
  </r>
  <r>
    <x v="5"/>
    <x v="2"/>
    <x v="2"/>
    <x v="1"/>
    <x v="41"/>
    <n v="45.703971119999999"/>
    <n v="44.532441339999998"/>
    <n v="0.51846680000000001"/>
    <n v="44.338173449999999"/>
  </r>
  <r>
    <x v="5"/>
    <x v="3"/>
    <x v="0"/>
    <x v="1"/>
    <x v="41"/>
    <n v="17.50734417"/>
    <n v="17.05857846"/>
    <n v="1.8369300000000002E-2"/>
    <n v="17.50727418"/>
  </r>
  <r>
    <x v="5"/>
    <x v="0"/>
    <x v="3"/>
    <x v="1"/>
    <x v="41"/>
    <n v="0.50526085300000001"/>
    <n v="0.49230950299999998"/>
    <n v="0.12219714499999999"/>
    <n v="0.429649373"/>
  </r>
  <r>
    <x v="5"/>
    <x v="1"/>
    <x v="1"/>
    <x v="1"/>
    <x v="41"/>
    <n v="647.61348109999994"/>
    <n v="631.01320629999998"/>
    <n v="106.1029437"/>
    <n v="592.43188680000003"/>
  </r>
  <r>
    <x v="5"/>
    <x v="1"/>
    <x v="2"/>
    <x v="1"/>
    <x v="41"/>
    <n v="10.260930480000001"/>
    <n v="9.9979120720000001"/>
    <n v="0.52665500300000001"/>
    <n v="9.3866211570000004"/>
  </r>
  <r>
    <x v="5"/>
    <x v="1"/>
    <x v="3"/>
    <x v="1"/>
    <x v="41"/>
    <n v="207.29513969999999"/>
    <n v="201.98154389999999"/>
    <n v="34.110584750000001"/>
    <n v="189.63201710000001"/>
  </r>
  <r>
    <x v="5"/>
    <x v="0"/>
    <x v="0"/>
    <x v="1"/>
    <x v="41"/>
    <n v="0.17451635900000001"/>
    <n v="0.17004298200000001"/>
    <n v="7.9269599999999996E-4"/>
    <n v="0.148400265"/>
  </r>
  <r>
    <x v="5"/>
    <x v="1"/>
    <x v="2"/>
    <x v="2"/>
    <x v="42"/>
    <n v="16.288230039999998"/>
    <n v="17.731129920000001"/>
    <n v="0.87239306599999999"/>
    <n v="15.32424455"/>
  </r>
  <r>
    <x v="5"/>
    <x v="1"/>
    <x v="1"/>
    <x v="2"/>
    <x v="42"/>
    <n v="426.14447419999999"/>
    <n v="463.89466620000002"/>
    <n v="63.166162290000003"/>
    <n v="400.92398739999999"/>
  </r>
  <r>
    <x v="5"/>
    <x v="1"/>
    <x v="3"/>
    <x v="2"/>
    <x v="42"/>
    <n v="137.47148039999999"/>
    <n v="149.64945080000001"/>
    <n v="19.959096509999998"/>
    <n v="129.3355128"/>
  </r>
  <r>
    <x v="5"/>
    <x v="2"/>
    <x v="2"/>
    <x v="2"/>
    <x v="42"/>
    <n v="2.8773941999999999"/>
    <n v="3.1322894059999999"/>
    <n v="1.2758115E-2"/>
    <n v="2.7398028710000002"/>
  </r>
  <r>
    <x v="5"/>
    <x v="3"/>
    <x v="3"/>
    <x v="2"/>
    <x v="42"/>
    <n v="4.1069310699999999"/>
    <n v="4.4707453299999997"/>
    <n v="2.5087310000000002E-3"/>
    <n v="4.1066476520000004"/>
  </r>
  <r>
    <x v="5"/>
    <x v="3"/>
    <x v="0"/>
    <x v="2"/>
    <x v="42"/>
    <n v="34.84925423"/>
    <n v="37.936390449999998"/>
    <n v="2.2173669E-2"/>
    <n v="34.846849300000002"/>
  </r>
  <r>
    <x v="5"/>
    <x v="0"/>
    <x v="0"/>
    <x v="2"/>
    <x v="42"/>
    <n v="0.26023574900000002"/>
    <n v="0.28328884500000001"/>
    <n v="1.58041E-3"/>
    <n v="0.24695703399999999"/>
  </r>
  <r>
    <x v="5"/>
    <x v="0"/>
    <x v="2"/>
    <x v="2"/>
    <x v="42"/>
    <n v="12.95345098"/>
    <n v="14.100938019999999"/>
    <n v="0.11916189000000001"/>
    <n v="12.29249188"/>
  </r>
  <r>
    <x v="5"/>
    <x v="1"/>
    <x v="0"/>
    <x v="2"/>
    <x v="42"/>
    <n v="5.0222560610000002"/>
    <n v="5.4671547800000004"/>
    <n v="0.76511343600000004"/>
    <n v="4.725024135"/>
  </r>
  <r>
    <x v="5"/>
    <x v="2"/>
    <x v="0"/>
    <x v="2"/>
    <x v="42"/>
    <n v="0.67900548400000005"/>
    <n v="0.73915547800000003"/>
    <n v="5.962485E-3"/>
    <n v="0.64653677799999998"/>
  </r>
  <r>
    <x v="5"/>
    <x v="2"/>
    <x v="2"/>
    <x v="2"/>
    <x v="43"/>
    <n v="3.5629436800000001"/>
    <n v="4.4026015039999997"/>
    <n v="2.0625693E-2"/>
    <n v="3.54463857"/>
  </r>
  <r>
    <x v="5"/>
    <x v="0"/>
    <x v="2"/>
    <x v="2"/>
    <x v="43"/>
    <n v="5.3131538239999996"/>
    <n v="6.5652733010000004"/>
    <n v="0.11998001699999999"/>
    <n v="4.8868609750000003"/>
  </r>
  <r>
    <x v="5"/>
    <x v="3"/>
    <x v="3"/>
    <x v="2"/>
    <x v="43"/>
    <n v="2.5198995310000001"/>
    <n v="3.1137493209999998"/>
    <n v="1.7202669999999999E-3"/>
    <n v="2.5197404200000002"/>
  </r>
  <r>
    <x v="5"/>
    <x v="3"/>
    <x v="0"/>
    <x v="2"/>
    <x v="43"/>
    <n v="15.62738139"/>
    <n v="19.31019375"/>
    <n v="1.1331233E-2"/>
    <n v="15.62639465"/>
  </r>
  <r>
    <x v="5"/>
    <x v="0"/>
    <x v="0"/>
    <x v="2"/>
    <x v="43"/>
    <n v="8.1200172000000001E-2"/>
    <n v="0.10033613600000001"/>
    <n v="1.1803829999999999E-3"/>
    <n v="7.4685198999999994E-2"/>
  </r>
  <r>
    <x v="5"/>
    <x v="1"/>
    <x v="3"/>
    <x v="2"/>
    <x v="43"/>
    <n v="76.290368790000002"/>
    <n v="94.269267929999998"/>
    <n v="12.83282593"/>
    <n v="72.02975447"/>
  </r>
  <r>
    <x v="5"/>
    <x v="1"/>
    <x v="2"/>
    <x v="2"/>
    <x v="43"/>
    <n v="7.9293961050000004"/>
    <n v="9.7980698969999995"/>
    <n v="0.54869622600000001"/>
    <n v="7.4865604079999999"/>
  </r>
  <r>
    <x v="5"/>
    <x v="1"/>
    <x v="1"/>
    <x v="2"/>
    <x v="43"/>
    <n v="259.91833209999999"/>
    <n v="321.1717453"/>
    <n v="39.21761188"/>
    <n v="245.40258410000001"/>
  </r>
  <r>
    <x v="5"/>
    <x v="2"/>
    <x v="0"/>
    <x v="2"/>
    <x v="43"/>
    <n v="0.46188122799999998"/>
    <n v="0.57073004000000005"/>
    <n v="4.2100699999999999E-4"/>
    <n v="0.45950825000000001"/>
  </r>
  <r>
    <x v="5"/>
    <x v="1"/>
    <x v="0"/>
    <x v="2"/>
    <x v="43"/>
    <n v="2.944098731"/>
    <n v="3.6379170329999999"/>
    <n v="0.37840616700000002"/>
    <n v="2.7796786419999999"/>
  </r>
  <r>
    <x v="5"/>
    <x v="0"/>
    <x v="3"/>
    <x v="2"/>
    <x v="44"/>
    <n v="4.9465845000000001E-2"/>
    <n v="5.1270419999999997E-2"/>
    <n v="8.20242E-4"/>
    <n v="4.1051358000000003E-2"/>
  </r>
  <r>
    <x v="5"/>
    <x v="1"/>
    <x v="1"/>
    <x v="2"/>
    <x v="44"/>
    <n v="223.786227"/>
    <n v="231.95022359999999"/>
    <n v="34.477790929999998"/>
    <n v="212.41527149999999"/>
  </r>
  <r>
    <x v="5"/>
    <x v="1"/>
    <x v="2"/>
    <x v="2"/>
    <x v="44"/>
    <n v="6.6303936720000003"/>
    <n v="6.8722785850000001"/>
    <n v="0.44136700899999998"/>
    <n v="6.2934921929999996"/>
  </r>
  <r>
    <x v="5"/>
    <x v="1"/>
    <x v="0"/>
    <x v="2"/>
    <x v="44"/>
    <n v="2.586153763"/>
    <n v="2.6804998320000002"/>
    <n v="0.41166862100000001"/>
    <n v="2.4547469309999999"/>
  </r>
  <r>
    <x v="5"/>
    <x v="1"/>
    <x v="3"/>
    <x v="2"/>
    <x v="44"/>
    <n v="77.089132629999995"/>
    <n v="79.901438970000001"/>
    <n v="12.701151940000001"/>
    <n v="73.172103860000007"/>
  </r>
  <r>
    <x v="5"/>
    <x v="0"/>
    <x v="0"/>
    <x v="2"/>
    <x v="44"/>
    <n v="0.77358040800000005"/>
    <n v="0.80180157299999999"/>
    <n v="6.3876669999999997E-3"/>
    <n v="0.64198896000000005"/>
  </r>
  <r>
    <x v="5"/>
    <x v="3"/>
    <x v="0"/>
    <x v="2"/>
    <x v="44"/>
    <n v="16.504698779999998"/>
    <n v="17.106810490000001"/>
    <n v="9.9737460000000003E-3"/>
    <n v="16.503523149999999"/>
  </r>
  <r>
    <x v="5"/>
    <x v="3"/>
    <x v="3"/>
    <x v="2"/>
    <x v="44"/>
    <n v="1.5977202269999999"/>
    <n v="1.6560070250000001"/>
    <n v="9.4685400000000001E-4"/>
    <n v="1.5976064210000001"/>
  </r>
  <r>
    <x v="5"/>
    <x v="2"/>
    <x v="2"/>
    <x v="2"/>
    <x v="44"/>
    <n v="18.197212889999999"/>
    <n v="18.86106959"/>
    <n v="0.181483069"/>
    <n v="16.0187536"/>
  </r>
  <r>
    <x v="5"/>
    <x v="2"/>
    <x v="0"/>
    <x v="2"/>
    <x v="44"/>
    <n v="1.421171951"/>
    <n v="1.4730180509999999"/>
    <n v="3.45631E-4"/>
    <n v="1.2510379170000001"/>
  </r>
  <r>
    <x v="5"/>
    <x v="0"/>
    <x v="2"/>
    <x v="2"/>
    <x v="44"/>
    <n v="21.981267469999999"/>
    <n v="22.783171129999999"/>
    <n v="0.27854089100000001"/>
    <n v="18.242099840000002"/>
  </r>
  <r>
    <x v="5"/>
    <x v="1"/>
    <x v="1"/>
    <x v="4"/>
    <x v="45"/>
    <n v="201.5616742"/>
    <n v="199.72126900000001"/>
    <n v="46.678206400000001"/>
    <n v="178.99655340000001"/>
  </r>
  <r>
    <x v="5"/>
    <x v="3"/>
    <x v="0"/>
    <x v="4"/>
    <x v="45"/>
    <n v="4.0981245460000002"/>
    <n v="4.0607056769999996"/>
    <n v="7.0654000000000003E-3"/>
    <n v="4.0981245460000002"/>
  </r>
  <r>
    <x v="5"/>
    <x v="0"/>
    <x v="3"/>
    <x v="4"/>
    <x v="45"/>
    <n v="0.34284567999999999"/>
    <n v="0.33971524800000003"/>
    <n v="6.2434547E-2"/>
    <n v="0.29632397799999999"/>
  </r>
  <r>
    <x v="5"/>
    <x v="0"/>
    <x v="0"/>
    <x v="4"/>
    <x v="45"/>
    <n v="0.94450157099999998"/>
    <n v="0.93587758200000004"/>
    <n v="6.4959129999999999E-3"/>
    <n v="0.81633947500000004"/>
  </r>
  <r>
    <x v="5"/>
    <x v="1"/>
    <x v="3"/>
    <x v="4"/>
    <x v="45"/>
    <n v="102.6760853"/>
    <n v="101.73857769999999"/>
    <n v="25.457003199999999"/>
    <n v="91.181349130000001"/>
  </r>
  <r>
    <x v="5"/>
    <x v="2"/>
    <x v="2"/>
    <x v="4"/>
    <x v="45"/>
    <n v="6.1273470789999998"/>
    <n v="6.0713999269999999"/>
    <n v="5.6473700000000002E-2"/>
    <n v="5.3857434160000004"/>
  </r>
  <r>
    <x v="5"/>
    <x v="0"/>
    <x v="2"/>
    <x v="4"/>
    <x v="45"/>
    <n v="20.12210469"/>
    <n v="19.938375189999999"/>
    <n v="0.36502234"/>
    <n v="17.391679270000001"/>
  </r>
  <r>
    <x v="5"/>
    <x v="1"/>
    <x v="1"/>
    <x v="6"/>
    <x v="46"/>
    <n v="151.8959701"/>
    <n v="157.67600110000001"/>
    <n v="28.062314570000002"/>
    <n v="132.8209588"/>
  </r>
  <r>
    <x v="5"/>
    <x v="2"/>
    <x v="2"/>
    <x v="6"/>
    <x v="46"/>
    <n v="6.9399227220000004"/>
    <n v="7.2040045709999996"/>
    <n v="3.7062400000000002E-2"/>
    <n v="5.5516790919999996"/>
  </r>
  <r>
    <x v="5"/>
    <x v="3"/>
    <x v="0"/>
    <x v="6"/>
    <x v="46"/>
    <n v="1.1669239360000001"/>
    <n v="1.2113283829999999"/>
    <n v="8.5320000000000003E-4"/>
    <n v="1.060831692"/>
  </r>
  <r>
    <x v="5"/>
    <x v="0"/>
    <x v="3"/>
    <x v="6"/>
    <x v="46"/>
    <n v="9.3723748999999995E-2"/>
    <n v="9.7290178000000005E-2"/>
    <n v="2.5707448000000001E-2"/>
    <n v="8.4617218999999994E-2"/>
  </r>
  <r>
    <x v="5"/>
    <x v="0"/>
    <x v="2"/>
    <x v="6"/>
    <x v="46"/>
    <n v="8.3214731789999998"/>
    <n v="8.6381265650000003"/>
    <n v="0.23622338600000001"/>
    <n v="7.512929507"/>
  </r>
  <r>
    <x v="5"/>
    <x v="1"/>
    <x v="3"/>
    <x v="6"/>
    <x v="46"/>
    <n v="61.842697889999997"/>
    <n v="64.195971069999999"/>
    <n v="9.0552125750000005"/>
    <n v="54.076526350000002"/>
  </r>
  <r>
    <x v="5"/>
    <x v="1"/>
    <x v="2"/>
    <x v="6"/>
    <x v="46"/>
    <n v="1.1285749249999999"/>
    <n v="1.1715200939999999"/>
    <n v="0.154664355"/>
    <n v="0.98684911500000005"/>
  </r>
  <r>
    <x v="5"/>
    <x v="0"/>
    <x v="0"/>
    <x v="6"/>
    <x v="46"/>
    <n v="1.0862894359999999"/>
    <n v="1.1276255340000001"/>
    <n v="4.2500660000000003E-3"/>
    <n v="0.98074172500000001"/>
  </r>
  <r>
    <x v="5"/>
    <x v="3"/>
    <x v="3"/>
    <x v="7"/>
    <x v="47"/>
    <n v="0.50395286699999997"/>
    <n v="0.99724348399999996"/>
    <n v="5.2789299999999998E-4"/>
    <n v="0.50373438299999995"/>
  </r>
  <r>
    <x v="5"/>
    <x v="0"/>
    <x v="3"/>
    <x v="7"/>
    <x v="47"/>
    <n v="4.9765623000000002E-2"/>
    <n v="9.8478342999999996E-2"/>
    <n v="5.0673299999999999E-4"/>
    <n v="4.5480630000000001E-2"/>
  </r>
  <r>
    <x v="5"/>
    <x v="3"/>
    <x v="0"/>
    <x v="7"/>
    <x v="47"/>
    <n v="8.1403339950000007"/>
    <n v="16.108441020000001"/>
    <n v="8.4676070000000003E-3"/>
    <n v="8.1368048220000002"/>
  </r>
  <r>
    <x v="5"/>
    <x v="1"/>
    <x v="1"/>
    <x v="7"/>
    <x v="47"/>
    <n v="98.403278560000004"/>
    <n v="194.72461569999999"/>
    <n v="24.09690282"/>
    <n v="89.601018890000006"/>
  </r>
  <r>
    <x v="5"/>
    <x v="2"/>
    <x v="2"/>
    <x v="7"/>
    <x v="47"/>
    <n v="0.150982223"/>
    <n v="0.29877007999999999"/>
    <n v="7.3431420000000004E-3"/>
    <n v="9.0222966000000002E-2"/>
  </r>
  <r>
    <x v="5"/>
    <x v="1"/>
    <x v="2"/>
    <x v="7"/>
    <x v="47"/>
    <n v="3.2257240060000001"/>
    <n v="6.3832006059999999"/>
    <n v="0.36034940300000001"/>
    <n v="2.9371801610000001"/>
  </r>
  <r>
    <x v="5"/>
    <x v="0"/>
    <x v="2"/>
    <x v="7"/>
    <x v="47"/>
    <n v="1.7929793300000001"/>
    <n v="3.5480241729999999"/>
    <n v="3.8169559999999998E-2"/>
    <n v="1.638597597"/>
  </r>
  <r>
    <x v="5"/>
    <x v="1"/>
    <x v="3"/>
    <x v="7"/>
    <x v="47"/>
    <n v="26.580503230000001"/>
    <n v="52.598636470000002"/>
    <n v="6.039402269"/>
    <n v="24.202853879999999"/>
  </r>
  <r>
    <x v="5"/>
    <x v="0"/>
    <x v="0"/>
    <x v="7"/>
    <x v="47"/>
    <n v="0.100182796"/>
    <n v="0.19824600100000001"/>
    <n v="1.5255069999999999E-3"/>
    <n v="9.1556709999999999E-2"/>
  </r>
  <r>
    <x v="5"/>
    <x v="1"/>
    <x v="0"/>
    <x v="7"/>
    <x v="47"/>
    <n v="0.79434455999999998"/>
    <n v="1.571882985"/>
    <n v="0.19713520700000001"/>
    <n v="0.72328974199999996"/>
  </r>
  <r>
    <x v="5"/>
    <x v="2"/>
    <x v="0"/>
    <x v="7"/>
    <x v="47"/>
    <n v="0.490464913"/>
    <n v="0.970552945"/>
    <n v="1.8078580000000001E-3"/>
    <n v="0.29308880300000001"/>
  </r>
  <r>
    <x v="5"/>
    <x v="1"/>
    <x v="3"/>
    <x v="2"/>
    <x v="48"/>
    <n v="479.31375880000002"/>
    <n v="542.1938341"/>
    <n v="71.095715069999997"/>
    <n v="450.55493480000001"/>
  </r>
  <r>
    <x v="5"/>
    <x v="0"/>
    <x v="2"/>
    <x v="2"/>
    <x v="48"/>
    <n v="52.705847830000003"/>
    <n v="59.620207409999999"/>
    <n v="1.87108287"/>
    <n v="48.943805900000001"/>
  </r>
  <r>
    <x v="5"/>
    <x v="0"/>
    <x v="0"/>
    <x v="2"/>
    <x v="48"/>
    <n v="1.7316229809999999"/>
    <n v="1.958790638"/>
    <n v="4.9343600000000001E-2"/>
    <n v="1.608023067"/>
  </r>
  <r>
    <x v="5"/>
    <x v="0"/>
    <x v="3"/>
    <x v="2"/>
    <x v="48"/>
    <n v="7.4947801390000004"/>
    <n v="8.4780031969999996"/>
    <n v="0.39161063000000002"/>
    <n v="6.9598171640000004"/>
  </r>
  <r>
    <x v="5"/>
    <x v="3"/>
    <x v="0"/>
    <x v="2"/>
    <x v="48"/>
    <n v="76.894287149999997"/>
    <n v="86.98187274"/>
    <n v="5.0871130000000001E-2"/>
    <n v="76.889163449999998"/>
  </r>
  <r>
    <x v="5"/>
    <x v="3"/>
    <x v="3"/>
    <x v="2"/>
    <x v="48"/>
    <n v="9.9715726169999996"/>
    <n v="11.279720409999999"/>
    <n v="6.3204699999999999E-3"/>
    <n v="9.9709081820000005"/>
  </r>
  <r>
    <x v="5"/>
    <x v="2"/>
    <x v="0"/>
    <x v="2"/>
    <x v="48"/>
    <n v="0.287579209"/>
    <n v="0.32530606699999998"/>
    <n v="3.1380029999999999E-3"/>
    <n v="0.23244929"/>
  </r>
  <r>
    <x v="5"/>
    <x v="1"/>
    <x v="2"/>
    <x v="2"/>
    <x v="48"/>
    <n v="35.472612410000004"/>
    <n v="40.126183269999999"/>
    <n v="2.1866995560000002"/>
    <n v="33.344255779999997"/>
  </r>
  <r>
    <x v="5"/>
    <x v="1"/>
    <x v="1"/>
    <x v="2"/>
    <x v="48"/>
    <n v="1194.6227140000001"/>
    <n v="1351.342535"/>
    <n v="164.55643079999999"/>
    <n v="1122.9453550000001"/>
  </r>
  <r>
    <x v="5"/>
    <x v="1"/>
    <x v="0"/>
    <x v="2"/>
    <x v="48"/>
    <n v="15.848077890000001"/>
    <n v="17.92715097"/>
    <n v="1.3225998450000001"/>
    <n v="14.897193270000001"/>
  </r>
  <r>
    <x v="5"/>
    <x v="2"/>
    <x v="2"/>
    <x v="2"/>
    <x v="48"/>
    <n v="3.1034953559999998"/>
    <n v="3.5106358110000002"/>
    <n v="0.103069597"/>
    <n v="2.5085446770000002"/>
  </r>
  <r>
    <x v="5"/>
    <x v="3"/>
    <x v="0"/>
    <x v="3"/>
    <x v="49"/>
    <n v="1313.4841160000001"/>
    <n v="1313.4841160000001"/>
    <n v="0.443420865"/>
    <n v="1299.160901"/>
  </r>
  <r>
    <x v="5"/>
    <x v="1"/>
    <x v="3"/>
    <x v="3"/>
    <x v="49"/>
    <n v="8961.1200740000004"/>
    <n v="8961.1200740000004"/>
    <n v="2563.4255360000002"/>
    <n v="8657.1087559999996"/>
  </r>
  <r>
    <x v="5"/>
    <x v="2"/>
    <x v="2"/>
    <x v="3"/>
    <x v="49"/>
    <n v="143.4191811"/>
    <n v="143.4191811"/>
    <n v="1.2411662000000001"/>
    <n v="130.4070691"/>
  </r>
  <r>
    <x v="5"/>
    <x v="3"/>
    <x v="3"/>
    <x v="3"/>
    <x v="49"/>
    <n v="177.95225120000001"/>
    <n v="177.95225120000001"/>
    <n v="5.8039935000000001E-2"/>
    <n v="176.01172650000001"/>
  </r>
  <r>
    <x v="5"/>
    <x v="0"/>
    <x v="0"/>
    <x v="3"/>
    <x v="49"/>
    <n v="0.169613608"/>
    <n v="0.169613608"/>
    <n v="2.8850918E-2"/>
    <n v="0.15360940100000001"/>
  </r>
  <r>
    <x v="5"/>
    <x v="0"/>
    <x v="2"/>
    <x v="3"/>
    <x v="49"/>
    <n v="403.9260774"/>
    <n v="403.9260774"/>
    <n v="9.4644984829999999"/>
    <n v="365.81288289999998"/>
  </r>
  <r>
    <x v="5"/>
    <x v="1"/>
    <x v="1"/>
    <x v="3"/>
    <x v="49"/>
    <n v="11571.207259999999"/>
    <n v="11571.207259999999"/>
    <n v="2408.2392340000001"/>
    <n v="11178.64718"/>
  </r>
  <r>
    <x v="5"/>
    <x v="1"/>
    <x v="0"/>
    <x v="3"/>
    <x v="49"/>
    <n v="278.5750056"/>
    <n v="278.5750056"/>
    <n v="32.763945730000003"/>
    <n v="269.1241832"/>
  </r>
  <r>
    <x v="5"/>
    <x v="1"/>
    <x v="2"/>
    <x v="3"/>
    <x v="49"/>
    <n v="481.52128909999999"/>
    <n v="481.52128909999999"/>
    <n v="49.600675180000003"/>
    <n v="465.1853936"/>
  </r>
  <r>
    <x v="5"/>
    <x v="0"/>
    <x v="3"/>
    <x v="3"/>
    <x v="49"/>
    <n v="20.429252300000002"/>
    <n v="20.429252300000002"/>
    <n v="3.0806649990000001"/>
    <n v="18.501612300000001"/>
  </r>
  <r>
    <x v="6"/>
    <x v="1"/>
    <x v="2"/>
    <x v="0"/>
    <x v="0"/>
    <n v="1.527843955"/>
    <n v="5.3125992420000001"/>
    <n v="0.19804771299999999"/>
    <n v="1.4522418859999999"/>
  </r>
  <r>
    <x v="6"/>
    <x v="1"/>
    <x v="3"/>
    <x v="0"/>
    <x v="0"/>
    <n v="19.7594286"/>
    <n v="68.70722963"/>
    <n v="5.5063602920000001"/>
    <n v="18.78167582"/>
  </r>
  <r>
    <x v="6"/>
    <x v="0"/>
    <x v="2"/>
    <x v="0"/>
    <x v="0"/>
    <n v="6.3901149019999997"/>
    <n v="22.21962491"/>
    <n v="0.19371997099999999"/>
    <n v="6.1003053960000004"/>
  </r>
  <r>
    <x v="6"/>
    <x v="0"/>
    <x v="0"/>
    <x v="0"/>
    <x v="0"/>
    <n v="7.4556729000000002E-2"/>
    <n v="0.25924769399999997"/>
    <n v="5.4127199999999998E-4"/>
    <n v="7.1175374E-2"/>
  </r>
  <r>
    <x v="6"/>
    <x v="0"/>
    <x v="3"/>
    <x v="0"/>
    <x v="0"/>
    <n v="0.187132349"/>
    <n v="0.65069418300000004"/>
    <n v="1.5893579999999999E-3"/>
    <n v="0.17864537599999999"/>
  </r>
  <r>
    <x v="6"/>
    <x v="3"/>
    <x v="0"/>
    <x v="0"/>
    <x v="0"/>
    <n v="4.2788978899999996"/>
    <n v="14.878528409999999"/>
    <n v="2.4773960000000002E-3"/>
    <n v="4.0163121889999998"/>
  </r>
  <r>
    <x v="6"/>
    <x v="3"/>
    <x v="3"/>
    <x v="0"/>
    <x v="0"/>
    <n v="0.460537523"/>
    <n v="1.601375121"/>
    <n v="2.6320400000000001E-4"/>
    <n v="0.43227544000000001"/>
  </r>
  <r>
    <x v="6"/>
    <x v="2"/>
    <x v="2"/>
    <x v="0"/>
    <x v="0"/>
    <n v="0.167624104"/>
    <n v="0.58286036600000002"/>
    <n v="9.9301000000000007E-3"/>
    <n v="0.15609102799999999"/>
  </r>
  <r>
    <x v="6"/>
    <x v="1"/>
    <x v="1"/>
    <x v="0"/>
    <x v="0"/>
    <n v="34.447996910000001"/>
    <n v="119.7821294"/>
    <n v="10.362728199999999"/>
    <n v="32.743411940000001"/>
  </r>
  <r>
    <x v="6"/>
    <x v="0"/>
    <x v="3"/>
    <x v="1"/>
    <x v="1"/>
    <n v="0.95272670800000003"/>
    <n v="1.156032242"/>
    <n v="0.120122189"/>
    <n v="0.81743293900000003"/>
  </r>
  <r>
    <x v="6"/>
    <x v="1"/>
    <x v="2"/>
    <x v="1"/>
    <x v="1"/>
    <n v="6.8917669689999999"/>
    <n v="8.3624241329999993"/>
    <n v="0.32593508300000001"/>
    <n v="6.2885695799999999"/>
  </r>
  <r>
    <x v="6"/>
    <x v="1"/>
    <x v="3"/>
    <x v="1"/>
    <x v="1"/>
    <n v="233.91394790000001"/>
    <n v="283.82962620000001"/>
    <n v="32.983076279999999"/>
    <n v="213.44078279999999"/>
  </r>
  <r>
    <x v="6"/>
    <x v="0"/>
    <x v="2"/>
    <x v="1"/>
    <x v="1"/>
    <n v="58.056277909999999"/>
    <n v="70.445100890000006"/>
    <n v="0.95004706500000002"/>
    <n v="49.811885680000003"/>
  </r>
  <r>
    <x v="6"/>
    <x v="0"/>
    <x v="0"/>
    <x v="1"/>
    <x v="1"/>
    <n v="0.89429424199999996"/>
    <n v="1.0851306759999999"/>
    <n v="3.1372459999999998E-3"/>
    <n v="0.76729828600000005"/>
  </r>
  <r>
    <x v="6"/>
    <x v="2"/>
    <x v="2"/>
    <x v="1"/>
    <x v="1"/>
    <n v="1.0351396639999999"/>
    <n v="1.256031573"/>
    <n v="5.0883499999999998E-2"/>
    <n v="0.84011877899999998"/>
  </r>
  <r>
    <x v="6"/>
    <x v="3"/>
    <x v="3"/>
    <x v="1"/>
    <x v="1"/>
    <n v="10.833261589999999"/>
    <n v="13.14500745"/>
    <n v="7.7226279999999996E-3"/>
    <n v="9.3534059840000001"/>
  </r>
  <r>
    <x v="6"/>
    <x v="3"/>
    <x v="0"/>
    <x v="1"/>
    <x v="1"/>
    <n v="17.429574970000001"/>
    <n v="21.148930159999999"/>
    <n v="1.0747372E-2"/>
    <n v="15.04864343"/>
  </r>
  <r>
    <x v="6"/>
    <x v="1"/>
    <x v="1"/>
    <x v="1"/>
    <x v="1"/>
    <n v="445.08577250000002"/>
    <n v="540.06411160000005"/>
    <n v="64.877526140000001"/>
    <n v="406.12993189999997"/>
  </r>
  <r>
    <x v="6"/>
    <x v="1"/>
    <x v="1"/>
    <x v="2"/>
    <x v="2"/>
    <n v="188.114079"/>
    <n v="204.77824580000001"/>
    <n v="25.169659230000001"/>
    <n v="178.82188579999999"/>
  </r>
  <r>
    <x v="6"/>
    <x v="2"/>
    <x v="2"/>
    <x v="2"/>
    <x v="2"/>
    <n v="0.76559038999999995"/>
    <n v="0.833410545"/>
    <n v="2.0169200000000002E-2"/>
    <n v="0.64249958399999996"/>
  </r>
  <r>
    <x v="6"/>
    <x v="1"/>
    <x v="2"/>
    <x v="2"/>
    <x v="2"/>
    <n v="6.1870125739999997"/>
    <n v="6.7350917509999997"/>
    <n v="0.32976618800000002"/>
    <n v="5.8813952780000003"/>
  </r>
  <r>
    <x v="6"/>
    <x v="1"/>
    <x v="0"/>
    <x v="2"/>
    <x v="2"/>
    <n v="2.84734409"/>
    <n v="3.099577295"/>
    <n v="0.48156244500000001"/>
    <n v="2.7066950150000002"/>
  </r>
  <r>
    <x v="6"/>
    <x v="1"/>
    <x v="3"/>
    <x v="2"/>
    <x v="2"/>
    <n v="66.345687479999995"/>
    <n v="72.222948819999999"/>
    <n v="8.7300119370000004"/>
    <n v="63.068437060000001"/>
  </r>
  <r>
    <x v="6"/>
    <x v="0"/>
    <x v="2"/>
    <x v="2"/>
    <x v="2"/>
    <n v="5.1429326670000002"/>
    <n v="5.5985215750000004"/>
    <n v="5.3307128000000002E-2"/>
    <n v="4.7393221150000002"/>
  </r>
  <r>
    <x v="6"/>
    <x v="0"/>
    <x v="0"/>
    <x v="2"/>
    <x v="2"/>
    <n v="8.0970681000000003E-2"/>
    <n v="8.8143503999999998E-2"/>
    <n v="2.9047200000000001E-4"/>
    <n v="7.4616209000000003E-2"/>
  </r>
  <r>
    <x v="6"/>
    <x v="3"/>
    <x v="3"/>
    <x v="2"/>
    <x v="2"/>
    <n v="0.72595944999999995"/>
    <n v="0.79026888100000003"/>
    <n v="4.4732399999999997E-4"/>
    <n v="0.72589856500000005"/>
  </r>
  <r>
    <x v="6"/>
    <x v="3"/>
    <x v="0"/>
    <x v="2"/>
    <x v="2"/>
    <n v="4.7276081669999996"/>
    <n v="5.1464053749999996"/>
    <n v="2.9326759999999999E-3"/>
    <n v="4.7272116679999998"/>
  </r>
  <r>
    <x v="6"/>
    <x v="2"/>
    <x v="2"/>
    <x v="2"/>
    <x v="3"/>
    <n v="2.5429247890000002"/>
    <n v="2.768190878"/>
    <n v="3.4110473000000002E-2"/>
    <n v="2.1959831670000001"/>
  </r>
  <r>
    <x v="6"/>
    <x v="1"/>
    <x v="2"/>
    <x v="2"/>
    <x v="3"/>
    <n v="4.0878579439999996"/>
    <n v="4.4499826020000004"/>
    <n v="0.19968830100000001"/>
    <n v="3.8315789549999999"/>
  </r>
  <r>
    <x v="6"/>
    <x v="1"/>
    <x v="1"/>
    <x v="2"/>
    <x v="3"/>
    <n v="163.65731220000001"/>
    <n v="178.15496580000001"/>
    <n v="22.416616640000001"/>
    <n v="153.397188"/>
  </r>
  <r>
    <x v="6"/>
    <x v="3"/>
    <x v="3"/>
    <x v="2"/>
    <x v="3"/>
    <n v="2.606712253"/>
    <n v="2.837628982"/>
    <n v="1.5492450000000001E-3"/>
    <n v="2.606537044"/>
  </r>
  <r>
    <x v="6"/>
    <x v="3"/>
    <x v="0"/>
    <x v="2"/>
    <x v="3"/>
    <n v="19.207719560000001"/>
    <n v="20.909243679999999"/>
    <n v="1.1970855000000001E-2"/>
    <n v="19.20642853"/>
  </r>
  <r>
    <x v="6"/>
    <x v="0"/>
    <x v="0"/>
    <x v="2"/>
    <x v="3"/>
    <n v="0.36060052500000001"/>
    <n v="0.39254447799999997"/>
    <n v="1.1238660000000001E-3"/>
    <n v="0.33775316300000002"/>
  </r>
  <r>
    <x v="6"/>
    <x v="0"/>
    <x v="2"/>
    <x v="2"/>
    <x v="3"/>
    <n v="6.1877001590000003"/>
    <n v="6.7358402460000004"/>
    <n v="8.0299233999999997E-2"/>
    <n v="5.7956524089999997"/>
  </r>
  <r>
    <x v="6"/>
    <x v="1"/>
    <x v="3"/>
    <x v="2"/>
    <x v="3"/>
    <n v="46.3791072"/>
    <n v="50.487620409999998"/>
    <n v="6.2363453580000003"/>
    <n v="43.471474190000002"/>
  </r>
  <r>
    <x v="6"/>
    <x v="1"/>
    <x v="0"/>
    <x v="2"/>
    <x v="3"/>
    <n v="7.7417773380000003"/>
    <n v="8.4275860219999998"/>
    <n v="0.30963890300000002"/>
    <n v="7.2564241540000003"/>
  </r>
  <r>
    <x v="6"/>
    <x v="2"/>
    <x v="0"/>
    <x v="2"/>
    <x v="3"/>
    <n v="2.613205126"/>
    <n v="2.8446970290000002"/>
    <n v="8.8382700000000001E-4"/>
    <n v="2.256674871"/>
  </r>
  <r>
    <x v="6"/>
    <x v="1"/>
    <x v="1"/>
    <x v="0"/>
    <x v="4"/>
    <n v="293.30926540000002"/>
    <n v="436.58180390000001"/>
    <n v="84.734590920000002"/>
    <n v="285.7920838"/>
  </r>
  <r>
    <x v="6"/>
    <x v="0"/>
    <x v="3"/>
    <x v="0"/>
    <x v="4"/>
    <n v="0.17991707300000001"/>
    <n v="0.26780101899999997"/>
    <n v="1.114472E-3"/>
    <n v="0.17150991800000001"/>
  </r>
  <r>
    <x v="6"/>
    <x v="2"/>
    <x v="2"/>
    <x v="0"/>
    <x v="4"/>
    <n v="1.0484245059999999"/>
    <n v="1.5605475719999999"/>
    <n v="7.424E-3"/>
    <n v="1.008109291"/>
  </r>
  <r>
    <x v="6"/>
    <x v="3"/>
    <x v="3"/>
    <x v="0"/>
    <x v="4"/>
    <n v="14.29829387"/>
    <n v="21.282569850000002"/>
    <n v="5.8027540000000002E-3"/>
    <n v="13.90039655"/>
  </r>
  <r>
    <x v="6"/>
    <x v="3"/>
    <x v="0"/>
    <x v="0"/>
    <x v="4"/>
    <n v="141.44037969999999"/>
    <n v="210.52964710000001"/>
    <n v="6.0883446000000001E-2"/>
    <n v="137.50433340000001"/>
  </r>
  <r>
    <x v="6"/>
    <x v="0"/>
    <x v="0"/>
    <x v="0"/>
    <x v="4"/>
    <n v="1.1910469379999999"/>
    <n v="1.7728366680000001"/>
    <n v="1.6874357999999999E-2"/>
    <n v="1.1353917600000001"/>
  </r>
  <r>
    <x v="6"/>
    <x v="0"/>
    <x v="2"/>
    <x v="0"/>
    <x v="4"/>
    <n v="47.772105269999997"/>
    <n v="71.107306690000001"/>
    <n v="0.57693357000000001"/>
    <n v="45.53981289"/>
  </r>
  <r>
    <x v="6"/>
    <x v="1"/>
    <x v="3"/>
    <x v="0"/>
    <x v="4"/>
    <n v="125.9170981"/>
    <n v="187.4237206"/>
    <n v="32.431123560000003"/>
    <n v="122.6899866"/>
  </r>
  <r>
    <x v="6"/>
    <x v="1"/>
    <x v="2"/>
    <x v="0"/>
    <x v="4"/>
    <n v="8.4944288439999998"/>
    <n v="12.643695599999999"/>
    <n v="1.560971125"/>
    <n v="8.2767263310000008"/>
  </r>
  <r>
    <x v="6"/>
    <x v="3"/>
    <x v="0"/>
    <x v="3"/>
    <x v="5"/>
    <n v="53.72378338"/>
    <n v="64.822075810000001"/>
    <n v="2.6158863000000001E-2"/>
    <n v="52.934916209999997"/>
  </r>
  <r>
    <x v="6"/>
    <x v="1"/>
    <x v="2"/>
    <x v="3"/>
    <x v="5"/>
    <n v="73.80615272"/>
    <n v="89.053073440000006"/>
    <n v="4.8181068539999998"/>
    <n v="70.422512249999997"/>
  </r>
  <r>
    <x v="6"/>
    <x v="1"/>
    <x v="0"/>
    <x v="3"/>
    <x v="5"/>
    <n v="14.41927458"/>
    <n v="17.398017249999999"/>
    <n v="1.3009899599999999"/>
    <n v="13.75822344"/>
  </r>
  <r>
    <x v="6"/>
    <x v="1"/>
    <x v="3"/>
    <x v="3"/>
    <x v="5"/>
    <n v="385.9307177"/>
    <n v="465.6565243"/>
    <n v="120.6375389"/>
    <n v="368.2377376"/>
  </r>
  <r>
    <x v="6"/>
    <x v="1"/>
    <x v="1"/>
    <x v="3"/>
    <x v="5"/>
    <n v="714.69619620000003"/>
    <n v="862.33857890000002"/>
    <n v="218.01531779999999"/>
    <n v="681.9309743"/>
  </r>
  <r>
    <x v="6"/>
    <x v="2"/>
    <x v="0"/>
    <x v="3"/>
    <x v="5"/>
    <n v="4.7486909669999999"/>
    <n v="5.7296784870000002"/>
    <n v="9.8603100000000006E-3"/>
    <n v="4.3131442189999998"/>
  </r>
  <r>
    <x v="6"/>
    <x v="3"/>
    <x v="3"/>
    <x v="3"/>
    <x v="5"/>
    <n v="2.882322973"/>
    <n v="3.4777550380000002"/>
    <n v="1.3867370000000001E-3"/>
    <n v="2.8399996330000001"/>
  </r>
  <r>
    <x v="6"/>
    <x v="2"/>
    <x v="2"/>
    <x v="3"/>
    <x v="5"/>
    <n v="0.79230100000000003"/>
    <n v="0.95597503100000003"/>
    <n v="3.7816389999999998E-2"/>
    <n v="0.71963168399999999"/>
  </r>
  <r>
    <x v="6"/>
    <x v="0"/>
    <x v="0"/>
    <x v="3"/>
    <x v="5"/>
    <n v="1.5685998E-2"/>
    <n v="1.8926420999999999E-2"/>
    <n v="1.6080860000000001E-3"/>
    <n v="1.2624849E-2"/>
  </r>
  <r>
    <x v="6"/>
    <x v="0"/>
    <x v="2"/>
    <x v="3"/>
    <x v="5"/>
    <n v="24.147956409999999"/>
    <n v="29.136456200000001"/>
    <n v="1.1064007140000001"/>
    <n v="19.435441780000001"/>
  </r>
  <r>
    <x v="6"/>
    <x v="3"/>
    <x v="3"/>
    <x v="0"/>
    <x v="6"/>
    <n v="0.19453188199999999"/>
    <n v="0.23764659799999999"/>
    <n v="8.6334200000000004E-5"/>
    <n v="0.17684298600000001"/>
  </r>
  <r>
    <x v="6"/>
    <x v="2"/>
    <x v="2"/>
    <x v="0"/>
    <x v="6"/>
    <n v="1.317550072"/>
    <n v="1.609562859"/>
    <n v="3.3268399999999997E-2"/>
    <n v="1.236256727"/>
  </r>
  <r>
    <x v="6"/>
    <x v="1"/>
    <x v="1"/>
    <x v="0"/>
    <x v="6"/>
    <n v="60.347761779999999"/>
    <n v="73.722826979999994"/>
    <n v="12.682120039999999"/>
    <n v="57.152914590000002"/>
  </r>
  <r>
    <x v="6"/>
    <x v="1"/>
    <x v="2"/>
    <x v="0"/>
    <x v="6"/>
    <n v="8.6298972939999992"/>
    <n v="10.542568709999999"/>
    <n v="0.475390698"/>
    <n v="8.1730252859999997"/>
  </r>
  <r>
    <x v="6"/>
    <x v="1"/>
    <x v="3"/>
    <x v="0"/>
    <x v="6"/>
    <n v="30.438381410000002"/>
    <n v="37.184536100000003"/>
    <n v="6.5268303669999996"/>
    <n v="28.826955000000002"/>
  </r>
  <r>
    <x v="6"/>
    <x v="0"/>
    <x v="2"/>
    <x v="0"/>
    <x v="6"/>
    <n v="26.572850849999998"/>
    <n v="32.462275779999999"/>
    <n v="0.46479995000000002"/>
    <n v="25.299312860000001"/>
  </r>
  <r>
    <x v="6"/>
    <x v="0"/>
    <x v="0"/>
    <x v="0"/>
    <x v="6"/>
    <n v="0.28576593900000002"/>
    <n v="0.34910114799999997"/>
    <n v="1.230762E-3"/>
    <n v="0.27207024000000002"/>
  </r>
  <r>
    <x v="6"/>
    <x v="3"/>
    <x v="0"/>
    <x v="0"/>
    <x v="6"/>
    <n v="2.9767954479999998"/>
    <n v="3.6365520330000001"/>
    <n v="1.1925659999999999E-3"/>
    <n v="2.7061137319999999"/>
  </r>
  <r>
    <x v="6"/>
    <x v="0"/>
    <x v="3"/>
    <x v="0"/>
    <x v="6"/>
    <n v="0.503427395"/>
    <n v="0.61500359999999998"/>
    <n v="2.2573879999999999E-3"/>
    <n v="0.47929999099999998"/>
  </r>
  <r>
    <x v="6"/>
    <x v="2"/>
    <x v="2"/>
    <x v="4"/>
    <x v="7"/>
    <n v="166.7305513"/>
    <n v="174.23972209999999"/>
    <n v="1.8418645"/>
    <n v="154.1900943"/>
  </r>
  <r>
    <x v="6"/>
    <x v="1"/>
    <x v="3"/>
    <x v="4"/>
    <x v="7"/>
    <n v="5609.7813329999999"/>
    <n v="5862.4333280000001"/>
    <n v="1475.119938"/>
    <n v="5123.5682129999996"/>
  </r>
  <r>
    <x v="6"/>
    <x v="0"/>
    <x v="2"/>
    <x v="4"/>
    <x v="7"/>
    <n v="838.46404380000001"/>
    <n v="876.22658750000005"/>
    <n v="11.438993440000001"/>
    <n v="693.44879820000006"/>
  </r>
  <r>
    <x v="6"/>
    <x v="0"/>
    <x v="0"/>
    <x v="4"/>
    <x v="7"/>
    <n v="3.542423699"/>
    <n v="3.7019665329999998"/>
    <n v="1.9071541000000001E-2"/>
    <n v="2.9297493139999999"/>
  </r>
  <r>
    <x v="6"/>
    <x v="0"/>
    <x v="3"/>
    <x v="4"/>
    <x v="7"/>
    <n v="21.24167134"/>
    <n v="22.198348670000001"/>
    <n v="0.16487191500000001"/>
    <n v="17.567851090000001"/>
  </r>
  <r>
    <x v="6"/>
    <x v="3"/>
    <x v="0"/>
    <x v="4"/>
    <x v="7"/>
    <n v="119.06432270000001"/>
    <n v="124.4267133"/>
    <n v="9.1734692000000007E-2"/>
    <n v="118.88771370000001"/>
  </r>
  <r>
    <x v="6"/>
    <x v="3"/>
    <x v="3"/>
    <x v="4"/>
    <x v="7"/>
    <n v="17.707841930000001"/>
    <n v="18.505363500000001"/>
    <n v="1.4201408E-2"/>
    <n v="17.681575760000001"/>
  </r>
  <r>
    <x v="6"/>
    <x v="1"/>
    <x v="1"/>
    <x v="4"/>
    <x v="7"/>
    <n v="8585.2152810000007"/>
    <n v="8971.8741609999997"/>
    <n v="1898.629641"/>
    <n v="7841.114208"/>
  </r>
  <r>
    <x v="6"/>
    <x v="0"/>
    <x v="0"/>
    <x v="0"/>
    <x v="8"/>
    <n v="0.20388539999999999"/>
    <n v="0.31170292799999999"/>
    <n v="2.832485E-3"/>
    <n v="0.19453371799999999"/>
  </r>
  <r>
    <x v="6"/>
    <x v="1"/>
    <x v="2"/>
    <x v="0"/>
    <x v="8"/>
    <n v="4.4324523649999996"/>
    <n v="6.7763968300000004"/>
    <n v="0.46888134599999998"/>
    <n v="4.2972309749999997"/>
  </r>
  <r>
    <x v="6"/>
    <x v="3"/>
    <x v="3"/>
    <x v="0"/>
    <x v="8"/>
    <n v="5.6083555E-2"/>
    <n v="8.5741343999999997E-2"/>
    <n v="2.4082699999999999E-5"/>
    <n v="5.0986826999999998E-2"/>
  </r>
  <r>
    <x v="6"/>
    <x v="2"/>
    <x v="2"/>
    <x v="0"/>
    <x v="8"/>
    <n v="0.86557551700000002"/>
    <n v="1.323304281"/>
    <n v="2.5842400000000001E-2"/>
    <n v="0.79405416299999998"/>
  </r>
  <r>
    <x v="6"/>
    <x v="0"/>
    <x v="3"/>
    <x v="0"/>
    <x v="8"/>
    <n v="0.120558281"/>
    <n v="0.18431123099999999"/>
    <n v="7.3959299999999998E-4"/>
    <n v="0.115028592"/>
  </r>
  <r>
    <x v="6"/>
    <x v="1"/>
    <x v="3"/>
    <x v="0"/>
    <x v="8"/>
    <n v="23.941344560000001"/>
    <n v="36.601871389999999"/>
    <n v="6.1565708460000002"/>
    <n v="23.210962909999999"/>
  </r>
  <r>
    <x v="6"/>
    <x v="0"/>
    <x v="2"/>
    <x v="0"/>
    <x v="8"/>
    <n v="8.4392450360000009"/>
    <n v="12.902039009999999"/>
    <n v="0.123514922"/>
    <n v="8.0521592440000003"/>
  </r>
  <r>
    <x v="6"/>
    <x v="1"/>
    <x v="1"/>
    <x v="0"/>
    <x v="8"/>
    <n v="51.263433059999997"/>
    <n v="78.372272659999993"/>
    <n v="15.584231409999999"/>
    <n v="49.699532959999999"/>
  </r>
  <r>
    <x v="6"/>
    <x v="3"/>
    <x v="0"/>
    <x v="0"/>
    <x v="8"/>
    <n v="1.645833045"/>
    <n v="2.5161731949999999"/>
    <n v="7.0671700000000004E-4"/>
    <n v="1.496264005"/>
  </r>
  <r>
    <x v="6"/>
    <x v="2"/>
    <x v="2"/>
    <x v="5"/>
    <x v="9"/>
    <n v="1.2335509849999999"/>
    <n v="1.312754054"/>
    <n v="1.50838E-2"/>
    <n v="1.069232725"/>
  </r>
  <r>
    <x v="6"/>
    <x v="1"/>
    <x v="1"/>
    <x v="5"/>
    <x v="9"/>
    <n v="113.2132364"/>
    <n v="120.482361"/>
    <n v="22.35397759"/>
    <n v="104.0135186"/>
  </r>
  <r>
    <x v="6"/>
    <x v="1"/>
    <x v="2"/>
    <x v="5"/>
    <x v="9"/>
    <n v="2.8077873329999998"/>
    <n v="2.9880679849999998"/>
    <n v="0.320904474"/>
    <n v="2.5796262809999999"/>
  </r>
  <r>
    <x v="6"/>
    <x v="0"/>
    <x v="3"/>
    <x v="5"/>
    <x v="9"/>
    <n v="0.38915188299999998"/>
    <n v="0.41413830400000001"/>
    <n v="5.0349339999999996E-3"/>
    <n v="0.36191826900000001"/>
  </r>
  <r>
    <x v="6"/>
    <x v="0"/>
    <x v="0"/>
    <x v="5"/>
    <x v="9"/>
    <n v="0.663473965"/>
    <n v="0.70607388599999998"/>
    <n v="5.1078390000000003E-3"/>
    <n v="0.61704275099999994"/>
  </r>
  <r>
    <x v="6"/>
    <x v="0"/>
    <x v="2"/>
    <x v="5"/>
    <x v="9"/>
    <n v="13.045722380000001"/>
    <n v="13.883353960000001"/>
    <n v="0.146038426"/>
    <n v="12.13275705"/>
  </r>
  <r>
    <x v="6"/>
    <x v="1"/>
    <x v="3"/>
    <x v="5"/>
    <x v="9"/>
    <n v="27.508830240000002"/>
    <n v="29.275099990000001"/>
    <n v="6.7131144789999997"/>
    <n v="25.27346021"/>
  </r>
  <r>
    <x v="6"/>
    <x v="1"/>
    <x v="0"/>
    <x v="5"/>
    <x v="9"/>
    <n v="1.4415952540000001"/>
    <n v="1.5341563"/>
    <n v="0.32982255799999999"/>
    <n v="1.3244510940000001"/>
  </r>
  <r>
    <x v="6"/>
    <x v="0"/>
    <x v="2"/>
    <x v="2"/>
    <x v="10"/>
    <n v="1.7909587840000001"/>
    <n v="1.9453114579999999"/>
    <n v="4.1078648000000002E-2"/>
    <n v="1.622055386"/>
  </r>
  <r>
    <x v="6"/>
    <x v="1"/>
    <x v="2"/>
    <x v="2"/>
    <x v="10"/>
    <n v="3.375771056"/>
    <n v="3.666709795"/>
    <n v="0.21552025599999999"/>
    <n v="3.1887659620000002"/>
  </r>
  <r>
    <x v="6"/>
    <x v="1"/>
    <x v="1"/>
    <x v="2"/>
    <x v="10"/>
    <n v="140.1295317"/>
    <n v="152.2065087"/>
    <n v="19.062644639999998"/>
    <n v="132.3668796"/>
  </r>
  <r>
    <x v="6"/>
    <x v="1"/>
    <x v="0"/>
    <x v="2"/>
    <x v="10"/>
    <n v="1.8107951879999999"/>
    <n v="1.96685745"/>
    <n v="0.225051738"/>
    <n v="1.710483905"/>
  </r>
  <r>
    <x v="6"/>
    <x v="1"/>
    <x v="3"/>
    <x v="2"/>
    <x v="10"/>
    <n v="45.767015030000003"/>
    <n v="49.711416890000002"/>
    <n v="6.7903636709999997"/>
    <n v="43.23169352"/>
  </r>
  <r>
    <x v="6"/>
    <x v="3"/>
    <x v="0"/>
    <x v="2"/>
    <x v="10"/>
    <n v="20.80235794"/>
    <n v="22.595196290000001"/>
    <n v="1.2916142E-2"/>
    <n v="20.801050180000001"/>
  </r>
  <r>
    <x v="6"/>
    <x v="3"/>
    <x v="3"/>
    <x v="2"/>
    <x v="10"/>
    <n v="3.0740056060000001"/>
    <n v="3.338936876"/>
    <n v="1.8492580000000001E-3"/>
    <n v="3.0738123549999998"/>
  </r>
  <r>
    <x v="6"/>
    <x v="2"/>
    <x v="2"/>
    <x v="2"/>
    <x v="10"/>
    <n v="0.34420278700000001"/>
    <n v="0.373867691"/>
    <n v="3.8552740000000001E-3"/>
    <n v="0.31411734099999999"/>
  </r>
  <r>
    <x v="6"/>
    <x v="2"/>
    <x v="0"/>
    <x v="2"/>
    <x v="10"/>
    <n v="1.2690420069999999"/>
    <n v="1.3784136069999999"/>
    <n v="1.344126E-3"/>
    <n v="1.1581199099999999"/>
  </r>
  <r>
    <x v="6"/>
    <x v="0"/>
    <x v="0"/>
    <x v="2"/>
    <x v="10"/>
    <n v="5.6908394000000001E-2"/>
    <n v="6.1813008000000003E-2"/>
    <n v="3.74452E-4"/>
    <n v="5.1541424000000002E-2"/>
  </r>
  <r>
    <x v="6"/>
    <x v="0"/>
    <x v="2"/>
    <x v="2"/>
    <x v="11"/>
    <n v="2.1759047489999999"/>
    <n v="2.3686582089999999"/>
    <n v="3.5654330999999997E-2"/>
    <n v="2.2150573169999999"/>
  </r>
  <r>
    <x v="6"/>
    <x v="1"/>
    <x v="1"/>
    <x v="2"/>
    <x v="11"/>
    <n v="197.004356"/>
    <n v="214.45607190000001"/>
    <n v="26.805338030000001"/>
    <n v="186.66565209999999"/>
  </r>
  <r>
    <x v="6"/>
    <x v="1"/>
    <x v="2"/>
    <x v="2"/>
    <x v="11"/>
    <n v="3.6671124810000002"/>
    <n v="3.9919652220000001"/>
    <n v="0.29257441499999998"/>
    <n v="3.4746639949999998"/>
  </r>
  <r>
    <x v="6"/>
    <x v="1"/>
    <x v="3"/>
    <x v="2"/>
    <x v="11"/>
    <n v="60.925005980000002"/>
    <n v="66.32207391"/>
    <n v="9.407167973"/>
    <n v="57.727687869999997"/>
  </r>
  <r>
    <x v="6"/>
    <x v="0"/>
    <x v="0"/>
    <x v="2"/>
    <x v="11"/>
    <n v="2.4102406999999999E-2"/>
    <n v="2.6237528999999999E-2"/>
    <n v="9.7368900000000002E-5"/>
    <n v="2.4536098999999999E-2"/>
  </r>
  <r>
    <x v="6"/>
    <x v="3"/>
    <x v="0"/>
    <x v="2"/>
    <x v="11"/>
    <n v="2.2949294660000001"/>
    <n v="2.4982267820000001"/>
    <n v="1.921306E-3"/>
    <n v="2.294791896"/>
  </r>
  <r>
    <x v="6"/>
    <x v="3"/>
    <x v="3"/>
    <x v="2"/>
    <x v="11"/>
    <n v="0.50369460899999996"/>
    <n v="0.54831461299999995"/>
    <n v="3.9139399999999999E-4"/>
    <n v="0.50366441500000003"/>
  </r>
  <r>
    <x v="6"/>
    <x v="2"/>
    <x v="2"/>
    <x v="2"/>
    <x v="11"/>
    <n v="3.3172442950000001"/>
    <n v="3.6111038120000001"/>
    <n v="3.2477499999999999E-2"/>
    <n v="3.2449779560000001"/>
  </r>
  <r>
    <x v="6"/>
    <x v="1"/>
    <x v="0"/>
    <x v="2"/>
    <x v="11"/>
    <n v="2.1036767219999999"/>
    <n v="2.2900318319999999"/>
    <n v="0.29272208300000002"/>
    <n v="1.993276673"/>
  </r>
  <r>
    <x v="6"/>
    <x v="2"/>
    <x v="0"/>
    <x v="2"/>
    <x v="12"/>
    <n v="0.51839962799999995"/>
    <n v="0.56432228200000001"/>
    <n v="3.2089400000000001E-4"/>
    <n v="0.54833800700000002"/>
  </r>
  <r>
    <x v="6"/>
    <x v="0"/>
    <x v="2"/>
    <x v="2"/>
    <x v="12"/>
    <n v="47.807618679999997"/>
    <n v="52.0426772"/>
    <n v="0.93807368499999999"/>
    <n v="46.968786430000002"/>
  </r>
  <r>
    <x v="6"/>
    <x v="1"/>
    <x v="1"/>
    <x v="2"/>
    <x v="12"/>
    <n v="970.79733480000004"/>
    <n v="1056.7958349999999"/>
    <n v="149.58432149999999"/>
    <n v="909.85374809999996"/>
  </r>
  <r>
    <x v="6"/>
    <x v="1"/>
    <x v="2"/>
    <x v="2"/>
    <x v="12"/>
    <n v="23.609951469999999"/>
    <n v="25.70144921"/>
    <n v="1.8089762190000001"/>
    <n v="22.12779338"/>
  </r>
  <r>
    <x v="6"/>
    <x v="1"/>
    <x v="0"/>
    <x v="2"/>
    <x v="12"/>
    <n v="30.703485950000001"/>
    <n v="33.423367489999997"/>
    <n v="1.7600236869999999"/>
    <n v="28.776018199999999"/>
  </r>
  <r>
    <x v="6"/>
    <x v="1"/>
    <x v="3"/>
    <x v="2"/>
    <x v="12"/>
    <n v="402.04487619999998"/>
    <n v="437.66019499999999"/>
    <n v="58.679216019999998"/>
    <n v="376.80577030000001"/>
  </r>
  <r>
    <x v="6"/>
    <x v="0"/>
    <x v="0"/>
    <x v="2"/>
    <x v="12"/>
    <n v="0.81361502600000002"/>
    <n v="0.88568946400000004"/>
    <n v="1.8367872E-2"/>
    <n v="0.79933933999999995"/>
  </r>
  <r>
    <x v="6"/>
    <x v="0"/>
    <x v="3"/>
    <x v="2"/>
    <x v="12"/>
    <n v="2.9068487379999999"/>
    <n v="3.1643531870000001"/>
    <n v="0.104825443"/>
    <n v="2.8558451840000001"/>
  </r>
  <r>
    <x v="6"/>
    <x v="3"/>
    <x v="0"/>
    <x v="2"/>
    <x v="12"/>
    <n v="67.864998959999994"/>
    <n v="73.876849160000006"/>
    <n v="4.7147186000000001E-2"/>
    <n v="67.860452030000005"/>
  </r>
  <r>
    <x v="6"/>
    <x v="2"/>
    <x v="2"/>
    <x v="2"/>
    <x v="12"/>
    <n v="5.3018303370000002"/>
    <n v="5.7714952640000003"/>
    <n v="7.2671505999999997E-2"/>
    <n v="5.6080192350000004"/>
  </r>
  <r>
    <x v="6"/>
    <x v="3"/>
    <x v="3"/>
    <x v="2"/>
    <x v="12"/>
    <n v="11.26712232"/>
    <n v="12.265225210000001"/>
    <n v="7.3465140000000002E-3"/>
    <n v="11.26636742"/>
  </r>
  <r>
    <x v="6"/>
    <x v="0"/>
    <x v="2"/>
    <x v="2"/>
    <x v="13"/>
    <n v="53.078822989999999"/>
    <n v="57.78083341"/>
    <n v="1.0791335070000001"/>
    <n v="49.394946689999998"/>
  </r>
  <r>
    <x v="6"/>
    <x v="1"/>
    <x v="2"/>
    <x v="2"/>
    <x v="13"/>
    <n v="64.363089979999998"/>
    <n v="70.064722070000002"/>
    <n v="3.355940817"/>
    <n v="59.420435849999997"/>
  </r>
  <r>
    <x v="6"/>
    <x v="1"/>
    <x v="1"/>
    <x v="2"/>
    <x v="13"/>
    <n v="1522.0278820000001"/>
    <n v="1656.8573779999999"/>
    <n v="219.8347326"/>
    <n v="1405.1463369999999"/>
  </r>
  <r>
    <x v="6"/>
    <x v="1"/>
    <x v="0"/>
    <x v="2"/>
    <x v="13"/>
    <n v="31.570134360000001"/>
    <n v="34.366788329999999"/>
    <n v="3.2119515700000001"/>
    <n v="29.145759529999999"/>
  </r>
  <r>
    <x v="6"/>
    <x v="1"/>
    <x v="3"/>
    <x v="2"/>
    <x v="13"/>
    <n v="745.54076580000003"/>
    <n v="811.58481610000001"/>
    <n v="141.3890016"/>
    <n v="688.28822950000006"/>
  </r>
  <r>
    <x v="6"/>
    <x v="0"/>
    <x v="3"/>
    <x v="2"/>
    <x v="13"/>
    <n v="5.1838931949999996"/>
    <n v="5.6431106089999998"/>
    <n v="0.16587803400000001"/>
    <n v="4.82411089"/>
  </r>
  <r>
    <x v="6"/>
    <x v="3"/>
    <x v="0"/>
    <x v="2"/>
    <x v="13"/>
    <n v="280.49562850000001"/>
    <n v="305.34345480000002"/>
    <n v="0.15869955899999999"/>
    <n v="278.3349139"/>
  </r>
  <r>
    <x v="6"/>
    <x v="3"/>
    <x v="3"/>
    <x v="2"/>
    <x v="13"/>
    <n v="21.01423819"/>
    <n v="22.87579354"/>
    <n v="1.8805440999999999E-2"/>
    <n v="20.852361259999999"/>
  </r>
  <r>
    <x v="6"/>
    <x v="2"/>
    <x v="2"/>
    <x v="2"/>
    <x v="13"/>
    <n v="15.727450040000001"/>
    <n v="17.120672979999998"/>
    <n v="0.21189466000000001"/>
    <n v="12.321745249999999"/>
  </r>
  <r>
    <x v="6"/>
    <x v="2"/>
    <x v="0"/>
    <x v="2"/>
    <x v="13"/>
    <n v="1.1770614340000001"/>
    <n v="1.281331928"/>
    <n v="1.48244E-3"/>
    <n v="0.92217435699999994"/>
  </r>
  <r>
    <x v="6"/>
    <x v="0"/>
    <x v="0"/>
    <x v="2"/>
    <x v="13"/>
    <n v="1.658749874"/>
    <n v="1.805690947"/>
    <n v="2.7356558E-2"/>
    <n v="1.543626196"/>
  </r>
  <r>
    <x v="6"/>
    <x v="3"/>
    <x v="3"/>
    <x v="2"/>
    <x v="14"/>
    <n v="7.4840622999999995E-2"/>
    <n v="8.1470411000000006E-2"/>
    <n v="6.2747000000000001E-5"/>
    <n v="7.4832803000000003E-2"/>
  </r>
  <r>
    <x v="6"/>
    <x v="1"/>
    <x v="2"/>
    <x v="2"/>
    <x v="14"/>
    <n v="1.627675881"/>
    <n v="1.771864251"/>
    <n v="8.8636598999999996E-2"/>
    <n v="1.554197968"/>
  </r>
  <r>
    <x v="6"/>
    <x v="1"/>
    <x v="1"/>
    <x v="2"/>
    <x v="14"/>
    <n v="61.176610940000003"/>
    <n v="66.59596741"/>
    <n v="8.8953121040000003"/>
    <n v="58.414924929999998"/>
  </r>
  <r>
    <x v="6"/>
    <x v="1"/>
    <x v="3"/>
    <x v="2"/>
    <x v="14"/>
    <n v="18.833240669999999"/>
    <n v="20.50159142"/>
    <n v="3.1147580540000002"/>
    <n v="17.983054689999999"/>
  </r>
  <r>
    <x v="6"/>
    <x v="0"/>
    <x v="2"/>
    <x v="2"/>
    <x v="14"/>
    <n v="1.518333406"/>
    <n v="1.652835625"/>
    <n v="2.27744E-2"/>
    <n v="1.4012370199999999"/>
  </r>
  <r>
    <x v="6"/>
    <x v="1"/>
    <x v="0"/>
    <x v="2"/>
    <x v="14"/>
    <n v="0.61389211200000005"/>
    <n v="0.668274009"/>
    <n v="7.5388143000000005E-2"/>
    <n v="0.58617927800000003"/>
  </r>
  <r>
    <x v="6"/>
    <x v="3"/>
    <x v="0"/>
    <x v="2"/>
    <x v="14"/>
    <n v="0.35559591699999998"/>
    <n v="0.38709653399999999"/>
    <n v="2.9295299999999999E-4"/>
    <n v="0.355558763"/>
  </r>
  <r>
    <x v="6"/>
    <x v="2"/>
    <x v="2"/>
    <x v="2"/>
    <x v="14"/>
    <n v="1.716513733"/>
    <n v="1.8685718419999999"/>
    <n v="2.6744475E-2"/>
    <n v="1.5887659059999999"/>
  </r>
  <r>
    <x v="6"/>
    <x v="2"/>
    <x v="0"/>
    <x v="2"/>
    <x v="14"/>
    <n v="0.48382127200000002"/>
    <n v="0.52668078799999996"/>
    <n v="7.1092499999999995E-4"/>
    <n v="0.447813919"/>
  </r>
  <r>
    <x v="6"/>
    <x v="0"/>
    <x v="3"/>
    <x v="4"/>
    <x v="15"/>
    <n v="0.14377693599999999"/>
    <n v="0.144940401"/>
    <n v="7.9712495999999994E-2"/>
    <n v="0.121206645"/>
  </r>
  <r>
    <x v="6"/>
    <x v="3"/>
    <x v="0"/>
    <x v="4"/>
    <x v="15"/>
    <n v="10.8517308"/>
    <n v="10.939544639999999"/>
    <n v="9.6448999999999997E-3"/>
    <n v="9.1188023630000004"/>
  </r>
  <r>
    <x v="6"/>
    <x v="1"/>
    <x v="1"/>
    <x v="4"/>
    <x v="15"/>
    <n v="184.73954040000001"/>
    <n v="186.23448070000001"/>
    <n v="37.847586030000002"/>
    <n v="174.4029377"/>
  </r>
  <r>
    <x v="6"/>
    <x v="2"/>
    <x v="2"/>
    <x v="4"/>
    <x v="15"/>
    <n v="0.77445571099999999"/>
    <n v="0.78072272399999998"/>
    <n v="0.12839049999999999"/>
    <n v="0.75083824499999996"/>
  </r>
  <r>
    <x v="6"/>
    <x v="0"/>
    <x v="0"/>
    <x v="4"/>
    <x v="15"/>
    <n v="3.120326E-2"/>
    <n v="3.1455760999999999E-2"/>
    <n v="1.3751799999999999E-4"/>
    <n v="2.6304931E-2"/>
  </r>
  <r>
    <x v="6"/>
    <x v="1"/>
    <x v="3"/>
    <x v="4"/>
    <x v="15"/>
    <n v="84.480740650000001"/>
    <n v="85.164371549999998"/>
    <n v="18.971081470000001"/>
    <n v="79.753848649999995"/>
  </r>
  <r>
    <x v="6"/>
    <x v="0"/>
    <x v="2"/>
    <x v="4"/>
    <x v="15"/>
    <n v="10.37031623"/>
    <n v="10.45423439"/>
    <n v="0.64566048600000003"/>
    <n v="8.7423704059999992"/>
  </r>
  <r>
    <x v="6"/>
    <x v="1"/>
    <x v="1"/>
    <x v="5"/>
    <x v="16"/>
    <n v="70.189010030000006"/>
    <n v="79.433972940000004"/>
    <n v="14.546972540000001"/>
    <n v="64.109440079999999"/>
  </r>
  <r>
    <x v="6"/>
    <x v="2"/>
    <x v="2"/>
    <x v="5"/>
    <x v="16"/>
    <n v="0.31652100100000002"/>
    <n v="0.358211644"/>
    <n v="5.9361680000000003E-3"/>
    <n v="0.26431698399999998"/>
  </r>
  <r>
    <x v="6"/>
    <x v="3"/>
    <x v="3"/>
    <x v="5"/>
    <x v="16"/>
    <n v="7.3624759999999997E-3"/>
    <n v="8.3322259999999999E-3"/>
    <n v="4.4500099999999999E-4"/>
    <n v="6.6929090000000004E-3"/>
  </r>
  <r>
    <x v="6"/>
    <x v="3"/>
    <x v="0"/>
    <x v="5"/>
    <x v="16"/>
    <n v="5.4357394000000003E-2"/>
    <n v="6.1517091000000003E-2"/>
    <n v="3.2927989999999999E-3"/>
    <n v="4.9413960999999999E-2"/>
  </r>
  <r>
    <x v="6"/>
    <x v="2"/>
    <x v="0"/>
    <x v="5"/>
    <x v="16"/>
    <n v="0.27425445100000001"/>
    <n v="0.31037794400000002"/>
    <n v="4.3343199999999998E-4"/>
    <n v="0.229021483"/>
  </r>
  <r>
    <x v="6"/>
    <x v="1"/>
    <x v="0"/>
    <x v="5"/>
    <x v="16"/>
    <n v="0.73918610399999995"/>
    <n v="0.83654818600000003"/>
    <n v="0.17813981200000001"/>
    <n v="0.67515993200000002"/>
  </r>
  <r>
    <x v="6"/>
    <x v="1"/>
    <x v="3"/>
    <x v="5"/>
    <x v="16"/>
    <n v="19.09141073"/>
    <n v="21.60604064"/>
    <n v="5.298672142"/>
    <n v="17.437767699999998"/>
  </r>
  <r>
    <x v="6"/>
    <x v="0"/>
    <x v="2"/>
    <x v="5"/>
    <x v="16"/>
    <n v="1.8437798599999999"/>
    <n v="2.0866337819999998"/>
    <n v="2.5354212000000001E-2"/>
    <n v="1.6984698090000001"/>
  </r>
  <r>
    <x v="6"/>
    <x v="0"/>
    <x v="0"/>
    <x v="5"/>
    <x v="16"/>
    <n v="6.2963697999999999E-2"/>
    <n v="7.1256976999999999E-2"/>
    <n v="6.51489E-4"/>
    <n v="5.8001469E-2"/>
  </r>
  <r>
    <x v="6"/>
    <x v="0"/>
    <x v="3"/>
    <x v="5"/>
    <x v="16"/>
    <n v="3.7356996000000003E-2"/>
    <n v="4.2277481999999998E-2"/>
    <n v="7.3609900000000004E-4"/>
    <n v="3.4412854999999999E-2"/>
  </r>
  <r>
    <x v="6"/>
    <x v="1"/>
    <x v="2"/>
    <x v="5"/>
    <x v="16"/>
    <n v="1.584048608"/>
    <n v="1.7926919640000001"/>
    <n v="0.20271560399999999"/>
    <n v="1.446842878"/>
  </r>
  <r>
    <x v="6"/>
    <x v="1"/>
    <x v="2"/>
    <x v="6"/>
    <x v="17"/>
    <n v="10.55049958"/>
    <n v="11.472281300000001"/>
    <n v="0.34627931299999998"/>
    <n v="9.7692798990000007"/>
  </r>
  <r>
    <x v="6"/>
    <x v="2"/>
    <x v="2"/>
    <x v="6"/>
    <x v="17"/>
    <n v="11.37257162"/>
    <n v="12.36617656"/>
    <n v="0.22357450000000001"/>
    <n v="10.747614970000001"/>
  </r>
  <r>
    <x v="6"/>
    <x v="0"/>
    <x v="3"/>
    <x v="6"/>
    <x v="17"/>
    <n v="0.28370243499999998"/>
    <n v="0.30848910200000002"/>
    <n v="2.4138423999999999E-2"/>
    <n v="0.24508860099999999"/>
  </r>
  <r>
    <x v="6"/>
    <x v="0"/>
    <x v="0"/>
    <x v="6"/>
    <x v="17"/>
    <n v="1.6534631689999999"/>
    <n v="1.7979238280000001"/>
    <n v="2.4146179999999999E-3"/>
    <n v="1.4284155650000001"/>
  </r>
  <r>
    <x v="6"/>
    <x v="1"/>
    <x v="3"/>
    <x v="6"/>
    <x v="17"/>
    <n v="259.6880084"/>
    <n v="282.37656989999999"/>
    <n v="61.17657466"/>
    <n v="240.45921440000001"/>
  </r>
  <r>
    <x v="6"/>
    <x v="1"/>
    <x v="1"/>
    <x v="6"/>
    <x v="17"/>
    <n v="556.07703489999994"/>
    <n v="604.66067210000006"/>
    <n v="106.15132079999999"/>
    <n v="514.90189239999995"/>
  </r>
  <r>
    <x v="6"/>
    <x v="0"/>
    <x v="2"/>
    <x v="6"/>
    <x v="17"/>
    <n v="44.74637551"/>
    <n v="48.655800880000001"/>
    <n v="0.65199965900000001"/>
    <n v="38.656088889999999"/>
  </r>
  <r>
    <x v="6"/>
    <x v="1"/>
    <x v="2"/>
    <x v="6"/>
    <x v="18"/>
    <n v="1.6967885330000001"/>
    <n v="2.1719142379999998"/>
    <n v="0.11280468"/>
    <n v="1.4663286230000001"/>
  </r>
  <r>
    <x v="6"/>
    <x v="2"/>
    <x v="2"/>
    <x v="6"/>
    <x v="18"/>
    <n v="1.164762195"/>
    <n v="1.4909127129999999"/>
    <n v="4.0976800000000001E-2"/>
    <n v="0.65394078700000002"/>
  </r>
  <r>
    <x v="6"/>
    <x v="3"/>
    <x v="0"/>
    <x v="6"/>
    <x v="18"/>
    <n v="1.0282946660000001"/>
    <n v="1.3162322710000001"/>
    <n v="1.5838E-3"/>
    <n v="0.82262776800000004"/>
  </r>
  <r>
    <x v="6"/>
    <x v="0"/>
    <x v="3"/>
    <x v="6"/>
    <x v="18"/>
    <n v="0.12646098"/>
    <n v="0.16187191100000001"/>
    <n v="1.5446799000000001E-2"/>
    <n v="0.101511276"/>
  </r>
  <r>
    <x v="6"/>
    <x v="0"/>
    <x v="0"/>
    <x v="6"/>
    <x v="18"/>
    <n v="0.80207820200000002"/>
    <n v="1.026671876"/>
    <n v="5.3702999999999997E-4"/>
    <n v="0.643834817"/>
  </r>
  <r>
    <x v="6"/>
    <x v="1"/>
    <x v="3"/>
    <x v="6"/>
    <x v="18"/>
    <n v="43.783622610000002"/>
    <n v="56.043679859999997"/>
    <n v="12.105542509999999"/>
    <n v="37.836877029999997"/>
  </r>
  <r>
    <x v="6"/>
    <x v="1"/>
    <x v="1"/>
    <x v="6"/>
    <x v="18"/>
    <n v="146.0151875"/>
    <n v="186.90158410000001"/>
    <n v="33.313941309999997"/>
    <n v="126.1832248"/>
  </r>
  <r>
    <x v="6"/>
    <x v="0"/>
    <x v="2"/>
    <x v="6"/>
    <x v="18"/>
    <n v="13.814785880000001"/>
    <n v="17.683128790000001"/>
    <n v="0.14847707199999999"/>
    <n v="11.089243079999999"/>
  </r>
  <r>
    <x v="6"/>
    <x v="1"/>
    <x v="1"/>
    <x v="2"/>
    <x v="19"/>
    <n v="310.64076519999998"/>
    <n v="338.1590114"/>
    <n v="48.439180120000003"/>
    <n v="289.60010620000003"/>
  </r>
  <r>
    <x v="6"/>
    <x v="1"/>
    <x v="2"/>
    <x v="2"/>
    <x v="19"/>
    <n v="4.0932586889999998"/>
    <n v="4.4558617749999998"/>
    <n v="0.40389467899999998"/>
    <n v="3.8160096289999998"/>
  </r>
  <r>
    <x v="6"/>
    <x v="1"/>
    <x v="0"/>
    <x v="2"/>
    <x v="19"/>
    <n v="3.040425795"/>
    <n v="3.3097632250000002"/>
    <n v="0.42121678200000001"/>
    <n v="2.8344883599999999"/>
  </r>
  <r>
    <x v="6"/>
    <x v="1"/>
    <x v="3"/>
    <x v="2"/>
    <x v="19"/>
    <n v="87.244277220000001"/>
    <n v="94.972849139999994"/>
    <n v="14.246381919999999"/>
    <n v="81.334952709999996"/>
  </r>
  <r>
    <x v="6"/>
    <x v="0"/>
    <x v="2"/>
    <x v="2"/>
    <x v="19"/>
    <n v="0.35368937099999997"/>
    <n v="0.38502109600000001"/>
    <n v="4.2583999999999999E-3"/>
    <n v="0.31484605300000001"/>
  </r>
  <r>
    <x v="6"/>
    <x v="2"/>
    <x v="2"/>
    <x v="2"/>
    <x v="19"/>
    <n v="6.5185379780000003"/>
    <n v="7.0959854760000001"/>
    <n v="1.0614E-2"/>
    <n v="7.3414569829999996"/>
  </r>
  <r>
    <x v="6"/>
    <x v="1"/>
    <x v="1"/>
    <x v="7"/>
    <x v="20"/>
    <n v="230.40586579999999"/>
    <n v="218.32193409999999"/>
    <n v="38.854524210000001"/>
    <n v="213.7514741"/>
  </r>
  <r>
    <x v="6"/>
    <x v="0"/>
    <x v="2"/>
    <x v="7"/>
    <x v="20"/>
    <n v="0.80479835499999997"/>
    <n v="0.76258967099999997"/>
    <n v="1.9558094000000002E-2"/>
    <n v="0.71347166900000003"/>
  </r>
  <r>
    <x v="6"/>
    <x v="1"/>
    <x v="0"/>
    <x v="7"/>
    <x v="20"/>
    <n v="2.1431553330000002"/>
    <n v="2.0307547970000002"/>
    <n v="0.33903474300000003"/>
    <n v="1.988241967"/>
  </r>
  <r>
    <x v="6"/>
    <x v="2"/>
    <x v="2"/>
    <x v="7"/>
    <x v="20"/>
    <n v="2.9539691999999999E-2"/>
    <n v="2.7990444999999999E-2"/>
    <n v="1.7442E-3"/>
    <n v="2.5405003999999998E-2"/>
  </r>
  <r>
    <x v="6"/>
    <x v="3"/>
    <x v="3"/>
    <x v="7"/>
    <x v="20"/>
    <n v="0.60036347300000004"/>
    <n v="0.56887663899999996"/>
    <n v="2.6291599999999997E-4"/>
    <n v="0.60010969999999997"/>
  </r>
  <r>
    <x v="6"/>
    <x v="3"/>
    <x v="0"/>
    <x v="7"/>
    <x v="20"/>
    <n v="6.1219525939999997"/>
    <n v="5.8008789219999999"/>
    <n v="2.7097839999999998E-3"/>
    <n v="6.1193648520000004"/>
  </r>
  <r>
    <x v="6"/>
    <x v="0"/>
    <x v="0"/>
    <x v="7"/>
    <x v="20"/>
    <n v="3.8572272999999997E-2"/>
    <n v="3.6549300999999999E-2"/>
    <n v="5.3087100000000003E-4"/>
    <n v="3.4195178999999999E-2"/>
  </r>
  <r>
    <x v="6"/>
    <x v="1"/>
    <x v="3"/>
    <x v="7"/>
    <x v="20"/>
    <n v="61.99471819"/>
    <n v="58.743325509999998"/>
    <n v="12.575757189999999"/>
    <n v="57.513563529999999"/>
  </r>
  <r>
    <x v="6"/>
    <x v="1"/>
    <x v="2"/>
    <x v="7"/>
    <x v="20"/>
    <n v="4.3028785589999998"/>
    <n v="4.0772085630000001"/>
    <n v="0.53473605700000004"/>
    <n v="3.991854252"/>
  </r>
  <r>
    <x v="6"/>
    <x v="0"/>
    <x v="3"/>
    <x v="7"/>
    <x v="20"/>
    <n v="1.6008373999999999E-2"/>
    <n v="1.5168795000000001E-2"/>
    <n v="9.6935700000000001E-5"/>
    <n v="1.4191779999999999E-2"/>
  </r>
  <r>
    <x v="6"/>
    <x v="3"/>
    <x v="0"/>
    <x v="2"/>
    <x v="21"/>
    <n v="53.89667901"/>
    <n v="58.671139570000001"/>
    <n v="3.3529023999999998E-2"/>
    <n v="53.89313044"/>
  </r>
  <r>
    <x v="6"/>
    <x v="3"/>
    <x v="3"/>
    <x v="2"/>
    <x v="21"/>
    <n v="8.6762327769999992"/>
    <n v="9.4448205989999998"/>
    <n v="5.2522760000000002E-3"/>
    <n v="8.6756615309999994"/>
  </r>
  <r>
    <x v="6"/>
    <x v="2"/>
    <x v="0"/>
    <x v="2"/>
    <x v="21"/>
    <n v="0.426719823"/>
    <n v="0.46452098200000003"/>
    <n v="1.68176E-3"/>
    <n v="0.40564006699999999"/>
  </r>
  <r>
    <x v="6"/>
    <x v="0"/>
    <x v="3"/>
    <x v="2"/>
    <x v="21"/>
    <n v="4.7167780849999996"/>
    <n v="5.1346159059999996"/>
    <n v="0.102368134"/>
    <n v="3.9114841569999999"/>
  </r>
  <r>
    <x v="6"/>
    <x v="0"/>
    <x v="0"/>
    <x v="2"/>
    <x v="21"/>
    <n v="0.81914062099999996"/>
    <n v="0.89170454600000004"/>
    <n v="1.1576026999999999E-2"/>
    <n v="0.67928902000000002"/>
  </r>
  <r>
    <x v="6"/>
    <x v="0"/>
    <x v="2"/>
    <x v="2"/>
    <x v="21"/>
    <n v="19.143143890000001"/>
    <n v="20.83894755"/>
    <n v="0.284755639"/>
    <n v="15.874841399999999"/>
  </r>
  <r>
    <x v="6"/>
    <x v="1"/>
    <x v="0"/>
    <x v="2"/>
    <x v="21"/>
    <n v="15.29111647"/>
    <n v="16.645686609999998"/>
    <n v="1.601043046"/>
    <n v="14.14608061"/>
  </r>
  <r>
    <x v="6"/>
    <x v="1"/>
    <x v="2"/>
    <x v="2"/>
    <x v="21"/>
    <n v="16.016212750000001"/>
    <n v="17.43501586"/>
    <n v="1.065146065"/>
    <n v="14.816879930000001"/>
  </r>
  <r>
    <x v="6"/>
    <x v="1"/>
    <x v="1"/>
    <x v="2"/>
    <x v="21"/>
    <n v="482.6489029"/>
    <n v="525.40456410000002"/>
    <n v="78.686197280000002"/>
    <n v="446.50698349999999"/>
  </r>
  <r>
    <x v="6"/>
    <x v="1"/>
    <x v="3"/>
    <x v="2"/>
    <x v="21"/>
    <n v="161.5045968"/>
    <n v="175.8115511"/>
    <n v="27.432068009999998"/>
    <n v="149.41074119999999"/>
  </r>
  <r>
    <x v="6"/>
    <x v="2"/>
    <x v="2"/>
    <x v="2"/>
    <x v="21"/>
    <n v="7.8347473760000002"/>
    <n v="8.5287918509999994"/>
    <n v="3.4396139999999999E-2"/>
    <n v="7.4477145880000002"/>
  </r>
  <r>
    <x v="6"/>
    <x v="3"/>
    <x v="2"/>
    <x v="8"/>
    <x v="22"/>
    <n v="47.287477619999997"/>
    <n v="53.733217539999998"/>
    <n v="0.15026903"/>
    <n v="39.055784090000003"/>
  </r>
  <r>
    <x v="6"/>
    <x v="1"/>
    <x v="2"/>
    <x v="8"/>
    <x v="22"/>
    <n v="58.770590720000001"/>
    <n v="66.781589859999997"/>
    <n v="4.0506753959999999"/>
    <n v="53.176472169999997"/>
  </r>
  <r>
    <x v="6"/>
    <x v="2"/>
    <x v="0"/>
    <x v="8"/>
    <x v="22"/>
    <n v="10.315595979999999"/>
    <n v="11.721711340000001"/>
    <n v="1.268419E-2"/>
    <n v="9.9562708539999996"/>
  </r>
  <r>
    <x v="6"/>
    <x v="1"/>
    <x v="0"/>
    <x v="8"/>
    <x v="22"/>
    <n v="13.81659543"/>
    <n v="15.69993084"/>
    <n v="0.225262929"/>
    <n v="12.501453420000001"/>
  </r>
  <r>
    <x v="6"/>
    <x v="1"/>
    <x v="3"/>
    <x v="8"/>
    <x v="22"/>
    <n v="911.09433650000005"/>
    <n v="1035.285294"/>
    <n v="139.7502733"/>
    <n v="824.37120389999995"/>
  </r>
  <r>
    <x v="6"/>
    <x v="0"/>
    <x v="2"/>
    <x v="8"/>
    <x v="22"/>
    <n v="130.1354407"/>
    <n v="147.87415809999999"/>
    <n v="2.6355504359999999"/>
    <n v="116.4821369"/>
  </r>
  <r>
    <x v="6"/>
    <x v="2"/>
    <x v="2"/>
    <x v="8"/>
    <x v="22"/>
    <n v="37.326169659999998"/>
    <n v="42.414087090000002"/>
    <n v="0.45813830999999999"/>
    <n v="36.025980070000003"/>
  </r>
  <r>
    <x v="6"/>
    <x v="0"/>
    <x v="3"/>
    <x v="8"/>
    <x v="22"/>
    <n v="17.91276066"/>
    <n v="20.354442939999998"/>
    <n v="0.27187877799999999"/>
    <n v="16.033423549999998"/>
  </r>
  <r>
    <x v="6"/>
    <x v="1"/>
    <x v="1"/>
    <x v="8"/>
    <x v="22"/>
    <n v="2152.5855200000001"/>
    <n v="2446.0037170000001"/>
    <n v="356.53345339999998"/>
    <n v="1947.6902070000001"/>
  </r>
  <r>
    <x v="6"/>
    <x v="3"/>
    <x v="3"/>
    <x v="8"/>
    <x v="22"/>
    <n v="26.978750389999998"/>
    <n v="30.656214640000002"/>
    <n v="1.016727E-3"/>
    <n v="22.28235261"/>
  </r>
  <r>
    <x v="6"/>
    <x v="3"/>
    <x v="0"/>
    <x v="8"/>
    <x v="22"/>
    <n v="316.57721859999998"/>
    <n v="359.72975109999999"/>
    <n v="6.9791430000000002E-3"/>
    <n v="261.46819670000002"/>
  </r>
  <r>
    <x v="6"/>
    <x v="0"/>
    <x v="0"/>
    <x v="8"/>
    <x v="22"/>
    <n v="9.1094808480000005"/>
    <n v="10.35119107"/>
    <n v="0.16487518500000001"/>
    <n v="8.1537495829999997"/>
  </r>
  <r>
    <x v="6"/>
    <x v="0"/>
    <x v="3"/>
    <x v="6"/>
    <x v="23"/>
    <n v="0.14660927300000001"/>
    <n v="0.18400239400000001"/>
    <n v="1.4577227E-2"/>
    <n v="0.115509372"/>
  </r>
  <r>
    <x v="6"/>
    <x v="1"/>
    <x v="1"/>
    <x v="6"/>
    <x v="23"/>
    <n v="122.5300737"/>
    <n v="153.7817245"/>
    <n v="21.264815179999999"/>
    <n v="109.5249812"/>
  </r>
  <r>
    <x v="6"/>
    <x v="3"/>
    <x v="0"/>
    <x v="6"/>
    <x v="23"/>
    <n v="3.3061264619999999"/>
    <n v="4.1493636089999999"/>
    <n v="3.1676E-3"/>
    <n v="3.3061264619999999"/>
  </r>
  <r>
    <x v="6"/>
    <x v="0"/>
    <x v="2"/>
    <x v="6"/>
    <x v="23"/>
    <n v="13.48813855"/>
    <n v="16.928327419999999"/>
    <n v="0.15545197299999999"/>
    <n v="10.62692949"/>
  </r>
  <r>
    <x v="6"/>
    <x v="1"/>
    <x v="3"/>
    <x v="6"/>
    <x v="23"/>
    <n v="52.983187200000003"/>
    <n v="66.496702839999998"/>
    <n v="12.438688669999999"/>
    <n v="47.359659610000001"/>
  </r>
  <r>
    <x v="6"/>
    <x v="1"/>
    <x v="2"/>
    <x v="6"/>
    <x v="23"/>
    <n v="2.1080661279999999"/>
    <n v="2.6457345110000001"/>
    <n v="7.6992546999999995E-2"/>
    <n v="1.884320282"/>
  </r>
  <r>
    <x v="6"/>
    <x v="2"/>
    <x v="2"/>
    <x v="6"/>
    <x v="23"/>
    <n v="0.12511291199999999"/>
    <n v="0.15702332399999999"/>
    <n v="5.3194000000000002E-3"/>
    <n v="8.1025824999999996E-2"/>
  </r>
  <r>
    <x v="6"/>
    <x v="2"/>
    <x v="2"/>
    <x v="0"/>
    <x v="24"/>
    <n v="1.9944603700000001"/>
    <n v="2.9548971499999999"/>
    <n v="6.0026400000000001E-2"/>
    <n v="1.9372091170000001"/>
  </r>
  <r>
    <x v="6"/>
    <x v="0"/>
    <x v="2"/>
    <x v="0"/>
    <x v="24"/>
    <n v="22.44430741"/>
    <n v="33.25241304"/>
    <n v="0.54594733699999998"/>
    <n v="21.41118178"/>
  </r>
  <r>
    <x v="6"/>
    <x v="3"/>
    <x v="3"/>
    <x v="0"/>
    <x v="24"/>
    <n v="1.605528955"/>
    <n v="2.3786749559999998"/>
    <n v="1.092717E-3"/>
    <n v="1.5678970459999999"/>
  </r>
  <r>
    <x v="6"/>
    <x v="3"/>
    <x v="0"/>
    <x v="0"/>
    <x v="24"/>
    <n v="15.98115864"/>
    <n v="23.676920760000002"/>
    <n v="1.1331083E-2"/>
    <n v="15.60657711"/>
  </r>
  <r>
    <x v="6"/>
    <x v="0"/>
    <x v="3"/>
    <x v="0"/>
    <x v="24"/>
    <n v="0.16600558200000001"/>
    <n v="0.245945935"/>
    <n v="9.2681700000000003E-4"/>
    <n v="0.15836423999999999"/>
  </r>
  <r>
    <x v="6"/>
    <x v="0"/>
    <x v="0"/>
    <x v="0"/>
    <x v="24"/>
    <n v="0.53938022299999999"/>
    <n v="0.79911995599999996"/>
    <n v="1.1270247000000001E-2"/>
    <n v="0.51455221100000004"/>
  </r>
  <r>
    <x v="6"/>
    <x v="1"/>
    <x v="1"/>
    <x v="0"/>
    <x v="24"/>
    <n v="153.04297980000001"/>
    <n v="226.7411635"/>
    <n v="41.21473203"/>
    <n v="144.61067019999999"/>
  </r>
  <r>
    <x v="6"/>
    <x v="1"/>
    <x v="2"/>
    <x v="0"/>
    <x v="24"/>
    <n v="7.7638862590000004"/>
    <n v="11.502602769999999"/>
    <n v="0.86830427099999996"/>
    <n v="7.3361143169999998"/>
  </r>
  <r>
    <x v="6"/>
    <x v="1"/>
    <x v="3"/>
    <x v="0"/>
    <x v="24"/>
    <n v="66.013134219999998"/>
    <n v="97.801904280000002"/>
    <n v="16.711042299999999"/>
    <n v="62.375965200000003"/>
  </r>
  <r>
    <x v="6"/>
    <x v="1"/>
    <x v="0"/>
    <x v="2"/>
    <x v="25"/>
    <n v="6.1403462820000003"/>
    <n v="6.684291505"/>
    <n v="0.77786820800000001"/>
    <n v="5.8294926269999996"/>
  </r>
  <r>
    <x v="6"/>
    <x v="3"/>
    <x v="0"/>
    <x v="2"/>
    <x v="25"/>
    <n v="21.860731359999999"/>
    <n v="23.79727368"/>
    <n v="1.3568968000000001E-2"/>
    <n v="21.859206539999999"/>
  </r>
  <r>
    <x v="6"/>
    <x v="3"/>
    <x v="3"/>
    <x v="2"/>
    <x v="25"/>
    <n v="2.250007391"/>
    <n v="2.4493252659999998"/>
    <n v="1.374332E-3"/>
    <n v="2.2498504490000002"/>
  </r>
  <r>
    <x v="6"/>
    <x v="2"/>
    <x v="2"/>
    <x v="2"/>
    <x v="25"/>
    <n v="1.1049649829999999"/>
    <n v="1.202848782"/>
    <n v="4.6575119999999999E-3"/>
    <n v="1.0096747450000001"/>
  </r>
  <r>
    <x v="6"/>
    <x v="2"/>
    <x v="0"/>
    <x v="2"/>
    <x v="25"/>
    <n v="3.8785195250000002"/>
    <n v="4.2220998500000002"/>
    <n v="2.801188E-3"/>
    <n v="3.544042819"/>
  </r>
  <r>
    <x v="6"/>
    <x v="0"/>
    <x v="3"/>
    <x v="2"/>
    <x v="25"/>
    <n v="8.7802550000000007E-3"/>
    <n v="9.558057E-3"/>
    <n v="2.87769E-4"/>
    <n v="8.1618090000000008E-3"/>
  </r>
  <r>
    <x v="6"/>
    <x v="0"/>
    <x v="0"/>
    <x v="2"/>
    <x v="25"/>
    <n v="0.17663806500000001"/>
    <n v="0.19228562399999999"/>
    <n v="1.894249E-3"/>
    <n v="0.164196382"/>
  </r>
  <r>
    <x v="6"/>
    <x v="1"/>
    <x v="1"/>
    <x v="2"/>
    <x v="25"/>
    <n v="627.28545550000001"/>
    <n v="682.85380810000004"/>
    <n v="94.832455530000004"/>
    <n v="595.52926990000003"/>
  </r>
  <r>
    <x v="6"/>
    <x v="1"/>
    <x v="3"/>
    <x v="2"/>
    <x v="25"/>
    <n v="190.5254856"/>
    <n v="207.4032679"/>
    <n v="32.321919289999997"/>
    <n v="180.8801756"/>
  </r>
  <r>
    <x v="6"/>
    <x v="1"/>
    <x v="2"/>
    <x v="2"/>
    <x v="25"/>
    <n v="13.83521504"/>
    <n v="15.060813530000001"/>
    <n v="1.028159869"/>
    <n v="13.134810379999999"/>
  </r>
  <r>
    <x v="6"/>
    <x v="0"/>
    <x v="2"/>
    <x v="2"/>
    <x v="25"/>
    <n v="6.9880497549999996"/>
    <n v="7.6070891559999998"/>
    <n v="9.5117681999999995E-2"/>
    <n v="6.4958393149999996"/>
  </r>
  <r>
    <x v="6"/>
    <x v="2"/>
    <x v="2"/>
    <x v="1"/>
    <x v="26"/>
    <n v="3.4226802000000001E-2"/>
    <n v="3.8636212000000003E-2"/>
    <n v="3.5934000000000001E-3"/>
    <n v="2.5970404999999998E-2"/>
  </r>
  <r>
    <x v="6"/>
    <x v="1"/>
    <x v="3"/>
    <x v="1"/>
    <x v="26"/>
    <n v="11.872740840000001"/>
    <n v="13.40229588"/>
    <n v="2.436600334"/>
    <n v="10.32572936"/>
  </r>
  <r>
    <x v="6"/>
    <x v="1"/>
    <x v="2"/>
    <x v="1"/>
    <x v="26"/>
    <n v="0.431135351"/>
    <n v="0.486678149"/>
    <n v="2.5433559000000001E-2"/>
    <n v="0.374958656"/>
  </r>
  <r>
    <x v="6"/>
    <x v="0"/>
    <x v="2"/>
    <x v="1"/>
    <x v="26"/>
    <n v="0.559417681"/>
    <n v="0.63148698199999997"/>
    <n v="4.6172395999999997E-2"/>
    <n v="0.49920929600000002"/>
  </r>
  <r>
    <x v="6"/>
    <x v="0"/>
    <x v="0"/>
    <x v="1"/>
    <x v="26"/>
    <n v="1.5948833999999999E-2"/>
    <n v="1.8003509000000001E-2"/>
    <n v="1.05871E-4"/>
    <n v="1.4232310999999999E-2"/>
  </r>
  <r>
    <x v="6"/>
    <x v="0"/>
    <x v="3"/>
    <x v="1"/>
    <x v="26"/>
    <n v="8.2454369999999996E-3"/>
    <n v="9.3076900000000004E-3"/>
    <n v="7.6217330000000003E-3"/>
    <n v="7.3580060000000003E-3"/>
  </r>
  <r>
    <x v="6"/>
    <x v="3"/>
    <x v="0"/>
    <x v="1"/>
    <x v="26"/>
    <n v="1.1952292E-2"/>
    <n v="1.3492096E-2"/>
    <n v="2.0622000000000001E-3"/>
    <n v="1.0725198999999999E-2"/>
  </r>
  <r>
    <x v="6"/>
    <x v="1"/>
    <x v="1"/>
    <x v="1"/>
    <x v="26"/>
    <n v="44.465794440000003"/>
    <n v="50.194284680000003"/>
    <n v="7.7468792070000001"/>
    <n v="38.671926339999999"/>
  </r>
  <r>
    <x v="6"/>
    <x v="1"/>
    <x v="1"/>
    <x v="2"/>
    <x v="27"/>
    <n v="96.737817879999994"/>
    <n v="130.1083127"/>
    <n v="15.09643258"/>
    <n v="92.126780109999999"/>
  </r>
  <r>
    <x v="6"/>
    <x v="2"/>
    <x v="2"/>
    <x v="2"/>
    <x v="27"/>
    <n v="4.9140664599999999"/>
    <n v="6.6092135369999996"/>
    <n v="6.2371541000000003E-2"/>
    <n v="4.3511573620000004"/>
  </r>
  <r>
    <x v="6"/>
    <x v="3"/>
    <x v="3"/>
    <x v="2"/>
    <x v="27"/>
    <n v="0.234752929"/>
    <n v="0.31573285499999998"/>
    <n v="1.80216E-4"/>
    <n v="0.234737368"/>
  </r>
  <r>
    <x v="6"/>
    <x v="3"/>
    <x v="0"/>
    <x v="2"/>
    <x v="27"/>
    <n v="2.553002126"/>
    <n v="3.4336809129999999"/>
    <n v="1.9544839999999998E-3"/>
    <n v="2.5528329030000001"/>
  </r>
  <r>
    <x v="6"/>
    <x v="0"/>
    <x v="0"/>
    <x v="2"/>
    <x v="27"/>
    <n v="4.8434431E-2"/>
    <n v="6.5142280999999996E-2"/>
    <n v="8.9047200000000004E-5"/>
    <n v="4.8466085999999999E-2"/>
  </r>
  <r>
    <x v="6"/>
    <x v="0"/>
    <x v="2"/>
    <x v="2"/>
    <x v="27"/>
    <n v="2.2265695129999998"/>
    <n v="2.9946427230000001"/>
    <n v="2.0800453E-2"/>
    <n v="2.2280247219999998"/>
  </r>
  <r>
    <x v="6"/>
    <x v="1"/>
    <x v="3"/>
    <x v="2"/>
    <x v="27"/>
    <n v="28.615488419999998"/>
    <n v="38.486633220000002"/>
    <n v="5.2558989819999997"/>
    <n v="27.251522390000002"/>
  </r>
  <r>
    <x v="6"/>
    <x v="1"/>
    <x v="2"/>
    <x v="2"/>
    <x v="27"/>
    <n v="1.400159291"/>
    <n v="1.8831555929999999"/>
    <n v="0.16782433499999999"/>
    <n v="1.3334202690000001"/>
  </r>
  <r>
    <x v="6"/>
    <x v="2"/>
    <x v="0"/>
    <x v="2"/>
    <x v="27"/>
    <n v="0.16170427100000001"/>
    <n v="0.21748546999999999"/>
    <n v="5.2875899999999996E-4"/>
    <n v="0.143180955"/>
  </r>
  <r>
    <x v="6"/>
    <x v="1"/>
    <x v="0"/>
    <x v="2"/>
    <x v="27"/>
    <n v="1.070341437"/>
    <n v="1.439564396"/>
    <n v="0.17002050399999999"/>
    <n v="1.0193232839999999"/>
  </r>
  <r>
    <x v="6"/>
    <x v="0"/>
    <x v="3"/>
    <x v="5"/>
    <x v="28"/>
    <n v="0.202645664"/>
    <n v="0.21836091099999999"/>
    <n v="3.3927639999999999E-3"/>
    <n v="0.18708635800000001"/>
  </r>
  <r>
    <x v="6"/>
    <x v="2"/>
    <x v="2"/>
    <x v="5"/>
    <x v="28"/>
    <n v="5.7984608299999998"/>
    <n v="6.2481336430000001"/>
    <n v="1.2241360999999999E-2"/>
    <n v="4.4545501879999998"/>
  </r>
  <r>
    <x v="6"/>
    <x v="0"/>
    <x v="0"/>
    <x v="5"/>
    <x v="28"/>
    <n v="0.38515503499999998"/>
    <n v="0.415023953"/>
    <n v="4.2373389999999997E-3"/>
    <n v="0.35558250499999999"/>
  </r>
  <r>
    <x v="6"/>
    <x v="0"/>
    <x v="2"/>
    <x v="5"/>
    <x v="28"/>
    <n v="6.6779449900000003"/>
    <n v="7.1958221299999998"/>
    <n v="8.4764397000000005E-2"/>
    <n v="6.165206703"/>
  </r>
  <r>
    <x v="6"/>
    <x v="1"/>
    <x v="3"/>
    <x v="5"/>
    <x v="28"/>
    <n v="54.991698339999999"/>
    <n v="59.256325179999997"/>
    <n v="14.796868890000001"/>
    <n v="50.701411460000003"/>
  </r>
  <r>
    <x v="6"/>
    <x v="1"/>
    <x v="0"/>
    <x v="5"/>
    <x v="28"/>
    <n v="3.1836273570000002"/>
    <n v="3.4305188530000001"/>
    <n v="0.64030255400000002"/>
    <n v="2.935250328"/>
  </r>
  <r>
    <x v="6"/>
    <x v="1"/>
    <x v="2"/>
    <x v="5"/>
    <x v="28"/>
    <n v="4.4711511350000004"/>
    <n v="4.8178905829999996"/>
    <n v="0.56348192600000002"/>
    <n v="4.1223253729999998"/>
  </r>
  <r>
    <x v="6"/>
    <x v="3"/>
    <x v="0"/>
    <x v="5"/>
    <x v="28"/>
    <n v="4.3122658869999997"/>
    <n v="4.6466837239999998"/>
    <n v="3.450776E-3"/>
    <n v="4.3122658869999997"/>
  </r>
  <r>
    <x v="6"/>
    <x v="1"/>
    <x v="1"/>
    <x v="5"/>
    <x v="28"/>
    <n v="197.970114"/>
    <n v="213.32277060000001"/>
    <n v="39.184175029999999"/>
    <n v="182.52508130000001"/>
  </r>
  <r>
    <x v="6"/>
    <x v="2"/>
    <x v="0"/>
    <x v="5"/>
    <x v="28"/>
    <n v="2.1022180050000001"/>
    <n v="2.2652458000000002"/>
    <n v="1.2584390000000001E-3"/>
    <n v="1.61498644"/>
  </r>
  <r>
    <x v="6"/>
    <x v="3"/>
    <x v="3"/>
    <x v="5"/>
    <x v="28"/>
    <n v="0.78671076699999998"/>
    <n v="0.84772048200000005"/>
    <n v="6.1932399999999998E-4"/>
    <n v="0.78671076699999998"/>
  </r>
  <r>
    <x v="6"/>
    <x v="1"/>
    <x v="2"/>
    <x v="2"/>
    <x v="29"/>
    <n v="1.6398070760000001"/>
    <n v="1.7850700930000001"/>
    <n v="0.111109429"/>
    <n v="1.565962254"/>
  </r>
  <r>
    <x v="6"/>
    <x v="1"/>
    <x v="1"/>
    <x v="2"/>
    <x v="29"/>
    <n v="57.061177100000002"/>
    <n v="62.115966090000001"/>
    <n v="9.9403318400000007"/>
    <n v="54.491562340000002"/>
  </r>
  <r>
    <x v="6"/>
    <x v="2"/>
    <x v="0"/>
    <x v="2"/>
    <x v="29"/>
    <n v="4.5732173000000001E-2"/>
    <n v="4.9783376999999997E-2"/>
    <n v="1.357128E-3"/>
    <n v="4.3659681999999998E-2"/>
  </r>
  <r>
    <x v="6"/>
    <x v="2"/>
    <x v="2"/>
    <x v="2"/>
    <x v="29"/>
    <n v="0.26706755900000001"/>
    <n v="0.29072585400000001"/>
    <n v="8.6265720000000008E-3"/>
    <n v="0.25496458999999999"/>
  </r>
  <r>
    <x v="6"/>
    <x v="0"/>
    <x v="0"/>
    <x v="2"/>
    <x v="29"/>
    <n v="8.6052980000000008E-3"/>
    <n v="9.3676019999999992E-3"/>
    <n v="2.9068600000000002E-5"/>
    <n v="8.3513370000000003E-3"/>
  </r>
  <r>
    <x v="6"/>
    <x v="0"/>
    <x v="2"/>
    <x v="2"/>
    <x v="29"/>
    <n v="0.95350105500000004"/>
    <n v="1.0379673570000001"/>
    <n v="1.4927831000000001E-2"/>
    <n v="0.92536121800000004"/>
  </r>
  <r>
    <x v="6"/>
    <x v="1"/>
    <x v="3"/>
    <x v="2"/>
    <x v="29"/>
    <n v="17.879153160000001"/>
    <n v="19.46298565"/>
    <n v="3.311445076"/>
    <n v="17.074007900000002"/>
  </r>
  <r>
    <x v="6"/>
    <x v="1"/>
    <x v="0"/>
    <x v="2"/>
    <x v="29"/>
    <n v="0.61480096299999998"/>
    <n v="0.66926337199999997"/>
    <n v="0.17725095499999999"/>
    <n v="0.58711486000000002"/>
  </r>
  <r>
    <x v="6"/>
    <x v="1"/>
    <x v="0"/>
    <x v="5"/>
    <x v="30"/>
    <n v="5.7095265419999999"/>
    <n v="6.2153074129999997"/>
    <n v="1.1687326840000001"/>
    <n v="5.222016097"/>
  </r>
  <r>
    <x v="6"/>
    <x v="1"/>
    <x v="3"/>
    <x v="5"/>
    <x v="30"/>
    <n v="123.34250539999999"/>
    <n v="134.26885440000001"/>
    <n v="39.122074529999999"/>
    <n v="112.81085109999999"/>
  </r>
  <r>
    <x v="6"/>
    <x v="0"/>
    <x v="2"/>
    <x v="5"/>
    <x v="30"/>
    <n v="6.9112887240000003"/>
    <n v="7.523528217"/>
    <n v="9.3285704999999997E-2"/>
    <n v="6.392799997"/>
  </r>
  <r>
    <x v="6"/>
    <x v="0"/>
    <x v="0"/>
    <x v="5"/>
    <x v="30"/>
    <n v="0.49542577199999999"/>
    <n v="0.53931327699999998"/>
    <n v="5.0369129999999996E-3"/>
    <n v="0.45825865500000001"/>
  </r>
  <r>
    <x v="6"/>
    <x v="0"/>
    <x v="3"/>
    <x v="5"/>
    <x v="30"/>
    <n v="0.36162222199999999"/>
    <n v="0.39365668199999998"/>
    <n v="5.356782E-3"/>
    <n v="0.33449312199999998"/>
  </r>
  <r>
    <x v="6"/>
    <x v="3"/>
    <x v="0"/>
    <x v="5"/>
    <x v="30"/>
    <n v="2.5456954180000002"/>
    <n v="2.7712069439999998"/>
    <n v="2.2127959999999999E-3"/>
    <n v="2.5456529250000002"/>
  </r>
  <r>
    <x v="6"/>
    <x v="3"/>
    <x v="3"/>
    <x v="5"/>
    <x v="30"/>
    <n v="0.129435209"/>
    <n v="0.14090128299999999"/>
    <n v="1.13004E-4"/>
    <n v="0.12943304799999999"/>
  </r>
  <r>
    <x v="6"/>
    <x v="2"/>
    <x v="0"/>
    <x v="5"/>
    <x v="30"/>
    <n v="5.3343280000000002E-3"/>
    <n v="5.8068720000000002E-3"/>
    <n v="4.3254300000000002E-4"/>
    <n v="6.1811679999999999E-3"/>
  </r>
  <r>
    <x v="6"/>
    <x v="1"/>
    <x v="1"/>
    <x v="5"/>
    <x v="30"/>
    <n v="401.62766219999997"/>
    <n v="437.2060219"/>
    <n v="85.362831330000006"/>
    <n v="367.33450690000001"/>
  </r>
  <r>
    <x v="6"/>
    <x v="1"/>
    <x v="2"/>
    <x v="5"/>
    <x v="30"/>
    <n v="9.2341521590000006"/>
    <n v="10.05216351"/>
    <n v="1.188466552"/>
    <n v="8.4456899990000007"/>
  </r>
  <r>
    <x v="6"/>
    <x v="2"/>
    <x v="2"/>
    <x v="5"/>
    <x v="30"/>
    <n v="1.5377500749999999"/>
    <n v="1.6739723289999999"/>
    <n v="7.7792357000000006E-2"/>
    <n v="1.7818723860000001"/>
  </r>
  <r>
    <x v="6"/>
    <x v="2"/>
    <x v="2"/>
    <x v="6"/>
    <x v="31"/>
    <n v="1.748205834"/>
    <n v="1.748205834"/>
    <n v="8.7684600000000001E-2"/>
    <n v="1.5034960319999999"/>
  </r>
  <r>
    <x v="6"/>
    <x v="0"/>
    <x v="3"/>
    <x v="6"/>
    <x v="31"/>
    <n v="0.21997414300000001"/>
    <n v="0.21997414300000001"/>
    <n v="8.7270290000000007E-3"/>
    <n v="0.188763774"/>
  </r>
  <r>
    <x v="6"/>
    <x v="0"/>
    <x v="0"/>
    <x v="6"/>
    <x v="31"/>
    <n v="1.8028610540000001"/>
    <n v="1.8028610540000001"/>
    <n v="1.163629E-3"/>
    <n v="1.5470675380000001"/>
  </r>
  <r>
    <x v="6"/>
    <x v="0"/>
    <x v="2"/>
    <x v="6"/>
    <x v="31"/>
    <n v="24.548594399999999"/>
    <n v="24.548594399999999"/>
    <n v="0.197775742"/>
    <n v="21.065590950000001"/>
  </r>
  <r>
    <x v="6"/>
    <x v="1"/>
    <x v="3"/>
    <x v="6"/>
    <x v="31"/>
    <n v="82.560937800000005"/>
    <n v="82.560937800000005"/>
    <n v="20.48252149"/>
    <n v="74.787236739999997"/>
  </r>
  <r>
    <x v="6"/>
    <x v="1"/>
    <x v="2"/>
    <x v="6"/>
    <x v="31"/>
    <n v="2.5616348179999999"/>
    <n v="2.5616348179999999"/>
    <n v="0.16222987"/>
    <n v="2.3204386320000001"/>
  </r>
  <r>
    <x v="6"/>
    <x v="1"/>
    <x v="1"/>
    <x v="6"/>
    <x v="31"/>
    <n v="253.80801"/>
    <n v="253.80801"/>
    <n v="58.13720284"/>
    <n v="229.91017590000001"/>
  </r>
  <r>
    <x v="6"/>
    <x v="3"/>
    <x v="0"/>
    <x v="6"/>
    <x v="31"/>
    <n v="11.58238074"/>
    <n v="11.58238074"/>
    <n v="1.21429E-2"/>
    <n v="9.5915632320000004"/>
  </r>
  <r>
    <x v="6"/>
    <x v="3"/>
    <x v="0"/>
    <x v="9"/>
    <x v="32"/>
    <n v="1.177472396"/>
    <n v="2.092796485"/>
    <n v="9.5338499999999995E-4"/>
    <n v="1.177472396"/>
  </r>
  <r>
    <x v="6"/>
    <x v="2"/>
    <x v="0"/>
    <x v="9"/>
    <x v="32"/>
    <n v="5.6282880000000004E-3"/>
    <n v="1.0003514E-2"/>
    <n v="4.28107E-4"/>
    <n v="6.5176950000000004E-3"/>
  </r>
  <r>
    <x v="6"/>
    <x v="0"/>
    <x v="3"/>
    <x v="9"/>
    <x v="32"/>
    <n v="5.6916800000000002E-3"/>
    <n v="1.0116185E-2"/>
    <n v="7.1867900000000004E-5"/>
    <n v="5.2659600000000001E-3"/>
  </r>
  <r>
    <x v="6"/>
    <x v="0"/>
    <x v="0"/>
    <x v="9"/>
    <x v="32"/>
    <n v="9.0476105000000001E-2"/>
    <n v="0.16080892799999999"/>
    <n v="8.6603400000000001E-4"/>
    <n v="8.3708771000000001E-2"/>
  </r>
  <r>
    <x v="6"/>
    <x v="0"/>
    <x v="2"/>
    <x v="9"/>
    <x v="32"/>
    <n v="1.3131881080000001"/>
    <n v="2.3340126419999998"/>
    <n v="1.6698597999999999E-2"/>
    <n v="1.214965689"/>
  </r>
  <r>
    <x v="6"/>
    <x v="1"/>
    <x v="3"/>
    <x v="9"/>
    <x v="32"/>
    <n v="33.531912490000003"/>
    <n v="59.598398099999997"/>
    <n v="10.15403665"/>
    <n v="30.668042369999998"/>
  </r>
  <r>
    <x v="6"/>
    <x v="1"/>
    <x v="0"/>
    <x v="9"/>
    <x v="32"/>
    <n v="1.4298529929999999"/>
    <n v="2.5413685529999999"/>
    <n v="0.269518282"/>
    <n v="1.30773311"/>
  </r>
  <r>
    <x v="6"/>
    <x v="1"/>
    <x v="2"/>
    <x v="9"/>
    <x v="32"/>
    <n v="2.4584693639999999"/>
    <n v="4.3695937679999997"/>
    <n v="0.30172089499999999"/>
    <n v="2.248498133"/>
  </r>
  <r>
    <x v="6"/>
    <x v="2"/>
    <x v="2"/>
    <x v="9"/>
    <x v="32"/>
    <n v="0.37047533700000002"/>
    <n v="0.65846935100000004"/>
    <n v="1.7547493000000001E-2"/>
    <n v="0.42901946699999999"/>
  </r>
  <r>
    <x v="6"/>
    <x v="3"/>
    <x v="3"/>
    <x v="9"/>
    <x v="32"/>
    <n v="5.3385358000000001E-2"/>
    <n v="9.4885186999999996E-2"/>
    <n v="4.3415399999999998E-5"/>
    <n v="5.3385358000000001E-2"/>
  </r>
  <r>
    <x v="6"/>
    <x v="1"/>
    <x v="1"/>
    <x v="9"/>
    <x v="32"/>
    <n v="104.9157998"/>
    <n v="186.47351549999999"/>
    <n v="20.897172779999998"/>
    <n v="95.955224599999994"/>
  </r>
  <r>
    <x v="6"/>
    <x v="1"/>
    <x v="1"/>
    <x v="0"/>
    <x v="33"/>
    <n v="145.3032996"/>
    <n v="145.3032996"/>
    <n v="43.483078089999999"/>
    <n v="138.61472240000001"/>
  </r>
  <r>
    <x v="6"/>
    <x v="2"/>
    <x v="2"/>
    <x v="0"/>
    <x v="33"/>
    <n v="0.57187959499999996"/>
    <n v="0.57187959499999996"/>
    <n v="1.5811499999999999E-2"/>
    <n v="0.54881633900000004"/>
  </r>
  <r>
    <x v="6"/>
    <x v="3"/>
    <x v="3"/>
    <x v="0"/>
    <x v="33"/>
    <n v="0.69725756000000005"/>
    <n v="0.69725756000000005"/>
    <n v="3.1828E-4"/>
    <n v="0.64462423700000004"/>
  </r>
  <r>
    <x v="6"/>
    <x v="3"/>
    <x v="0"/>
    <x v="0"/>
    <x v="33"/>
    <n v="6.3720226550000003"/>
    <n v="6.3720226550000003"/>
    <n v="3.06172E-3"/>
    <n v="5.8910228880000002"/>
  </r>
  <r>
    <x v="6"/>
    <x v="0"/>
    <x v="3"/>
    <x v="0"/>
    <x v="33"/>
    <n v="0.11228216000000001"/>
    <n v="0.11228216000000001"/>
    <n v="3.1819230000000001E-3"/>
    <n v="0.10741390100000001"/>
  </r>
  <r>
    <x v="6"/>
    <x v="0"/>
    <x v="0"/>
    <x v="0"/>
    <x v="33"/>
    <n v="6.1858847000000002E-2"/>
    <n v="6.1858847000000002E-2"/>
    <n v="3.615531E-3"/>
    <n v="5.9176810000000003E-2"/>
  </r>
  <r>
    <x v="6"/>
    <x v="0"/>
    <x v="2"/>
    <x v="0"/>
    <x v="33"/>
    <n v="4.9665286249999996"/>
    <n v="4.9665286249999996"/>
    <n v="0.111346746"/>
    <n v="4.7511929820000001"/>
  </r>
  <r>
    <x v="6"/>
    <x v="1"/>
    <x v="2"/>
    <x v="0"/>
    <x v="33"/>
    <n v="3.83090427"/>
    <n v="3.83090427"/>
    <n v="0.87730182499999998"/>
    <n v="3.6545607250000001"/>
  </r>
  <r>
    <x v="6"/>
    <x v="1"/>
    <x v="3"/>
    <x v="0"/>
    <x v="33"/>
    <n v="65.742577859999997"/>
    <n v="65.742577859999997"/>
    <n v="16.860265680000001"/>
    <n v="62.716326500000001"/>
  </r>
  <r>
    <x v="6"/>
    <x v="2"/>
    <x v="2"/>
    <x v="7"/>
    <x v="34"/>
    <n v="10.19377909"/>
    <n v="10.645289249999999"/>
    <n v="8.8126324000000006E-2"/>
    <n v="9.8037889919999994"/>
  </r>
  <r>
    <x v="6"/>
    <x v="0"/>
    <x v="3"/>
    <x v="7"/>
    <x v="34"/>
    <n v="1.0000328220000001"/>
    <n v="1.0443269909999999"/>
    <n v="8.6952249999999991E-3"/>
    <n v="0.93105057899999999"/>
  </r>
  <r>
    <x v="6"/>
    <x v="3"/>
    <x v="3"/>
    <x v="7"/>
    <x v="34"/>
    <n v="1.016386783"/>
    <n v="1.0614053139999999"/>
    <n v="1.3719769999999999E-3"/>
    <n v="1.0159784030000001"/>
  </r>
  <r>
    <x v="6"/>
    <x v="1"/>
    <x v="1"/>
    <x v="7"/>
    <x v="34"/>
    <n v="400.16762870000002"/>
    <n v="417.89213960000001"/>
    <n v="75.549937700000001"/>
    <n v="374.38839389999998"/>
  </r>
  <r>
    <x v="6"/>
    <x v="2"/>
    <x v="0"/>
    <x v="7"/>
    <x v="34"/>
    <n v="0.41200815800000001"/>
    <n v="0.43025711799999999"/>
    <n v="1.8800760000000001E-3"/>
    <n v="0.39624569100000001"/>
  </r>
  <r>
    <x v="6"/>
    <x v="0"/>
    <x v="2"/>
    <x v="7"/>
    <x v="34"/>
    <n v="21.283747200000001"/>
    <n v="22.226462170000001"/>
    <n v="0.25341810399999998"/>
    <n v="19.815594780000001"/>
  </r>
  <r>
    <x v="6"/>
    <x v="1"/>
    <x v="3"/>
    <x v="7"/>
    <x v="34"/>
    <n v="102.0043869"/>
    <n v="106.5224382"/>
    <n v="20.507176919999999"/>
    <n v="95.433153129999994"/>
  </r>
  <r>
    <x v="6"/>
    <x v="1"/>
    <x v="0"/>
    <x v="7"/>
    <x v="34"/>
    <n v="3.489954671"/>
    <n v="3.64453424"/>
    <n v="0.59947685399999995"/>
    <n v="3.2651279870000001"/>
  </r>
  <r>
    <x v="6"/>
    <x v="0"/>
    <x v="0"/>
    <x v="7"/>
    <x v="34"/>
    <n v="1.1438688349999999"/>
    <n v="1.1945338919999999"/>
    <n v="1.118307E-2"/>
    <n v="1.0649647870000001"/>
  </r>
  <r>
    <x v="6"/>
    <x v="3"/>
    <x v="0"/>
    <x v="7"/>
    <x v="34"/>
    <n v="7.4905444279999998"/>
    <n v="7.822320983"/>
    <n v="1.0024523E-2"/>
    <n v="7.4875347589999999"/>
  </r>
  <r>
    <x v="6"/>
    <x v="1"/>
    <x v="2"/>
    <x v="7"/>
    <x v="34"/>
    <n v="7.5485345309999996"/>
    <n v="7.8828796250000002"/>
    <n v="0.95258303200000005"/>
    <n v="7.0622497109999998"/>
  </r>
  <r>
    <x v="6"/>
    <x v="2"/>
    <x v="2"/>
    <x v="10"/>
    <x v="35"/>
    <n v="2.6490083630000001"/>
    <n v="2.7663401369999998"/>
    <n v="2.3215099999999999E-2"/>
    <n v="2.5473995199999999"/>
  </r>
  <r>
    <x v="6"/>
    <x v="0"/>
    <x v="0"/>
    <x v="10"/>
    <x v="35"/>
    <n v="0.27691254799999998"/>
    <n v="0.28917775699999998"/>
    <n v="2.6984890000000001E-3"/>
    <n v="0.25781383699999999"/>
  </r>
  <r>
    <x v="6"/>
    <x v="2"/>
    <x v="0"/>
    <x v="10"/>
    <x v="35"/>
    <n v="0.10732172399999999"/>
    <n v="0.11207529400000001"/>
    <n v="4.9709999999999999E-4"/>
    <n v="0.10320515099999999"/>
  </r>
  <r>
    <x v="6"/>
    <x v="3"/>
    <x v="0"/>
    <x v="10"/>
    <x v="35"/>
    <n v="3.671889314"/>
    <n v="3.834527263"/>
    <n v="4.9140540000000002E-3"/>
    <n v="3.6704301469999998"/>
  </r>
  <r>
    <x v="6"/>
    <x v="3"/>
    <x v="3"/>
    <x v="10"/>
    <x v="35"/>
    <n v="0.49816036899999999"/>
    <n v="0.520225245"/>
    <n v="6.7244600000000005E-4"/>
    <n v="0.49796240600000002"/>
  </r>
  <r>
    <x v="6"/>
    <x v="1"/>
    <x v="1"/>
    <x v="10"/>
    <x v="35"/>
    <n v="128.3059346"/>
    <n v="133.98895289999999"/>
    <n v="23.943149720000001"/>
    <n v="120.1889656"/>
  </r>
  <r>
    <x v="6"/>
    <x v="1"/>
    <x v="2"/>
    <x v="10"/>
    <x v="35"/>
    <n v="2.4149541980000002"/>
    <n v="2.5219190779999998"/>
    <n v="0.30032477499999999"/>
    <n v="2.2621778789999998"/>
  </r>
  <r>
    <x v="6"/>
    <x v="1"/>
    <x v="0"/>
    <x v="10"/>
    <x v="35"/>
    <n v="1.122011847"/>
    <n v="1.1717087980000001"/>
    <n v="0.19125060399999999"/>
    <n v="1.0510304420000001"/>
  </r>
  <r>
    <x v="6"/>
    <x v="1"/>
    <x v="3"/>
    <x v="10"/>
    <x v="35"/>
    <n v="32.629653920000003"/>
    <n v="34.074909910000002"/>
    <n v="6.4602180029999996"/>
    <n v="30.565416670000001"/>
  </r>
  <r>
    <x v="6"/>
    <x v="0"/>
    <x v="2"/>
    <x v="10"/>
    <x v="35"/>
    <n v="5.1521261090000001"/>
    <n v="5.3803277659999997"/>
    <n v="6.1217652999999997E-2"/>
    <n v="4.7967829909999997"/>
  </r>
  <r>
    <x v="6"/>
    <x v="0"/>
    <x v="3"/>
    <x v="10"/>
    <x v="35"/>
    <n v="0.197125565"/>
    <n v="0.20585679200000001"/>
    <n v="1.728659E-3"/>
    <n v="0.183529778"/>
  </r>
  <r>
    <x v="6"/>
    <x v="0"/>
    <x v="2"/>
    <x v="2"/>
    <x v="36"/>
    <n v="5.0503447880000003"/>
    <n v="5.4977317589999997"/>
    <n v="4.3540539000000003E-2"/>
    <n v="4.6500021230000002"/>
  </r>
  <r>
    <x v="6"/>
    <x v="1"/>
    <x v="1"/>
    <x v="2"/>
    <x v="36"/>
    <n v="48.424479339999998"/>
    <n v="52.714182719999997"/>
    <n v="5.5726577470000001"/>
    <n v="46.193193469999997"/>
  </r>
  <r>
    <x v="6"/>
    <x v="1"/>
    <x v="2"/>
    <x v="2"/>
    <x v="36"/>
    <n v="1.2928521449999999"/>
    <n v="1.4073800089999999"/>
    <n v="6.6131045999999999E-2"/>
    <n v="1.2332805650000001"/>
  </r>
  <r>
    <x v="6"/>
    <x v="1"/>
    <x v="0"/>
    <x v="2"/>
    <x v="36"/>
    <n v="1.852176174"/>
    <n v="2.0162519990000001"/>
    <n v="8.4732819000000001E-2"/>
    <n v="1.7668322620000001"/>
  </r>
  <r>
    <x v="6"/>
    <x v="1"/>
    <x v="3"/>
    <x v="2"/>
    <x v="36"/>
    <n v="15.430479399999999"/>
    <n v="16.79739507"/>
    <n v="1.829593187"/>
    <n v="14.71947928"/>
  </r>
  <r>
    <x v="6"/>
    <x v="0"/>
    <x v="0"/>
    <x v="2"/>
    <x v="36"/>
    <n v="0.227527481"/>
    <n v="0.24768310099999999"/>
    <n v="8.6303300000000003E-4"/>
    <n v="0.20949129499999999"/>
  </r>
  <r>
    <x v="6"/>
    <x v="0"/>
    <x v="3"/>
    <x v="2"/>
    <x v="36"/>
    <n v="0.140819061"/>
    <n v="0.15329357800000001"/>
    <n v="1.7636279999999999E-3"/>
    <n v="0.12965628300000001"/>
  </r>
  <r>
    <x v="6"/>
    <x v="3"/>
    <x v="0"/>
    <x v="2"/>
    <x v="36"/>
    <n v="3.5199704999999999"/>
    <n v="3.8317886040000002"/>
    <n v="2.191068E-3"/>
    <n v="3.5197109439999998"/>
  </r>
  <r>
    <x v="6"/>
    <x v="3"/>
    <x v="3"/>
    <x v="2"/>
    <x v="36"/>
    <n v="0.49856663299999998"/>
    <n v="0.54273237299999999"/>
    <n v="2.9953199999999998E-4"/>
    <n v="0.49852986900000001"/>
  </r>
  <r>
    <x v="6"/>
    <x v="2"/>
    <x v="0"/>
    <x v="2"/>
    <x v="36"/>
    <n v="0.36376077099999998"/>
    <n v="0.39598467599999998"/>
    <n v="1.68646E-4"/>
    <n v="0.322401469"/>
  </r>
  <r>
    <x v="6"/>
    <x v="2"/>
    <x v="2"/>
    <x v="2"/>
    <x v="36"/>
    <n v="0.44035695600000002"/>
    <n v="0.47936616599999998"/>
    <n v="4.907654E-3"/>
    <n v="0.39028872999999997"/>
  </r>
  <r>
    <x v="6"/>
    <x v="0"/>
    <x v="2"/>
    <x v="9"/>
    <x v="37"/>
    <n v="32.947932280000003"/>
    <n v="58.560452980000001"/>
    <n v="0.44415555099999998"/>
    <n v="30.469794050000001"/>
  </r>
  <r>
    <x v="6"/>
    <x v="2"/>
    <x v="2"/>
    <x v="9"/>
    <x v="37"/>
    <n v="1.86889905"/>
    <n v="3.3217129989999998"/>
    <n v="3.4915290000000002E-3"/>
    <n v="1.3722606500000001"/>
  </r>
  <r>
    <x v="6"/>
    <x v="1"/>
    <x v="1"/>
    <x v="9"/>
    <x v="37"/>
    <n v="600.09267750000004"/>
    <n v="1066.5828349999999"/>
    <n v="112.1826849"/>
    <n v="570.87244069999997"/>
  </r>
  <r>
    <x v="6"/>
    <x v="1"/>
    <x v="2"/>
    <x v="9"/>
    <x v="37"/>
    <n v="9.1215679850000004"/>
    <n v="16.212342209999999"/>
    <n v="1.017825158"/>
    <n v="8.6774126290000009"/>
  </r>
  <r>
    <x v="6"/>
    <x v="1"/>
    <x v="0"/>
    <x v="9"/>
    <x v="37"/>
    <n v="8.4441191779999993"/>
    <n v="15.00826941"/>
    <n v="2.2264769320000002"/>
    <n v="8.0329507509999996"/>
  </r>
  <r>
    <x v="6"/>
    <x v="1"/>
    <x v="3"/>
    <x v="9"/>
    <x v="37"/>
    <n v="127.0037413"/>
    <n v="225.73181700000001"/>
    <n v="24.469932289999999"/>
    <n v="120.8195642"/>
  </r>
  <r>
    <x v="6"/>
    <x v="0"/>
    <x v="0"/>
    <x v="9"/>
    <x v="37"/>
    <n v="2.932077643"/>
    <n v="5.211367847"/>
    <n v="3.9651543999999997E-2"/>
    <n v="2.7115450270000001"/>
  </r>
  <r>
    <x v="6"/>
    <x v="3"/>
    <x v="3"/>
    <x v="9"/>
    <x v="37"/>
    <n v="0.86288338899999995"/>
    <n v="1.533657461"/>
    <n v="4.2050300000000002E-4"/>
    <n v="0.86288338899999995"/>
  </r>
  <r>
    <x v="6"/>
    <x v="2"/>
    <x v="0"/>
    <x v="9"/>
    <x v="37"/>
    <n v="4.7407955000000002E-2"/>
    <n v="8.4261169999999996E-2"/>
    <n v="5.1897100000000002E-4"/>
    <n v="3.4809837000000003E-2"/>
  </r>
  <r>
    <x v="6"/>
    <x v="0"/>
    <x v="3"/>
    <x v="9"/>
    <x v="37"/>
    <n v="1.031921431"/>
    <n v="1.8340995099999999"/>
    <n v="1.9569303999999999E-2"/>
    <n v="0.95430672900000002"/>
  </r>
  <r>
    <x v="6"/>
    <x v="3"/>
    <x v="0"/>
    <x v="9"/>
    <x v="37"/>
    <n v="3.4658723990000002"/>
    <n v="6.1601151759999997"/>
    <n v="1.655997E-3"/>
    <n v="3.4658723990000002"/>
  </r>
  <r>
    <x v="6"/>
    <x v="3"/>
    <x v="0"/>
    <x v="7"/>
    <x v="38"/>
    <n v="0.67556783799999998"/>
    <n v="0.67553480799999999"/>
    <n v="9.5194099999999999E-4"/>
    <n v="0.67530353200000004"/>
  </r>
  <r>
    <x v="6"/>
    <x v="0"/>
    <x v="0"/>
    <x v="7"/>
    <x v="38"/>
    <n v="0.18635457"/>
    <n v="0.18634545899999999"/>
    <n v="1.908222E-3"/>
    <n v="0.17349340099999999"/>
  </r>
  <r>
    <x v="6"/>
    <x v="0"/>
    <x v="3"/>
    <x v="7"/>
    <x v="38"/>
    <n v="0.163674556"/>
    <n v="0.16366655399999999"/>
    <n v="1.505057E-3"/>
    <n v="0.15237863700000001"/>
  </r>
  <r>
    <x v="6"/>
    <x v="2"/>
    <x v="0"/>
    <x v="7"/>
    <x v="38"/>
    <n v="5.6511489999999998E-2"/>
    <n v="5.6508727000000002E-2"/>
    <n v="2.1627800000000001E-4"/>
    <n v="5.4347252999999998E-2"/>
  </r>
  <r>
    <x v="6"/>
    <x v="0"/>
    <x v="2"/>
    <x v="7"/>
    <x v="38"/>
    <n v="3.4685794639999998"/>
    <n v="3.4684098749999999"/>
    <n v="4.3304321E-2"/>
    <n v="3.229197155"/>
  </r>
  <r>
    <x v="6"/>
    <x v="3"/>
    <x v="3"/>
    <x v="7"/>
    <x v="38"/>
    <n v="9.1649623E-2"/>
    <n v="9.1645141999999999E-2"/>
    <n v="1.30259E-4"/>
    <n v="9.1613766999999999E-2"/>
  </r>
  <r>
    <x v="6"/>
    <x v="1"/>
    <x v="0"/>
    <x v="7"/>
    <x v="38"/>
    <n v="0.470681409"/>
    <n v="0.47065839599999998"/>
    <n v="8.3148826999999995E-2"/>
    <n v="0.441814708"/>
  </r>
  <r>
    <x v="6"/>
    <x v="1"/>
    <x v="2"/>
    <x v="7"/>
    <x v="38"/>
    <n v="1.0060363269999999"/>
    <n v="1.0059871389999999"/>
    <n v="0.12839662399999999"/>
    <n v="0.94433652499999998"/>
  </r>
  <r>
    <x v="6"/>
    <x v="1"/>
    <x v="1"/>
    <x v="7"/>
    <x v="38"/>
    <n v="53.603319210000002"/>
    <n v="53.600698379999997"/>
    <n v="10.29452178"/>
    <n v="50.315849290000003"/>
  </r>
  <r>
    <x v="6"/>
    <x v="2"/>
    <x v="2"/>
    <x v="7"/>
    <x v="38"/>
    <n v="1.5737293240000001"/>
    <n v="1.57365238"/>
    <n v="1.4481622E-2"/>
    <n v="1.5134597759999999"/>
  </r>
  <r>
    <x v="6"/>
    <x v="1"/>
    <x v="3"/>
    <x v="7"/>
    <x v="38"/>
    <n v="13.58632042"/>
    <n v="13.58565615"/>
    <n v="2.7603311700000002"/>
    <n v="12.75307688"/>
  </r>
  <r>
    <x v="6"/>
    <x v="0"/>
    <x v="2"/>
    <x v="1"/>
    <x v="39"/>
    <n v="12.539576390000001"/>
    <n v="13.2453907"/>
    <n v="0.215201799"/>
    <n v="10.68714473"/>
  </r>
  <r>
    <x v="6"/>
    <x v="1"/>
    <x v="1"/>
    <x v="1"/>
    <x v="39"/>
    <n v="288.13047210000002"/>
    <n v="304.34845289999998"/>
    <n v="43.829469760000002"/>
    <n v="256.00778120000001"/>
  </r>
  <r>
    <x v="6"/>
    <x v="1"/>
    <x v="3"/>
    <x v="1"/>
    <x v="39"/>
    <n v="118.7343977"/>
    <n v="125.4175929"/>
    <n v="19.847546510000001"/>
    <n v="105.4971017"/>
  </r>
  <r>
    <x v="6"/>
    <x v="0"/>
    <x v="0"/>
    <x v="1"/>
    <x v="39"/>
    <n v="0.74723590900000003"/>
    <n v="0.78929552700000005"/>
    <n v="2.3801650000000001E-3"/>
    <n v="0.63684912900000001"/>
  </r>
  <r>
    <x v="6"/>
    <x v="0"/>
    <x v="3"/>
    <x v="1"/>
    <x v="39"/>
    <n v="0.19677774100000001"/>
    <n v="0.207853756"/>
    <n v="3.3788136000000003E-2"/>
    <n v="0.16770839200000001"/>
  </r>
  <r>
    <x v="6"/>
    <x v="3"/>
    <x v="0"/>
    <x v="1"/>
    <x v="39"/>
    <n v="1.0260357959999999"/>
    <n v="1.0837882050000001"/>
    <n v="1.0613210000000001E-3"/>
    <n v="0.932782742"/>
  </r>
  <r>
    <x v="6"/>
    <x v="3"/>
    <x v="3"/>
    <x v="1"/>
    <x v="39"/>
    <n v="1.5260594670000001"/>
    <n v="1.6119566750000001"/>
    <n v="1.180179E-3"/>
    <n v="1.3873608900000001"/>
  </r>
  <r>
    <x v="6"/>
    <x v="2"/>
    <x v="2"/>
    <x v="1"/>
    <x v="39"/>
    <n v="1.242664446"/>
    <n v="1.312610217"/>
    <n v="4.6413700000000002E-2"/>
    <n v="1.2210437620000001"/>
  </r>
  <r>
    <x v="6"/>
    <x v="1"/>
    <x v="2"/>
    <x v="1"/>
    <x v="39"/>
    <n v="3.7022110389999998"/>
    <n v="3.9105971460000002"/>
    <n v="0.22633673300000001"/>
    <n v="3.2894640640000001"/>
  </r>
  <r>
    <x v="6"/>
    <x v="3"/>
    <x v="3"/>
    <x v="10"/>
    <x v="40"/>
    <n v="1.6264322389999999"/>
    <n v="2.0569123999999999"/>
    <n v="6.38819E-4"/>
    <n v="1.6257690739999999"/>
  </r>
  <r>
    <x v="6"/>
    <x v="2"/>
    <x v="2"/>
    <x v="10"/>
    <x v="40"/>
    <n v="8.2209202539999993"/>
    <n v="10.396813590000001"/>
    <n v="1.2324224999999999E-2"/>
    <n v="4.7801860139999999"/>
  </r>
  <r>
    <x v="6"/>
    <x v="3"/>
    <x v="0"/>
    <x v="10"/>
    <x v="40"/>
    <n v="14.13188901"/>
    <n v="17.872283289999999"/>
    <n v="5.7254810000000001E-3"/>
    <n v="14.12612684"/>
  </r>
  <r>
    <x v="6"/>
    <x v="2"/>
    <x v="0"/>
    <x v="10"/>
    <x v="40"/>
    <n v="1.0491236129999999"/>
    <n v="1.326803119"/>
    <n v="7.2507500000000005E-4"/>
    <n v="0.61002976200000003"/>
  </r>
  <r>
    <x v="6"/>
    <x v="1"/>
    <x v="1"/>
    <x v="10"/>
    <x v="40"/>
    <n v="166.3886627"/>
    <n v="210.4280124"/>
    <n v="32.179029020000002"/>
    <n v="156.78396179999999"/>
  </r>
  <r>
    <x v="6"/>
    <x v="1"/>
    <x v="0"/>
    <x v="10"/>
    <x v="40"/>
    <n v="1.40025043"/>
    <n v="1.7708653350000001"/>
    <n v="0.24417206699999999"/>
    <n v="1.319421687"/>
  </r>
  <r>
    <x v="6"/>
    <x v="1"/>
    <x v="2"/>
    <x v="10"/>
    <x v="40"/>
    <n v="4.1539853459999998"/>
    <n v="5.2534521639999996"/>
    <n v="0.45357613800000002"/>
    <n v="3.9141986559999999"/>
  </r>
  <r>
    <x v="6"/>
    <x v="1"/>
    <x v="3"/>
    <x v="10"/>
    <x v="40"/>
    <n v="42.232985249999999"/>
    <n v="53.411109869999997"/>
    <n v="10.568627279999999"/>
    <n v="39.79510767"/>
  </r>
  <r>
    <x v="6"/>
    <x v="0"/>
    <x v="2"/>
    <x v="10"/>
    <x v="40"/>
    <n v="13.663349520000001"/>
    <n v="17.279731900000002"/>
    <n v="0.20487541400000001"/>
    <n v="12.73205669"/>
  </r>
  <r>
    <x v="6"/>
    <x v="0"/>
    <x v="0"/>
    <x v="10"/>
    <x v="40"/>
    <n v="0.74979052099999999"/>
    <n v="0.94824326599999997"/>
    <n v="8.1681270000000007E-3"/>
    <n v="0.69868485700000005"/>
  </r>
  <r>
    <x v="6"/>
    <x v="0"/>
    <x v="3"/>
    <x v="10"/>
    <x v="40"/>
    <n v="0.56798383500000005"/>
    <n v="0.71831642600000001"/>
    <n v="6.7111590000000004E-3"/>
    <n v="0.52927010100000005"/>
  </r>
  <r>
    <x v="6"/>
    <x v="2"/>
    <x v="2"/>
    <x v="1"/>
    <x v="41"/>
    <n v="33.238733160000002"/>
    <n v="32.386724790000002"/>
    <n v="0.3888027"/>
    <n v="32.22291388"/>
  </r>
  <r>
    <x v="6"/>
    <x v="1"/>
    <x v="1"/>
    <x v="1"/>
    <x v="41"/>
    <n v="566.01922500000001"/>
    <n v="551.51045550000003"/>
    <n v="101.835443"/>
    <n v="517.83327550000001"/>
  </r>
  <r>
    <x v="6"/>
    <x v="1"/>
    <x v="2"/>
    <x v="1"/>
    <x v="41"/>
    <n v="6.761441928"/>
    <n v="6.5881259019999998"/>
    <n v="0.37821126799999999"/>
    <n v="6.1858316210000002"/>
  </r>
  <r>
    <x v="6"/>
    <x v="1"/>
    <x v="3"/>
    <x v="1"/>
    <x v="41"/>
    <n v="167.0535639"/>
    <n v="162.77148030000001"/>
    <n v="30.164413270000001"/>
    <n v="152.83207770000001"/>
  </r>
  <r>
    <x v="6"/>
    <x v="0"/>
    <x v="2"/>
    <x v="1"/>
    <x v="41"/>
    <n v="51.842708049999999"/>
    <n v="50.513824040000003"/>
    <n v="0.86436713399999998"/>
    <n v="44.099652200000001"/>
  </r>
  <r>
    <x v="6"/>
    <x v="0"/>
    <x v="0"/>
    <x v="1"/>
    <x v="41"/>
    <n v="0.108190984"/>
    <n v="0.105417725"/>
    <n v="4.9698600000000004E-4"/>
    <n v="9.2031935999999995E-2"/>
  </r>
  <r>
    <x v="6"/>
    <x v="3"/>
    <x v="0"/>
    <x v="1"/>
    <x v="41"/>
    <n v="14.08775837"/>
    <n v="13.72664689"/>
    <n v="1.3986999999999999E-2"/>
    <n v="14.087686939999999"/>
  </r>
  <r>
    <x v="6"/>
    <x v="0"/>
    <x v="3"/>
    <x v="1"/>
    <x v="41"/>
    <n v="0.42352229000000002"/>
    <n v="0.41266614400000001"/>
    <n v="0.10221818000000001"/>
    <n v="0.36026639799999999"/>
  </r>
  <r>
    <x v="6"/>
    <x v="3"/>
    <x v="0"/>
    <x v="2"/>
    <x v="42"/>
    <n v="39.007528229999998"/>
    <n v="42.463026939999999"/>
    <n v="2.4281601E-2"/>
    <n v="39.004842519999997"/>
  </r>
  <r>
    <x v="6"/>
    <x v="1"/>
    <x v="2"/>
    <x v="2"/>
    <x v="42"/>
    <n v="15.361667410000001"/>
    <n v="16.722487340000001"/>
    <n v="0.83129263399999997"/>
    <n v="14.45488918"/>
  </r>
  <r>
    <x v="6"/>
    <x v="2"/>
    <x v="2"/>
    <x v="2"/>
    <x v="42"/>
    <n v="2.2319988519999998"/>
    <n v="2.4297214330000001"/>
    <n v="1.0234157000000001E-2"/>
    <n v="2.1261651229999998"/>
  </r>
  <r>
    <x v="6"/>
    <x v="1"/>
    <x v="1"/>
    <x v="2"/>
    <x v="42"/>
    <n v="400.47133400000001"/>
    <n v="435.94725979999998"/>
    <n v="59.939765559999998"/>
    <n v="376.83205859999998"/>
  </r>
  <r>
    <x v="6"/>
    <x v="1"/>
    <x v="0"/>
    <x v="2"/>
    <x v="42"/>
    <n v="4.730573541"/>
    <n v="5.1496334380000004"/>
    <n v="0.72771511600000005"/>
    <n v="4.4513342519999997"/>
  </r>
  <r>
    <x v="6"/>
    <x v="1"/>
    <x v="3"/>
    <x v="2"/>
    <x v="42"/>
    <n v="130.6483858"/>
    <n v="142.22192939999999"/>
    <n v="19.17189059"/>
    <n v="122.93639020000001"/>
  </r>
  <r>
    <x v="6"/>
    <x v="0"/>
    <x v="2"/>
    <x v="2"/>
    <x v="42"/>
    <n v="9.7624834020000009"/>
    <n v="10.627297199999999"/>
    <n v="0.10417857699999999"/>
    <n v="9.2638512439999996"/>
  </r>
  <r>
    <x v="6"/>
    <x v="0"/>
    <x v="0"/>
    <x v="2"/>
    <x v="42"/>
    <n v="0.18109961299999999"/>
    <n v="0.1971424"/>
    <n v="1.297723E-3"/>
    <n v="0.17184970299999999"/>
  </r>
  <r>
    <x v="6"/>
    <x v="3"/>
    <x v="3"/>
    <x v="2"/>
    <x v="42"/>
    <n v="4.7647739219999998"/>
    <n v="5.186863475"/>
    <n v="2.8474989999999999E-3"/>
    <n v="4.7644458629999997"/>
  </r>
  <r>
    <x v="6"/>
    <x v="2"/>
    <x v="0"/>
    <x v="2"/>
    <x v="42"/>
    <n v="0.499957916"/>
    <n v="0.544246903"/>
    <n v="4.3619430000000001E-3"/>
    <n v="0.47625162599999998"/>
  </r>
  <r>
    <x v="6"/>
    <x v="2"/>
    <x v="0"/>
    <x v="2"/>
    <x v="43"/>
    <n v="0.36679998400000002"/>
    <n v="0.45324156300000001"/>
    <n v="3.1923699999999999E-4"/>
    <n v="0.364610094"/>
  </r>
  <r>
    <x v="6"/>
    <x v="0"/>
    <x v="2"/>
    <x v="2"/>
    <x v="43"/>
    <n v="3.994096179"/>
    <n v="4.935361157"/>
    <n v="0.106911331"/>
    <n v="3.6633144259999999"/>
  </r>
  <r>
    <x v="6"/>
    <x v="3"/>
    <x v="3"/>
    <x v="2"/>
    <x v="43"/>
    <n v="2.933074146"/>
    <n v="3.62429435"/>
    <n v="1.9591690000000002E-3"/>
    <n v="2.9328886540000001"/>
  </r>
  <r>
    <x v="6"/>
    <x v="3"/>
    <x v="0"/>
    <x v="2"/>
    <x v="43"/>
    <n v="17.54919293"/>
    <n v="21.684907240000001"/>
    <n v="1.2450431E-2"/>
    <n v="17.548083089999999"/>
  </r>
  <r>
    <x v="6"/>
    <x v="1"/>
    <x v="1"/>
    <x v="2"/>
    <x v="43"/>
    <n v="244.92450700000001"/>
    <n v="302.64441420000003"/>
    <n v="37.228456250000001"/>
    <n v="231.2768355"/>
  </r>
  <r>
    <x v="6"/>
    <x v="0"/>
    <x v="0"/>
    <x v="2"/>
    <x v="43"/>
    <n v="5.6766555000000003E-2"/>
    <n v="7.0144392999999999E-2"/>
    <n v="9.862689999999999E-4"/>
    <n v="5.2065280999999998E-2"/>
  </r>
  <r>
    <x v="6"/>
    <x v="1"/>
    <x v="2"/>
    <x v="2"/>
    <x v="43"/>
    <n v="7.5007358630000001"/>
    <n v="9.2683898360000008"/>
    <n v="0.52277159100000004"/>
    <n v="7.0827802230000003"/>
  </r>
  <r>
    <x v="6"/>
    <x v="1"/>
    <x v="0"/>
    <x v="2"/>
    <x v="43"/>
    <n v="2.7843804539999999"/>
    <n v="3.4405588960000002"/>
    <n v="0.36053121100000002"/>
    <n v="2.6292293409999998"/>
  </r>
  <r>
    <x v="6"/>
    <x v="1"/>
    <x v="3"/>
    <x v="2"/>
    <x v="43"/>
    <n v="72.717392610000005"/>
    <n v="89.854269619999997"/>
    <n v="12.334699649999999"/>
    <n v="68.665437589999996"/>
  </r>
  <r>
    <x v="6"/>
    <x v="2"/>
    <x v="2"/>
    <x v="2"/>
    <x v="43"/>
    <n v="3.3264429660000001"/>
    <n v="4.1103660680000003"/>
    <n v="1.7979363000000002E-2"/>
    <n v="3.3065832409999998"/>
  </r>
  <r>
    <x v="6"/>
    <x v="0"/>
    <x v="0"/>
    <x v="2"/>
    <x v="44"/>
    <n v="0.56338867999999998"/>
    <n v="0.58394179199999996"/>
    <n v="5.2725430000000002E-3"/>
    <n v="0.46717235600000001"/>
  </r>
  <r>
    <x v="6"/>
    <x v="1"/>
    <x v="3"/>
    <x v="2"/>
    <x v="44"/>
    <n v="73.023647170000004"/>
    <n v="75.687639599999997"/>
    <n v="12.14779279"/>
    <n v="69.322117419999998"/>
  </r>
  <r>
    <x v="6"/>
    <x v="1"/>
    <x v="1"/>
    <x v="2"/>
    <x v="44"/>
    <n v="209.78556320000001"/>
    <n v="217.4387984"/>
    <n v="32.615816989999999"/>
    <n v="199.15164480000001"/>
  </r>
  <r>
    <x v="6"/>
    <x v="1"/>
    <x v="0"/>
    <x v="2"/>
    <x v="44"/>
    <n v="2.434280861"/>
    <n v="2.5230864199999998"/>
    <n v="0.390893412"/>
    <n v="2.3108884619999999"/>
  </r>
  <r>
    <x v="6"/>
    <x v="0"/>
    <x v="2"/>
    <x v="2"/>
    <x v="44"/>
    <n v="17.449792970000001"/>
    <n v="18.086382870000001"/>
    <n v="0.24758776499999999"/>
    <n v="14.469692390000001"/>
  </r>
  <r>
    <x v="6"/>
    <x v="0"/>
    <x v="3"/>
    <x v="2"/>
    <x v="44"/>
    <n v="3.5133615999999999E-2"/>
    <n v="3.6415334000000001E-2"/>
    <n v="6.8369199999999996E-4"/>
    <n v="2.9133447E-2"/>
  </r>
  <r>
    <x v="6"/>
    <x v="3"/>
    <x v="0"/>
    <x v="2"/>
    <x v="44"/>
    <n v="18.493484859999999"/>
    <n v="19.168149929999998"/>
    <n v="1.0932486999999999E-2"/>
    <n v="18.492225770000001"/>
  </r>
  <r>
    <x v="6"/>
    <x v="3"/>
    <x v="3"/>
    <x v="2"/>
    <x v="44"/>
    <n v="1.8553418850000001"/>
    <n v="1.9230270380000001"/>
    <n v="1.075613E-3"/>
    <n v="1.855215568"/>
  </r>
  <r>
    <x v="6"/>
    <x v="2"/>
    <x v="2"/>
    <x v="2"/>
    <x v="44"/>
    <n v="17.745374779999999"/>
    <n v="18.392747870000001"/>
    <n v="0.170377113"/>
    <n v="15.621821519999999"/>
  </r>
  <r>
    <x v="6"/>
    <x v="2"/>
    <x v="0"/>
    <x v="2"/>
    <x v="44"/>
    <n v="1.1559296990000001"/>
    <n v="1.198099435"/>
    <n v="2.6578700000000002E-4"/>
    <n v="1.0176019190000001"/>
  </r>
  <r>
    <x v="6"/>
    <x v="1"/>
    <x v="2"/>
    <x v="2"/>
    <x v="44"/>
    <n v="6.2404501400000001"/>
    <n v="6.4681094339999996"/>
    <n v="0.41892310599999999"/>
    <n v="5.9241250489999997"/>
  </r>
  <r>
    <x v="6"/>
    <x v="0"/>
    <x v="3"/>
    <x v="4"/>
    <x v="45"/>
    <n v="0.33598176899999999"/>
    <n v="0.33291400999999998"/>
    <n v="6.6236537999999998E-2"/>
    <n v="0.29054015100000002"/>
  </r>
  <r>
    <x v="6"/>
    <x v="2"/>
    <x v="2"/>
    <x v="4"/>
    <x v="45"/>
    <n v="6.2427591939999996"/>
    <n v="6.1857582439999996"/>
    <n v="5.8018100000000003E-2"/>
    <n v="5.4861043370000004"/>
  </r>
  <r>
    <x v="6"/>
    <x v="0"/>
    <x v="0"/>
    <x v="4"/>
    <x v="45"/>
    <n v="0.78350858499999998"/>
    <n v="0.77635457900000004"/>
    <n v="5.9181779999999996E-3"/>
    <n v="0.67753885400000002"/>
  </r>
  <r>
    <x v="6"/>
    <x v="0"/>
    <x v="2"/>
    <x v="4"/>
    <x v="45"/>
    <n v="18.644125949999999"/>
    <n v="18.473891470000002"/>
    <n v="0.29858478399999999"/>
    <n v="16.122503290000001"/>
  </r>
  <r>
    <x v="6"/>
    <x v="1"/>
    <x v="3"/>
    <x v="4"/>
    <x v="45"/>
    <n v="116.8789913"/>
    <n v="115.8118008"/>
    <n v="29.623131900000001"/>
    <n v="103.8052083"/>
  </r>
  <r>
    <x v="6"/>
    <x v="1"/>
    <x v="1"/>
    <x v="4"/>
    <x v="45"/>
    <n v="210.4466693"/>
    <n v="208.52513759999999"/>
    <n v="48.523562300000002"/>
    <n v="186.9066468"/>
  </r>
  <r>
    <x v="6"/>
    <x v="3"/>
    <x v="0"/>
    <x v="4"/>
    <x v="45"/>
    <n v="4.8346803429999996"/>
    <n v="4.7905361820000003"/>
    <n v="8.0000999999999996E-3"/>
    <n v="4.8346416290000001"/>
  </r>
  <r>
    <x v="6"/>
    <x v="0"/>
    <x v="0"/>
    <x v="6"/>
    <x v="46"/>
    <n v="0.94149275300000002"/>
    <n v="0.97731896600000001"/>
    <n v="3.6691319999999999E-3"/>
    <n v="0.84157536600000005"/>
  </r>
  <r>
    <x v="6"/>
    <x v="2"/>
    <x v="2"/>
    <x v="6"/>
    <x v="46"/>
    <n v="5.2888693919999996"/>
    <n v="5.4901244289999998"/>
    <n v="3.0912599999999998E-2"/>
    <n v="4.231832539"/>
  </r>
  <r>
    <x v="6"/>
    <x v="1"/>
    <x v="1"/>
    <x v="6"/>
    <x v="46"/>
    <n v="142.24320320000001"/>
    <n v="147.65592169999999"/>
    <n v="29.553895499999999"/>
    <n v="124.544546"/>
  </r>
  <r>
    <x v="6"/>
    <x v="1"/>
    <x v="2"/>
    <x v="6"/>
    <x v="46"/>
    <n v="0.94714768500000002"/>
    <n v="0.98318908199999999"/>
    <n v="0.146654697"/>
    <n v="0.82929852400000004"/>
  </r>
  <r>
    <x v="6"/>
    <x v="0"/>
    <x v="2"/>
    <x v="6"/>
    <x v="46"/>
    <n v="8.4169065439999997"/>
    <n v="8.7371914129999997"/>
    <n v="0.246791598"/>
    <n v="7.5236492070000001"/>
  </r>
  <r>
    <x v="6"/>
    <x v="3"/>
    <x v="0"/>
    <x v="6"/>
    <x v="46"/>
    <n v="1.0705412590000001"/>
    <n v="1.1112780980000001"/>
    <n v="7.9199999999999995E-4"/>
    <n v="0.97314747199999996"/>
  </r>
  <r>
    <x v="6"/>
    <x v="0"/>
    <x v="3"/>
    <x v="6"/>
    <x v="46"/>
    <n v="9.5606646000000003E-2"/>
    <n v="9.9244724000000006E-2"/>
    <n v="2.6704370000000002E-2"/>
    <n v="8.5460242000000006E-2"/>
  </r>
  <r>
    <x v="6"/>
    <x v="1"/>
    <x v="3"/>
    <x v="6"/>
    <x v="46"/>
    <n v="62.814819559999997"/>
    <n v="65.205084470000003"/>
    <n v="10.2280084"/>
    <n v="54.999065049999999"/>
  </r>
  <r>
    <x v="6"/>
    <x v="0"/>
    <x v="3"/>
    <x v="7"/>
    <x v="47"/>
    <n v="3.6666078999999997E-2"/>
    <n v="7.2556406000000004E-2"/>
    <n v="3.8070200000000002E-4"/>
    <n v="3.3518849000000003E-2"/>
  </r>
  <r>
    <x v="6"/>
    <x v="1"/>
    <x v="1"/>
    <x v="7"/>
    <x v="47"/>
    <n v="99.324053120000002"/>
    <n v="196.54668380000001"/>
    <n v="25.3512898"/>
    <n v="90.440408270000006"/>
  </r>
  <r>
    <x v="6"/>
    <x v="2"/>
    <x v="0"/>
    <x v="7"/>
    <x v="47"/>
    <n v="0.39420362199999998"/>
    <n v="0.78006698399999996"/>
    <n v="1.3760790000000001E-3"/>
    <n v="0.23392502900000001"/>
  </r>
  <r>
    <x v="6"/>
    <x v="2"/>
    <x v="2"/>
    <x v="7"/>
    <x v="47"/>
    <n v="0.11316475199999999"/>
    <n v="0.223935251"/>
    <n v="5.2964209999999999E-3"/>
    <n v="6.7153284999999993E-2"/>
  </r>
  <r>
    <x v="6"/>
    <x v="3"/>
    <x v="3"/>
    <x v="7"/>
    <x v="47"/>
    <n v="0.477620296"/>
    <n v="0.94513546699999995"/>
    <n v="4.6496800000000001E-4"/>
    <n v="0.47741636100000001"/>
  </r>
  <r>
    <x v="6"/>
    <x v="3"/>
    <x v="0"/>
    <x v="7"/>
    <x v="47"/>
    <n v="7.7160953990000003"/>
    <n v="15.26893954"/>
    <n v="7.4593319999999999E-3"/>
    <n v="7.7128007700000003"/>
  </r>
  <r>
    <x v="6"/>
    <x v="0"/>
    <x v="0"/>
    <x v="7"/>
    <x v="47"/>
    <n v="7.3484682999999995E-2"/>
    <n v="0.14541463399999999"/>
    <n v="1.1239240000000001E-3"/>
    <n v="6.7177131000000001E-2"/>
  </r>
  <r>
    <x v="6"/>
    <x v="1"/>
    <x v="3"/>
    <x v="7"/>
    <x v="47"/>
    <n v="26.90861082"/>
    <n v="53.247909810000003"/>
    <n v="6.3604501869999996"/>
    <n v="24.501877159999999"/>
  </r>
  <r>
    <x v="6"/>
    <x v="0"/>
    <x v="2"/>
    <x v="7"/>
    <x v="47"/>
    <n v="1.3037961119999999"/>
    <n v="2.580007502"/>
    <n v="2.7734174E-2"/>
    <n v="1.191884868"/>
  </r>
  <r>
    <x v="6"/>
    <x v="1"/>
    <x v="2"/>
    <x v="7"/>
    <x v="47"/>
    <n v="3.2442221569999998"/>
    <n v="6.4198055390000004"/>
    <n v="0.37839690500000001"/>
    <n v="2.9540556109999998"/>
  </r>
  <r>
    <x v="6"/>
    <x v="1"/>
    <x v="0"/>
    <x v="7"/>
    <x v="47"/>
    <n v="0.79923816700000005"/>
    <n v="1.581566663"/>
    <n v="0.20665250700000001"/>
    <n v="0.72775348799999995"/>
  </r>
  <r>
    <x v="6"/>
    <x v="2"/>
    <x v="0"/>
    <x v="2"/>
    <x v="48"/>
    <n v="0.219103612"/>
    <n v="0.24784731400000001"/>
    <n v="2.674095E-3"/>
    <n v="0.17724545799999999"/>
  </r>
  <r>
    <x v="6"/>
    <x v="1"/>
    <x v="1"/>
    <x v="2"/>
    <x v="48"/>
    <n v="1133.4202439999999"/>
    <n v="1282.1110530000001"/>
    <n v="164.8436318"/>
    <n v="1065.647678"/>
  </r>
  <r>
    <x v="6"/>
    <x v="1"/>
    <x v="0"/>
    <x v="2"/>
    <x v="48"/>
    <n v="15.00079579"/>
    <n v="16.96871587"/>
    <n v="1.324211882"/>
    <n v="14.10382714"/>
  </r>
  <r>
    <x v="6"/>
    <x v="0"/>
    <x v="2"/>
    <x v="2"/>
    <x v="48"/>
    <n v="46.270665260000001"/>
    <n v="52.340807959999999"/>
    <n v="1.803500484"/>
    <n v="42.943572449999998"/>
  </r>
  <r>
    <x v="6"/>
    <x v="0"/>
    <x v="0"/>
    <x v="2"/>
    <x v="48"/>
    <n v="1.4229796690000001"/>
    <n v="1.6096571159999999"/>
    <n v="4.4486310000000001E-2"/>
    <n v="1.3206602970000001"/>
  </r>
  <r>
    <x v="6"/>
    <x v="1"/>
    <x v="3"/>
    <x v="2"/>
    <x v="48"/>
    <n v="459.72546469999997"/>
    <n v="520.03579649999995"/>
    <n v="72.071076419999997"/>
    <n v="432.23630120000001"/>
  </r>
  <r>
    <x v="6"/>
    <x v="0"/>
    <x v="3"/>
    <x v="2"/>
    <x v="48"/>
    <n v="7.2285937970000003"/>
    <n v="8.1768964769999997"/>
    <n v="0.39386290600000001"/>
    <n v="6.7088216630000002"/>
  </r>
  <r>
    <x v="6"/>
    <x v="3"/>
    <x v="0"/>
    <x v="2"/>
    <x v="48"/>
    <n v="92.481209609999993"/>
    <n v="104.61360790000001"/>
    <n v="5.9858159000000001E-2"/>
    <n v="92.475012759999998"/>
  </r>
  <r>
    <x v="6"/>
    <x v="3"/>
    <x v="3"/>
    <x v="2"/>
    <x v="48"/>
    <n v="12.430330789999999"/>
    <n v="14.06103744"/>
    <n v="7.7083409999999996E-3"/>
    <n v="12.429497870000001"/>
  </r>
  <r>
    <x v="6"/>
    <x v="2"/>
    <x v="2"/>
    <x v="2"/>
    <x v="48"/>
    <n v="2.794645472"/>
    <n v="3.1612686160000001"/>
    <n v="9.9204205000000004E-2"/>
    <n v="2.2607487509999999"/>
  </r>
  <r>
    <x v="6"/>
    <x v="1"/>
    <x v="2"/>
    <x v="2"/>
    <x v="48"/>
    <n v="33.708793839999998"/>
    <n v="38.13097338"/>
    <n v="2.1948513140000001"/>
    <n v="31.693185360000001"/>
  </r>
  <r>
    <x v="6"/>
    <x v="3"/>
    <x v="3"/>
    <x v="3"/>
    <x v="49"/>
    <n v="164.86769649999999"/>
    <n v="164.86769649999999"/>
    <n v="5.3555520000000002E-2"/>
    <n v="163.07034530000001"/>
  </r>
  <r>
    <x v="6"/>
    <x v="1"/>
    <x v="1"/>
    <x v="3"/>
    <x v="49"/>
    <n v="11355.11038"/>
    <n v="11355.11038"/>
    <n v="2423.7828770000001"/>
    <n v="10966.471670000001"/>
  </r>
  <r>
    <x v="6"/>
    <x v="2"/>
    <x v="2"/>
    <x v="3"/>
    <x v="49"/>
    <n v="186.72786830000001"/>
    <n v="186.72786830000001"/>
    <n v="1.1253223000000001"/>
    <n v="170.09628090000001"/>
  </r>
  <r>
    <x v="6"/>
    <x v="3"/>
    <x v="0"/>
    <x v="3"/>
    <x v="49"/>
    <n v="1319.6380389999999"/>
    <n v="1319.6380389999999"/>
    <n v="0.44370198"/>
    <n v="1305.2516370000001"/>
  </r>
  <r>
    <x v="6"/>
    <x v="0"/>
    <x v="3"/>
    <x v="3"/>
    <x v="49"/>
    <n v="16.200583420000001"/>
    <n v="16.200583420000001"/>
    <n v="2.4873775779999998"/>
    <n v="14.69367836"/>
  </r>
  <r>
    <x v="6"/>
    <x v="0"/>
    <x v="0"/>
    <x v="3"/>
    <x v="49"/>
    <n v="0.13447272499999999"/>
    <n v="0.13447272499999999"/>
    <n v="2.3289073E-2"/>
    <n v="0.12196467900000001"/>
  </r>
  <r>
    <x v="6"/>
    <x v="0"/>
    <x v="2"/>
    <x v="3"/>
    <x v="49"/>
    <n v="323.0282914"/>
    <n v="323.0282914"/>
    <n v="7.3514731490000003"/>
    <n v="292.98165949999998"/>
  </r>
  <r>
    <x v="6"/>
    <x v="1"/>
    <x v="3"/>
    <x v="3"/>
    <x v="49"/>
    <n v="8763.8214079999998"/>
    <n v="8763.8214079999998"/>
    <n v="2570.2107649999998"/>
    <n v="8463.8718630000003"/>
  </r>
  <r>
    <x v="6"/>
    <x v="1"/>
    <x v="0"/>
    <x v="3"/>
    <x v="49"/>
    <n v="267.49153339999998"/>
    <n v="267.49153339999998"/>
    <n v="32.782905919999997"/>
    <n v="258.33639890000001"/>
  </r>
  <r>
    <x v="6"/>
    <x v="1"/>
    <x v="2"/>
    <x v="3"/>
    <x v="49"/>
    <n v="470.421043"/>
    <n v="470.421043"/>
    <n v="49.394164859999997"/>
    <n v="454.32046650000001"/>
  </r>
  <r>
    <x v="7"/>
    <x v="2"/>
    <x v="2"/>
    <x v="0"/>
    <x v="0"/>
    <n v="0.19004490900000001"/>
    <n v="0.66082170100000004"/>
    <n v="9.8216999999999992E-3"/>
    <n v="0.17695180399999999"/>
  </r>
  <r>
    <x v="7"/>
    <x v="1"/>
    <x v="1"/>
    <x v="0"/>
    <x v="0"/>
    <n v="36.563451200000003"/>
    <n v="127.1379597"/>
    <n v="10.64796196"/>
    <n v="34.819349930000001"/>
  </r>
  <r>
    <x v="7"/>
    <x v="3"/>
    <x v="0"/>
    <x v="0"/>
    <x v="0"/>
    <n v="0.98955462000000005"/>
    <n v="3.4408665269999998"/>
    <n v="2.7698139999999998E-3"/>
    <n v="0.92881368399999997"/>
  </r>
  <r>
    <x v="7"/>
    <x v="0"/>
    <x v="3"/>
    <x v="0"/>
    <x v="0"/>
    <n v="0.188936518"/>
    <n v="0.65696761699999995"/>
    <n v="1.664928E-3"/>
    <n v="0.18031966799999999"/>
  </r>
  <r>
    <x v="7"/>
    <x v="0"/>
    <x v="0"/>
    <x v="0"/>
    <x v="0"/>
    <n v="7.5266670999999993E-2"/>
    <n v="0.26171629600000001"/>
    <n v="5.6694099999999995E-4"/>
    <n v="7.1833974999999994E-2"/>
  </r>
  <r>
    <x v="7"/>
    <x v="0"/>
    <x v="2"/>
    <x v="0"/>
    <x v="0"/>
    <n v="6.3042054959999998"/>
    <n v="21.920901829999998"/>
    <n v="0.194433631"/>
    <n v="6.0166888639999998"/>
  </r>
  <r>
    <x v="7"/>
    <x v="1"/>
    <x v="3"/>
    <x v="0"/>
    <x v="0"/>
    <n v="20.99431903"/>
    <n v="73.001174669999997"/>
    <n v="5.6696765620000003"/>
    <n v="19.992875860000002"/>
  </r>
  <r>
    <x v="7"/>
    <x v="1"/>
    <x v="2"/>
    <x v="0"/>
    <x v="0"/>
    <n v="1.624015209"/>
    <n v="5.6470046859999998"/>
    <n v="0.20343998199999999"/>
    <n v="1.5465485889999999"/>
  </r>
  <r>
    <x v="7"/>
    <x v="3"/>
    <x v="3"/>
    <x v="0"/>
    <x v="0"/>
    <n v="0.106511034"/>
    <n v="0.37035878999999999"/>
    <n v="2.9428599999999999E-4"/>
    <n v="9.9973163000000004E-2"/>
  </r>
  <r>
    <x v="7"/>
    <x v="0"/>
    <x v="2"/>
    <x v="1"/>
    <x v="1"/>
    <n v="44.11142401"/>
    <n v="53.524508060000002"/>
    <n v="0.69716434000000005"/>
    <n v="37.835901280000002"/>
  </r>
  <r>
    <x v="7"/>
    <x v="0"/>
    <x v="0"/>
    <x v="1"/>
    <x v="1"/>
    <n v="0.67170159699999998"/>
    <n v="0.81503824300000005"/>
    <n v="2.261089E-3"/>
    <n v="0.57614180199999998"/>
  </r>
  <r>
    <x v="7"/>
    <x v="0"/>
    <x v="3"/>
    <x v="1"/>
    <x v="1"/>
    <n v="0.726178184"/>
    <n v="0.88113977099999996"/>
    <n v="8.8589471000000003E-2"/>
    <n v="0.62286826399999995"/>
  </r>
  <r>
    <x v="7"/>
    <x v="3"/>
    <x v="0"/>
    <x v="1"/>
    <x v="1"/>
    <n v="16.28258524"/>
    <n v="19.757180470000002"/>
    <n v="9.3706620000000001E-3"/>
    <n v="14.05838513"/>
  </r>
  <r>
    <x v="7"/>
    <x v="3"/>
    <x v="3"/>
    <x v="1"/>
    <x v="1"/>
    <n v="10.12029362"/>
    <n v="12.27989687"/>
    <n v="6.7333380000000002E-3"/>
    <n v="8.7378621560000003"/>
  </r>
  <r>
    <x v="7"/>
    <x v="2"/>
    <x v="2"/>
    <x v="1"/>
    <x v="1"/>
    <n v="0.78843219499999995"/>
    <n v="0.95667837300000003"/>
    <n v="3.7264100000000001E-2"/>
    <n v="0.6388817"/>
  </r>
  <r>
    <x v="7"/>
    <x v="1"/>
    <x v="2"/>
    <x v="1"/>
    <x v="1"/>
    <n v="6.6649984340000001"/>
    <n v="8.0872647040000007"/>
    <n v="0.32797382200000003"/>
    <n v="6.0962607699999998"/>
  </r>
  <r>
    <x v="7"/>
    <x v="1"/>
    <x v="1"/>
    <x v="1"/>
    <x v="1"/>
    <n v="434.29992440000001"/>
    <n v="526.9766353"/>
    <n v="66.353036430000003"/>
    <n v="397.24024209999999"/>
  </r>
  <r>
    <x v="7"/>
    <x v="1"/>
    <x v="3"/>
    <x v="1"/>
    <x v="1"/>
    <n v="232.6173617"/>
    <n v="282.25635720000002"/>
    <n v="34.37653005"/>
    <n v="212.76765639999999"/>
  </r>
  <r>
    <x v="7"/>
    <x v="0"/>
    <x v="2"/>
    <x v="2"/>
    <x v="2"/>
    <n v="4.4648631569999999"/>
    <n v="4.8603849849999996"/>
    <n v="4.3351500000000001E-2"/>
    <n v="4.112485779"/>
  </r>
  <r>
    <x v="7"/>
    <x v="2"/>
    <x v="2"/>
    <x v="2"/>
    <x v="2"/>
    <n v="0.62596044699999998"/>
    <n v="0.68141142399999999"/>
    <n v="1.6671499999999999E-2"/>
    <n v="0.52518839500000003"/>
  </r>
  <r>
    <x v="7"/>
    <x v="3"/>
    <x v="0"/>
    <x v="2"/>
    <x v="2"/>
    <n v="2.7314852460000001"/>
    <n v="2.9734550450000001"/>
    <n v="3.3400819999999999E-3"/>
    <n v="2.731271241"/>
  </r>
  <r>
    <x v="7"/>
    <x v="1"/>
    <x v="1"/>
    <x v="2"/>
    <x v="2"/>
    <n v="187.53737280000001"/>
    <n v="204.15045180000001"/>
    <n v="26.110695679999999"/>
    <n v="178.3630321"/>
  </r>
  <r>
    <x v="7"/>
    <x v="1"/>
    <x v="2"/>
    <x v="2"/>
    <x v="2"/>
    <n v="6.1529926499999998"/>
    <n v="6.6980581570000002"/>
    <n v="0.33907678899999999"/>
    <n v="5.8519878429999999"/>
  </r>
  <r>
    <x v="7"/>
    <x v="1"/>
    <x v="3"/>
    <x v="2"/>
    <x v="2"/>
    <n v="66.086153839999994"/>
    <n v="71.940424280000002"/>
    <n v="9.0348592530000005"/>
    <n v="62.853214829999999"/>
  </r>
  <r>
    <x v="7"/>
    <x v="3"/>
    <x v="3"/>
    <x v="2"/>
    <x v="2"/>
    <n v="0.41940014599999997"/>
    <n v="0.45655288900000002"/>
    <n v="5.0941799999999998E-4"/>
    <n v="0.41936728699999998"/>
  </r>
  <r>
    <x v="7"/>
    <x v="0"/>
    <x v="0"/>
    <x v="2"/>
    <x v="2"/>
    <n v="7.0618308000000005E-2"/>
    <n v="7.6874060999999994E-2"/>
    <n v="2.376E-4"/>
    <n v="6.5044947000000006E-2"/>
  </r>
  <r>
    <x v="7"/>
    <x v="1"/>
    <x v="0"/>
    <x v="2"/>
    <x v="2"/>
    <n v="2.8746527849999999"/>
    <n v="3.1293051420000002"/>
    <n v="0.50890267499999997"/>
    <n v="2.7340245809999999"/>
  </r>
  <r>
    <x v="7"/>
    <x v="2"/>
    <x v="0"/>
    <x v="2"/>
    <x v="3"/>
    <n v="2.1525420849999999"/>
    <n v="2.3432259540000002"/>
    <n v="7.2004999999999997E-4"/>
    <n v="1.8555864989999999"/>
  </r>
  <r>
    <x v="7"/>
    <x v="1"/>
    <x v="2"/>
    <x v="2"/>
    <x v="3"/>
    <n v="4.0391253059999999"/>
    <n v="4.3969329630000002"/>
    <n v="0.20346797"/>
    <n v="3.7883899379999999"/>
  </r>
  <r>
    <x v="7"/>
    <x v="1"/>
    <x v="0"/>
    <x v="2"/>
    <x v="3"/>
    <n v="8.1519237600000007"/>
    <n v="8.8740654419999991"/>
    <n v="0.32861852000000003"/>
    <n v="7.6458796419999997"/>
  </r>
  <r>
    <x v="7"/>
    <x v="1"/>
    <x v="3"/>
    <x v="2"/>
    <x v="3"/>
    <n v="45.978086089999998"/>
    <n v="50.051074669999998"/>
    <n v="6.4265551199999997"/>
    <n v="43.123920529999999"/>
  </r>
  <r>
    <x v="7"/>
    <x v="0"/>
    <x v="2"/>
    <x v="2"/>
    <x v="3"/>
    <n v="5.0390741080000003"/>
    <n v="5.4854626609999997"/>
    <n v="6.5277523000000004E-2"/>
    <n v="4.7137782130000003"/>
  </r>
  <r>
    <x v="7"/>
    <x v="0"/>
    <x v="0"/>
    <x v="2"/>
    <x v="3"/>
    <n v="0.28965523900000001"/>
    <n v="0.31531447299999998"/>
    <n v="9.0867699999999999E-4"/>
    <n v="0.270956633"/>
  </r>
  <r>
    <x v="7"/>
    <x v="3"/>
    <x v="0"/>
    <x v="2"/>
    <x v="3"/>
    <n v="22.472189610000001"/>
    <n v="24.46289822"/>
    <n v="1.3803855E-2"/>
    <n v="22.470780569999999"/>
  </r>
  <r>
    <x v="7"/>
    <x v="3"/>
    <x v="3"/>
    <x v="2"/>
    <x v="3"/>
    <n v="3.049695587"/>
    <n v="3.3198541860000002"/>
    <n v="1.786445E-3"/>
    <n v="3.0495043669999999"/>
  </r>
  <r>
    <x v="7"/>
    <x v="2"/>
    <x v="2"/>
    <x v="2"/>
    <x v="3"/>
    <n v="2.1039015459999999"/>
    <n v="2.2902765719999998"/>
    <n v="2.8048750000000001E-2"/>
    <n v="1.8136562030000001"/>
  </r>
  <r>
    <x v="7"/>
    <x v="1"/>
    <x v="1"/>
    <x v="2"/>
    <x v="3"/>
    <n v="161.99989640000001"/>
    <n v="176.35072700000001"/>
    <n v="23.070505690000001"/>
    <n v="151.94348550000001"/>
  </r>
  <r>
    <x v="7"/>
    <x v="1"/>
    <x v="1"/>
    <x v="0"/>
    <x v="4"/>
    <n v="297.76018479999999"/>
    <n v="443.20686030000002"/>
    <n v="89.300114429999994"/>
    <n v="290.29102119999999"/>
  </r>
  <r>
    <x v="7"/>
    <x v="1"/>
    <x v="3"/>
    <x v="0"/>
    <x v="4"/>
    <n v="129.44492550000001"/>
    <n v="192.67478299999999"/>
    <n v="34.762768469999997"/>
    <n v="126.19786499999999"/>
  </r>
  <r>
    <x v="7"/>
    <x v="0"/>
    <x v="2"/>
    <x v="0"/>
    <x v="4"/>
    <n v="43.36802806"/>
    <n v="64.551973469999993"/>
    <n v="0.49421900299999999"/>
    <n v="41.341607779999997"/>
  </r>
  <r>
    <x v="7"/>
    <x v="0"/>
    <x v="0"/>
    <x v="0"/>
    <x v="4"/>
    <n v="1.0895769870000001"/>
    <n v="1.621801772"/>
    <n v="1.4391971999999999E-2"/>
    <n v="1.0386652670000001"/>
  </r>
  <r>
    <x v="7"/>
    <x v="0"/>
    <x v="3"/>
    <x v="0"/>
    <x v="4"/>
    <n v="0.16806505799999999"/>
    <n v="0.25015966099999998"/>
    <n v="1.0004250000000001E-3"/>
    <n v="0.16021202800000001"/>
  </r>
  <r>
    <x v="7"/>
    <x v="2"/>
    <x v="2"/>
    <x v="0"/>
    <x v="4"/>
    <n v="0.881212726"/>
    <n v="1.311657989"/>
    <n v="6.5185E-3"/>
    <n v="0.84719614700000001"/>
  </r>
  <r>
    <x v="7"/>
    <x v="1"/>
    <x v="2"/>
    <x v="0"/>
    <x v="4"/>
    <n v="8.6555826299999996"/>
    <n v="12.88356804"/>
    <n v="1.6449318020000001"/>
    <n v="8.4384617179999992"/>
  </r>
  <r>
    <x v="7"/>
    <x v="3"/>
    <x v="3"/>
    <x v="0"/>
    <x v="4"/>
    <n v="14.39585061"/>
    <n v="21.42778006"/>
    <n v="5.4699559999999998E-3"/>
    <n v="13.995245819999999"/>
  </r>
  <r>
    <x v="7"/>
    <x v="3"/>
    <x v="0"/>
    <x v="0"/>
    <x v="4"/>
    <n v="142.40509040000001"/>
    <n v="211.96558909999999"/>
    <n v="5.7391544000000003E-2"/>
    <n v="138.44227050000001"/>
  </r>
  <r>
    <x v="7"/>
    <x v="0"/>
    <x v="0"/>
    <x v="3"/>
    <x v="5"/>
    <n v="1.3338867000000001E-2"/>
    <n v="1.6094418999999999E-2"/>
    <n v="1.2153940000000001E-3"/>
    <n v="1.0734459E-2"/>
  </r>
  <r>
    <x v="7"/>
    <x v="3"/>
    <x v="3"/>
    <x v="3"/>
    <x v="5"/>
    <n v="2.8628831560000001"/>
    <n v="3.45429933"/>
    <n v="1.3284970000000001E-3"/>
    <n v="2.82084841"/>
  </r>
  <r>
    <x v="7"/>
    <x v="1"/>
    <x v="2"/>
    <x v="3"/>
    <x v="5"/>
    <n v="72.98745941"/>
    <n v="88.065253960000007"/>
    <n v="5.0251882569999999"/>
    <n v="69.642176950000007"/>
  </r>
  <r>
    <x v="7"/>
    <x v="1"/>
    <x v="1"/>
    <x v="3"/>
    <x v="5"/>
    <n v="711.56555879999996"/>
    <n v="858.56121240000004"/>
    <n v="229.08156360000001"/>
    <n v="678.95190419999994"/>
  </r>
  <r>
    <x v="7"/>
    <x v="3"/>
    <x v="0"/>
    <x v="3"/>
    <x v="5"/>
    <n v="53.360907599999997"/>
    <n v="64.38423693"/>
    <n v="2.5060003000000001E-2"/>
    <n v="52.57742743"/>
  </r>
  <r>
    <x v="7"/>
    <x v="0"/>
    <x v="2"/>
    <x v="3"/>
    <x v="5"/>
    <n v="20.16644535"/>
    <n v="24.332442109999999"/>
    <n v="0.82322150599999999"/>
    <n v="16.228955930000001"/>
  </r>
  <r>
    <x v="7"/>
    <x v="2"/>
    <x v="0"/>
    <x v="3"/>
    <x v="5"/>
    <n v="3.4313043130000001"/>
    <n v="4.1401452819999998"/>
    <n v="6.6573480000000004E-3"/>
    <n v="3.1154961550000002"/>
  </r>
  <r>
    <x v="7"/>
    <x v="1"/>
    <x v="0"/>
    <x v="3"/>
    <x v="5"/>
    <n v="14.38359999"/>
    <n v="17.354972979999999"/>
    <n v="1.3572613309999999"/>
    <n v="13.72434694"/>
  </r>
  <r>
    <x v="7"/>
    <x v="2"/>
    <x v="2"/>
    <x v="3"/>
    <x v="5"/>
    <n v="0.62973966000000003"/>
    <n v="0.75983166899999999"/>
    <n v="2.8592052E-2"/>
    <n v="0.57178008999999996"/>
  </r>
  <r>
    <x v="7"/>
    <x v="1"/>
    <x v="3"/>
    <x v="3"/>
    <x v="5"/>
    <n v="387.63170270000001"/>
    <n v="467.70889979999998"/>
    <n v="128.01569050000001"/>
    <n v="369.86512260000001"/>
  </r>
  <r>
    <x v="7"/>
    <x v="1"/>
    <x v="3"/>
    <x v="0"/>
    <x v="6"/>
    <n v="33.466769540000001"/>
    <n v="40.884115469999998"/>
    <n v="6.969583042"/>
    <n v="31.82119045"/>
  </r>
  <r>
    <x v="7"/>
    <x v="1"/>
    <x v="2"/>
    <x v="0"/>
    <x v="6"/>
    <n v="9.4866658909999995"/>
    <n v="11.58922564"/>
    <n v="0.50490412299999998"/>
    <n v="9.0202014179999992"/>
  </r>
  <r>
    <x v="7"/>
    <x v="0"/>
    <x v="2"/>
    <x v="0"/>
    <x v="6"/>
    <n v="24.40251846"/>
    <n v="29.81092576"/>
    <n v="0.39693508100000002"/>
    <n v="23.232865100000001"/>
  </r>
  <r>
    <x v="7"/>
    <x v="0"/>
    <x v="0"/>
    <x v="0"/>
    <x v="6"/>
    <n v="0.26690515999999997"/>
    <n v="0.32606019400000003"/>
    <n v="1.080208E-3"/>
    <n v="0.254111951"/>
  </r>
  <r>
    <x v="7"/>
    <x v="3"/>
    <x v="3"/>
    <x v="0"/>
    <x v="6"/>
    <n v="0.19616811000000001"/>
    <n v="0.239645468"/>
    <n v="8.1510999999999999E-5"/>
    <n v="0.17833464500000001"/>
  </r>
  <r>
    <x v="7"/>
    <x v="1"/>
    <x v="1"/>
    <x v="0"/>
    <x v="6"/>
    <n v="65.577948730000003"/>
    <n v="80.112196800000007"/>
    <n v="13.351744630000001"/>
    <n v="62.353445659999998"/>
  </r>
  <r>
    <x v="7"/>
    <x v="2"/>
    <x v="2"/>
    <x v="0"/>
    <x v="6"/>
    <n v="1.226206014"/>
    <n v="1.497973929"/>
    <n v="2.9370799999999999E-2"/>
    <n v="1.15047604"/>
  </r>
  <r>
    <x v="7"/>
    <x v="3"/>
    <x v="0"/>
    <x v="0"/>
    <x v="6"/>
    <n v="3.000629757"/>
    <n v="3.6656688150000001"/>
    <n v="1.1254889999999999E-3"/>
    <n v="2.7278452340000001"/>
  </r>
  <r>
    <x v="7"/>
    <x v="0"/>
    <x v="3"/>
    <x v="0"/>
    <x v="6"/>
    <n v="0.470357625"/>
    <n v="0.57460447199999998"/>
    <n v="1.9819120000000002E-3"/>
    <n v="0.44781260000000001"/>
  </r>
  <r>
    <x v="7"/>
    <x v="0"/>
    <x v="2"/>
    <x v="4"/>
    <x v="7"/>
    <n v="738.42638850000003"/>
    <n v="771.68346020000001"/>
    <n v="9.8653322820000007"/>
    <n v="610.72665930000005"/>
  </r>
  <r>
    <x v="7"/>
    <x v="1"/>
    <x v="3"/>
    <x v="4"/>
    <x v="7"/>
    <n v="5694.7489999999998"/>
    <n v="5951.2277480000002"/>
    <n v="1554.9647640000001"/>
    <n v="5205.1243869999998"/>
  </r>
  <r>
    <x v="7"/>
    <x v="1"/>
    <x v="1"/>
    <x v="4"/>
    <x v="7"/>
    <n v="8554.5697939999991"/>
    <n v="8939.8484690000005"/>
    <n v="1952.1214199999999"/>
    <n v="7819.0627629999999"/>
  </r>
  <r>
    <x v="7"/>
    <x v="0"/>
    <x v="0"/>
    <x v="4"/>
    <x v="7"/>
    <n v="3.1469642160000002"/>
    <n v="3.2886964409999999"/>
    <n v="1.6369069E-2"/>
    <n v="2.6027441229999999"/>
  </r>
  <r>
    <x v="7"/>
    <x v="0"/>
    <x v="3"/>
    <x v="4"/>
    <x v="7"/>
    <n v="18.675499339999998"/>
    <n v="19.516602030000001"/>
    <n v="0.14252134799999999"/>
    <n v="15.44585283"/>
  </r>
  <r>
    <x v="7"/>
    <x v="3"/>
    <x v="0"/>
    <x v="4"/>
    <x v="7"/>
    <n v="110.26652180000001"/>
    <n v="115.23267920000001"/>
    <n v="8.4267658999999995E-2"/>
    <n v="110.10295600000001"/>
  </r>
  <r>
    <x v="7"/>
    <x v="3"/>
    <x v="3"/>
    <x v="4"/>
    <x v="7"/>
    <n v="16.39926316"/>
    <n v="17.13784927"/>
    <n v="1.3045341E-2"/>
    <n v="16.37493701"/>
  </r>
  <r>
    <x v="7"/>
    <x v="2"/>
    <x v="2"/>
    <x v="4"/>
    <x v="7"/>
    <n v="149.96756730000001"/>
    <n v="156.7217709"/>
    <n v="1.5816323999999999"/>
    <n v="138.89503400000001"/>
  </r>
  <r>
    <x v="7"/>
    <x v="0"/>
    <x v="3"/>
    <x v="0"/>
    <x v="8"/>
    <n v="0.11333757"/>
    <n v="0.17327210400000001"/>
    <n v="6.5880699999999997E-4"/>
    <n v="0.10814061"/>
  </r>
  <r>
    <x v="7"/>
    <x v="1"/>
    <x v="3"/>
    <x v="0"/>
    <x v="8"/>
    <n v="24.20516829"/>
    <n v="37.005208889999999"/>
    <n v="6.5776168249999998"/>
    <n v="23.461585119999999"/>
  </r>
  <r>
    <x v="7"/>
    <x v="0"/>
    <x v="0"/>
    <x v="0"/>
    <x v="8"/>
    <n v="0.18601727600000001"/>
    <n v="0.28438588300000001"/>
    <n v="2.3795769999999999E-3"/>
    <n v="0.17748767500000001"/>
  </r>
  <r>
    <x v="7"/>
    <x v="0"/>
    <x v="2"/>
    <x v="0"/>
    <x v="8"/>
    <n v="7.7026533080000004"/>
    <n v="11.775926999999999"/>
    <n v="0.105444116"/>
    <n v="7.3494573020000002"/>
  </r>
  <r>
    <x v="7"/>
    <x v="3"/>
    <x v="0"/>
    <x v="0"/>
    <x v="8"/>
    <n v="1.563396663"/>
    <n v="2.3901432699999998"/>
    <n v="6.2852999999999997E-4"/>
    <n v="1.4212564670000001"/>
  </r>
  <r>
    <x v="7"/>
    <x v="3"/>
    <x v="3"/>
    <x v="0"/>
    <x v="8"/>
    <n v="5.3404137999999997E-2"/>
    <n v="8.1645013000000002E-2"/>
    <n v="2.1470500000000001E-5"/>
    <n v="4.8548764000000001E-2"/>
  </r>
  <r>
    <x v="7"/>
    <x v="1"/>
    <x v="2"/>
    <x v="0"/>
    <x v="8"/>
    <n v="4.5177057469999999"/>
    <n v="6.9067334249999996"/>
    <n v="0.50366651600000001"/>
    <n v="4.378921751"/>
  </r>
  <r>
    <x v="7"/>
    <x v="1"/>
    <x v="1"/>
    <x v="0"/>
    <x v="8"/>
    <n v="51.655959869999997"/>
    <n v="78.972373289999993"/>
    <n v="16.599344259999999"/>
    <n v="50.069087920000001"/>
  </r>
  <r>
    <x v="7"/>
    <x v="2"/>
    <x v="2"/>
    <x v="0"/>
    <x v="8"/>
    <n v="0.80913898200000001"/>
    <n v="1.237023296"/>
    <n v="2.2917E-2"/>
    <n v="0.742326492"/>
  </r>
  <r>
    <x v="7"/>
    <x v="2"/>
    <x v="2"/>
    <x v="5"/>
    <x v="9"/>
    <n v="0.97947502099999995"/>
    <n v="1.0423645399999999"/>
    <n v="1.21654E-2"/>
    <n v="0.84885734700000004"/>
  </r>
  <r>
    <x v="7"/>
    <x v="1"/>
    <x v="1"/>
    <x v="5"/>
    <x v="9"/>
    <n v="109.05184439999999"/>
    <n v="116.053777"/>
    <n v="22.921704299999998"/>
    <n v="100.32651269999999"/>
  </r>
  <r>
    <x v="7"/>
    <x v="1"/>
    <x v="2"/>
    <x v="5"/>
    <x v="9"/>
    <n v="2.705310796"/>
    <n v="2.8790116979999998"/>
    <n v="0.32850291199999998"/>
    <n v="2.4888565570000001"/>
  </r>
  <r>
    <x v="7"/>
    <x v="0"/>
    <x v="3"/>
    <x v="5"/>
    <x v="9"/>
    <n v="0.28424006200000002"/>
    <n v="0.30249037000000001"/>
    <n v="3.8251140000000001E-3"/>
    <n v="0.26420215400000002"/>
  </r>
  <r>
    <x v="7"/>
    <x v="0"/>
    <x v="0"/>
    <x v="5"/>
    <x v="9"/>
    <n v="0.478311178"/>
    <n v="0.50902228299999996"/>
    <n v="3.8358910000000001E-3"/>
    <n v="0.44459194899999999"/>
  </r>
  <r>
    <x v="7"/>
    <x v="0"/>
    <x v="2"/>
    <x v="5"/>
    <x v="9"/>
    <n v="9.433810179"/>
    <n v="10.039530360000001"/>
    <n v="0.11109029500000001"/>
    <n v="8.7687602719999997"/>
  </r>
  <r>
    <x v="7"/>
    <x v="1"/>
    <x v="0"/>
    <x v="5"/>
    <x v="9"/>
    <n v="1.3947736230000001"/>
    <n v="1.484328375"/>
    <n v="0.34197741999999998"/>
    <n v="1.2831765879999999"/>
  </r>
  <r>
    <x v="7"/>
    <x v="1"/>
    <x v="3"/>
    <x v="5"/>
    <x v="9"/>
    <n v="26.455169659999999"/>
    <n v="28.15378664"/>
    <n v="6.8962745730000004"/>
    <n v="24.33846883"/>
  </r>
  <r>
    <x v="7"/>
    <x v="1"/>
    <x v="2"/>
    <x v="2"/>
    <x v="10"/>
    <n v="3.3220331010000002"/>
    <n v="3.6083404680000002"/>
    <n v="0.220213134"/>
    <n v="3.139751875"/>
  </r>
  <r>
    <x v="7"/>
    <x v="3"/>
    <x v="3"/>
    <x v="2"/>
    <x v="10"/>
    <n v="3.5776696229999998"/>
    <n v="3.886008865"/>
    <n v="2.1212819999999999E-3"/>
    <n v="3.5774361699999999"/>
  </r>
  <r>
    <x v="7"/>
    <x v="1"/>
    <x v="0"/>
    <x v="2"/>
    <x v="10"/>
    <n v="1.8206317919999999"/>
    <n v="1.977541816"/>
    <n v="0.238376265"/>
    <n v="1.7207330300000001"/>
  </r>
  <r>
    <x v="7"/>
    <x v="1"/>
    <x v="3"/>
    <x v="2"/>
    <x v="10"/>
    <n v="45.240082989999998"/>
    <n v="49.139071549999997"/>
    <n v="7.0034514369999998"/>
    <n v="42.75774234"/>
  </r>
  <r>
    <x v="7"/>
    <x v="0"/>
    <x v="2"/>
    <x v="2"/>
    <x v="10"/>
    <n v="1.237607629"/>
    <n v="1.344270077"/>
    <n v="3.3295300999999999E-2"/>
    <n v="1.1194776959999999"/>
  </r>
  <r>
    <x v="7"/>
    <x v="0"/>
    <x v="0"/>
    <x v="2"/>
    <x v="10"/>
    <n v="3.9143781000000002E-2"/>
    <n v="4.2517364000000002E-2"/>
    <n v="3.0419900000000001E-4"/>
    <n v="3.5407498000000003E-2"/>
  </r>
  <r>
    <x v="7"/>
    <x v="3"/>
    <x v="0"/>
    <x v="2"/>
    <x v="10"/>
    <n v="24.211086989999998"/>
    <n v="26.297704530000001"/>
    <n v="1.4816318E-2"/>
    <n v="24.20950715"/>
  </r>
  <r>
    <x v="7"/>
    <x v="2"/>
    <x v="0"/>
    <x v="2"/>
    <x v="10"/>
    <n v="0.97088560000000002"/>
    <n v="1.0545607749999999"/>
    <n v="1.0589449999999999E-3"/>
    <n v="0.88472664199999995"/>
  </r>
  <r>
    <x v="7"/>
    <x v="2"/>
    <x v="2"/>
    <x v="2"/>
    <x v="10"/>
    <n v="0.26432366299999999"/>
    <n v="0.28710423400000001"/>
    <n v="3.0554549999999999E-3"/>
    <n v="0.240866882"/>
  </r>
  <r>
    <x v="7"/>
    <x v="1"/>
    <x v="1"/>
    <x v="2"/>
    <x v="10"/>
    <n v="138.47283669999999"/>
    <n v="150.40703239999999"/>
    <n v="19.661450160000001"/>
    <n v="130.87477920000001"/>
  </r>
  <r>
    <x v="7"/>
    <x v="1"/>
    <x v="2"/>
    <x v="2"/>
    <x v="11"/>
    <n v="3.6568349370000002"/>
    <n v="3.9807772369999999"/>
    <n v="0.29981039700000001"/>
    <n v="3.4669245599999998"/>
  </r>
  <r>
    <x v="7"/>
    <x v="2"/>
    <x v="2"/>
    <x v="2"/>
    <x v="11"/>
    <n v="2.716841488"/>
    <n v="2.9575140630000001"/>
    <n v="2.6761299999999998E-2"/>
    <n v="2.6579630729999999"/>
  </r>
  <r>
    <x v="7"/>
    <x v="3"/>
    <x v="3"/>
    <x v="2"/>
    <x v="11"/>
    <n v="0.57415191099999996"/>
    <n v="0.62501340599999999"/>
    <n v="4.3972400000000001E-4"/>
    <n v="0.57411975999999998"/>
  </r>
  <r>
    <x v="7"/>
    <x v="3"/>
    <x v="0"/>
    <x v="2"/>
    <x v="11"/>
    <n v="2.6161042000000001"/>
    <n v="2.8478529190000001"/>
    <n v="2.158676E-3"/>
    <n v="2.615957705"/>
  </r>
  <r>
    <x v="7"/>
    <x v="0"/>
    <x v="0"/>
    <x v="2"/>
    <x v="11"/>
    <n v="2.0103808000000001E-2"/>
    <n v="2.1884712000000001E-2"/>
    <n v="7.94931E-5"/>
    <n v="2.0475447000000001E-2"/>
  </r>
  <r>
    <x v="7"/>
    <x v="0"/>
    <x v="2"/>
    <x v="2"/>
    <x v="11"/>
    <n v="1.806958549"/>
    <n v="1.967028752"/>
    <n v="2.8921407E-2"/>
    <n v="1.8403620169999999"/>
  </r>
  <r>
    <x v="7"/>
    <x v="1"/>
    <x v="0"/>
    <x v="2"/>
    <x v="11"/>
    <n v="2.1436495980000001"/>
    <n v="2.3335457220000002"/>
    <n v="0.31713117899999999"/>
    <n v="2.0323234619999999"/>
  </r>
  <r>
    <x v="7"/>
    <x v="1"/>
    <x v="1"/>
    <x v="2"/>
    <x v="11"/>
    <n v="196.94539130000001"/>
    <n v="214.39188369999999"/>
    <n v="27.787564379999999"/>
    <n v="186.71742800000001"/>
  </r>
  <r>
    <x v="7"/>
    <x v="1"/>
    <x v="3"/>
    <x v="2"/>
    <x v="11"/>
    <n v="60.93302654"/>
    <n v="66.330804979999996"/>
    <n v="9.7397707400000009"/>
    <n v="57.76859219"/>
  </r>
  <r>
    <x v="7"/>
    <x v="1"/>
    <x v="2"/>
    <x v="2"/>
    <x v="12"/>
    <n v="21.33100348"/>
    <n v="23.220619630000002"/>
    <n v="1.7291781450000001"/>
    <n v="19.98913143"/>
  </r>
  <r>
    <x v="7"/>
    <x v="2"/>
    <x v="2"/>
    <x v="2"/>
    <x v="12"/>
    <n v="3.9970375439999999"/>
    <n v="4.3511168380000003"/>
    <n v="5.4038888E-2"/>
    <n v="4.2268883629999996"/>
  </r>
  <r>
    <x v="7"/>
    <x v="3"/>
    <x v="3"/>
    <x v="2"/>
    <x v="12"/>
    <n v="12.24081762"/>
    <n v="13.32517573"/>
    <n v="7.8665520000000006E-3"/>
    <n v="12.24000358"/>
  </r>
  <r>
    <x v="7"/>
    <x v="3"/>
    <x v="0"/>
    <x v="2"/>
    <x v="12"/>
    <n v="73.730052799999996"/>
    <n v="80.261461330000003"/>
    <n v="5.0484748000000003E-2"/>
    <n v="73.725149579999993"/>
  </r>
  <r>
    <x v="7"/>
    <x v="0"/>
    <x v="3"/>
    <x v="2"/>
    <x v="12"/>
    <n v="2.1086466640000001"/>
    <n v="2.295442038"/>
    <n v="7.4984387999999999E-2"/>
    <n v="2.0723099700000001"/>
  </r>
  <r>
    <x v="7"/>
    <x v="0"/>
    <x v="0"/>
    <x v="2"/>
    <x v="12"/>
    <n v="0.60097893400000002"/>
    <n v="0.65421691199999998"/>
    <n v="1.3257131E-2"/>
    <n v="0.59062272400000004"/>
  </r>
  <r>
    <x v="7"/>
    <x v="0"/>
    <x v="2"/>
    <x v="2"/>
    <x v="12"/>
    <n v="35.558074429999998"/>
    <n v="38.708001789999997"/>
    <n v="0.68355338099999996"/>
    <n v="34.945329350000002"/>
  </r>
  <r>
    <x v="7"/>
    <x v="1"/>
    <x v="3"/>
    <x v="2"/>
    <x v="12"/>
    <n v="365.08521510000003"/>
    <n v="397.42644630000001"/>
    <n v="56.637355049999996"/>
    <n v="342.11875459999999"/>
  </r>
  <r>
    <x v="7"/>
    <x v="1"/>
    <x v="0"/>
    <x v="2"/>
    <x v="12"/>
    <n v="27.75394983"/>
    <n v="30.21254545"/>
    <n v="1.6808185339999999"/>
    <n v="26.008028700000001"/>
  </r>
  <r>
    <x v="7"/>
    <x v="1"/>
    <x v="1"/>
    <x v="2"/>
    <x v="12"/>
    <n v="877.40130839999995"/>
    <n v="955.12628170000005"/>
    <n v="142.92960070000001"/>
    <n v="822.20651650000002"/>
  </r>
  <r>
    <x v="7"/>
    <x v="2"/>
    <x v="0"/>
    <x v="2"/>
    <x v="12"/>
    <n v="0.39081509399999997"/>
    <n v="0.42543561800000002"/>
    <n v="2.37412E-4"/>
    <n v="0.41328903099999997"/>
  </r>
  <r>
    <x v="7"/>
    <x v="3"/>
    <x v="0"/>
    <x v="2"/>
    <x v="13"/>
    <n v="298.8544508"/>
    <n v="325.32860119999998"/>
    <n v="0.166715111"/>
    <n v="296.54780770000002"/>
  </r>
  <r>
    <x v="7"/>
    <x v="0"/>
    <x v="3"/>
    <x v="2"/>
    <x v="13"/>
    <n v="3.2716783079999998"/>
    <n v="3.5615013420000001"/>
    <n v="0.116521029"/>
    <n v="3.0384693490000001"/>
  </r>
  <r>
    <x v="7"/>
    <x v="1"/>
    <x v="1"/>
    <x v="2"/>
    <x v="13"/>
    <n v="1356.652147"/>
    <n v="1476.8317629999999"/>
    <n v="211.3859199"/>
    <n v="1253.454254"/>
  </r>
  <r>
    <x v="7"/>
    <x v="1"/>
    <x v="2"/>
    <x v="2"/>
    <x v="13"/>
    <n v="57.30048326"/>
    <n v="62.376471279999997"/>
    <n v="3.2300248790000001"/>
    <n v="52.941746819999999"/>
  </r>
  <r>
    <x v="7"/>
    <x v="1"/>
    <x v="0"/>
    <x v="2"/>
    <x v="13"/>
    <n v="28.063380599999999"/>
    <n v="30.54938727"/>
    <n v="3.075798866"/>
    <n v="25.928653749999999"/>
  </r>
  <r>
    <x v="7"/>
    <x v="1"/>
    <x v="3"/>
    <x v="2"/>
    <x v="13"/>
    <n v="671.58021810000002"/>
    <n v="731.0724414"/>
    <n v="138.32294970000001"/>
    <n v="620.49441569999999"/>
  </r>
  <r>
    <x v="7"/>
    <x v="0"/>
    <x v="2"/>
    <x v="2"/>
    <x v="13"/>
    <n v="34.144989199999998"/>
    <n v="37.1697378"/>
    <n v="0.77124613600000003"/>
    <n v="31.711095449999998"/>
  </r>
  <r>
    <x v="7"/>
    <x v="2"/>
    <x v="2"/>
    <x v="2"/>
    <x v="13"/>
    <n v="11.6138674"/>
    <n v="12.64268685"/>
    <n v="0.153499303"/>
    <n v="9.0976943279999993"/>
  </r>
  <r>
    <x v="7"/>
    <x v="0"/>
    <x v="0"/>
    <x v="2"/>
    <x v="13"/>
    <n v="1.061989772"/>
    <n v="1.1560665939999999"/>
    <n v="1.9374135000000001E-2"/>
    <n v="0.98628993099999995"/>
  </r>
  <r>
    <x v="7"/>
    <x v="3"/>
    <x v="3"/>
    <x v="2"/>
    <x v="13"/>
    <n v="22.389567509999999"/>
    <n v="24.37295701"/>
    <n v="1.9755188999999999E-2"/>
    <n v="22.216758509999998"/>
  </r>
  <r>
    <x v="7"/>
    <x v="2"/>
    <x v="0"/>
    <x v="2"/>
    <x v="13"/>
    <n v="0.859874421"/>
    <n v="0.93604676799999997"/>
    <n v="1.0611970000000001E-3"/>
    <n v="0.67358050300000005"/>
  </r>
  <r>
    <x v="7"/>
    <x v="3"/>
    <x v="3"/>
    <x v="2"/>
    <x v="14"/>
    <n v="0.10270253999999999"/>
    <n v="0.111800489"/>
    <n v="8.4867499999999993E-5"/>
    <n v="0.102692517"/>
  </r>
  <r>
    <x v="7"/>
    <x v="1"/>
    <x v="2"/>
    <x v="2"/>
    <x v="14"/>
    <n v="1.67842713"/>
    <n v="1.8271113210000001"/>
    <n v="9.0116920000000003E-2"/>
    <n v="1.6056187479999999"/>
  </r>
  <r>
    <x v="7"/>
    <x v="1"/>
    <x v="0"/>
    <x v="2"/>
    <x v="14"/>
    <n v="0.63280798199999999"/>
    <n v="0.68886555000000005"/>
    <n v="7.6619909E-2"/>
    <n v="0.60535744499999999"/>
  </r>
  <r>
    <x v="7"/>
    <x v="1"/>
    <x v="3"/>
    <x v="2"/>
    <x v="14"/>
    <n v="19.60964555"/>
    <n v="21.346774450000002"/>
    <n v="3.228799923"/>
    <n v="18.759"/>
  </r>
  <r>
    <x v="7"/>
    <x v="0"/>
    <x v="2"/>
    <x v="2"/>
    <x v="14"/>
    <n v="1.2654210020000001"/>
    <n v="1.377518867"/>
    <n v="1.8534599999999998E-2"/>
    <n v="1.1692002909999999"/>
  </r>
  <r>
    <x v="7"/>
    <x v="1"/>
    <x v="1"/>
    <x v="2"/>
    <x v="14"/>
    <n v="63.797539280000002"/>
    <n v="69.449071810000007"/>
    <n v="9.2844233480000007"/>
    <n v="61.030069949999998"/>
  </r>
  <r>
    <x v="7"/>
    <x v="2"/>
    <x v="2"/>
    <x v="2"/>
    <x v="14"/>
    <n v="1.3551732759999999"/>
    <n v="1.4752218850000001"/>
    <n v="2.1646856999999999E-2"/>
    <n v="1.25365696"/>
  </r>
  <r>
    <x v="7"/>
    <x v="3"/>
    <x v="0"/>
    <x v="2"/>
    <x v="14"/>
    <n v="0.48798103999999998"/>
    <n v="0.53120905100000004"/>
    <n v="3.96232E-4"/>
    <n v="0.48793341299999998"/>
  </r>
  <r>
    <x v="7"/>
    <x v="2"/>
    <x v="0"/>
    <x v="2"/>
    <x v="14"/>
    <n v="0.38067985199999999"/>
    <n v="0.41440254100000001"/>
    <n v="5.7164300000000004E-4"/>
    <n v="0.35216304399999998"/>
  </r>
  <r>
    <x v="7"/>
    <x v="3"/>
    <x v="0"/>
    <x v="4"/>
    <x v="15"/>
    <n v="10.02671769"/>
    <n v="10.1078554"/>
    <n v="8.8394000000000007E-3"/>
    <n v="8.4255439810000006"/>
  </r>
  <r>
    <x v="7"/>
    <x v="2"/>
    <x v="2"/>
    <x v="4"/>
    <x v="15"/>
    <n v="0.67359028600000004"/>
    <n v="0.67904107999999996"/>
    <n v="0.1097079"/>
    <n v="0.65362852100000002"/>
  </r>
  <r>
    <x v="7"/>
    <x v="0"/>
    <x v="0"/>
    <x v="4"/>
    <x v="15"/>
    <n v="2.7825984000000002E-2"/>
    <n v="2.8051156000000001E-2"/>
    <n v="1.19911E-4"/>
    <n v="2.3456313999999999E-2"/>
  </r>
  <r>
    <x v="7"/>
    <x v="0"/>
    <x v="2"/>
    <x v="4"/>
    <x v="15"/>
    <n v="9.1341578329999997"/>
    <n v="9.2080728159999996"/>
    <n v="0.55539498600000003"/>
    <n v="7.6997700729999998"/>
  </r>
  <r>
    <x v="7"/>
    <x v="1"/>
    <x v="3"/>
    <x v="4"/>
    <x v="15"/>
    <n v="84.266144949999997"/>
    <n v="84.948039309999999"/>
    <n v="19.615429580000001"/>
    <n v="79.549849800000004"/>
  </r>
  <r>
    <x v="7"/>
    <x v="0"/>
    <x v="3"/>
    <x v="4"/>
    <x v="15"/>
    <n v="0.12648125499999999"/>
    <n v="0.12750475999999999"/>
    <n v="6.8571202999999997E-2"/>
    <n v="0.106619198"/>
  </r>
  <r>
    <x v="7"/>
    <x v="1"/>
    <x v="1"/>
    <x v="4"/>
    <x v="15"/>
    <n v="183.4213637"/>
    <n v="184.90563710000001"/>
    <n v="38.879796820000003"/>
    <n v="173.15544629999999"/>
  </r>
  <r>
    <x v="7"/>
    <x v="0"/>
    <x v="3"/>
    <x v="5"/>
    <x v="16"/>
    <n v="2.7493967000000001E-2"/>
    <n v="3.1115341000000001E-2"/>
    <n v="5.6239899999999999E-4"/>
    <n v="2.5287509999999999E-2"/>
  </r>
  <r>
    <x v="7"/>
    <x v="1"/>
    <x v="0"/>
    <x v="5"/>
    <x v="16"/>
    <n v="0.71045985599999995"/>
    <n v="0.80403825200000001"/>
    <n v="0.185344275"/>
    <n v="0.64929108800000002"/>
  </r>
  <r>
    <x v="7"/>
    <x v="1"/>
    <x v="2"/>
    <x v="5"/>
    <x v="16"/>
    <n v="1.506549836"/>
    <n v="1.7049854230000001"/>
    <n v="0.20753829900000001"/>
    <n v="1.376839768"/>
  </r>
  <r>
    <x v="7"/>
    <x v="1"/>
    <x v="3"/>
    <x v="5"/>
    <x v="16"/>
    <n v="18.2536241"/>
    <n v="20.657904739999999"/>
    <n v="5.4497429589999999"/>
    <n v="16.68203398"/>
  </r>
  <r>
    <x v="7"/>
    <x v="1"/>
    <x v="1"/>
    <x v="5"/>
    <x v="16"/>
    <n v="66.866902800000005"/>
    <n v="75.67429353"/>
    <n v="14.930717570000001"/>
    <n v="61.109834339999999"/>
  </r>
  <r>
    <x v="7"/>
    <x v="2"/>
    <x v="2"/>
    <x v="5"/>
    <x v="16"/>
    <n v="0.241910024"/>
    <n v="0.27377326299999999"/>
    <n v="4.5819570000000002E-3"/>
    <n v="0.20197409599999999"/>
  </r>
  <r>
    <x v="7"/>
    <x v="2"/>
    <x v="0"/>
    <x v="5"/>
    <x v="16"/>
    <n v="0.20095386700000001"/>
    <n v="0.227422556"/>
    <n v="3.2074300000000002E-4"/>
    <n v="0.16777922200000001"/>
  </r>
  <r>
    <x v="7"/>
    <x v="3"/>
    <x v="0"/>
    <x v="5"/>
    <x v="16"/>
    <n v="4.1258577999999997E-2"/>
    <n v="4.6692961999999998E-2"/>
    <n v="2.4987479999999999E-3"/>
    <n v="3.7501670000000001E-2"/>
  </r>
  <r>
    <x v="7"/>
    <x v="0"/>
    <x v="0"/>
    <x v="5"/>
    <x v="16"/>
    <n v="4.5758015999999999E-2"/>
    <n v="5.1785044000000002E-2"/>
    <n v="4.9015300000000001E-4"/>
    <n v="4.2085825E-2"/>
  </r>
  <r>
    <x v="7"/>
    <x v="0"/>
    <x v="2"/>
    <x v="5"/>
    <x v="16"/>
    <n v="1.3552316090000001"/>
    <n v="1.533736277"/>
    <n v="1.9450048000000001E-2"/>
    <n v="1.246471004"/>
  </r>
  <r>
    <x v="7"/>
    <x v="3"/>
    <x v="3"/>
    <x v="5"/>
    <x v="16"/>
    <n v="5.5843610000000004E-3"/>
    <n v="6.3199069999999996E-3"/>
    <n v="3.3745200000000002E-4"/>
    <n v="5.0758629999999999E-3"/>
  </r>
  <r>
    <x v="7"/>
    <x v="1"/>
    <x v="2"/>
    <x v="6"/>
    <x v="17"/>
    <n v="10.005258660000001"/>
    <n v="10.87940347"/>
    <n v="0.34913928999999999"/>
    <n v="9.2566167119999996"/>
  </r>
  <r>
    <x v="7"/>
    <x v="2"/>
    <x v="2"/>
    <x v="6"/>
    <x v="17"/>
    <n v="8.7895353289999996"/>
    <n v="9.5574641729999996"/>
    <n v="0.16855010000000001"/>
    <n v="8.3208569919999995"/>
  </r>
  <r>
    <x v="7"/>
    <x v="0"/>
    <x v="3"/>
    <x v="6"/>
    <x v="17"/>
    <n v="0.20124262700000001"/>
    <n v="0.21882490099999999"/>
    <n v="1.7396284000000001E-2"/>
    <n v="0.17401165299999999"/>
  </r>
  <r>
    <x v="7"/>
    <x v="0"/>
    <x v="0"/>
    <x v="6"/>
    <x v="17"/>
    <n v="1.1582515630000001"/>
    <n v="1.259446308"/>
    <n v="1.7184050000000001E-3"/>
    <n v="1.0015237429999999"/>
  </r>
  <r>
    <x v="7"/>
    <x v="1"/>
    <x v="3"/>
    <x v="6"/>
    <x v="17"/>
    <n v="249.16708170000001"/>
    <n v="270.93644519999998"/>
    <n v="62.475639139999998"/>
    <n v="230.52319299999999"/>
  </r>
  <r>
    <x v="7"/>
    <x v="1"/>
    <x v="1"/>
    <x v="6"/>
    <x v="17"/>
    <n v="530.47868089999997"/>
    <n v="576.82582730000001"/>
    <n v="107.7569214"/>
    <n v="490.78569490000001"/>
  </r>
  <r>
    <x v="7"/>
    <x v="0"/>
    <x v="2"/>
    <x v="6"/>
    <x v="17"/>
    <n v="31.68947945"/>
    <n v="34.458142909999999"/>
    <n v="0.46994001099999999"/>
    <n v="27.401444609999999"/>
  </r>
  <r>
    <x v="7"/>
    <x v="2"/>
    <x v="2"/>
    <x v="6"/>
    <x v="18"/>
    <n v="0.83105658100000002"/>
    <n v="1.0637646270000001"/>
    <n v="3.3093999999999998E-2"/>
    <n v="0.466591484"/>
  </r>
  <r>
    <x v="7"/>
    <x v="3"/>
    <x v="0"/>
    <x v="6"/>
    <x v="18"/>
    <n v="0.95786250299999998"/>
    <n v="1.2260780689999999"/>
    <n v="1.4802000000000001E-3"/>
    <n v="0.76627441100000004"/>
  </r>
  <r>
    <x v="7"/>
    <x v="0"/>
    <x v="3"/>
    <x v="6"/>
    <x v="18"/>
    <n v="8.9357318000000005E-2"/>
    <n v="0.11437868"/>
    <n v="1.1089819000000001E-2"/>
    <n v="7.1757797999999998E-2"/>
  </r>
  <r>
    <x v="7"/>
    <x v="0"/>
    <x v="0"/>
    <x v="6"/>
    <x v="18"/>
    <n v="0.55722752600000003"/>
    <n v="0.71325941599999998"/>
    <n v="3.8198600000000001E-4"/>
    <n v="0.44747784800000001"/>
  </r>
  <r>
    <x v="7"/>
    <x v="0"/>
    <x v="2"/>
    <x v="6"/>
    <x v="18"/>
    <n v="9.7153915190000006"/>
    <n v="12.435843800000001"/>
    <n v="0.10596989499999999"/>
    <n v="7.8018803529999996"/>
  </r>
  <r>
    <x v="7"/>
    <x v="1"/>
    <x v="3"/>
    <x v="6"/>
    <x v="18"/>
    <n v="43.981283470000001"/>
    <n v="56.296688660000001"/>
    <n v="12.33899076"/>
    <n v="38.014235319999997"/>
  </r>
  <r>
    <x v="7"/>
    <x v="1"/>
    <x v="2"/>
    <x v="6"/>
    <x v="18"/>
    <n v="1.6874477750000001"/>
    <n v="2.15995793"/>
    <n v="0.114484405"/>
    <n v="1.458507614"/>
  </r>
  <r>
    <x v="7"/>
    <x v="1"/>
    <x v="1"/>
    <x v="6"/>
    <x v="18"/>
    <n v="146.44281649999999"/>
    <n v="187.44895539999999"/>
    <n v="34.029909240000002"/>
    <n v="126.57456190000001"/>
  </r>
  <r>
    <x v="7"/>
    <x v="2"/>
    <x v="2"/>
    <x v="2"/>
    <x v="19"/>
    <n v="5.4055509759999998"/>
    <n v="5.8844040399999997"/>
    <n v="8.8982999999999996E-3"/>
    <n v="6.0796709010000001"/>
  </r>
  <r>
    <x v="7"/>
    <x v="1"/>
    <x v="1"/>
    <x v="2"/>
    <x v="19"/>
    <n v="303.13533539999997"/>
    <n v="329.98870979999998"/>
    <n v="49.654927139999998"/>
    <n v="282.63628469999998"/>
  </r>
  <r>
    <x v="7"/>
    <x v="1"/>
    <x v="0"/>
    <x v="2"/>
    <x v="19"/>
    <n v="2.9667414499999998"/>
    <n v="3.2295515209999999"/>
    <n v="0.43230406799999999"/>
    <n v="2.766120221"/>
  </r>
  <r>
    <x v="7"/>
    <x v="0"/>
    <x v="2"/>
    <x v="2"/>
    <x v="19"/>
    <n v="0.240339355"/>
    <n v="0.26162992000000002"/>
    <n v="3.2604999999999999E-3"/>
    <n v="0.21581909599999999"/>
  </r>
  <r>
    <x v="7"/>
    <x v="1"/>
    <x v="3"/>
    <x v="2"/>
    <x v="19"/>
    <n v="86.260460690000002"/>
    <n v="93.901880800000001"/>
    <n v="14.821877969999999"/>
    <n v="80.427232570000001"/>
  </r>
  <r>
    <x v="7"/>
    <x v="1"/>
    <x v="2"/>
    <x v="2"/>
    <x v="19"/>
    <n v="3.9928281609999998"/>
    <n v="4.3465345649999998"/>
    <n v="0.41429391599999998"/>
    <n v="3.7228194299999999"/>
  </r>
  <r>
    <x v="7"/>
    <x v="3"/>
    <x v="3"/>
    <x v="7"/>
    <x v="20"/>
    <n v="0.55671267800000002"/>
    <n v="0.52751516600000004"/>
    <n v="2.3162399999999999E-4"/>
    <n v="0.55648425199999996"/>
  </r>
  <r>
    <x v="7"/>
    <x v="0"/>
    <x v="3"/>
    <x v="7"/>
    <x v="20"/>
    <n v="1.1210988999999999E-2"/>
    <n v="1.0623014E-2"/>
    <n v="6.8087699999999995E-5"/>
    <n v="9.9332699999999993E-3"/>
  </r>
  <r>
    <x v="7"/>
    <x v="0"/>
    <x v="0"/>
    <x v="7"/>
    <x v="20"/>
    <n v="2.7712675999999999E-2"/>
    <n v="2.6259248999999998E-2"/>
    <n v="3.7802300000000001E-4"/>
    <n v="2.4554256E-2"/>
  </r>
  <r>
    <x v="7"/>
    <x v="0"/>
    <x v="2"/>
    <x v="7"/>
    <x v="20"/>
    <n v="0.57277592200000005"/>
    <n v="0.54273595200000002"/>
    <n v="1.381919E-2"/>
    <n v="0.50749651699999998"/>
  </r>
  <r>
    <x v="7"/>
    <x v="1"/>
    <x v="3"/>
    <x v="7"/>
    <x v="20"/>
    <n v="63.092901130000001"/>
    <n v="59.783912839999999"/>
    <n v="13.44981525"/>
    <n v="58.539072449999999"/>
  </r>
  <r>
    <x v="7"/>
    <x v="1"/>
    <x v="0"/>
    <x v="7"/>
    <x v="20"/>
    <n v="2.1675083640000001"/>
    <n v="2.0538306020000001"/>
    <n v="0.359242006"/>
    <n v="2.0110650620000001"/>
  </r>
  <r>
    <x v="7"/>
    <x v="1"/>
    <x v="1"/>
    <x v="7"/>
    <x v="20"/>
    <n v="232.95644920000001"/>
    <n v="220.7387488"/>
    <n v="41.152321919999999"/>
    <n v="216.14245360000001"/>
  </r>
  <r>
    <x v="7"/>
    <x v="3"/>
    <x v="0"/>
    <x v="7"/>
    <x v="20"/>
    <n v="5.677086514"/>
    <n v="5.3793444150000003"/>
    <n v="2.3873760000000001E-3"/>
    <n v="5.674757134"/>
  </r>
  <r>
    <x v="7"/>
    <x v="2"/>
    <x v="2"/>
    <x v="7"/>
    <x v="20"/>
    <n v="1.9015280999999998E-2"/>
    <n v="1.8018000999999999E-2"/>
    <n v="1.2907999999999999E-3"/>
    <n v="1.6344701999999999E-2"/>
  </r>
  <r>
    <x v="7"/>
    <x v="1"/>
    <x v="2"/>
    <x v="7"/>
    <x v="20"/>
    <n v="4.3575240119999998"/>
    <n v="4.1289880649999997"/>
    <n v="0.56727302099999999"/>
    <n v="4.0430129099999998"/>
  </r>
  <r>
    <x v="7"/>
    <x v="3"/>
    <x v="3"/>
    <x v="2"/>
    <x v="21"/>
    <n v="10.092149060000001"/>
    <n v="10.986166430000001"/>
    <n v="6.0215140000000004E-3"/>
    <n v="10.09148551"/>
  </r>
  <r>
    <x v="7"/>
    <x v="1"/>
    <x v="1"/>
    <x v="2"/>
    <x v="21"/>
    <n v="468.56081399999999"/>
    <n v="510.06847579999999"/>
    <n v="79.883974780000003"/>
    <n v="433.51485380000003"/>
  </r>
  <r>
    <x v="7"/>
    <x v="2"/>
    <x v="2"/>
    <x v="2"/>
    <x v="21"/>
    <n v="6.0348544610000001"/>
    <n v="6.5694546459999996"/>
    <n v="2.7433231999999998E-2"/>
    <n v="5.7392139650000003"/>
  </r>
  <r>
    <x v="7"/>
    <x v="0"/>
    <x v="2"/>
    <x v="2"/>
    <x v="21"/>
    <n v="15.619340429999999"/>
    <n v="17.002986440000001"/>
    <n v="0.22920436799999999"/>
    <n v="12.95427226"/>
  </r>
  <r>
    <x v="7"/>
    <x v="3"/>
    <x v="0"/>
    <x v="2"/>
    <x v="21"/>
    <n v="62.692444049999999"/>
    <n v="68.246081250000003"/>
    <n v="3.8439686000000001E-2"/>
    <n v="62.688322100000001"/>
  </r>
  <r>
    <x v="7"/>
    <x v="0"/>
    <x v="3"/>
    <x v="2"/>
    <x v="21"/>
    <n v="3.7874637940000002"/>
    <n v="4.1229779080000002"/>
    <n v="8.1566427999999996E-2"/>
    <n v="3.1412233700000001"/>
  </r>
  <r>
    <x v="7"/>
    <x v="0"/>
    <x v="0"/>
    <x v="2"/>
    <x v="21"/>
    <n v="0.66653531700000002"/>
    <n v="0.72558063500000003"/>
    <n v="9.2641040000000004E-3"/>
    <n v="0.55280695099999999"/>
  </r>
  <r>
    <x v="7"/>
    <x v="1"/>
    <x v="2"/>
    <x v="2"/>
    <x v="21"/>
    <n v="15.55483501"/>
    <n v="16.932766780000001"/>
    <n v="1.0832735520000001"/>
    <n v="14.391412649999999"/>
  </r>
  <r>
    <x v="7"/>
    <x v="1"/>
    <x v="0"/>
    <x v="2"/>
    <x v="21"/>
    <n v="14.790107689999999"/>
    <n v="16.100295750000001"/>
    <n v="1.6209328599999999"/>
    <n v="13.683883030000001"/>
  </r>
  <r>
    <x v="7"/>
    <x v="1"/>
    <x v="3"/>
    <x v="2"/>
    <x v="21"/>
    <n v="157.3345693"/>
    <n v="171.27211990000001"/>
    <n v="27.984069009999999"/>
    <n v="145.5667455"/>
  </r>
  <r>
    <x v="7"/>
    <x v="2"/>
    <x v="0"/>
    <x v="2"/>
    <x v="21"/>
    <n v="0.32828372300000003"/>
    <n v="0.35736487900000002"/>
    <n v="1.3333679999999999E-3"/>
    <n v="0.31220148599999997"/>
  </r>
  <r>
    <x v="7"/>
    <x v="3"/>
    <x v="3"/>
    <x v="8"/>
    <x v="22"/>
    <n v="23.688552869999999"/>
    <n v="26.917531409999999"/>
    <n v="8.8982600000000003E-4"/>
    <n v="19.56586824"/>
  </r>
  <r>
    <x v="7"/>
    <x v="1"/>
    <x v="2"/>
    <x v="8"/>
    <x v="22"/>
    <n v="59.042954969999997"/>
    <n v="67.091079989999997"/>
    <n v="4.129923088"/>
    <n v="53.441445799999997"/>
  </r>
  <r>
    <x v="7"/>
    <x v="1"/>
    <x v="1"/>
    <x v="8"/>
    <x v="22"/>
    <n v="2161.5725889999999"/>
    <n v="2456.2158100000001"/>
    <n v="361.89235480000002"/>
    <n v="1956.500389"/>
  </r>
  <r>
    <x v="7"/>
    <x v="1"/>
    <x v="0"/>
    <x v="8"/>
    <x v="22"/>
    <n v="13.70997429"/>
    <n v="15.5787762"/>
    <n v="0.226533437"/>
    <n v="12.40928487"/>
  </r>
  <r>
    <x v="7"/>
    <x v="1"/>
    <x v="3"/>
    <x v="8"/>
    <x v="22"/>
    <n v="915.66616610000005"/>
    <n v="1040.4803079999999"/>
    <n v="142.7097455"/>
    <n v="828.79530350000005"/>
  </r>
  <r>
    <x v="7"/>
    <x v="3"/>
    <x v="2"/>
    <x v="8"/>
    <x v="22"/>
    <n v="41.529303980000002"/>
    <n v="47.190149220000002"/>
    <n v="0.13151352799999999"/>
    <n v="34.301668579999998"/>
  </r>
  <r>
    <x v="7"/>
    <x v="0"/>
    <x v="2"/>
    <x v="8"/>
    <x v="22"/>
    <n v="94.453624989999994"/>
    <n v="107.32856630000001"/>
    <n v="1.863655649"/>
    <n v="84.608919510000007"/>
  </r>
  <r>
    <x v="7"/>
    <x v="3"/>
    <x v="0"/>
    <x v="8"/>
    <x v="22"/>
    <n v="277.5227951"/>
    <n v="315.3518325"/>
    <n v="6.1080459999999998E-3"/>
    <n v="229.2235609"/>
  </r>
  <r>
    <x v="7"/>
    <x v="0"/>
    <x v="0"/>
    <x v="8"/>
    <x v="22"/>
    <n v="6.714494266"/>
    <n v="7.6297446860000004"/>
    <n v="0.117929611"/>
    <n v="6.0146564509999996"/>
  </r>
  <r>
    <x v="7"/>
    <x v="2"/>
    <x v="2"/>
    <x v="8"/>
    <x v="22"/>
    <n v="30.824588540000001"/>
    <n v="35.026277669999999"/>
    <n v="0.32878427500000001"/>
    <n v="29.90777082"/>
  </r>
  <r>
    <x v="7"/>
    <x v="2"/>
    <x v="0"/>
    <x v="8"/>
    <x v="22"/>
    <n v="8.8965275869999996"/>
    <n v="10.10921022"/>
    <n v="9.3652249999999996E-3"/>
    <n v="8.6319175950000009"/>
  </r>
  <r>
    <x v="7"/>
    <x v="0"/>
    <x v="3"/>
    <x v="8"/>
    <x v="22"/>
    <n v="12.867595290000001"/>
    <n v="14.62157281"/>
    <n v="0.19350684000000001"/>
    <n v="11.526432509999999"/>
  </r>
  <r>
    <x v="7"/>
    <x v="1"/>
    <x v="1"/>
    <x v="6"/>
    <x v="23"/>
    <n v="123.6354505"/>
    <n v="155.16903099999999"/>
    <n v="21.694272739999999"/>
    <n v="110.6049294"/>
  </r>
  <r>
    <x v="7"/>
    <x v="0"/>
    <x v="2"/>
    <x v="6"/>
    <x v="23"/>
    <n v="9.3050591140000005"/>
    <n v="11.678341440000001"/>
    <n v="0.109720707"/>
    <n v="7.3323911830000004"/>
  </r>
  <r>
    <x v="7"/>
    <x v="3"/>
    <x v="0"/>
    <x v="6"/>
    <x v="23"/>
    <n v="3.0797801909999998"/>
    <n v="3.865287065"/>
    <n v="2.9605E-3"/>
    <n v="3.0797801909999998"/>
  </r>
  <r>
    <x v="7"/>
    <x v="2"/>
    <x v="2"/>
    <x v="6"/>
    <x v="23"/>
    <n v="9.0551886999999998E-2"/>
    <n v="0.11364740800000001"/>
    <n v="3.8454000000000001E-3"/>
    <n v="5.8660766000000003E-2"/>
  </r>
  <r>
    <x v="7"/>
    <x v="1"/>
    <x v="3"/>
    <x v="6"/>
    <x v="23"/>
    <n v="53.891080799999997"/>
    <n v="67.636157339999997"/>
    <n v="12.731385899999999"/>
    <n v="48.211246520000003"/>
  </r>
  <r>
    <x v="7"/>
    <x v="1"/>
    <x v="2"/>
    <x v="6"/>
    <x v="23"/>
    <n v="2.1128137599999999"/>
    <n v="2.6516930400000001"/>
    <n v="7.7764166999999995E-2"/>
    <n v="1.8901343880000001"/>
  </r>
  <r>
    <x v="7"/>
    <x v="0"/>
    <x v="3"/>
    <x v="6"/>
    <x v="23"/>
    <n v="0.101230473"/>
    <n v="0.12704959800000001"/>
    <n v="1.0294993000000001E-2"/>
    <n v="7.9769662000000005E-2"/>
  </r>
  <r>
    <x v="7"/>
    <x v="3"/>
    <x v="3"/>
    <x v="0"/>
    <x v="24"/>
    <n v="1.614833075"/>
    <n v="2.3924594950000002"/>
    <n v="1.0289959999999999E-3"/>
    <n v="1.5769826389999999"/>
  </r>
  <r>
    <x v="7"/>
    <x v="1"/>
    <x v="2"/>
    <x v="0"/>
    <x v="24"/>
    <n v="8.7575966689999998"/>
    <n v="12.97483662"/>
    <n v="0.92227575699999997"/>
    <n v="8.2779549229999994"/>
  </r>
  <r>
    <x v="7"/>
    <x v="1"/>
    <x v="1"/>
    <x v="0"/>
    <x v="24"/>
    <n v="170.7366481"/>
    <n v="252.95525670000001"/>
    <n v="43.54711794"/>
    <n v="161.38563239999999"/>
  </r>
  <r>
    <x v="7"/>
    <x v="2"/>
    <x v="2"/>
    <x v="0"/>
    <x v="24"/>
    <n v="1.7246935800000001"/>
    <n v="2.5552235699999999"/>
    <n v="5.2175399999999997E-2"/>
    <n v="1.675464268"/>
  </r>
  <r>
    <x v="7"/>
    <x v="0"/>
    <x v="3"/>
    <x v="0"/>
    <x v="24"/>
    <n v="0.15354217100000001"/>
    <n v="0.22748074200000001"/>
    <n v="8.1921299999999995E-4"/>
    <n v="0.146475777"/>
  </r>
  <r>
    <x v="7"/>
    <x v="0"/>
    <x v="2"/>
    <x v="0"/>
    <x v="24"/>
    <n v="20.35501378"/>
    <n v="30.15701546"/>
    <n v="0.46531807600000002"/>
    <n v="19.41822513"/>
  </r>
  <r>
    <x v="7"/>
    <x v="0"/>
    <x v="0"/>
    <x v="0"/>
    <x v="24"/>
    <n v="0.48575463400000002"/>
    <n v="0.71967084699999995"/>
    <n v="9.3782109999999991E-3"/>
    <n v="0.46339899099999998"/>
  </r>
  <r>
    <x v="7"/>
    <x v="3"/>
    <x v="0"/>
    <x v="0"/>
    <x v="24"/>
    <n v="16.074046410000001"/>
    <n v="23.81453883"/>
    <n v="1.0670504000000001E-2"/>
    <n v="15.69728321"/>
  </r>
  <r>
    <x v="7"/>
    <x v="1"/>
    <x v="3"/>
    <x v="0"/>
    <x v="24"/>
    <n v="74.349384430000001"/>
    <n v="110.1524941"/>
    <n v="17.843314809999999"/>
    <n v="70.277369019999995"/>
  </r>
  <r>
    <x v="7"/>
    <x v="0"/>
    <x v="2"/>
    <x v="2"/>
    <x v="25"/>
    <n v="5.5644191310000002"/>
    <n v="6.0573455999999997"/>
    <n v="7.6629165999999999E-2"/>
    <n v="5.1746634389999997"/>
  </r>
  <r>
    <x v="7"/>
    <x v="1"/>
    <x v="2"/>
    <x v="2"/>
    <x v="25"/>
    <n v="13.595463329999999"/>
    <n v="14.799823310000001"/>
    <n v="1.0593230010000001"/>
    <n v="12.906772719999999"/>
  </r>
  <r>
    <x v="7"/>
    <x v="2"/>
    <x v="0"/>
    <x v="2"/>
    <x v="25"/>
    <n v="2.8899480770000001"/>
    <n v="3.1459553740000001"/>
    <n v="2.1697309999999998E-3"/>
    <n v="2.6405858950000001"/>
  </r>
  <r>
    <x v="7"/>
    <x v="1"/>
    <x v="0"/>
    <x v="2"/>
    <x v="25"/>
    <n v="6.0471402010000004"/>
    <n v="6.5828287230000004"/>
    <n v="0.80575339000000001"/>
    <n v="5.7408167929999996"/>
  </r>
  <r>
    <x v="7"/>
    <x v="0"/>
    <x v="3"/>
    <x v="2"/>
    <x v="25"/>
    <n v="6.8853330000000004E-3"/>
    <n v="7.4952730000000002E-3"/>
    <n v="2.29874E-4"/>
    <n v="6.4030550000000004E-3"/>
  </r>
  <r>
    <x v="7"/>
    <x v="3"/>
    <x v="0"/>
    <x v="2"/>
    <x v="25"/>
    <n v="25.425726789999999"/>
    <n v="27.678075759999999"/>
    <n v="1.5554683999999999E-2"/>
    <n v="25.424000889999999"/>
  </r>
  <r>
    <x v="7"/>
    <x v="2"/>
    <x v="2"/>
    <x v="2"/>
    <x v="25"/>
    <n v="0.82965433799999999"/>
    <n v="0.90314962600000004"/>
    <n v="3.639069E-3"/>
    <n v="0.75806674900000004"/>
  </r>
  <r>
    <x v="7"/>
    <x v="1"/>
    <x v="1"/>
    <x v="2"/>
    <x v="25"/>
    <n v="616.55947679999997"/>
    <n v="671.17766400000005"/>
    <n v="97.805691089999996"/>
    <n v="585.32709360000001"/>
  </r>
  <r>
    <x v="7"/>
    <x v="1"/>
    <x v="3"/>
    <x v="2"/>
    <x v="25"/>
    <n v="188.25982089999999"/>
    <n v="204.93689839999999"/>
    <n v="33.561263719999999"/>
    <n v="178.7233478"/>
  </r>
  <r>
    <x v="7"/>
    <x v="3"/>
    <x v="3"/>
    <x v="2"/>
    <x v="25"/>
    <n v="2.6168667189999999"/>
    <n v="2.848682986"/>
    <n v="1.5754160000000001E-3"/>
    <n v="2.6166890860000001"/>
  </r>
  <r>
    <x v="7"/>
    <x v="0"/>
    <x v="0"/>
    <x v="2"/>
    <x v="25"/>
    <n v="0.140615029"/>
    <n v="0.15307147199999999"/>
    <n v="1.5178609999999999E-3"/>
    <n v="0.13076575200000001"/>
  </r>
  <r>
    <x v="7"/>
    <x v="0"/>
    <x v="2"/>
    <x v="1"/>
    <x v="26"/>
    <n v="0.42775078500000002"/>
    <n v="0.48285755200000002"/>
    <n v="3.4835276999999998E-2"/>
    <n v="0.38173371"/>
  </r>
  <r>
    <x v="7"/>
    <x v="1"/>
    <x v="3"/>
    <x v="1"/>
    <x v="26"/>
    <n v="11.733829630000001"/>
    <n v="13.24548886"/>
    <n v="2.5134330739999999"/>
    <n v="10.20474102"/>
  </r>
  <r>
    <x v="7"/>
    <x v="1"/>
    <x v="2"/>
    <x v="1"/>
    <x v="26"/>
    <n v="0.42180276"/>
    <n v="0.47614324800000002"/>
    <n v="2.5846581E-2"/>
    <n v="0.366835727"/>
  </r>
  <r>
    <x v="7"/>
    <x v="1"/>
    <x v="1"/>
    <x v="1"/>
    <x v="26"/>
    <n v="43.554591279999997"/>
    <n v="49.165692"/>
    <n v="7.8998187450000001"/>
    <n v="37.878794759999998"/>
  </r>
  <r>
    <x v="7"/>
    <x v="0"/>
    <x v="0"/>
    <x v="1"/>
    <x v="26"/>
    <n v="1.2024473000000001E-2"/>
    <n v="1.3573576E-2"/>
    <n v="7.8700499999999996E-5"/>
    <n v="1.073089E-2"/>
  </r>
  <r>
    <x v="7"/>
    <x v="0"/>
    <x v="3"/>
    <x v="1"/>
    <x v="26"/>
    <n v="6.3203770000000003E-3"/>
    <n v="7.1346259999999998E-3"/>
    <n v="5.7590230000000003E-3"/>
    <n v="5.6404360000000004E-3"/>
  </r>
  <r>
    <x v="7"/>
    <x v="3"/>
    <x v="0"/>
    <x v="1"/>
    <x v="26"/>
    <n v="1.123072E-2"/>
    <n v="1.2677564000000001E-2"/>
    <n v="1.8085E-3"/>
    <n v="1.0077788000000001E-2"/>
  </r>
  <r>
    <x v="7"/>
    <x v="2"/>
    <x v="2"/>
    <x v="1"/>
    <x v="26"/>
    <n v="2.4963486999999999E-2"/>
    <n v="2.8179511000000001E-2"/>
    <n v="2.7314000000000001E-3"/>
    <n v="1.9075449000000001E-2"/>
  </r>
  <r>
    <x v="7"/>
    <x v="1"/>
    <x v="2"/>
    <x v="2"/>
    <x v="27"/>
    <n v="1.400902173"/>
    <n v="1.8841547380000001"/>
    <n v="0.173470027"/>
    <n v="1.334921204"/>
  </r>
  <r>
    <x v="7"/>
    <x v="3"/>
    <x v="3"/>
    <x v="2"/>
    <x v="27"/>
    <n v="0.268472294"/>
    <n v="0.36108398899999999"/>
    <n v="2.03136E-4"/>
    <n v="0.26845566999999998"/>
  </r>
  <r>
    <x v="7"/>
    <x v="2"/>
    <x v="2"/>
    <x v="2"/>
    <x v="27"/>
    <n v="3.961504202"/>
    <n v="5.3280572030000002"/>
    <n v="5.0863329999999998E-2"/>
    <n v="3.5073847090000001"/>
  </r>
  <r>
    <x v="7"/>
    <x v="2"/>
    <x v="0"/>
    <x v="2"/>
    <x v="27"/>
    <n v="0.130573415"/>
    <n v="0.175615774"/>
    <n v="4.3356999999999998E-4"/>
    <n v="0.11560537999999999"/>
  </r>
  <r>
    <x v="7"/>
    <x v="3"/>
    <x v="0"/>
    <x v="2"/>
    <x v="27"/>
    <n v="2.9193170190000002"/>
    <n v="3.9263590989999999"/>
    <n v="2.2027639999999999E-3"/>
    <n v="2.9191362449999998"/>
  </r>
  <r>
    <x v="7"/>
    <x v="1"/>
    <x v="3"/>
    <x v="2"/>
    <x v="27"/>
    <n v="28.69808038"/>
    <n v="38.597715940000001"/>
    <n v="5.4580449489999996"/>
    <n v="27.346432010000001"/>
  </r>
  <r>
    <x v="7"/>
    <x v="1"/>
    <x v="0"/>
    <x v="2"/>
    <x v="27"/>
    <n v="1.0840213030000001"/>
    <n v="1.4579632419999999"/>
    <n v="0.181461757"/>
    <n v="1.0329650779999999"/>
  </r>
  <r>
    <x v="7"/>
    <x v="0"/>
    <x v="2"/>
    <x v="2"/>
    <x v="27"/>
    <n v="1.676059696"/>
    <n v="2.2542300800000001"/>
    <n v="1.6560418E-2"/>
    <n v="1.677969123"/>
  </r>
  <r>
    <x v="7"/>
    <x v="1"/>
    <x v="1"/>
    <x v="2"/>
    <x v="27"/>
    <n v="96.816889709999998"/>
    <n v="130.21466100000001"/>
    <n v="15.66999597"/>
    <n v="92.256919510000003"/>
  </r>
  <r>
    <x v="7"/>
    <x v="0"/>
    <x v="0"/>
    <x v="2"/>
    <x v="27"/>
    <n v="3.648038E-2"/>
    <n v="4.9064582000000002E-2"/>
    <n v="7.12824E-5"/>
    <n v="3.6521939000000003E-2"/>
  </r>
  <r>
    <x v="7"/>
    <x v="1"/>
    <x v="0"/>
    <x v="5"/>
    <x v="28"/>
    <n v="3.0401140940000002"/>
    <n v="3.275876083"/>
    <n v="0.65445812599999997"/>
    <n v="2.8058753520000002"/>
  </r>
  <r>
    <x v="7"/>
    <x v="2"/>
    <x v="0"/>
    <x v="5"/>
    <x v="28"/>
    <n v="1.6938043709999999"/>
    <n v="1.8251595350000001"/>
    <n v="9.6779400000000001E-4"/>
    <n v="1.303702615"/>
  </r>
  <r>
    <x v="7"/>
    <x v="2"/>
    <x v="2"/>
    <x v="5"/>
    <x v="28"/>
    <n v="4.7505207670000003"/>
    <n v="5.1189254350000004"/>
    <n v="9.8439059999999995E-3"/>
    <n v="3.656423642"/>
  </r>
  <r>
    <x v="7"/>
    <x v="3"/>
    <x v="3"/>
    <x v="5"/>
    <x v="28"/>
    <n v="0.60754342699999997"/>
    <n v="0.65465864799999995"/>
    <n v="4.7816999999999998E-4"/>
    <n v="0.60754342699999997"/>
  </r>
  <r>
    <x v="7"/>
    <x v="3"/>
    <x v="0"/>
    <x v="5"/>
    <x v="28"/>
    <n v="3.3307390130000001"/>
    <n v="3.589039074"/>
    <n v="2.6647300000000001E-3"/>
    <n v="3.3307390130000001"/>
  </r>
  <r>
    <x v="7"/>
    <x v="0"/>
    <x v="3"/>
    <x v="5"/>
    <x v="28"/>
    <n v="0.153333471"/>
    <n v="0.165224539"/>
    <n v="2.6682189999999999E-3"/>
    <n v="0.141546593"/>
  </r>
  <r>
    <x v="7"/>
    <x v="0"/>
    <x v="0"/>
    <x v="5"/>
    <x v="28"/>
    <n v="0.28798605100000002"/>
    <n v="0.31031947799999998"/>
    <n v="3.3087569999999998E-3"/>
    <n v="0.26584831199999998"/>
  </r>
  <r>
    <x v="7"/>
    <x v="1"/>
    <x v="3"/>
    <x v="5"/>
    <x v="28"/>
    <n v="52.559623019999997"/>
    <n v="56.635641509999999"/>
    <n v="15.07941838"/>
    <n v="48.509939490000001"/>
  </r>
  <r>
    <x v="7"/>
    <x v="1"/>
    <x v="2"/>
    <x v="5"/>
    <x v="28"/>
    <n v="4.2561195229999997"/>
    <n v="4.5861831889999998"/>
    <n v="0.57214394199999996"/>
    <n v="3.9281883820000001"/>
  </r>
  <r>
    <x v="7"/>
    <x v="1"/>
    <x v="1"/>
    <x v="5"/>
    <x v="28"/>
    <n v="188.12853999999999"/>
    <n v="202.7179788"/>
    <n v="39.799926659999997"/>
    <n v="173.63336269999999"/>
  </r>
  <r>
    <x v="7"/>
    <x v="0"/>
    <x v="2"/>
    <x v="5"/>
    <x v="28"/>
    <n v="5.0152749659999998"/>
    <n v="5.4042114220000004"/>
    <n v="6.6908324000000005E-2"/>
    <n v="4.6297463910000003"/>
  </r>
  <r>
    <x v="7"/>
    <x v="1"/>
    <x v="1"/>
    <x v="2"/>
    <x v="29"/>
    <n v="59.634392230000003"/>
    <n v="64.917130589999999"/>
    <n v="10.320953380000001"/>
    <n v="57.102042009999998"/>
  </r>
  <r>
    <x v="7"/>
    <x v="1"/>
    <x v="2"/>
    <x v="2"/>
    <x v="29"/>
    <n v="1.700069955"/>
    <n v="1.8506713850000001"/>
    <n v="0.11353139"/>
    <n v="1.6278771750000001"/>
  </r>
  <r>
    <x v="7"/>
    <x v="1"/>
    <x v="0"/>
    <x v="2"/>
    <x v="29"/>
    <n v="0.66307479000000003"/>
    <n v="0.72181355599999997"/>
    <n v="0.193174809"/>
    <n v="0.63491758799999998"/>
  </r>
  <r>
    <x v="7"/>
    <x v="1"/>
    <x v="3"/>
    <x v="2"/>
    <x v="29"/>
    <n v="18.642173570000001"/>
    <n v="20.293598549999999"/>
    <n v="3.415995423"/>
    <n v="17.850541239999998"/>
  </r>
  <r>
    <x v="7"/>
    <x v="0"/>
    <x v="2"/>
    <x v="2"/>
    <x v="29"/>
    <n v="0.61100727300000002"/>
    <n v="0.66513361599999998"/>
    <n v="1.1899496000000001E-2"/>
    <n v="0.59080096299999996"/>
  </r>
  <r>
    <x v="7"/>
    <x v="0"/>
    <x v="0"/>
    <x v="2"/>
    <x v="29"/>
    <n v="5.5249319999999998E-3"/>
    <n v="6.0143610000000002E-3"/>
    <n v="2.3303699999999998E-5"/>
    <n v="5.34222E-3"/>
  </r>
  <r>
    <x v="7"/>
    <x v="2"/>
    <x v="2"/>
    <x v="2"/>
    <x v="29"/>
    <n v="0.208896578"/>
    <n v="0.227401772"/>
    <n v="6.8662000000000003E-3"/>
    <n v="0.19926902899999999"/>
  </r>
  <r>
    <x v="7"/>
    <x v="2"/>
    <x v="0"/>
    <x v="2"/>
    <x v="29"/>
    <n v="3.5302294999999997E-2"/>
    <n v="3.8429563999999999E-2"/>
    <n v="1.1645E-3"/>
    <n v="3.3675296E-2"/>
  </r>
  <r>
    <x v="7"/>
    <x v="0"/>
    <x v="2"/>
    <x v="5"/>
    <x v="30"/>
    <n v="5.234511575"/>
    <n v="5.6982130399999997"/>
    <n v="7.3627832000000004E-2"/>
    <n v="4.8401378079999997"/>
  </r>
  <r>
    <x v="7"/>
    <x v="1"/>
    <x v="3"/>
    <x v="5"/>
    <x v="30"/>
    <n v="110.4769931"/>
    <n v="120.2636452"/>
    <n v="37.450931529999998"/>
    <n v="101.0632138"/>
  </r>
  <r>
    <x v="7"/>
    <x v="0"/>
    <x v="0"/>
    <x v="5"/>
    <x v="30"/>
    <n v="0.37522248200000002"/>
    <n v="0.40846172800000002"/>
    <n v="3.9436860000000001E-3"/>
    <n v="0.346952814"/>
  </r>
  <r>
    <x v="7"/>
    <x v="1"/>
    <x v="1"/>
    <x v="5"/>
    <x v="30"/>
    <n v="358.27585629999999"/>
    <n v="390.01387749999998"/>
    <n v="81.722077979999995"/>
    <n v="327.74705799999998"/>
  </r>
  <r>
    <x v="7"/>
    <x v="1"/>
    <x v="2"/>
    <x v="5"/>
    <x v="30"/>
    <n v="8.2319565860000008"/>
    <n v="8.9611880100000008"/>
    <n v="1.1380193709999999"/>
    <n v="7.5305089790000004"/>
  </r>
  <r>
    <x v="7"/>
    <x v="0"/>
    <x v="3"/>
    <x v="5"/>
    <x v="30"/>
    <n v="0.27588856"/>
    <n v="0.30032826800000001"/>
    <n v="4.2175820000000001E-3"/>
    <n v="0.25510281800000001"/>
  </r>
  <r>
    <x v="7"/>
    <x v="1"/>
    <x v="0"/>
    <x v="5"/>
    <x v="30"/>
    <n v="5.106503011"/>
    <n v="5.5588647829999998"/>
    <n v="1.1243255240000001"/>
    <n v="4.671376285"/>
  </r>
  <r>
    <x v="7"/>
    <x v="2"/>
    <x v="0"/>
    <x v="5"/>
    <x v="30"/>
    <n v="4.2045010000000002E-3"/>
    <n v="4.5769590000000002E-3"/>
    <n v="3.4391499999999998E-4"/>
    <n v="4.8720320000000001E-3"/>
  </r>
  <r>
    <x v="7"/>
    <x v="2"/>
    <x v="2"/>
    <x v="5"/>
    <x v="30"/>
    <n v="1.195567104"/>
    <n v="1.3014769310000001"/>
    <n v="6.1474485000000002E-2"/>
    <n v="1.3853822280000001"/>
  </r>
  <r>
    <x v="7"/>
    <x v="3"/>
    <x v="3"/>
    <x v="5"/>
    <x v="30"/>
    <n v="9.8141154999999994E-2"/>
    <n v="0.106835032"/>
    <n v="8.5662399999999995E-5"/>
    <n v="9.8141154999999994E-2"/>
  </r>
  <r>
    <x v="7"/>
    <x v="3"/>
    <x v="0"/>
    <x v="5"/>
    <x v="30"/>
    <n v="1.930232331"/>
    <n v="2.101222795"/>
    <n v="1.6774380000000001E-3"/>
    <n v="1.930232331"/>
  </r>
  <r>
    <x v="7"/>
    <x v="3"/>
    <x v="0"/>
    <x v="6"/>
    <x v="31"/>
    <n v="10.678389920000001"/>
    <n v="10.678389920000001"/>
    <n v="1.1232199999999999E-2"/>
    <n v="8.8433717830000003"/>
  </r>
  <r>
    <x v="7"/>
    <x v="1"/>
    <x v="1"/>
    <x v="6"/>
    <x v="31"/>
    <n v="253.5564463"/>
    <n v="253.5564463"/>
    <n v="59.136460839999998"/>
    <n v="229.81073029999999"/>
  </r>
  <r>
    <x v="7"/>
    <x v="1"/>
    <x v="2"/>
    <x v="6"/>
    <x v="31"/>
    <n v="2.5446138899999999"/>
    <n v="2.5446138899999999"/>
    <n v="0.16437532099999999"/>
    <n v="2.3063092460000001"/>
  </r>
  <r>
    <x v="7"/>
    <x v="1"/>
    <x v="3"/>
    <x v="6"/>
    <x v="31"/>
    <n v="82.600579479999993"/>
    <n v="82.600579479999993"/>
    <n v="20.862314730000001"/>
    <n v="74.864984770000007"/>
  </r>
  <r>
    <x v="7"/>
    <x v="2"/>
    <x v="2"/>
    <x v="6"/>
    <x v="31"/>
    <n v="1.2821934079999999"/>
    <n v="1.2821934079999999"/>
    <n v="6.3901799999999995E-2"/>
    <n v="1.107418687"/>
  </r>
  <r>
    <x v="7"/>
    <x v="0"/>
    <x v="0"/>
    <x v="6"/>
    <x v="31"/>
    <n v="1.2568721329999999"/>
    <n v="1.2568721329999999"/>
    <n v="8.2669199999999997E-4"/>
    <n v="1.0787367919999999"/>
  </r>
  <r>
    <x v="7"/>
    <x v="0"/>
    <x v="3"/>
    <x v="6"/>
    <x v="31"/>
    <n v="0.15342434599999999"/>
    <n v="0.15342434599999999"/>
    <n v="6.202824E-3"/>
    <n v="0.13167965300000001"/>
  </r>
  <r>
    <x v="7"/>
    <x v="0"/>
    <x v="2"/>
    <x v="6"/>
    <x v="31"/>
    <n v="17.091289939999999"/>
    <n v="17.091289939999999"/>
    <n v="0.140179584"/>
    <n v="14.668957000000001"/>
  </r>
  <r>
    <x v="7"/>
    <x v="2"/>
    <x v="0"/>
    <x v="9"/>
    <x v="32"/>
    <n v="4.6075079999999997E-3"/>
    <n v="8.1892159999999992E-3"/>
    <n v="3.5047799999999999E-4"/>
    <n v="5.3366020000000002E-3"/>
  </r>
  <r>
    <x v="7"/>
    <x v="0"/>
    <x v="3"/>
    <x v="9"/>
    <x v="32"/>
    <n v="2.4835339999999999E-3"/>
    <n v="4.4141420000000002E-3"/>
    <n v="5.1341699999999997E-5"/>
    <n v="2.2971240000000002E-3"/>
  </r>
  <r>
    <x v="7"/>
    <x v="2"/>
    <x v="2"/>
    <x v="9"/>
    <x v="32"/>
    <n v="0.30097270300000001"/>
    <n v="0.53493790399999996"/>
    <n v="1.4327222000000001E-2"/>
    <n v="0.34859875200000001"/>
  </r>
  <r>
    <x v="7"/>
    <x v="3"/>
    <x v="0"/>
    <x v="9"/>
    <x v="32"/>
    <n v="0.90559983700000002"/>
    <n v="1.6095801160000001"/>
    <n v="7.33087E-4"/>
    <n v="0.90559983700000002"/>
  </r>
  <r>
    <x v="7"/>
    <x v="0"/>
    <x v="0"/>
    <x v="9"/>
    <x v="32"/>
    <n v="7.1369534999999998E-2"/>
    <n v="0.126849609"/>
    <n v="7.0584E-4"/>
    <n v="6.6012667999999997E-2"/>
  </r>
  <r>
    <x v="7"/>
    <x v="1"/>
    <x v="1"/>
    <x v="9"/>
    <x v="32"/>
    <n v="89.599357580000003"/>
    <n v="159.25062980000001"/>
    <n v="19.249589279999999"/>
    <n v="81.988777060000004"/>
  </r>
  <r>
    <x v="7"/>
    <x v="1"/>
    <x v="2"/>
    <x v="9"/>
    <x v="32"/>
    <n v="2.0857119079999999"/>
    <n v="3.7070682640000001"/>
    <n v="0.274093488"/>
    <n v="1.90855128"/>
  </r>
  <r>
    <x v="7"/>
    <x v="1"/>
    <x v="0"/>
    <x v="9"/>
    <x v="32"/>
    <n v="1.2506332010000001"/>
    <n v="2.2228298309999999"/>
    <n v="0.257258498"/>
    <n v="1.1444042619999999"/>
  </r>
  <r>
    <x v="7"/>
    <x v="0"/>
    <x v="2"/>
    <x v="9"/>
    <x v="32"/>
    <n v="1.0352826230000001"/>
    <n v="1.840073571"/>
    <n v="1.3727519000000001E-2"/>
    <n v="0.95757619000000005"/>
  </r>
  <r>
    <x v="7"/>
    <x v="1"/>
    <x v="3"/>
    <x v="9"/>
    <x v="32"/>
    <n v="28.424623780000001"/>
    <n v="50.520889459999999"/>
    <n v="9.1477147330000008"/>
    <n v="26.010232720000001"/>
  </r>
  <r>
    <x v="7"/>
    <x v="3"/>
    <x v="3"/>
    <x v="9"/>
    <x v="32"/>
    <n v="4.1095739999999999E-2"/>
    <n v="7.3042069000000001E-2"/>
    <n v="3.3413400000000001E-5"/>
    <n v="4.1095739999999999E-2"/>
  </r>
  <r>
    <x v="7"/>
    <x v="0"/>
    <x v="2"/>
    <x v="0"/>
    <x v="33"/>
    <n v="4.4822772500000001"/>
    <n v="4.4822772500000001"/>
    <n v="9.4003763000000004E-2"/>
    <n v="4.288043643"/>
  </r>
  <r>
    <x v="7"/>
    <x v="1"/>
    <x v="2"/>
    <x v="0"/>
    <x v="33"/>
    <n v="4.2755384489999999"/>
    <n v="4.2755384489999999"/>
    <n v="0.940100245"/>
    <n v="4.0801596460000003"/>
  </r>
  <r>
    <x v="7"/>
    <x v="3"/>
    <x v="3"/>
    <x v="0"/>
    <x v="33"/>
    <n v="0.69555385000000003"/>
    <n v="0.69555385000000003"/>
    <n v="2.9726399999999999E-4"/>
    <n v="0.64304908000000005"/>
  </r>
  <r>
    <x v="7"/>
    <x v="2"/>
    <x v="2"/>
    <x v="0"/>
    <x v="33"/>
    <n v="0.52669842"/>
    <n v="0.52669842"/>
    <n v="1.3897100000000001E-2"/>
    <n v="0.50577238199999996"/>
  </r>
  <r>
    <x v="7"/>
    <x v="3"/>
    <x v="0"/>
    <x v="0"/>
    <x v="33"/>
    <n v="6.3568390900000002"/>
    <n v="6.3568390900000002"/>
    <n v="2.8597359999999999E-3"/>
    <n v="5.8769849790000004"/>
  </r>
  <r>
    <x v="7"/>
    <x v="1"/>
    <x v="3"/>
    <x v="0"/>
    <x v="33"/>
    <n v="73.435171370000006"/>
    <n v="73.435171370000006"/>
    <n v="18.167897839999998"/>
    <n v="70.079412550000001"/>
  </r>
  <r>
    <x v="7"/>
    <x v="0"/>
    <x v="0"/>
    <x v="0"/>
    <x v="33"/>
    <n v="5.6142517000000003E-2"/>
    <n v="5.6142517000000003E-2"/>
    <n v="3.0497739999999999E-3"/>
    <n v="5.3709655000000002E-2"/>
  </r>
  <r>
    <x v="7"/>
    <x v="0"/>
    <x v="3"/>
    <x v="0"/>
    <x v="33"/>
    <n v="0.104774044"/>
    <n v="0.104774044"/>
    <n v="2.8342630000000001E-3"/>
    <n v="0.100233798"/>
  </r>
  <r>
    <x v="7"/>
    <x v="1"/>
    <x v="1"/>
    <x v="0"/>
    <x v="33"/>
    <n v="161.70400989999999"/>
    <n v="161.70400989999999"/>
    <n v="46.58239141"/>
    <n v="154.31463980000001"/>
  </r>
  <r>
    <x v="7"/>
    <x v="1"/>
    <x v="3"/>
    <x v="7"/>
    <x v="34"/>
    <n v="100.00222220000001"/>
    <n v="104.4315922"/>
    <n v="21.09847327"/>
    <n v="93.58764051"/>
  </r>
  <r>
    <x v="7"/>
    <x v="1"/>
    <x v="0"/>
    <x v="7"/>
    <x v="34"/>
    <n v="3.4015624029999998"/>
    <n v="3.5522268389999998"/>
    <n v="0.612933803"/>
    <n v="3.1833712520000002"/>
  </r>
  <r>
    <x v="7"/>
    <x v="1"/>
    <x v="2"/>
    <x v="7"/>
    <x v="34"/>
    <n v="7.3520386059999998"/>
    <n v="7.6776803610000002"/>
    <n v="0.97230055199999998"/>
    <n v="6.8804465620000004"/>
  </r>
  <r>
    <x v="7"/>
    <x v="0"/>
    <x v="0"/>
    <x v="7"/>
    <x v="34"/>
    <n v="0.83599546300000005"/>
    <n v="0.87302397300000001"/>
    <n v="8.1880939999999999E-3"/>
    <n v="0.77807811000000004"/>
  </r>
  <r>
    <x v="7"/>
    <x v="0"/>
    <x v="2"/>
    <x v="7"/>
    <x v="34"/>
    <n v="15.511478260000001"/>
    <n v="16.19852375"/>
    <n v="0.184863686"/>
    <n v="14.43685069"/>
  </r>
  <r>
    <x v="7"/>
    <x v="0"/>
    <x v="3"/>
    <x v="7"/>
    <x v="34"/>
    <n v="0.72662531799999996"/>
    <n v="0.75880952700000004"/>
    <n v="6.3858200000000004E-3"/>
    <n v="0.67628507400000004"/>
  </r>
  <r>
    <x v="7"/>
    <x v="3"/>
    <x v="0"/>
    <x v="7"/>
    <x v="34"/>
    <n v="6.6693042419999999"/>
    <n v="6.9647058380000004"/>
    <n v="8.4797169999999995E-3"/>
    <n v="6.6666025930000004"/>
  </r>
  <r>
    <x v="7"/>
    <x v="3"/>
    <x v="3"/>
    <x v="7"/>
    <x v="34"/>
    <n v="0.90497723299999999"/>
    <n v="0.94506113199999997"/>
    <n v="1.160583E-3"/>
    <n v="0.90461063799999997"/>
  </r>
  <r>
    <x v="7"/>
    <x v="2"/>
    <x v="2"/>
    <x v="7"/>
    <x v="34"/>
    <n v="7.5511185730000001"/>
    <n v="7.885578121"/>
    <n v="6.5349772E-2"/>
    <n v="7.2598735379999999"/>
  </r>
  <r>
    <x v="7"/>
    <x v="1"/>
    <x v="1"/>
    <x v="7"/>
    <x v="34"/>
    <n v="390.2486576"/>
    <n v="407.5338304"/>
    <n v="77.180855170000001"/>
    <n v="365.21639479999999"/>
  </r>
  <r>
    <x v="7"/>
    <x v="2"/>
    <x v="0"/>
    <x v="7"/>
    <x v="34"/>
    <n v="0.31635386199999999"/>
    <n v="0.33036603399999998"/>
    <n v="1.440628E-3"/>
    <n v="0.30415216099999998"/>
  </r>
  <r>
    <x v="7"/>
    <x v="3"/>
    <x v="0"/>
    <x v="10"/>
    <x v="35"/>
    <n v="3.2869052550000002"/>
    <n v="3.4324912150000002"/>
    <n v="4.1791509999999999E-3"/>
    <n v="3.2854965520000001"/>
  </r>
  <r>
    <x v="7"/>
    <x v="1"/>
    <x v="3"/>
    <x v="10"/>
    <x v="35"/>
    <n v="33.461391259999999"/>
    <n v="34.943487150000003"/>
    <n v="6.8959223590000001"/>
    <n v="31.371842090000001"/>
  </r>
  <r>
    <x v="7"/>
    <x v="2"/>
    <x v="0"/>
    <x v="10"/>
    <x v="35"/>
    <n v="7.4123720000000004E-2"/>
    <n v="7.7406859999999994E-2"/>
    <n v="2.7213500000000001E-4"/>
    <n v="7.1260026000000004E-2"/>
  </r>
  <r>
    <x v="7"/>
    <x v="2"/>
    <x v="2"/>
    <x v="10"/>
    <x v="35"/>
    <n v="1.9797093699999999"/>
    <n v="2.0673960739999999"/>
    <n v="1.7329065000000001E-2"/>
    <n v="1.9032253379999999"/>
  </r>
  <r>
    <x v="7"/>
    <x v="3"/>
    <x v="3"/>
    <x v="10"/>
    <x v="35"/>
    <n v="0.44606219899999999"/>
    <n v="0.46581950500000002"/>
    <n v="5.7204900000000004E-4"/>
    <n v="0.44587102499999998"/>
  </r>
  <r>
    <x v="7"/>
    <x v="0"/>
    <x v="0"/>
    <x v="10"/>
    <x v="35"/>
    <n v="0.20231252"/>
    <n v="0.21127349100000001"/>
    <n v="1.9761499999999999E-3"/>
    <n v="0.188298505"/>
  </r>
  <r>
    <x v="7"/>
    <x v="0"/>
    <x v="2"/>
    <x v="10"/>
    <x v="35"/>
    <n v="3.7541474099999999"/>
    <n v="3.9204287940000002"/>
    <n v="4.4674419E-2"/>
    <n v="3.4941008419999999"/>
  </r>
  <r>
    <x v="7"/>
    <x v="1"/>
    <x v="0"/>
    <x v="10"/>
    <x v="35"/>
    <n v="1.1450239799999999"/>
    <n v="1.1957402020000001"/>
    <n v="0.203357019"/>
    <n v="1.0735211579999999"/>
  </r>
  <r>
    <x v="7"/>
    <x v="1"/>
    <x v="2"/>
    <x v="10"/>
    <x v="35"/>
    <n v="2.4607301709999998"/>
    <n v="2.5697225929999998"/>
    <n v="0.31816980500000003"/>
    <n v="2.3070660080000001"/>
  </r>
  <r>
    <x v="7"/>
    <x v="1"/>
    <x v="1"/>
    <x v="10"/>
    <x v="35"/>
    <n v="130.9344706"/>
    <n v="136.73391380000001"/>
    <n v="25.403115419999999"/>
    <n v="122.7580617"/>
  </r>
  <r>
    <x v="7"/>
    <x v="0"/>
    <x v="3"/>
    <x v="10"/>
    <x v="35"/>
    <n v="0.143276079"/>
    <n v="0.149622166"/>
    <n v="1.2710309999999999E-3"/>
    <n v="0.133351468"/>
  </r>
  <r>
    <x v="7"/>
    <x v="0"/>
    <x v="3"/>
    <x v="2"/>
    <x v="36"/>
    <n v="0.11833840599999999"/>
    <n v="0.128821464"/>
    <n v="1.420335E-3"/>
    <n v="0.108992558"/>
  </r>
  <r>
    <x v="7"/>
    <x v="0"/>
    <x v="0"/>
    <x v="2"/>
    <x v="36"/>
    <n v="0.19307080400000001"/>
    <n v="0.21017406499999999"/>
    <n v="7.0297800000000004E-4"/>
    <n v="0.17782292"/>
  </r>
  <r>
    <x v="7"/>
    <x v="3"/>
    <x v="0"/>
    <x v="2"/>
    <x v="36"/>
    <n v="4.0018506949999999"/>
    <n v="4.3563563649999999"/>
    <n v="2.4551799999999999E-3"/>
    <n v="4.0015750050000003"/>
  </r>
  <r>
    <x v="7"/>
    <x v="1"/>
    <x v="1"/>
    <x v="2"/>
    <x v="36"/>
    <n v="46.659389079999997"/>
    <n v="50.792731179999997"/>
    <n v="5.7473459790000003"/>
    <n v="44.445301010000001"/>
  </r>
  <r>
    <x v="7"/>
    <x v="2"/>
    <x v="0"/>
    <x v="2"/>
    <x v="36"/>
    <n v="0.29043866899999998"/>
    <n v="0.31616730399999998"/>
    <n v="1.3679E-4"/>
    <n v="0.25568616999999999"/>
  </r>
  <r>
    <x v="7"/>
    <x v="2"/>
    <x v="2"/>
    <x v="2"/>
    <x v="36"/>
    <n v="0.35347923999999997"/>
    <n v="0.38479235099999998"/>
    <n v="4.01651E-3"/>
    <n v="0.31118360900000003"/>
  </r>
  <r>
    <x v="7"/>
    <x v="0"/>
    <x v="2"/>
    <x v="2"/>
    <x v="36"/>
    <n v="4.3289310280000004"/>
    <n v="4.7124112499999997"/>
    <n v="3.5692687000000001E-2"/>
    <n v="3.9870510590000001"/>
  </r>
  <r>
    <x v="7"/>
    <x v="1"/>
    <x v="3"/>
    <x v="2"/>
    <x v="36"/>
    <n v="14.858360360000001"/>
    <n v="16.174594620000001"/>
    <n v="1.8810034410000001"/>
    <n v="14.1532993"/>
  </r>
  <r>
    <x v="7"/>
    <x v="1"/>
    <x v="2"/>
    <x v="2"/>
    <x v="36"/>
    <n v="1.238813554"/>
    <n v="1.3485543870000001"/>
    <n v="6.7486569999999996E-2"/>
    <n v="1.1800291940000001"/>
  </r>
  <r>
    <x v="7"/>
    <x v="3"/>
    <x v="3"/>
    <x v="2"/>
    <x v="36"/>
    <n v="0.56678988200000002"/>
    <n v="0.61699920799999997"/>
    <n v="3.3562000000000002E-4"/>
    <n v="0.56675083500000001"/>
  </r>
  <r>
    <x v="7"/>
    <x v="1"/>
    <x v="0"/>
    <x v="2"/>
    <x v="36"/>
    <n v="1.953956622"/>
    <n v="2.1270487120000001"/>
    <n v="9.0985910000000003E-2"/>
    <n v="1.86123719"/>
  </r>
  <r>
    <x v="7"/>
    <x v="2"/>
    <x v="0"/>
    <x v="9"/>
    <x v="37"/>
    <n v="4.6884678999999999E-2"/>
    <n v="8.3331118999999995E-2"/>
    <n v="4.7448400000000001E-4"/>
    <n v="3.4427409999999999E-2"/>
  </r>
  <r>
    <x v="7"/>
    <x v="3"/>
    <x v="3"/>
    <x v="9"/>
    <x v="37"/>
    <n v="0.76466208300000005"/>
    <n v="1.3590824939999999"/>
    <n v="3.7255200000000001E-4"/>
    <n v="0.76466208300000005"/>
  </r>
  <r>
    <x v="7"/>
    <x v="3"/>
    <x v="0"/>
    <x v="9"/>
    <x v="37"/>
    <n v="3.071319474"/>
    <n v="5.4588511989999997"/>
    <n v="1.4671479999999999E-3"/>
    <n v="3.071319474"/>
  </r>
  <r>
    <x v="7"/>
    <x v="0"/>
    <x v="0"/>
    <x v="9"/>
    <x v="37"/>
    <n v="2.4299383570000002"/>
    <n v="4.3188837979999999"/>
    <n v="3.4153197000000003E-2"/>
    <n v="2.2466982240000002"/>
  </r>
  <r>
    <x v="7"/>
    <x v="1"/>
    <x v="0"/>
    <x v="9"/>
    <x v="37"/>
    <n v="7.8242771700000002"/>
    <n v="13.90658483"/>
    <n v="2.1559410570000002"/>
    <n v="7.4438316679999996"/>
  </r>
  <r>
    <x v="7"/>
    <x v="2"/>
    <x v="2"/>
    <x v="9"/>
    <x v="37"/>
    <n v="1.843323195"/>
    <n v="3.2762554069999998"/>
    <n v="3.1308159999999998E-3"/>
    <n v="1.353551835"/>
  </r>
  <r>
    <x v="7"/>
    <x v="0"/>
    <x v="2"/>
    <x v="9"/>
    <x v="37"/>
    <n v="27.28131522"/>
    <n v="48.488814529999999"/>
    <n v="0.38609599100000003"/>
    <n v="25.224048280000002"/>
  </r>
  <r>
    <x v="7"/>
    <x v="1"/>
    <x v="3"/>
    <x v="9"/>
    <x v="37"/>
    <n v="120.68820839999999"/>
    <n v="214.50681929999999"/>
    <n v="25.284467759999998"/>
    <n v="114.8198982"/>
  </r>
  <r>
    <x v="7"/>
    <x v="1"/>
    <x v="1"/>
    <x v="9"/>
    <x v="37"/>
    <n v="564.64840370000002"/>
    <n v="1003.585476"/>
    <n v="112.0754829"/>
    <n v="537.19309499999997"/>
  </r>
  <r>
    <x v="7"/>
    <x v="1"/>
    <x v="2"/>
    <x v="9"/>
    <x v="37"/>
    <n v="8.6651916070000006"/>
    <n v="15.40119548"/>
    <n v="1.025040937"/>
    <n v="8.2438577140000007"/>
  </r>
  <r>
    <x v="7"/>
    <x v="0"/>
    <x v="3"/>
    <x v="9"/>
    <x v="37"/>
    <n v="0.85281500099999996"/>
    <n v="1.5157622740000001"/>
    <n v="1.6691211000000001E-2"/>
    <n v="0.78850475399999997"/>
  </r>
  <r>
    <x v="7"/>
    <x v="0"/>
    <x v="3"/>
    <x v="7"/>
    <x v="38"/>
    <n v="0.11960624"/>
    <n v="0.119600392"/>
    <n v="1.1201379999999999E-3"/>
    <n v="0.111318815"/>
  </r>
  <r>
    <x v="7"/>
    <x v="2"/>
    <x v="0"/>
    <x v="7"/>
    <x v="38"/>
    <n v="4.3707331000000002E-2"/>
    <n v="4.3705194000000003E-2"/>
    <n v="1.6928700000000001E-4"/>
    <n v="4.2014252000000002E-2"/>
  </r>
  <r>
    <x v="7"/>
    <x v="2"/>
    <x v="2"/>
    <x v="7"/>
    <x v="38"/>
    <n v="1.1660319910000001"/>
    <n v="1.1659749800000001"/>
    <n v="1.0764713E-2"/>
    <n v="1.1208637290000001"/>
  </r>
  <r>
    <x v="7"/>
    <x v="3"/>
    <x v="3"/>
    <x v="7"/>
    <x v="38"/>
    <n v="8.9596747000000004E-2"/>
    <n v="8.9592366000000007E-2"/>
    <n v="1.20982E-4"/>
    <n v="8.9558940000000004E-2"/>
  </r>
  <r>
    <x v="7"/>
    <x v="3"/>
    <x v="0"/>
    <x v="7"/>
    <x v="38"/>
    <n v="0.66056704200000005"/>
    <n v="0.66053474400000001"/>
    <n v="8.8431800000000004E-4"/>
    <n v="0.66028830400000005"/>
  </r>
  <r>
    <x v="7"/>
    <x v="0"/>
    <x v="2"/>
    <x v="7"/>
    <x v="38"/>
    <n v="2.5289915039999999"/>
    <n v="2.528867854"/>
    <n v="3.1686915000000003E-2"/>
    <n v="2.353759615"/>
  </r>
  <r>
    <x v="7"/>
    <x v="1"/>
    <x v="3"/>
    <x v="7"/>
    <x v="38"/>
    <n v="14.07372032"/>
    <n v="14.073032209999999"/>
    <n v="2.9361940500000001"/>
    <n v="13.234817120000001"/>
  </r>
  <r>
    <x v="7"/>
    <x v="1"/>
    <x v="0"/>
    <x v="7"/>
    <x v="38"/>
    <n v="0.48565281700000001"/>
    <n v="0.48562907199999999"/>
    <n v="8.8285564999999996E-2"/>
    <n v="0.45670413199999998"/>
  </r>
  <r>
    <x v="7"/>
    <x v="1"/>
    <x v="1"/>
    <x v="7"/>
    <x v="38"/>
    <n v="55.285064339999998"/>
    <n v="55.282361280000003"/>
    <n v="10.87495067"/>
    <n v="51.989644490000003"/>
  </r>
  <r>
    <x v="7"/>
    <x v="0"/>
    <x v="0"/>
    <x v="7"/>
    <x v="38"/>
    <n v="0.13160076800000001"/>
    <n v="0.13159433400000001"/>
    <n v="1.284147E-3"/>
    <n v="0.122482252"/>
  </r>
  <r>
    <x v="7"/>
    <x v="1"/>
    <x v="2"/>
    <x v="7"/>
    <x v="38"/>
    <n v="1.035654896"/>
    <n v="1.0356042590000001"/>
    <n v="0.13552871499999999"/>
    <n v="0.97392180800000006"/>
  </r>
  <r>
    <x v="7"/>
    <x v="1"/>
    <x v="3"/>
    <x v="1"/>
    <x v="39"/>
    <n v="118.214057"/>
    <n v="124.8679638"/>
    <n v="20.655720179999999"/>
    <n v="105.1404828"/>
  </r>
  <r>
    <x v="7"/>
    <x v="2"/>
    <x v="2"/>
    <x v="1"/>
    <x v="39"/>
    <n v="0.87021436399999996"/>
    <n v="0.91919606300000001"/>
    <n v="3.4340000000000002E-2"/>
    <n v="0.85393818899999996"/>
  </r>
  <r>
    <x v="7"/>
    <x v="3"/>
    <x v="3"/>
    <x v="1"/>
    <x v="39"/>
    <n v="1.3819461559999999"/>
    <n v="1.4597316680000001"/>
    <n v="9.9746600000000002E-4"/>
    <n v="1.256331493"/>
  </r>
  <r>
    <x v="7"/>
    <x v="3"/>
    <x v="0"/>
    <x v="1"/>
    <x v="39"/>
    <n v="0.92916810599999999"/>
    <n v="0.98146812900000002"/>
    <n v="8.97034E-4"/>
    <n v="0.84470957700000004"/>
  </r>
  <r>
    <x v="7"/>
    <x v="0"/>
    <x v="3"/>
    <x v="1"/>
    <x v="39"/>
    <n v="0.14587619700000001"/>
    <n v="0.15408712099999999"/>
    <n v="2.4590825E-2"/>
    <n v="0.12418588699999999"/>
  </r>
  <r>
    <x v="7"/>
    <x v="0"/>
    <x v="2"/>
    <x v="1"/>
    <x v="39"/>
    <n v="9.2751999289999993"/>
    <n v="9.7972724929999995"/>
    <n v="0.15629533800000001"/>
    <n v="7.8960718569999999"/>
  </r>
  <r>
    <x v="7"/>
    <x v="1"/>
    <x v="2"/>
    <x v="1"/>
    <x v="39"/>
    <n v="3.572431919"/>
    <n v="3.7735131580000001"/>
    <n v="0.227854955"/>
    <n v="3.177348163"/>
  </r>
  <r>
    <x v="7"/>
    <x v="1"/>
    <x v="1"/>
    <x v="1"/>
    <x v="39"/>
    <n v="278.7012388"/>
    <n v="294.3884769"/>
    <n v="44.26746816"/>
    <n v="247.87900490000001"/>
  </r>
  <r>
    <x v="7"/>
    <x v="0"/>
    <x v="0"/>
    <x v="1"/>
    <x v="39"/>
    <n v="0.550652633"/>
    <n v="0.58164718100000001"/>
    <n v="1.725837E-3"/>
    <n v="0.46877617700000002"/>
  </r>
  <r>
    <x v="7"/>
    <x v="2"/>
    <x v="0"/>
    <x v="10"/>
    <x v="40"/>
    <n v="0.76597753800000001"/>
    <n v="0.96871462399999997"/>
    <n v="5.0244799999999996E-4"/>
    <n v="0.44536122500000003"/>
  </r>
  <r>
    <x v="7"/>
    <x v="1"/>
    <x v="1"/>
    <x v="10"/>
    <x v="40"/>
    <n v="166.18788520000001"/>
    <n v="210.17409359999999"/>
    <n v="33.66812109"/>
    <n v="156.62048150000001"/>
  </r>
  <r>
    <x v="7"/>
    <x v="3"/>
    <x v="3"/>
    <x v="10"/>
    <x v="40"/>
    <n v="1.4918202119999999"/>
    <n v="1.886671585"/>
    <n v="5.56684E-4"/>
    <n v="1.4912046640000001"/>
  </r>
  <r>
    <x v="7"/>
    <x v="2"/>
    <x v="2"/>
    <x v="10"/>
    <x v="40"/>
    <n v="5.981673893"/>
    <n v="7.5648889050000001"/>
    <n v="9.2766519999999998E-3"/>
    <n v="3.4779161049999998"/>
  </r>
  <r>
    <x v="7"/>
    <x v="3"/>
    <x v="0"/>
    <x v="10"/>
    <x v="40"/>
    <n v="12.962199289999999"/>
    <n v="16.393002930000002"/>
    <n v="4.9893159999999997E-3"/>
    <n v="12.95685089"/>
  </r>
  <r>
    <x v="7"/>
    <x v="0"/>
    <x v="3"/>
    <x v="10"/>
    <x v="40"/>
    <n v="0.41131978600000002"/>
    <n v="0.52018691500000003"/>
    <n v="4.925568E-3"/>
    <n v="0.38303203299999999"/>
  </r>
  <r>
    <x v="7"/>
    <x v="0"/>
    <x v="0"/>
    <x v="10"/>
    <x v="40"/>
    <n v="0.54798695600000003"/>
    <n v="0.69302682100000002"/>
    <n v="5.9748630000000004E-3"/>
    <n v="0.51030017299999997"/>
  </r>
  <r>
    <x v="7"/>
    <x v="0"/>
    <x v="2"/>
    <x v="10"/>
    <x v="40"/>
    <n v="9.9570848410000004"/>
    <n v="12.59250203"/>
    <n v="0.149680968"/>
    <n v="9.2723048630000005"/>
  </r>
  <r>
    <x v="7"/>
    <x v="1"/>
    <x v="3"/>
    <x v="10"/>
    <x v="40"/>
    <n v="42.367213130000003"/>
    <n v="53.580864869999999"/>
    <n v="11.12316244"/>
    <n v="39.928141060000002"/>
  </r>
  <r>
    <x v="7"/>
    <x v="1"/>
    <x v="0"/>
    <x v="10"/>
    <x v="40"/>
    <n v="1.3989102609999999"/>
    <n v="1.7691704530000001"/>
    <n v="0.25570180999999997"/>
    <n v="1.3183752740000001"/>
  </r>
  <r>
    <x v="7"/>
    <x v="1"/>
    <x v="2"/>
    <x v="10"/>
    <x v="40"/>
    <n v="4.1387369080000003"/>
    <n v="5.2341678060000003"/>
    <n v="0.47345406200000001"/>
    <n v="3.9004706439999999"/>
  </r>
  <r>
    <x v="7"/>
    <x v="2"/>
    <x v="2"/>
    <x v="1"/>
    <x v="41"/>
    <n v="23.594466919999999"/>
    <n v="22.98967"/>
    <n v="0.2911724"/>
    <n v="22.826976770000002"/>
  </r>
  <r>
    <x v="7"/>
    <x v="1"/>
    <x v="3"/>
    <x v="1"/>
    <x v="41"/>
    <n v="167.70859799999999"/>
    <n v="163.40972389999999"/>
    <n v="31.614151700000001"/>
    <n v="153.52791669999999"/>
  </r>
  <r>
    <x v="7"/>
    <x v="0"/>
    <x v="2"/>
    <x v="1"/>
    <x v="41"/>
    <n v="39.547431090000003"/>
    <n v="38.533711879999998"/>
    <n v="0.63698479699999999"/>
    <n v="33.634964070000002"/>
  </r>
  <r>
    <x v="7"/>
    <x v="1"/>
    <x v="1"/>
    <x v="1"/>
    <x v="41"/>
    <n v="558.20817220000004"/>
    <n v="543.8996234"/>
    <n v="104.9577285"/>
    <n v="511.00861140000001"/>
  </r>
  <r>
    <x v="7"/>
    <x v="0"/>
    <x v="0"/>
    <x v="1"/>
    <x v="41"/>
    <n v="8.1403809999999993E-2"/>
    <n v="7.9317186999999997E-2"/>
    <n v="3.6131899999999997E-4"/>
    <n v="6.9233681000000005E-2"/>
  </r>
  <r>
    <x v="7"/>
    <x v="0"/>
    <x v="3"/>
    <x v="1"/>
    <x v="41"/>
    <n v="0.32357518000000002"/>
    <n v="0.31528097799999999"/>
    <n v="7.5460982999999995E-2"/>
    <n v="0.27519965899999999"/>
  </r>
  <r>
    <x v="7"/>
    <x v="3"/>
    <x v="0"/>
    <x v="1"/>
    <x v="41"/>
    <n v="12.40376859"/>
    <n v="12.085822820000001"/>
    <n v="1.23149E-2"/>
    <n v="12.40376859"/>
  </r>
  <r>
    <x v="7"/>
    <x v="1"/>
    <x v="2"/>
    <x v="1"/>
    <x v="41"/>
    <n v="6.6557498070000003"/>
    <n v="6.4851429869999997"/>
    <n v="0.38892229"/>
    <n v="6.0929696770000001"/>
  </r>
  <r>
    <x v="7"/>
    <x v="3"/>
    <x v="0"/>
    <x v="2"/>
    <x v="42"/>
    <n v="45.347306170000003"/>
    <n v="49.364416839999997"/>
    <n v="2.7821855E-2"/>
    <n v="45.344181110000001"/>
  </r>
  <r>
    <x v="7"/>
    <x v="2"/>
    <x v="0"/>
    <x v="2"/>
    <x v="42"/>
    <n v="0.386146869"/>
    <n v="0.42035385600000003"/>
    <n v="3.370334E-3"/>
    <n v="0.36784825599999998"/>
  </r>
  <r>
    <x v="7"/>
    <x v="1"/>
    <x v="1"/>
    <x v="2"/>
    <x v="42"/>
    <n v="393.0129397"/>
    <n v="427.8281604"/>
    <n v="61.67498123"/>
    <n v="369.84831270000001"/>
  </r>
  <r>
    <x v="7"/>
    <x v="1"/>
    <x v="2"/>
    <x v="2"/>
    <x v="42"/>
    <n v="15.05982451"/>
    <n v="16.39390556"/>
    <n v="0.85410277999999995"/>
    <n v="14.17218143"/>
  </r>
  <r>
    <x v="7"/>
    <x v="1"/>
    <x v="0"/>
    <x v="2"/>
    <x v="42"/>
    <n v="4.6690570210000004"/>
    <n v="5.0826674509999998"/>
    <n v="0.75887180799999998"/>
    <n v="4.3938575220000002"/>
  </r>
  <r>
    <x v="7"/>
    <x v="1"/>
    <x v="3"/>
    <x v="2"/>
    <x v="42"/>
    <n v="128.39803420000001"/>
    <n v="139.77222939999999"/>
    <n v="19.769343079999999"/>
    <n v="120.8301089"/>
  </r>
  <r>
    <x v="7"/>
    <x v="0"/>
    <x v="0"/>
    <x v="2"/>
    <x v="42"/>
    <n v="0.139852382"/>
    <n v="0.15224126499999999"/>
    <n v="1.0447779999999999E-3"/>
    <n v="0.132778491"/>
  </r>
  <r>
    <x v="7"/>
    <x v="3"/>
    <x v="3"/>
    <x v="2"/>
    <x v="42"/>
    <n v="5.5391450369999999"/>
    <n v="6.0298325889999997"/>
    <n v="3.2626450000000002E-3"/>
    <n v="5.5387633129999996"/>
  </r>
  <r>
    <x v="7"/>
    <x v="2"/>
    <x v="2"/>
    <x v="2"/>
    <x v="42"/>
    <n v="1.726682297"/>
    <n v="1.8796411930000001"/>
    <n v="7.9742660000000007E-3"/>
    <n v="1.644858787"/>
  </r>
  <r>
    <x v="7"/>
    <x v="0"/>
    <x v="2"/>
    <x v="2"/>
    <x v="42"/>
    <n v="7.5575375779999998"/>
    <n v="8.2270253039999997"/>
    <n v="8.4666322000000002E-2"/>
    <n v="7.1752688310000003"/>
  </r>
  <r>
    <x v="7"/>
    <x v="1"/>
    <x v="3"/>
    <x v="2"/>
    <x v="43"/>
    <n v="71.830900589999999"/>
    <n v="88.75886328"/>
    <n v="12.71552135"/>
    <n v="67.845909480000003"/>
  </r>
  <r>
    <x v="7"/>
    <x v="1"/>
    <x v="1"/>
    <x v="2"/>
    <x v="43"/>
    <n v="241.62880899999999"/>
    <n v="298.57203859999998"/>
    <n v="38.321223240000002"/>
    <n v="228.22387259999999"/>
  </r>
  <r>
    <x v="7"/>
    <x v="2"/>
    <x v="2"/>
    <x v="2"/>
    <x v="43"/>
    <n v="2.7030469699999999"/>
    <n v="3.340058032"/>
    <n v="1.4869693999999999E-2"/>
    <n v="2.6863407110000002"/>
  </r>
  <r>
    <x v="7"/>
    <x v="3"/>
    <x v="3"/>
    <x v="2"/>
    <x v="43"/>
    <n v="3.3986103829999998"/>
    <n v="4.199540753"/>
    <n v="2.2374640000000002E-3"/>
    <n v="3.3983895180000001"/>
  </r>
  <r>
    <x v="7"/>
    <x v="3"/>
    <x v="0"/>
    <x v="2"/>
    <x v="43"/>
    <n v="20.334674379999999"/>
    <n v="25.126826600000001"/>
    <n v="1.4219035999999999E-2"/>
    <n v="20.333352900000001"/>
  </r>
  <r>
    <x v="7"/>
    <x v="0"/>
    <x v="2"/>
    <x v="2"/>
    <x v="43"/>
    <n v="3.188155686"/>
    <n v="3.939489445"/>
    <n v="8.7106995000000007E-2"/>
    <n v="2.926894619"/>
  </r>
  <r>
    <x v="7"/>
    <x v="1"/>
    <x v="0"/>
    <x v="2"/>
    <x v="43"/>
    <n v="2.7777882790000001"/>
    <n v="3.432413183"/>
    <n v="0.377041562"/>
    <n v="2.6236838269999998"/>
  </r>
  <r>
    <x v="7"/>
    <x v="1"/>
    <x v="2"/>
    <x v="2"/>
    <x v="43"/>
    <n v="7.3898537979999999"/>
    <n v="9.1313768530000008"/>
    <n v="0.53648634299999998"/>
    <n v="6.9798839749999999"/>
  </r>
  <r>
    <x v="7"/>
    <x v="2"/>
    <x v="0"/>
    <x v="2"/>
    <x v="43"/>
    <n v="0.29473682800000001"/>
    <n v="0.36419571000000001"/>
    <n v="2.6030600000000002E-4"/>
    <n v="0.29291519900000001"/>
  </r>
  <r>
    <x v="7"/>
    <x v="0"/>
    <x v="0"/>
    <x v="2"/>
    <x v="43"/>
    <n v="4.5113318999999999E-2"/>
    <n v="5.5744907000000003E-2"/>
    <n v="7.9600500000000002E-4"/>
    <n v="4.1416399999999999E-2"/>
  </r>
  <r>
    <x v="7"/>
    <x v="1"/>
    <x v="1"/>
    <x v="2"/>
    <x v="44"/>
    <n v="208.1559536"/>
    <n v="215.74973869999999"/>
    <n v="33.6923782"/>
    <n v="197.69305499999999"/>
  </r>
  <r>
    <x v="7"/>
    <x v="1"/>
    <x v="0"/>
    <x v="2"/>
    <x v="44"/>
    <n v="2.4296771580000001"/>
    <n v="2.5183147680000002"/>
    <n v="0.40741326999999999"/>
    <n v="2.3075501410000001"/>
  </r>
  <r>
    <x v="7"/>
    <x v="0"/>
    <x v="2"/>
    <x v="2"/>
    <x v="44"/>
    <n v="13.619796109999999"/>
    <n v="14.11666301"/>
    <n v="0.20022026900000001"/>
    <n v="11.294991169999999"/>
  </r>
  <r>
    <x v="7"/>
    <x v="0"/>
    <x v="0"/>
    <x v="2"/>
    <x v="44"/>
    <n v="0.43723912599999998"/>
    <n v="0.45319014699999999"/>
    <n v="4.2353909999999998E-3"/>
    <n v="0.36260543299999998"/>
  </r>
  <r>
    <x v="7"/>
    <x v="0"/>
    <x v="3"/>
    <x v="2"/>
    <x v="44"/>
    <n v="2.7011653E-2"/>
    <n v="2.7997070999999998E-2"/>
    <n v="5.4484100000000001E-4"/>
    <n v="2.2400950999999999E-2"/>
  </r>
  <r>
    <x v="7"/>
    <x v="3"/>
    <x v="0"/>
    <x v="2"/>
    <x v="44"/>
    <n v="21.503889269999998"/>
    <n v="22.28837759"/>
    <n v="1.2529190000000001E-2"/>
    <n v="21.502445569999999"/>
  </r>
  <r>
    <x v="7"/>
    <x v="3"/>
    <x v="3"/>
    <x v="2"/>
    <x v="44"/>
    <n v="2.1573644409999999"/>
    <n v="2.236067748"/>
    <n v="1.2327099999999999E-3"/>
    <n v="2.1572196020000001"/>
  </r>
  <r>
    <x v="7"/>
    <x v="2"/>
    <x v="0"/>
    <x v="2"/>
    <x v="44"/>
    <n v="0.92256706499999996"/>
    <n v="0.95622344599999998"/>
    <n v="2.1418000000000001E-4"/>
    <n v="0.81221926200000005"/>
  </r>
  <r>
    <x v="7"/>
    <x v="1"/>
    <x v="3"/>
    <x v="2"/>
    <x v="44"/>
    <n v="72.41159399"/>
    <n v="75.053257970000004"/>
    <n v="12.53054105"/>
    <n v="68.771846229999994"/>
  </r>
  <r>
    <x v="7"/>
    <x v="2"/>
    <x v="2"/>
    <x v="2"/>
    <x v="44"/>
    <n v="14.315432639999999"/>
    <n v="14.837677230000001"/>
    <n v="0.13857352000000001"/>
    <n v="12.603170629999999"/>
  </r>
  <r>
    <x v="7"/>
    <x v="1"/>
    <x v="2"/>
    <x v="2"/>
    <x v="44"/>
    <n v="6.1883447460000003"/>
    <n v="6.4141031709999998"/>
    <n v="0.43059607700000002"/>
    <n v="5.8772893939999999"/>
  </r>
  <r>
    <x v="7"/>
    <x v="3"/>
    <x v="0"/>
    <x v="4"/>
    <x v="45"/>
    <n v="4.5237404149999998"/>
    <n v="4.4824353620000004"/>
    <n v="7.4248999999999999E-3"/>
    <n v="4.5237404149999998"/>
  </r>
  <r>
    <x v="7"/>
    <x v="1"/>
    <x v="1"/>
    <x v="4"/>
    <x v="45"/>
    <n v="205.05817279999999"/>
    <n v="203.18584200000001"/>
    <n v="49.63943836"/>
    <n v="182.0293427"/>
  </r>
  <r>
    <x v="7"/>
    <x v="1"/>
    <x v="3"/>
    <x v="4"/>
    <x v="45"/>
    <n v="114.7192783"/>
    <n v="113.67180759999999"/>
    <n v="30.83701834"/>
    <n v="101.8358573"/>
  </r>
  <r>
    <x v="7"/>
    <x v="0"/>
    <x v="2"/>
    <x v="4"/>
    <x v="45"/>
    <n v="16.171610269999999"/>
    <n v="16.023951660000002"/>
    <n v="0.25710714200000001"/>
    <n v="13.987532529999999"/>
  </r>
  <r>
    <x v="7"/>
    <x v="0"/>
    <x v="3"/>
    <x v="4"/>
    <x v="45"/>
    <n v="0.29073548999999999"/>
    <n v="0.28808086300000002"/>
    <n v="5.6881732999999997E-2"/>
    <n v="0.251469832"/>
  </r>
  <r>
    <x v="7"/>
    <x v="2"/>
    <x v="2"/>
    <x v="4"/>
    <x v="45"/>
    <n v="5.6207512179999997"/>
    <n v="5.5694296550000004"/>
    <n v="4.99169E-2"/>
    <n v="4.9388801549999997"/>
  </r>
  <r>
    <x v="7"/>
    <x v="0"/>
    <x v="0"/>
    <x v="4"/>
    <x v="45"/>
    <n v="0.68882657199999997"/>
    <n v="0.68253708300000004"/>
    <n v="5.1647250000000002E-3"/>
    <n v="0.59579620899999997"/>
  </r>
  <r>
    <x v="7"/>
    <x v="1"/>
    <x v="2"/>
    <x v="6"/>
    <x v="46"/>
    <n v="0.93635067000000005"/>
    <n v="0.97198121299999996"/>
    <n v="0.14813500900000001"/>
    <n v="0.82020207599999995"/>
  </r>
  <r>
    <x v="7"/>
    <x v="1"/>
    <x v="1"/>
    <x v="6"/>
    <x v="46"/>
    <n v="141.794239"/>
    <n v="147.18987319999999"/>
    <n v="29.948567489999999"/>
    <n v="124.2055278"/>
  </r>
  <r>
    <x v="7"/>
    <x v="1"/>
    <x v="3"/>
    <x v="6"/>
    <x v="46"/>
    <n v="62.406849180000002"/>
    <n v="64.781589760000003"/>
    <n v="10.3628228"/>
    <n v="54.665659900000001"/>
  </r>
  <r>
    <x v="7"/>
    <x v="2"/>
    <x v="2"/>
    <x v="6"/>
    <x v="46"/>
    <n v="4.3257983409999996"/>
    <n v="4.4904060570000004"/>
    <n v="2.4197900000000001E-2"/>
    <n v="3.4604173920000001"/>
  </r>
  <r>
    <x v="7"/>
    <x v="3"/>
    <x v="0"/>
    <x v="6"/>
    <x v="46"/>
    <n v="1.0556943169999999"/>
    <n v="1.0958661919999999"/>
    <n v="7.8359999999999996E-4"/>
    <n v="0.95966385099999996"/>
  </r>
  <r>
    <x v="7"/>
    <x v="0"/>
    <x v="3"/>
    <x v="6"/>
    <x v="46"/>
    <n v="6.8871237000000002E-2"/>
    <n v="7.1491965000000005E-2"/>
    <n v="1.9159603000000001E-2"/>
    <n v="6.1779372999999999E-2"/>
  </r>
  <r>
    <x v="7"/>
    <x v="0"/>
    <x v="0"/>
    <x v="6"/>
    <x v="46"/>
    <n v="0.67047291499999995"/>
    <n v="0.69598612800000004"/>
    <n v="2.6101240000000001E-3"/>
    <n v="0.60143243499999999"/>
  </r>
  <r>
    <x v="7"/>
    <x v="0"/>
    <x v="2"/>
    <x v="6"/>
    <x v="46"/>
    <n v="6.041847722"/>
    <n v="6.2717555149999997"/>
    <n v="0.176298173"/>
    <n v="5.419701688"/>
  </r>
  <r>
    <x v="7"/>
    <x v="2"/>
    <x v="2"/>
    <x v="7"/>
    <x v="47"/>
    <n v="8.1800717999999994E-2"/>
    <n v="0.16187076"/>
    <n v="3.7725010000000002E-3"/>
    <n v="4.8421418000000001E-2"/>
  </r>
  <r>
    <x v="7"/>
    <x v="0"/>
    <x v="2"/>
    <x v="7"/>
    <x v="47"/>
    <n v="0.96612317299999995"/>
    <n v="1.9118058499999999"/>
    <n v="2.0429129000000001E-2"/>
    <n v="0.88275980099999996"/>
  </r>
  <r>
    <x v="7"/>
    <x v="1"/>
    <x v="1"/>
    <x v="7"/>
    <x v="47"/>
    <n v="105.38523309999999"/>
    <n v="208.54080590000001"/>
    <n v="28.348303959999999"/>
    <n v="95.966991480000004"/>
  </r>
  <r>
    <x v="7"/>
    <x v="1"/>
    <x v="2"/>
    <x v="7"/>
    <x v="47"/>
    <n v="3.436888121"/>
    <n v="6.8010611870000002"/>
    <n v="0.42294343899999998"/>
    <n v="3.1297346250000002"/>
  </r>
  <r>
    <x v="7"/>
    <x v="1"/>
    <x v="0"/>
    <x v="7"/>
    <x v="47"/>
    <n v="0.84758521600000003"/>
    <n v="1.677237871"/>
    <n v="0.230834447"/>
    <n v="0.77183681999999998"/>
  </r>
  <r>
    <x v="7"/>
    <x v="1"/>
    <x v="3"/>
    <x v="7"/>
    <x v="47"/>
    <n v="28.656606679999999"/>
    <n v="56.706918770000001"/>
    <n v="7.1305259510000001"/>
    <n v="26.095575719999999"/>
  </r>
  <r>
    <x v="7"/>
    <x v="0"/>
    <x v="0"/>
    <x v="7"/>
    <x v="47"/>
    <n v="5.4708646E-2"/>
    <n v="0.108259809"/>
    <n v="8.3405199999999995E-4"/>
    <n v="4.9988029000000003E-2"/>
  </r>
  <r>
    <x v="7"/>
    <x v="0"/>
    <x v="3"/>
    <x v="7"/>
    <x v="47"/>
    <n v="2.6900199E-2"/>
    <n v="5.3231264E-2"/>
    <n v="2.8121999999999999E-4"/>
    <n v="2.4579074999999999E-2"/>
  </r>
  <r>
    <x v="7"/>
    <x v="3"/>
    <x v="3"/>
    <x v="7"/>
    <x v="47"/>
    <n v="0.46218284999999998"/>
    <n v="0.91458718900000002"/>
    <n v="4.2746899999999998E-4"/>
    <n v="0.46198718799999999"/>
  </r>
  <r>
    <x v="7"/>
    <x v="2"/>
    <x v="0"/>
    <x v="7"/>
    <x v="47"/>
    <n v="0.29749117800000002"/>
    <n v="0.58868826600000002"/>
    <n v="1.0133989999999999E-3"/>
    <n v="0.17609802299999999"/>
  </r>
  <r>
    <x v="7"/>
    <x v="3"/>
    <x v="0"/>
    <x v="7"/>
    <x v="47"/>
    <n v="7.4663538620000001"/>
    <n v="14.77474031"/>
    <n v="6.8574309999999998E-3"/>
    <n v="7.463193027"/>
  </r>
  <r>
    <x v="7"/>
    <x v="3"/>
    <x v="3"/>
    <x v="2"/>
    <x v="48"/>
    <n v="13.426405280000001"/>
    <n v="15.187784669999999"/>
    <n v="8.2062320000000008E-3"/>
    <n v="13.42550771"/>
  </r>
  <r>
    <x v="7"/>
    <x v="2"/>
    <x v="0"/>
    <x v="2"/>
    <x v="48"/>
    <n v="0.15174236899999999"/>
    <n v="0.171649104"/>
    <n v="1.9582559999999998E-3"/>
    <n v="0.122795876"/>
  </r>
  <r>
    <x v="7"/>
    <x v="1"/>
    <x v="1"/>
    <x v="2"/>
    <x v="48"/>
    <n v="1023.905045"/>
    <n v="1158.228805"/>
    <n v="157.9490021"/>
    <n v="962.785528"/>
  </r>
  <r>
    <x v="7"/>
    <x v="1"/>
    <x v="2"/>
    <x v="2"/>
    <x v="48"/>
    <n v="30.431258440000001"/>
    <n v="34.4234656"/>
    <n v="2.1016786550000002"/>
    <n v="28.61473861"/>
  </r>
  <r>
    <x v="7"/>
    <x v="1"/>
    <x v="0"/>
    <x v="2"/>
    <x v="48"/>
    <n v="13.48756704"/>
    <n v="15.2569701"/>
    <n v="1.264698278"/>
    <n v="12.682459590000001"/>
  </r>
  <r>
    <x v="7"/>
    <x v="1"/>
    <x v="3"/>
    <x v="2"/>
    <x v="48"/>
    <n v="416.56333810000001"/>
    <n v="471.21132929999999"/>
    <n v="69.553906339999997"/>
    <n v="391.6976047"/>
  </r>
  <r>
    <x v="7"/>
    <x v="0"/>
    <x v="2"/>
    <x v="2"/>
    <x v="48"/>
    <n v="33.777118260000002"/>
    <n v="38.208261120000003"/>
    <n v="1.3146047030000001"/>
    <n v="31.375812450000002"/>
  </r>
  <r>
    <x v="7"/>
    <x v="0"/>
    <x v="0"/>
    <x v="2"/>
    <x v="48"/>
    <n v="1.033997405"/>
    <n v="1.169645158"/>
    <n v="3.2127635000000002E-2"/>
    <n v="0.96048776000000002"/>
  </r>
  <r>
    <x v="7"/>
    <x v="0"/>
    <x v="3"/>
    <x v="2"/>
    <x v="48"/>
    <n v="5.1996723859999996"/>
    <n v="5.8818055090000003"/>
    <n v="0.28236976200000002"/>
    <n v="4.83001375"/>
  </r>
  <r>
    <x v="7"/>
    <x v="3"/>
    <x v="0"/>
    <x v="2"/>
    <x v="48"/>
    <n v="99.891514330000007"/>
    <n v="112.9960535"/>
    <n v="6.3724167999999998E-2"/>
    <n v="99.884836410000005"/>
  </r>
  <r>
    <x v="7"/>
    <x v="2"/>
    <x v="2"/>
    <x v="2"/>
    <x v="48"/>
    <n v="1.9633987639999999"/>
    <n v="2.220972556"/>
    <n v="7.3297344E-2"/>
    <n v="1.5888592720000001"/>
  </r>
  <r>
    <x v="7"/>
    <x v="0"/>
    <x v="3"/>
    <x v="3"/>
    <x v="49"/>
    <n v="13.283801029999999"/>
    <n v="13.283801029999999"/>
    <n v="1.797197615"/>
    <n v="12.04116531"/>
  </r>
  <r>
    <x v="7"/>
    <x v="1"/>
    <x v="0"/>
    <x v="3"/>
    <x v="49"/>
    <n v="262.75159789999998"/>
    <n v="262.75159789999998"/>
    <n v="32.839804229999999"/>
    <n v="253.68293209999999"/>
  </r>
  <r>
    <x v="7"/>
    <x v="1"/>
    <x v="2"/>
    <x v="3"/>
    <x v="49"/>
    <n v="458.01744639999998"/>
    <n v="458.01744639999998"/>
    <n v="49.480291029999997"/>
    <n v="442.20933250000002"/>
  </r>
  <r>
    <x v="7"/>
    <x v="1"/>
    <x v="1"/>
    <x v="3"/>
    <x v="49"/>
    <n v="11185.18187"/>
    <n v="11185.18187"/>
    <n v="2468.3641360000001"/>
    <n v="10799.13406"/>
  </r>
  <r>
    <x v="7"/>
    <x v="3"/>
    <x v="0"/>
    <x v="3"/>
    <x v="49"/>
    <n v="1300.212297"/>
    <n v="1300.212297"/>
    <n v="0.42239254599999998"/>
    <n v="1286.0407009999999"/>
  </r>
  <r>
    <x v="7"/>
    <x v="2"/>
    <x v="2"/>
    <x v="3"/>
    <x v="49"/>
    <n v="131.9000681"/>
    <n v="131.9000681"/>
    <n v="0.80025159999999995"/>
    <n v="120.0728313"/>
  </r>
  <r>
    <x v="7"/>
    <x v="0"/>
    <x v="0"/>
    <x v="3"/>
    <x v="49"/>
    <n v="0.11028468"/>
    <n v="0.11028468"/>
    <n v="1.6830445999999999E-2"/>
    <n v="9.9968078000000002E-2"/>
  </r>
  <r>
    <x v="7"/>
    <x v="0"/>
    <x v="2"/>
    <x v="3"/>
    <x v="49"/>
    <n v="260.68660310000001"/>
    <n v="260.68660310000001"/>
    <n v="5.2876664389999997"/>
    <n v="236.30062480000001"/>
  </r>
  <r>
    <x v="7"/>
    <x v="1"/>
    <x v="3"/>
    <x v="3"/>
    <x v="49"/>
    <n v="8820.6646629999996"/>
    <n v="8820.6646629999996"/>
    <n v="2686.4478319999998"/>
    <n v="8516.2263210000001"/>
  </r>
  <r>
    <x v="7"/>
    <x v="3"/>
    <x v="3"/>
    <x v="3"/>
    <x v="49"/>
    <n v="162.4408104"/>
    <n v="162.4408104"/>
    <n v="5.0983453999999997E-2"/>
    <n v="160.67029529999999"/>
  </r>
  <r>
    <x v="8"/>
    <x v="0"/>
    <x v="3"/>
    <x v="0"/>
    <x v="0"/>
    <n v="0.21065727200000001"/>
    <n v="0.73249474299999995"/>
    <n v="1.450092E-3"/>
    <n v="0.189591545"/>
  </r>
  <r>
    <x v="8"/>
    <x v="3"/>
    <x v="0"/>
    <x v="0"/>
    <x v="0"/>
    <n v="4.5127921510000002"/>
    <n v="15.69182251"/>
    <n v="2.5864920000000001E-3"/>
    <n v="4.0615129359999997"/>
  </r>
  <r>
    <x v="8"/>
    <x v="0"/>
    <x v="0"/>
    <x v="0"/>
    <x v="0"/>
    <n v="8.3919571999999998E-2"/>
    <n v="0.29180404900000001"/>
    <n v="4.9378499999999995E-4"/>
    <n v="7.5527614000000007E-2"/>
  </r>
  <r>
    <x v="8"/>
    <x v="3"/>
    <x v="3"/>
    <x v="0"/>
    <x v="0"/>
    <n v="0.485735853"/>
    <n v="1.688994428"/>
    <n v="2.7480799999999998E-4"/>
    <n v="0.43716226800000002"/>
  </r>
  <r>
    <x v="8"/>
    <x v="0"/>
    <x v="2"/>
    <x v="0"/>
    <x v="0"/>
    <n v="7.0289573900000004"/>
    <n v="24.44099975"/>
    <n v="0.169344722"/>
    <n v="6.3260616509999998"/>
  </r>
  <r>
    <x v="8"/>
    <x v="1"/>
    <x v="3"/>
    <x v="0"/>
    <x v="0"/>
    <n v="19.292675620000001"/>
    <n v="67.084242200000006"/>
    <n v="5.4730462429999998"/>
    <n v="17.363408060000001"/>
  </r>
  <r>
    <x v="8"/>
    <x v="2"/>
    <x v="2"/>
    <x v="0"/>
    <x v="0"/>
    <n v="0.140584818"/>
    <n v="0.48883971100000001"/>
    <n v="8.2912999999999997E-3"/>
    <n v="0.12652633599999999"/>
  </r>
  <r>
    <x v="8"/>
    <x v="1"/>
    <x v="2"/>
    <x v="0"/>
    <x v="0"/>
    <n v="1.4923846110000001"/>
    <n v="5.1893004710000001"/>
    <n v="0.19638447000000001"/>
    <n v="1.3431461499999999"/>
  </r>
  <r>
    <x v="8"/>
    <x v="1"/>
    <x v="1"/>
    <x v="0"/>
    <x v="0"/>
    <n v="33.599889689999998"/>
    <n v="116.8331019"/>
    <n v="10.27867949"/>
    <n v="30.239900720000001"/>
  </r>
  <r>
    <x v="8"/>
    <x v="2"/>
    <x v="2"/>
    <x v="1"/>
    <x v="1"/>
    <n v="0.58969073699999996"/>
    <n v="0.71552681200000001"/>
    <n v="2.6948799999999998E-2"/>
    <n v="0.53072166300000001"/>
  </r>
  <r>
    <x v="8"/>
    <x v="1"/>
    <x v="3"/>
    <x v="1"/>
    <x v="1"/>
    <n v="240.2517733"/>
    <n v="291.51990130000001"/>
    <n v="35.885066190000003"/>
    <n v="216.22659590000001"/>
  </r>
  <r>
    <x v="8"/>
    <x v="1"/>
    <x v="2"/>
    <x v="1"/>
    <x v="1"/>
    <n v="6.8837410950000004"/>
    <n v="8.3526855920000003"/>
    <n v="0.34236621"/>
    <n v="6.1953669859999998"/>
  </r>
  <r>
    <x v="8"/>
    <x v="1"/>
    <x v="1"/>
    <x v="1"/>
    <x v="1"/>
    <n v="448.55347929999999"/>
    <n v="544.27180390000001"/>
    <n v="69.264789100000002"/>
    <n v="403.69813140000002"/>
  </r>
  <r>
    <x v="8"/>
    <x v="0"/>
    <x v="2"/>
    <x v="1"/>
    <x v="1"/>
    <n v="32.800020009999997"/>
    <n v="39.799325789999997"/>
    <n v="0.50358519199999996"/>
    <n v="29.520018"/>
  </r>
  <r>
    <x v="8"/>
    <x v="0"/>
    <x v="0"/>
    <x v="1"/>
    <x v="1"/>
    <n v="0.499458503"/>
    <n v="0.60603962099999997"/>
    <n v="1.633261E-3"/>
    <n v="0.44951265299999998"/>
  </r>
  <r>
    <x v="8"/>
    <x v="0"/>
    <x v="3"/>
    <x v="1"/>
    <x v="1"/>
    <n v="0.53996576900000004"/>
    <n v="0.65519086699999995"/>
    <n v="6.3991146999999998E-2"/>
    <n v="0.48596919199999999"/>
  </r>
  <r>
    <x v="8"/>
    <x v="3"/>
    <x v="0"/>
    <x v="1"/>
    <x v="1"/>
    <n v="14.732193519999999"/>
    <n v="17.875945479999999"/>
    <n v="8.3212919999999992E-3"/>
    <n v="13.258974159999999"/>
  </r>
  <r>
    <x v="8"/>
    <x v="3"/>
    <x v="3"/>
    <x v="1"/>
    <x v="1"/>
    <n v="9.1566616679999999"/>
    <n v="11.11063227"/>
    <n v="5.979308E-3"/>
    <n v="8.2409954990000003"/>
  </r>
  <r>
    <x v="8"/>
    <x v="1"/>
    <x v="0"/>
    <x v="2"/>
    <x v="2"/>
    <n v="2.746072329"/>
    <n v="2.9893343309999998"/>
    <n v="0.49546017799999997"/>
    <n v="2.4714650950000001"/>
  </r>
  <r>
    <x v="8"/>
    <x v="1"/>
    <x v="3"/>
    <x v="2"/>
    <x v="2"/>
    <n v="63.985964019999997"/>
    <n v="69.654188239999996"/>
    <n v="8.9819572010000002"/>
    <n v="57.587367610000001"/>
  </r>
  <r>
    <x v="8"/>
    <x v="0"/>
    <x v="2"/>
    <x v="2"/>
    <x v="2"/>
    <n v="1.5607521120000001"/>
    <n v="1.699012011"/>
    <n v="3.0428295000000001E-2"/>
    <n v="1.404676899"/>
  </r>
  <r>
    <x v="8"/>
    <x v="0"/>
    <x v="0"/>
    <x v="2"/>
    <x v="2"/>
    <n v="2.4572587E-2"/>
    <n v="2.6749360999999999E-2"/>
    <n v="1.6580499999999999E-4"/>
    <n v="2.2115329E-2"/>
  </r>
  <r>
    <x v="8"/>
    <x v="3"/>
    <x v="0"/>
    <x v="2"/>
    <x v="2"/>
    <n v="5.3641655049999999"/>
    <n v="5.83935242"/>
    <n v="3.0684639999999999E-3"/>
    <n v="4.8277489549999997"/>
  </r>
  <r>
    <x v="8"/>
    <x v="3"/>
    <x v="3"/>
    <x v="2"/>
    <x v="2"/>
    <n v="0.82370757100000003"/>
    <n v="0.89667606200000005"/>
    <n v="4.6803600000000002E-4"/>
    <n v="0.74133681399999996"/>
  </r>
  <r>
    <x v="8"/>
    <x v="2"/>
    <x v="2"/>
    <x v="2"/>
    <x v="2"/>
    <n v="0.254945535"/>
    <n v="0.27752999499999997"/>
    <n v="1.18516E-2"/>
    <n v="0.229450981"/>
  </r>
  <r>
    <x v="8"/>
    <x v="1"/>
    <x v="1"/>
    <x v="2"/>
    <x v="2"/>
    <n v="181.4234075"/>
    <n v="197.49487819999999"/>
    <n v="25.896047289999998"/>
    <n v="163.2810667"/>
  </r>
  <r>
    <x v="8"/>
    <x v="1"/>
    <x v="2"/>
    <x v="2"/>
    <x v="2"/>
    <n v="5.9669585009999997"/>
    <n v="6.4955440940000004"/>
    <n v="0.33928313100000002"/>
    <n v="5.3702626499999999"/>
  </r>
  <r>
    <x v="8"/>
    <x v="3"/>
    <x v="3"/>
    <x v="2"/>
    <x v="3"/>
    <n v="2.2567288109999999"/>
    <n v="2.4566421059999999"/>
    <n v="1.641202E-3"/>
    <n v="2.03105593"/>
  </r>
  <r>
    <x v="8"/>
    <x v="1"/>
    <x v="1"/>
    <x v="2"/>
    <x v="3"/>
    <n v="156.60698389999999"/>
    <n v="170.48008110000001"/>
    <n v="22.898813100000002"/>
    <n v="140.94628560000001"/>
  </r>
  <r>
    <x v="8"/>
    <x v="1"/>
    <x v="2"/>
    <x v="2"/>
    <x v="3"/>
    <n v="3.9117537410000001"/>
    <n v="4.2582781330000001"/>
    <n v="0.20398373"/>
    <n v="3.5205783670000002"/>
  </r>
  <r>
    <x v="8"/>
    <x v="1"/>
    <x v="0"/>
    <x v="2"/>
    <x v="3"/>
    <n v="7.4082629290000002"/>
    <n v="8.0645270960000008"/>
    <n v="0.31629944399999999"/>
    <n v="6.6674366369999998"/>
  </r>
  <r>
    <x v="8"/>
    <x v="1"/>
    <x v="3"/>
    <x v="2"/>
    <x v="3"/>
    <n v="44.381103400000001"/>
    <n v="48.312622589999997"/>
    <n v="6.3704933290000003"/>
    <n v="39.942993059999999"/>
  </r>
  <r>
    <x v="8"/>
    <x v="0"/>
    <x v="2"/>
    <x v="2"/>
    <x v="3"/>
    <n v="2.3959507370000002"/>
    <n v="2.6081970669999999"/>
    <n v="4.6293082999999999E-2"/>
    <n v="2.156355665"/>
  </r>
  <r>
    <x v="8"/>
    <x v="3"/>
    <x v="0"/>
    <x v="2"/>
    <x v="3"/>
    <n v="16.628845040000002"/>
    <n v="18.101918449999999"/>
    <n v="1.2681398E-2"/>
    <n v="14.965960539999999"/>
  </r>
  <r>
    <x v="8"/>
    <x v="2"/>
    <x v="2"/>
    <x v="2"/>
    <x v="3"/>
    <n v="0.95996280499999997"/>
    <n v="1.0450015239999999"/>
    <n v="1.9738461999999998E-2"/>
    <n v="0.86396652399999996"/>
  </r>
  <r>
    <x v="8"/>
    <x v="2"/>
    <x v="0"/>
    <x v="2"/>
    <x v="3"/>
    <n v="0.98649387300000002"/>
    <n v="1.0738828579999999"/>
    <n v="5.1143800000000002E-4"/>
    <n v="0.88784448500000002"/>
  </r>
  <r>
    <x v="8"/>
    <x v="0"/>
    <x v="0"/>
    <x v="2"/>
    <x v="3"/>
    <n v="0.139628791"/>
    <n v="0.15199786800000001"/>
    <n v="6.4791700000000002E-4"/>
    <n v="0.12566591199999999"/>
  </r>
  <r>
    <x v="8"/>
    <x v="3"/>
    <x v="0"/>
    <x v="0"/>
    <x v="4"/>
    <n v="125.7731758"/>
    <n v="187.20949680000001"/>
    <n v="5.3593987000000003E-2"/>
    <n v="113.1958583"/>
  </r>
  <r>
    <x v="8"/>
    <x v="0"/>
    <x v="3"/>
    <x v="0"/>
    <x v="4"/>
    <n v="0.132118438"/>
    <n v="0.19665422499999999"/>
    <n v="8.54789E-4"/>
    <n v="0.118906595"/>
  </r>
  <r>
    <x v="8"/>
    <x v="1"/>
    <x v="3"/>
    <x v="0"/>
    <x v="4"/>
    <n v="149.51712319999999"/>
    <n v="222.55163089999999"/>
    <n v="39.825471389999997"/>
    <n v="134.56541089999999"/>
  </r>
  <r>
    <x v="8"/>
    <x v="1"/>
    <x v="1"/>
    <x v="0"/>
    <x v="4"/>
    <n v="343.93195470000001"/>
    <n v="511.93211700000001"/>
    <n v="102.3054063"/>
    <n v="309.53875920000002"/>
  </r>
  <r>
    <x v="8"/>
    <x v="2"/>
    <x v="2"/>
    <x v="0"/>
    <x v="4"/>
    <n v="0.60943623700000005"/>
    <n v="0.90712705999999999"/>
    <n v="5.5405999999999997E-3"/>
    <n v="0.54849261299999996"/>
  </r>
  <r>
    <x v="8"/>
    <x v="3"/>
    <x v="3"/>
    <x v="0"/>
    <x v="4"/>
    <n v="12.71451635"/>
    <n v="18.92516582"/>
    <n v="5.1080129999999998E-3"/>
    <n v="11.443064720000001"/>
  </r>
  <r>
    <x v="8"/>
    <x v="1"/>
    <x v="2"/>
    <x v="0"/>
    <x v="4"/>
    <n v="9.9977485389999998"/>
    <n v="14.881340639999999"/>
    <n v="1.8844927279999999"/>
    <n v="8.9979736849999998"/>
  </r>
  <r>
    <x v="8"/>
    <x v="0"/>
    <x v="0"/>
    <x v="0"/>
    <x v="4"/>
    <n v="0.85653265199999995"/>
    <n v="1.27492246"/>
    <n v="1.2296873999999999E-2"/>
    <n v="0.77087938700000003"/>
  </r>
  <r>
    <x v="8"/>
    <x v="0"/>
    <x v="2"/>
    <x v="0"/>
    <x v="4"/>
    <n v="34.092250960000001"/>
    <n v="50.745265070000002"/>
    <n v="0.42227353699999998"/>
    <n v="30.683025860000001"/>
  </r>
  <r>
    <x v="8"/>
    <x v="1"/>
    <x v="3"/>
    <x v="3"/>
    <x v="5"/>
    <n v="357.91073720000003"/>
    <n v="431.84815889999999"/>
    <n v="132.58815060000001"/>
    <n v="322.1196635"/>
  </r>
  <r>
    <x v="8"/>
    <x v="2"/>
    <x v="0"/>
    <x v="3"/>
    <x v="5"/>
    <n v="2.8825582600000001"/>
    <n v="3.4780389299999999"/>
    <n v="4.9917929999999996E-3"/>
    <n v="2.5943024339999998"/>
  </r>
  <r>
    <x v="8"/>
    <x v="1"/>
    <x v="1"/>
    <x v="3"/>
    <x v="5"/>
    <n v="657.00754589999997"/>
    <n v="792.73257149999995"/>
    <n v="237.26389119999999"/>
    <n v="591.30679129999999"/>
  </r>
  <r>
    <x v="8"/>
    <x v="1"/>
    <x v="2"/>
    <x v="3"/>
    <x v="5"/>
    <n v="67.391276880000007"/>
    <n v="81.313008580000002"/>
    <n v="5.2046777620000002"/>
    <n v="60.652149199999997"/>
  </r>
  <r>
    <x v="8"/>
    <x v="1"/>
    <x v="0"/>
    <x v="3"/>
    <x v="5"/>
    <n v="13.280763260000001"/>
    <n v="16.02431155"/>
    <n v="1.405739946"/>
    <n v="11.95268693"/>
  </r>
  <r>
    <x v="8"/>
    <x v="0"/>
    <x v="0"/>
    <x v="3"/>
    <x v="5"/>
    <n v="8.9420990000000002E-3"/>
    <n v="1.0789363E-2"/>
    <n v="9.0892999999999996E-4"/>
    <n v="8.0478890000000008E-3"/>
  </r>
  <r>
    <x v="8"/>
    <x v="3"/>
    <x v="0"/>
    <x v="3"/>
    <x v="5"/>
    <n v="58.695268970000001"/>
    <n v="70.820573969999998"/>
    <n v="2.3708547E-2"/>
    <n v="52.825742069999997"/>
  </r>
  <r>
    <x v="8"/>
    <x v="2"/>
    <x v="2"/>
    <x v="3"/>
    <x v="5"/>
    <n v="0.52902951600000003"/>
    <n v="0.63831676000000004"/>
    <n v="2.1438807000000001E-2"/>
    <n v="0.47612656399999997"/>
  </r>
  <r>
    <x v="8"/>
    <x v="0"/>
    <x v="2"/>
    <x v="3"/>
    <x v="5"/>
    <n v="13.51916488"/>
    <n v="16.31196233"/>
    <n v="0.61564437000000005"/>
    <n v="12.167248389999999"/>
  </r>
  <r>
    <x v="8"/>
    <x v="3"/>
    <x v="3"/>
    <x v="3"/>
    <x v="5"/>
    <n v="3.1490786869999998"/>
    <n v="3.799617311"/>
    <n v="1.2568530000000001E-3"/>
    <n v="2.834170818"/>
  </r>
  <r>
    <x v="8"/>
    <x v="1"/>
    <x v="3"/>
    <x v="0"/>
    <x v="6"/>
    <n v="39.381846940000003"/>
    <n v="48.110170170000004"/>
    <n v="6.6618641490000003"/>
    <n v="35.443662250000003"/>
  </r>
  <r>
    <x v="8"/>
    <x v="1"/>
    <x v="2"/>
    <x v="0"/>
    <x v="6"/>
    <n v="11.163384730000001"/>
    <n v="13.63756098"/>
    <n v="0.48261175099999998"/>
    <n v="10.04704626"/>
  </r>
  <r>
    <x v="8"/>
    <x v="0"/>
    <x v="3"/>
    <x v="0"/>
    <x v="6"/>
    <n v="0.379664102"/>
    <n v="0.463810257"/>
    <n v="1.7383489999999999E-3"/>
    <n v="0.341697692"/>
  </r>
  <r>
    <x v="8"/>
    <x v="3"/>
    <x v="0"/>
    <x v="0"/>
    <x v="6"/>
    <n v="2.6500980749999998"/>
    <n v="3.237447688"/>
    <n v="1.0509849999999999E-3"/>
    <n v="2.385088267"/>
  </r>
  <r>
    <x v="8"/>
    <x v="3"/>
    <x v="3"/>
    <x v="0"/>
    <x v="6"/>
    <n v="0.173251874"/>
    <n v="0.21165023499999999"/>
    <n v="7.6115199999999999E-5"/>
    <n v="0.15592668700000001"/>
  </r>
  <r>
    <x v="8"/>
    <x v="1"/>
    <x v="1"/>
    <x v="0"/>
    <x v="6"/>
    <n v="77.168509990000004"/>
    <n v="94.271610789999997"/>
    <n v="12.762242499999999"/>
    <n v="69.451658989999999"/>
  </r>
  <r>
    <x v="8"/>
    <x v="2"/>
    <x v="2"/>
    <x v="0"/>
    <x v="6"/>
    <n v="0.98871269399999995"/>
    <n v="1.2078442140000001"/>
    <n v="2.5952599999999999E-2"/>
    <n v="0.88984142600000005"/>
  </r>
  <r>
    <x v="8"/>
    <x v="0"/>
    <x v="2"/>
    <x v="0"/>
    <x v="6"/>
    <n v="19.697268139999998"/>
    <n v="24.06283595"/>
    <n v="0.34815459300000001"/>
    <n v="17.727541330000001"/>
  </r>
  <r>
    <x v="8"/>
    <x v="0"/>
    <x v="0"/>
    <x v="0"/>
    <x v="6"/>
    <n v="0.21544098"/>
    <n v="0.26318984600000001"/>
    <n v="9.4745799999999998E-4"/>
    <n v="0.19389688199999999"/>
  </r>
  <r>
    <x v="8"/>
    <x v="0"/>
    <x v="2"/>
    <x v="4"/>
    <x v="7"/>
    <n v="629.01843150000002"/>
    <n v="657.34801370000002"/>
    <n v="8.6502372269999999"/>
    <n v="566.11658850000003"/>
  </r>
  <r>
    <x v="8"/>
    <x v="1"/>
    <x v="1"/>
    <x v="4"/>
    <x v="7"/>
    <n v="8574.9386849999992"/>
    <n v="8961.1347299999998"/>
    <n v="2004.8913319999999"/>
    <n v="7717.4448169999996"/>
  </r>
  <r>
    <x v="8"/>
    <x v="0"/>
    <x v="0"/>
    <x v="4"/>
    <x v="7"/>
    <n v="2.6575376909999999"/>
    <n v="2.7772272400000002"/>
    <n v="1.4422015999999999E-2"/>
    <n v="2.3917839220000001"/>
  </r>
  <r>
    <x v="8"/>
    <x v="0"/>
    <x v="3"/>
    <x v="4"/>
    <x v="7"/>
    <n v="15.935570390000001"/>
    <n v="16.653272810000001"/>
    <n v="0.124677156"/>
    <n v="14.34201335"/>
  </r>
  <r>
    <x v="8"/>
    <x v="2"/>
    <x v="2"/>
    <x v="4"/>
    <x v="7"/>
    <n v="125.08116"/>
    <n v="130.71453539999999"/>
    <n v="1.3874838"/>
    <n v="112.573044"/>
  </r>
  <r>
    <x v="8"/>
    <x v="3"/>
    <x v="0"/>
    <x v="4"/>
    <x v="7"/>
    <n v="95.683156429999997"/>
    <n v="99.992511620000002"/>
    <n v="7.6763046000000001E-2"/>
    <n v="86.114840770000001"/>
  </r>
  <r>
    <x v="8"/>
    <x v="3"/>
    <x v="3"/>
    <x v="4"/>
    <x v="7"/>
    <n v="14.23047788"/>
    <n v="14.871386749999999"/>
    <n v="1.1883654E-2"/>
    <n v="12.80743009"/>
  </r>
  <r>
    <x v="8"/>
    <x v="1"/>
    <x v="3"/>
    <x v="4"/>
    <x v="7"/>
    <n v="5603.0663640000002"/>
    <n v="5855.4159309999995"/>
    <n v="1557.678819"/>
    <n v="5042.759728"/>
  </r>
  <r>
    <x v="8"/>
    <x v="3"/>
    <x v="3"/>
    <x v="0"/>
    <x v="8"/>
    <n v="4.7167688999999999E-2"/>
    <n v="7.2110640000000004E-2"/>
    <n v="2.00501E-5"/>
    <n v="4.2450920000000003E-2"/>
  </r>
  <r>
    <x v="8"/>
    <x v="3"/>
    <x v="0"/>
    <x v="0"/>
    <x v="8"/>
    <n v="1.380825728"/>
    <n v="2.1110262030000002"/>
    <n v="5.8695000000000004E-4"/>
    <n v="1.242743156"/>
  </r>
  <r>
    <x v="8"/>
    <x v="0"/>
    <x v="3"/>
    <x v="0"/>
    <x v="8"/>
    <n v="9.2991420000000005E-2"/>
    <n v="0.14216661799999999"/>
    <n v="5.7082300000000003E-4"/>
    <n v="8.3692277999999995E-2"/>
  </r>
  <r>
    <x v="8"/>
    <x v="0"/>
    <x v="0"/>
    <x v="0"/>
    <x v="8"/>
    <n v="0.1526238"/>
    <n v="0.23333345699999999"/>
    <n v="2.0617830000000002E-3"/>
    <n v="0.13736142000000001"/>
  </r>
  <r>
    <x v="8"/>
    <x v="0"/>
    <x v="2"/>
    <x v="0"/>
    <x v="8"/>
    <n v="6.3198872850000001"/>
    <n v="9.6619344409999997"/>
    <n v="9.1361994000000002E-2"/>
    <n v="5.6878985560000004"/>
  </r>
  <r>
    <x v="8"/>
    <x v="1"/>
    <x v="3"/>
    <x v="0"/>
    <x v="8"/>
    <n v="22.059148230000002"/>
    <n v="33.724342610000001"/>
    <n v="6.2897228329999999"/>
    <n v="19.853233410000001"/>
  </r>
  <r>
    <x v="8"/>
    <x v="1"/>
    <x v="2"/>
    <x v="0"/>
    <x v="8"/>
    <n v="4.1171678519999997"/>
    <n v="6.2943853389999997"/>
    <n v="0.48162166699999998"/>
    <n v="3.7054510669999998"/>
  </r>
  <r>
    <x v="8"/>
    <x v="1"/>
    <x v="1"/>
    <x v="0"/>
    <x v="8"/>
    <n v="47.076164149999997"/>
    <n v="71.970715819999995"/>
    <n v="15.8728119"/>
    <n v="42.368547739999997"/>
  </r>
  <r>
    <x v="8"/>
    <x v="2"/>
    <x v="2"/>
    <x v="0"/>
    <x v="8"/>
    <n v="0.65415663800000001"/>
    <n v="1.0000840630000001"/>
    <n v="2.0481900000000001E-2"/>
    <n v="0.58874097400000003"/>
  </r>
  <r>
    <x v="8"/>
    <x v="1"/>
    <x v="2"/>
    <x v="5"/>
    <x v="9"/>
    <n v="2.5685396530000002"/>
    <n v="2.7334588399999999"/>
    <n v="0.31464070900000002"/>
    <n v="2.3116856879999998"/>
  </r>
  <r>
    <x v="8"/>
    <x v="1"/>
    <x v="0"/>
    <x v="5"/>
    <x v="9"/>
    <n v="1.318758914"/>
    <n v="1.403432961"/>
    <n v="0.32338472000000001"/>
    <n v="1.186883023"/>
  </r>
  <r>
    <x v="8"/>
    <x v="1"/>
    <x v="3"/>
    <x v="5"/>
    <x v="9"/>
    <n v="25.164840810000001"/>
    <n v="26.780609160000001"/>
    <n v="6.5820805450000002"/>
    <n v="22.64835673"/>
  </r>
  <r>
    <x v="8"/>
    <x v="0"/>
    <x v="2"/>
    <x v="5"/>
    <x v="9"/>
    <n v="6.8405953239999997"/>
    <n v="7.2798119870000004"/>
    <n v="8.1810157999999994E-2"/>
    <n v="6.1565357919999997"/>
  </r>
  <r>
    <x v="8"/>
    <x v="0"/>
    <x v="0"/>
    <x v="5"/>
    <x v="9"/>
    <n v="0.347896174"/>
    <n v="0.37023367400000001"/>
    <n v="2.8613919999999999E-3"/>
    <n v="0.31310655700000001"/>
  </r>
  <r>
    <x v="8"/>
    <x v="0"/>
    <x v="3"/>
    <x v="5"/>
    <x v="9"/>
    <n v="0.20405390200000001"/>
    <n v="0.217155667"/>
    <n v="2.8205510000000001E-3"/>
    <n v="0.18364851200000001"/>
  </r>
  <r>
    <x v="8"/>
    <x v="2"/>
    <x v="2"/>
    <x v="5"/>
    <x v="9"/>
    <n v="0.67097483300000005"/>
    <n v="0.71405636500000003"/>
    <n v="8.4826999999999993E-3"/>
    <n v="0.60387734900000001"/>
  </r>
  <r>
    <x v="8"/>
    <x v="1"/>
    <x v="1"/>
    <x v="5"/>
    <x v="9"/>
    <n v="103.5664929"/>
    <n v="110.2162254"/>
    <n v="21.91764813"/>
    <n v="93.209843579999998"/>
  </r>
  <r>
    <x v="8"/>
    <x v="3"/>
    <x v="3"/>
    <x v="2"/>
    <x v="10"/>
    <n v="2.5290559479999999"/>
    <n v="2.7470210700000002"/>
    <n v="1.948813E-3"/>
    <n v="2.2761503529999998"/>
  </r>
  <r>
    <x v="8"/>
    <x v="1"/>
    <x v="2"/>
    <x v="2"/>
    <x v="10"/>
    <n v="3.2066021930000002"/>
    <n v="3.4829612179999998"/>
    <n v="0.22015774699999999"/>
    <n v="2.8859419740000001"/>
  </r>
  <r>
    <x v="8"/>
    <x v="1"/>
    <x v="0"/>
    <x v="2"/>
    <x v="10"/>
    <n v="1.7200514259999999"/>
    <n v="1.8682929939999999"/>
    <n v="0.22989432400000001"/>
    <n v="1.548046284"/>
  </r>
  <r>
    <x v="8"/>
    <x v="1"/>
    <x v="3"/>
    <x v="2"/>
    <x v="10"/>
    <n v="43.473508219999999"/>
    <n v="47.220245609999999"/>
    <n v="6.9364764020000003"/>
    <n v="39.126157390000003"/>
  </r>
  <r>
    <x v="8"/>
    <x v="0"/>
    <x v="2"/>
    <x v="2"/>
    <x v="10"/>
    <n v="1.218782179"/>
    <n v="1.3238221670000001"/>
    <n v="2.3335584999999999E-2"/>
    <n v="1.096903961"/>
  </r>
  <r>
    <x v="8"/>
    <x v="3"/>
    <x v="0"/>
    <x v="2"/>
    <x v="10"/>
    <n v="17.114583979999999"/>
    <n v="18.589593799999999"/>
    <n v="1.3611487E-2"/>
    <n v="15.403125579999999"/>
  </r>
  <r>
    <x v="8"/>
    <x v="2"/>
    <x v="2"/>
    <x v="2"/>
    <x v="10"/>
    <n v="0.18085765600000001"/>
    <n v="0.196444761"/>
    <n v="2.079567E-3"/>
    <n v="0.16277189"/>
  </r>
  <r>
    <x v="8"/>
    <x v="2"/>
    <x v="0"/>
    <x v="2"/>
    <x v="10"/>
    <n v="0.666804485"/>
    <n v="0.72427261700000001"/>
    <n v="7.2503300000000004E-4"/>
    <n v="0.60012403700000005"/>
  </r>
  <r>
    <x v="8"/>
    <x v="1"/>
    <x v="1"/>
    <x v="2"/>
    <x v="10"/>
    <n v="133.10726829999999"/>
    <n v="144.57903580000001"/>
    <n v="19.47282813"/>
    <n v="119.7965415"/>
  </r>
  <r>
    <x v="8"/>
    <x v="0"/>
    <x v="0"/>
    <x v="2"/>
    <x v="10"/>
    <n v="3.8727264999999997E-2"/>
    <n v="4.2064951000000003E-2"/>
    <n v="2.1271500000000001E-4"/>
    <n v="3.4854538999999997E-2"/>
  </r>
  <r>
    <x v="8"/>
    <x v="1"/>
    <x v="0"/>
    <x v="2"/>
    <x v="11"/>
    <n v="2.0300889359999998"/>
    <n v="2.20992524"/>
    <n v="0.30055661700000003"/>
    <n v="1.827080042"/>
  </r>
  <r>
    <x v="8"/>
    <x v="3"/>
    <x v="3"/>
    <x v="2"/>
    <x v="11"/>
    <n v="0.486017639"/>
    <n v="0.52907172099999999"/>
    <n v="4.03986E-4"/>
    <n v="0.43741587500000001"/>
  </r>
  <r>
    <x v="8"/>
    <x v="3"/>
    <x v="0"/>
    <x v="2"/>
    <x v="11"/>
    <n v="2.2143897950000002"/>
    <n v="2.4105524699999998"/>
    <n v="1.9831139999999998E-3"/>
    <n v="1.992950816"/>
  </r>
  <r>
    <x v="8"/>
    <x v="0"/>
    <x v="0"/>
    <x v="2"/>
    <x v="11"/>
    <n v="8.0961939999999993E-3"/>
    <n v="8.8133989999999995E-3"/>
    <n v="5.5244100000000002E-5"/>
    <n v="7.286575E-3"/>
  </r>
  <r>
    <x v="8"/>
    <x v="1"/>
    <x v="3"/>
    <x v="2"/>
    <x v="11"/>
    <n v="58.793815250000002"/>
    <n v="64.002090730000006"/>
    <n v="9.6589452799999993"/>
    <n v="52.914433729999999"/>
  </r>
  <r>
    <x v="8"/>
    <x v="1"/>
    <x v="2"/>
    <x v="2"/>
    <x v="11"/>
    <n v="3.5388348390000002"/>
    <n v="3.8523240489999999"/>
    <n v="0.30040499700000001"/>
    <n v="3.1849513549999999"/>
  </r>
  <r>
    <x v="8"/>
    <x v="1"/>
    <x v="1"/>
    <x v="2"/>
    <x v="11"/>
    <n v="190.11303359999999"/>
    <n v="206.9542787"/>
    <n v="27.52276711"/>
    <n v="171.10173030000001"/>
  </r>
  <r>
    <x v="8"/>
    <x v="0"/>
    <x v="2"/>
    <x v="2"/>
    <x v="11"/>
    <n v="0.73090406799999996"/>
    <n v="0.79565151999999995"/>
    <n v="2.0229156000000002E-2"/>
    <n v="0.65781365999999997"/>
  </r>
  <r>
    <x v="8"/>
    <x v="2"/>
    <x v="2"/>
    <x v="2"/>
    <x v="11"/>
    <n v="1.170338603"/>
    <n v="1.2740135530000001"/>
    <n v="1.8826200000000001E-2"/>
    <n v="1.0533047419999999"/>
  </r>
  <r>
    <x v="8"/>
    <x v="0"/>
    <x v="0"/>
    <x v="2"/>
    <x v="12"/>
    <n v="0.50945830400000003"/>
    <n v="0.55458888699999997"/>
    <n v="9.0893989999999997E-3"/>
    <n v="0.45851247299999998"/>
  </r>
  <r>
    <x v="8"/>
    <x v="1"/>
    <x v="1"/>
    <x v="2"/>
    <x v="12"/>
    <n v="830.18570709999995"/>
    <n v="903.72806600000001"/>
    <n v="144.24001459999999"/>
    <n v="747.1671364"/>
  </r>
  <r>
    <x v="8"/>
    <x v="1"/>
    <x v="2"/>
    <x v="2"/>
    <x v="12"/>
    <n v="20.190253469999998"/>
    <n v="21.978815780000001"/>
    <n v="1.7443456230000001"/>
    <n v="18.171228119999999"/>
  </r>
  <r>
    <x v="8"/>
    <x v="1"/>
    <x v="0"/>
    <x v="2"/>
    <x v="12"/>
    <n v="26.256350609999998"/>
    <n v="28.582280749999999"/>
    <n v="1.6971420530000001"/>
    <n v="23.630715550000001"/>
  </r>
  <r>
    <x v="8"/>
    <x v="0"/>
    <x v="2"/>
    <x v="2"/>
    <x v="12"/>
    <n v="29.93551931"/>
    <n v="32.587370200000002"/>
    <n v="0.46420870199999997"/>
    <n v="26.941967380000001"/>
  </r>
  <r>
    <x v="8"/>
    <x v="3"/>
    <x v="0"/>
    <x v="2"/>
    <x v="12"/>
    <n v="78.662708230000007"/>
    <n v="85.631078160000001"/>
    <n v="4.6726359000000002E-2"/>
    <n v="70.796437409999996"/>
  </r>
  <r>
    <x v="8"/>
    <x v="3"/>
    <x v="3"/>
    <x v="2"/>
    <x v="12"/>
    <n v="13.05978588"/>
    <n v="14.216692650000001"/>
    <n v="7.280941E-3"/>
    <n v="11.753807289999999"/>
  </r>
  <r>
    <x v="8"/>
    <x v="2"/>
    <x v="2"/>
    <x v="2"/>
    <x v="12"/>
    <n v="1.61455105"/>
    <n v="1.7575767520000001"/>
    <n v="3.7095696999999997E-2"/>
    <n v="1.4530959450000001"/>
  </r>
  <r>
    <x v="8"/>
    <x v="2"/>
    <x v="0"/>
    <x v="2"/>
    <x v="12"/>
    <n v="0.15786673800000001"/>
    <n v="0.171851432"/>
    <n v="1.6380299999999999E-4"/>
    <n v="0.14208006500000001"/>
  </r>
  <r>
    <x v="8"/>
    <x v="0"/>
    <x v="3"/>
    <x v="2"/>
    <x v="12"/>
    <n v="1.8201706950000001"/>
    <n v="1.9814113010000001"/>
    <n v="5.1873199000000002E-2"/>
    <n v="1.638153626"/>
  </r>
  <r>
    <x v="8"/>
    <x v="1"/>
    <x v="3"/>
    <x v="2"/>
    <x v="12"/>
    <n v="343.81214069999999"/>
    <n v="374.26888750000001"/>
    <n v="56.582741390000002"/>
    <n v="309.43092660000002"/>
  </r>
  <r>
    <x v="8"/>
    <x v="2"/>
    <x v="2"/>
    <x v="2"/>
    <x v="13"/>
    <n v="4.1051356370000001"/>
    <n v="4.4687908480000003"/>
    <n v="9.8558275000000001E-2"/>
    <n v="3.6946220730000001"/>
  </r>
  <r>
    <x v="8"/>
    <x v="1"/>
    <x v="2"/>
    <x v="2"/>
    <x v="13"/>
    <n v="53.215762650000002"/>
    <n v="57.929903930000002"/>
    <n v="3.1641215479999998"/>
    <n v="47.894186380000001"/>
  </r>
  <r>
    <x v="8"/>
    <x v="1"/>
    <x v="3"/>
    <x v="2"/>
    <x v="13"/>
    <n v="616.4172734"/>
    <n v="671.02286340000001"/>
    <n v="133.30747199999999"/>
    <n v="554.77554599999996"/>
  </r>
  <r>
    <x v="8"/>
    <x v="0"/>
    <x v="2"/>
    <x v="2"/>
    <x v="13"/>
    <n v="27.012691530000001"/>
    <n v="29.40562246"/>
    <n v="0.49425248399999999"/>
    <n v="24.31142238"/>
  </r>
  <r>
    <x v="8"/>
    <x v="0"/>
    <x v="0"/>
    <x v="2"/>
    <x v="13"/>
    <n v="0.844165265"/>
    <n v="0.91894600900000001"/>
    <n v="1.252954E-2"/>
    <n v="0.75974873899999995"/>
  </r>
  <r>
    <x v="8"/>
    <x v="0"/>
    <x v="3"/>
    <x v="2"/>
    <x v="13"/>
    <n v="2.6381690459999998"/>
    <n v="2.871872389"/>
    <n v="7.5973575000000002E-2"/>
    <n v="2.3743521420000002"/>
  </r>
  <r>
    <x v="8"/>
    <x v="3"/>
    <x v="3"/>
    <x v="2"/>
    <x v="13"/>
    <n v="19.659548170000001"/>
    <n v="21.401097719999999"/>
    <n v="1.7524715E-2"/>
    <n v="17.69359335"/>
  </r>
  <r>
    <x v="8"/>
    <x v="2"/>
    <x v="0"/>
    <x v="2"/>
    <x v="13"/>
    <n v="0.307233329"/>
    <n v="0.334449726"/>
    <n v="6.8952499999999997E-4"/>
    <n v="0.27650999599999998"/>
  </r>
  <r>
    <x v="8"/>
    <x v="1"/>
    <x v="0"/>
    <x v="2"/>
    <x v="13"/>
    <n v="26.10236359"/>
    <n v="28.41465273"/>
    <n v="3.028362456"/>
    <n v="23.492127230000001"/>
  </r>
  <r>
    <x v="8"/>
    <x v="3"/>
    <x v="0"/>
    <x v="2"/>
    <x v="13"/>
    <n v="262.41338230000002"/>
    <n v="285.65938490000002"/>
    <n v="0.14789148499999999"/>
    <n v="236.172044"/>
  </r>
  <r>
    <x v="8"/>
    <x v="1"/>
    <x v="1"/>
    <x v="2"/>
    <x v="13"/>
    <n v="1258.4211620000001"/>
    <n v="1369.898944"/>
    <n v="207.2693926"/>
    <n v="1132.5790460000001"/>
  </r>
  <r>
    <x v="8"/>
    <x v="2"/>
    <x v="2"/>
    <x v="2"/>
    <x v="14"/>
    <n v="0.72599364600000005"/>
    <n v="0.79030610599999995"/>
    <n v="1.4876841999999999E-2"/>
    <n v="0.65339428200000005"/>
  </r>
  <r>
    <x v="8"/>
    <x v="3"/>
    <x v="3"/>
    <x v="2"/>
    <x v="14"/>
    <n v="0.107985814"/>
    <n v="0.11755178400000001"/>
    <n v="7.7970600000000002E-5"/>
    <n v="9.7187232999999998E-2"/>
  </r>
  <r>
    <x v="8"/>
    <x v="3"/>
    <x v="0"/>
    <x v="2"/>
    <x v="14"/>
    <n v="0.51308117600000003"/>
    <n v="0.55853269299999997"/>
    <n v="3.6402899999999998E-4"/>
    <n v="0.46177305800000001"/>
  </r>
  <r>
    <x v="8"/>
    <x v="0"/>
    <x v="2"/>
    <x v="2"/>
    <x v="14"/>
    <n v="0.87057272900000005"/>
    <n v="0.94769278899999998"/>
    <n v="1.32356E-2"/>
    <n v="0.78351545600000005"/>
  </r>
  <r>
    <x v="8"/>
    <x v="1"/>
    <x v="3"/>
    <x v="2"/>
    <x v="14"/>
    <n v="20.557689320000001"/>
    <n v="22.37880109"/>
    <n v="3.237730118"/>
    <n v="18.501920389999999"/>
  </r>
  <r>
    <x v="8"/>
    <x v="1"/>
    <x v="0"/>
    <x v="2"/>
    <x v="14"/>
    <n v="0.670102588"/>
    <n v="0.72946391399999999"/>
    <n v="7.8364501000000003E-2"/>
    <n v="0.60309232899999998"/>
  </r>
  <r>
    <x v="8"/>
    <x v="1"/>
    <x v="2"/>
    <x v="2"/>
    <x v="14"/>
    <n v="1.7767125509999999"/>
    <n v="1.934103398"/>
    <n v="9.2136012000000003E-2"/>
    <n v="1.599041296"/>
  </r>
  <r>
    <x v="8"/>
    <x v="1"/>
    <x v="1"/>
    <x v="2"/>
    <x v="14"/>
    <n v="66.778191980000003"/>
    <n v="72.693766920000002"/>
    <n v="9.2465030689999992"/>
    <n v="60.100372780000001"/>
  </r>
  <r>
    <x v="8"/>
    <x v="2"/>
    <x v="0"/>
    <x v="2"/>
    <x v="14"/>
    <n v="0.20463056099999999"/>
    <n v="0.22275784800000001"/>
    <n v="3.9545800000000001E-4"/>
    <n v="0.18416750500000001"/>
  </r>
  <r>
    <x v="8"/>
    <x v="0"/>
    <x v="2"/>
    <x v="4"/>
    <x v="15"/>
    <n v="8.2190234810000007"/>
    <n v="8.2855330590000005"/>
    <n v="0.48728586499999998"/>
    <n v="7.3971211309999996"/>
  </r>
  <r>
    <x v="8"/>
    <x v="2"/>
    <x v="2"/>
    <x v="4"/>
    <x v="15"/>
    <n v="0.63527967399999996"/>
    <n v="0.64042045299999995"/>
    <n v="9.6323599999999995E-2"/>
    <n v="0.571751707"/>
  </r>
  <r>
    <x v="8"/>
    <x v="3"/>
    <x v="0"/>
    <x v="4"/>
    <x v="15"/>
    <n v="8.7006378229999992"/>
    <n v="8.7710446970000007"/>
    <n v="8.0522000000000007E-3"/>
    <n v="7.8305740400000001"/>
  </r>
  <r>
    <x v="8"/>
    <x v="0"/>
    <x v="0"/>
    <x v="4"/>
    <x v="15"/>
    <n v="2.4730232000000001E-2"/>
    <n v="2.4930352999999999E-2"/>
    <n v="1.03786E-4"/>
    <n v="2.2257209E-2"/>
  </r>
  <r>
    <x v="8"/>
    <x v="1"/>
    <x v="3"/>
    <x v="4"/>
    <x v="15"/>
    <n v="81.915090620000001"/>
    <n v="82.577959890000002"/>
    <n v="19.559290140000002"/>
    <n v="73.72358156"/>
  </r>
  <r>
    <x v="8"/>
    <x v="1"/>
    <x v="1"/>
    <x v="4"/>
    <x v="15"/>
    <n v="179.12906630000001"/>
    <n v="180.57860579999999"/>
    <n v="39.021070960000003"/>
    <n v="161.21615969999999"/>
  </r>
  <r>
    <x v="8"/>
    <x v="0"/>
    <x v="3"/>
    <x v="4"/>
    <x v="15"/>
    <n v="0.113950818"/>
    <n v="0.114872925"/>
    <n v="6.0159748999999998E-2"/>
    <n v="0.10255573599999999"/>
  </r>
  <r>
    <x v="8"/>
    <x v="2"/>
    <x v="2"/>
    <x v="5"/>
    <x v="16"/>
    <n v="0.15979998200000001"/>
    <n v="0.180848076"/>
    <n v="3.1097410000000001E-3"/>
    <n v="0.14381998400000001"/>
  </r>
  <r>
    <x v="8"/>
    <x v="2"/>
    <x v="0"/>
    <x v="5"/>
    <x v="16"/>
    <n v="0.13846113199999999"/>
    <n v="0.15669857500000001"/>
    <n v="2.27059E-4"/>
    <n v="0.12461501899999999"/>
  </r>
  <r>
    <x v="8"/>
    <x v="1"/>
    <x v="2"/>
    <x v="5"/>
    <x v="16"/>
    <n v="1.4192171419999999"/>
    <n v="1.606149681"/>
    <n v="0.19933673199999999"/>
    <n v="1.277295428"/>
  </r>
  <r>
    <x v="8"/>
    <x v="1"/>
    <x v="0"/>
    <x v="5"/>
    <x v="16"/>
    <n v="0.66226856000000001"/>
    <n v="0.74949942800000002"/>
    <n v="0.17517057"/>
    <n v="0.59604170400000001"/>
  </r>
  <r>
    <x v="8"/>
    <x v="1"/>
    <x v="3"/>
    <x v="5"/>
    <x v="16"/>
    <n v="17.104814359999999"/>
    <n v="19.357779229999998"/>
    <n v="5.2103536659999996"/>
    <n v="15.39433292"/>
  </r>
  <r>
    <x v="8"/>
    <x v="3"/>
    <x v="0"/>
    <x v="5"/>
    <x v="16"/>
    <n v="3.0550407000000002E-2"/>
    <n v="3.4574360999999998E-2"/>
    <n v="1.8502499999999999E-3"/>
    <n v="2.7495366E-2"/>
  </r>
  <r>
    <x v="8"/>
    <x v="0"/>
    <x v="2"/>
    <x v="5"/>
    <x v="16"/>
    <n v="0.98566467899999999"/>
    <n v="1.1154917470000001"/>
    <n v="1.4423811999999999E-2"/>
    <n v="0.88709821"/>
  </r>
  <r>
    <x v="8"/>
    <x v="0"/>
    <x v="0"/>
    <x v="5"/>
    <x v="16"/>
    <n v="3.3659709000000003E-2"/>
    <n v="3.8093205999999998E-2"/>
    <n v="3.70627E-4"/>
    <n v="3.0293738000000001E-2"/>
  </r>
  <r>
    <x v="8"/>
    <x v="0"/>
    <x v="3"/>
    <x v="5"/>
    <x v="16"/>
    <n v="1.9970643999999999E-2"/>
    <n v="2.2601082000000002E-2"/>
    <n v="4.1876100000000002E-4"/>
    <n v="1.7973579999999999E-2"/>
  </r>
  <r>
    <x v="8"/>
    <x v="1"/>
    <x v="1"/>
    <x v="5"/>
    <x v="16"/>
    <n v="62.885346910000003"/>
    <n v="71.168306009999995"/>
    <n v="14.304503029999999"/>
    <n v="56.596812219999997"/>
  </r>
  <r>
    <x v="8"/>
    <x v="3"/>
    <x v="3"/>
    <x v="5"/>
    <x v="16"/>
    <n v="4.1379219999999996E-3"/>
    <n v="4.6829489999999996E-3"/>
    <n v="2.5004999999999998E-4"/>
    <n v="3.7241290000000001E-3"/>
  </r>
  <r>
    <x v="8"/>
    <x v="1"/>
    <x v="3"/>
    <x v="6"/>
    <x v="17"/>
    <n v="252.28340410000001"/>
    <n v="274.32503609999998"/>
    <n v="60.996173030000001"/>
    <n v="227.05506370000001"/>
  </r>
  <r>
    <x v="8"/>
    <x v="0"/>
    <x v="2"/>
    <x v="6"/>
    <x v="17"/>
    <n v="21.992324369999999"/>
    <n v="23.913761579999999"/>
    <n v="0.33248765000000002"/>
    <n v="19.793091929999999"/>
  </r>
  <r>
    <x v="8"/>
    <x v="0"/>
    <x v="0"/>
    <x v="6"/>
    <x v="17"/>
    <n v="0.80382021199999998"/>
    <n v="0.87404880799999995"/>
    <n v="1.21579E-3"/>
    <n v="0.72343818999999998"/>
  </r>
  <r>
    <x v="8"/>
    <x v="0"/>
    <x v="3"/>
    <x v="6"/>
    <x v="17"/>
    <n v="0.139661276"/>
    <n v="0.15186327699999999"/>
    <n v="1.2308059999999999E-2"/>
    <n v="0.12569514800000001"/>
  </r>
  <r>
    <x v="8"/>
    <x v="2"/>
    <x v="2"/>
    <x v="6"/>
    <x v="17"/>
    <n v="5.8653640249999999"/>
    <n v="6.3778123009999996"/>
    <n v="0.11668779999999999"/>
    <n v="5.2788276219999997"/>
  </r>
  <r>
    <x v="8"/>
    <x v="1"/>
    <x v="1"/>
    <x v="6"/>
    <x v="17"/>
    <n v="537.11335589999999"/>
    <n v="584.04016409999997"/>
    <n v="105.2051633"/>
    <n v="483.4020203"/>
  </r>
  <r>
    <x v="8"/>
    <x v="1"/>
    <x v="2"/>
    <x v="6"/>
    <x v="17"/>
    <n v="10.130394020000001"/>
    <n v="11.015471720000001"/>
    <n v="0.340871431"/>
    <n v="9.1173546139999999"/>
  </r>
  <r>
    <x v="8"/>
    <x v="0"/>
    <x v="3"/>
    <x v="6"/>
    <x v="18"/>
    <n v="6.1902945000000001E-2"/>
    <n v="7.9236679000000004E-2"/>
    <n v="7.782204E-3"/>
    <n v="5.5712651000000002E-2"/>
  </r>
  <r>
    <x v="8"/>
    <x v="1"/>
    <x v="1"/>
    <x v="6"/>
    <x v="18"/>
    <n v="134.3196647"/>
    <n v="171.93114310000001"/>
    <n v="32.842910310000001"/>
    <n v="120.8876982"/>
  </r>
  <r>
    <x v="8"/>
    <x v="1"/>
    <x v="2"/>
    <x v="6"/>
    <x v="18"/>
    <n v="1.5477537560000001"/>
    <n v="1.9811475350000001"/>
    <n v="0.110491069"/>
    <n v="1.39297838"/>
  </r>
  <r>
    <x v="8"/>
    <x v="1"/>
    <x v="3"/>
    <x v="6"/>
    <x v="18"/>
    <n v="40.340327979999998"/>
    <n v="51.63621217"/>
    <n v="11.90859382"/>
    <n v="36.306295179999999"/>
  </r>
  <r>
    <x v="8"/>
    <x v="0"/>
    <x v="2"/>
    <x v="6"/>
    <x v="18"/>
    <n v="6.730409538"/>
    <n v="8.6150230370000003"/>
    <n v="7.4363639999999995E-2"/>
    <n v="6.0573685829999997"/>
  </r>
  <r>
    <x v="8"/>
    <x v="0"/>
    <x v="0"/>
    <x v="6"/>
    <x v="18"/>
    <n v="0.38602350200000002"/>
    <n v="0.49411575099999999"/>
    <n v="2.6805600000000002E-4"/>
    <n v="0.34742115200000001"/>
  </r>
  <r>
    <x v="8"/>
    <x v="3"/>
    <x v="0"/>
    <x v="6"/>
    <x v="18"/>
    <n v="0.83555876500000004"/>
    <n v="1.0695274889999999"/>
    <n v="1.2911999999999999E-3"/>
    <n v="0.75200288800000004"/>
  </r>
  <r>
    <x v="8"/>
    <x v="2"/>
    <x v="2"/>
    <x v="6"/>
    <x v="18"/>
    <n v="0.56453114599999998"/>
    <n v="0.72260815700000003"/>
    <n v="2.13981E-2"/>
    <n v="0.50807803200000001"/>
  </r>
  <r>
    <x v="8"/>
    <x v="1"/>
    <x v="2"/>
    <x v="2"/>
    <x v="19"/>
    <n v="3.8737408389999999"/>
    <n v="4.2168978419999998"/>
    <n v="0.41536588299999999"/>
    <n v="3.4863667550000002"/>
  </r>
  <r>
    <x v="8"/>
    <x v="2"/>
    <x v="2"/>
    <x v="2"/>
    <x v="19"/>
    <n v="2.4845639510000002"/>
    <n v="2.7046601209999999"/>
    <n v="6.4050000000000001E-3"/>
    <n v="2.2361075559999999"/>
  </r>
  <r>
    <x v="8"/>
    <x v="0"/>
    <x v="2"/>
    <x v="2"/>
    <x v="19"/>
    <n v="0.13403052100000001"/>
    <n v="0.14590367300000001"/>
    <n v="2.3295E-3"/>
    <n v="0.120627469"/>
  </r>
  <r>
    <x v="8"/>
    <x v="1"/>
    <x v="0"/>
    <x v="2"/>
    <x v="19"/>
    <n v="2.8773704439999999"/>
    <n v="3.1322635449999998"/>
    <n v="0.433179959"/>
    <n v="2.5896333989999998"/>
  </r>
  <r>
    <x v="8"/>
    <x v="1"/>
    <x v="1"/>
    <x v="2"/>
    <x v="19"/>
    <n v="293.9813752"/>
    <n v="320.02384210000002"/>
    <n v="49.8149242"/>
    <n v="264.58323769999998"/>
  </r>
  <r>
    <x v="8"/>
    <x v="1"/>
    <x v="3"/>
    <x v="2"/>
    <x v="19"/>
    <n v="82.565443650000006"/>
    <n v="89.879539089999994"/>
    <n v="14.651000160000001"/>
    <n v="74.308899289999999"/>
  </r>
  <r>
    <x v="8"/>
    <x v="3"/>
    <x v="3"/>
    <x v="7"/>
    <x v="20"/>
    <n v="0.49016388999999999"/>
    <n v="0.46445661399999999"/>
    <n v="2.0394200000000001E-4"/>
    <n v="0.441147501"/>
  </r>
  <r>
    <x v="8"/>
    <x v="1"/>
    <x v="1"/>
    <x v="7"/>
    <x v="20"/>
    <n v="223.9858188"/>
    <n v="212.2385946"/>
    <n v="40.200483429999998"/>
    <n v="201.58723699999999"/>
  </r>
  <r>
    <x v="8"/>
    <x v="0"/>
    <x v="2"/>
    <x v="7"/>
    <x v="20"/>
    <n v="0.36816411500000001"/>
    <n v="0.34885527399999999"/>
    <n v="9.1014470000000004E-3"/>
    <n v="0.33134770400000002"/>
  </r>
  <r>
    <x v="8"/>
    <x v="1"/>
    <x v="3"/>
    <x v="7"/>
    <x v="20"/>
    <n v="60.267292519999998"/>
    <n v="57.106496909999997"/>
    <n v="13.01139388"/>
    <n v="54.240563289999997"/>
  </r>
  <r>
    <x v="8"/>
    <x v="1"/>
    <x v="0"/>
    <x v="7"/>
    <x v="20"/>
    <n v="2.0834382859999998"/>
    <n v="1.9741696870000001"/>
    <n v="0.35077924300000002"/>
    <n v="1.875094458"/>
  </r>
  <r>
    <x v="8"/>
    <x v="1"/>
    <x v="2"/>
    <x v="7"/>
    <x v="20"/>
    <n v="4.1829828149999999"/>
    <n v="3.9636009049999998"/>
    <n v="0.55325984399999995"/>
    <n v="3.7646845350000002"/>
  </r>
  <r>
    <x v="8"/>
    <x v="0"/>
    <x v="0"/>
    <x v="7"/>
    <x v="20"/>
    <n v="1.7645323000000001E-2"/>
    <n v="1.6719891000000001E-2"/>
    <n v="2.4704300000000001E-4"/>
    <n v="1.5880790999999998E-2"/>
  </r>
  <r>
    <x v="8"/>
    <x v="0"/>
    <x v="3"/>
    <x v="7"/>
    <x v="20"/>
    <n v="7.323212E-3"/>
    <n v="6.9391369999999997E-3"/>
    <n v="4.5109499999999999E-5"/>
    <n v="6.5908909999999998E-3"/>
  </r>
  <r>
    <x v="8"/>
    <x v="3"/>
    <x v="0"/>
    <x v="7"/>
    <x v="20"/>
    <n v="4.9982389530000004"/>
    <n v="4.736099887"/>
    <n v="2.1019580000000001E-3"/>
    <n v="4.498415058"/>
  </r>
  <r>
    <x v="8"/>
    <x v="2"/>
    <x v="2"/>
    <x v="7"/>
    <x v="20"/>
    <n v="1.1893379000000001E-2"/>
    <n v="1.1269615E-2"/>
    <n v="8.6819999999999996E-4"/>
    <n v="1.0704042E-2"/>
  </r>
  <r>
    <x v="8"/>
    <x v="0"/>
    <x v="2"/>
    <x v="2"/>
    <x v="21"/>
    <n v="7.8216868110000002"/>
    <n v="8.5145743100000004"/>
    <n v="0.15811323699999999"/>
    <n v="7.0395181300000003"/>
  </r>
  <r>
    <x v="8"/>
    <x v="2"/>
    <x v="0"/>
    <x v="2"/>
    <x v="21"/>
    <n v="0.21901725399999999"/>
    <n v="0.238418992"/>
    <n v="9.2343700000000004E-4"/>
    <n v="0.19711552800000001"/>
  </r>
  <r>
    <x v="8"/>
    <x v="2"/>
    <x v="2"/>
    <x v="2"/>
    <x v="21"/>
    <n v="4.0212447659999997"/>
    <n v="4.377468468"/>
    <n v="1.8886562999999999E-2"/>
    <n v="3.6191202900000001"/>
  </r>
  <r>
    <x v="8"/>
    <x v="3"/>
    <x v="3"/>
    <x v="2"/>
    <x v="21"/>
    <n v="9.3655478690000002"/>
    <n v="10.19519897"/>
    <n v="5.5319189999999997E-3"/>
    <n v="8.4289930819999999"/>
  </r>
  <r>
    <x v="8"/>
    <x v="3"/>
    <x v="0"/>
    <x v="2"/>
    <x v="21"/>
    <n v="58.178698089999997"/>
    <n v="63.332483150000002"/>
    <n v="3.5314181E-2"/>
    <n v="52.36082828"/>
  </r>
  <r>
    <x v="8"/>
    <x v="0"/>
    <x v="3"/>
    <x v="2"/>
    <x v="21"/>
    <n v="1.927225808"/>
    <n v="2.0979499370000001"/>
    <n v="5.6840864999999997E-2"/>
    <n v="1.734503227"/>
  </r>
  <r>
    <x v="8"/>
    <x v="0"/>
    <x v="0"/>
    <x v="2"/>
    <x v="21"/>
    <n v="0.33469222399999998"/>
    <n v="0.36434107799999998"/>
    <n v="6.4276969999999996E-3"/>
    <n v="0.30122300099999999"/>
  </r>
  <r>
    <x v="8"/>
    <x v="1"/>
    <x v="3"/>
    <x v="2"/>
    <x v="21"/>
    <n v="150.98938219999999"/>
    <n v="164.36484179999999"/>
    <n v="27.72165086"/>
    <n v="135.890444"/>
  </r>
  <r>
    <x v="8"/>
    <x v="1"/>
    <x v="2"/>
    <x v="2"/>
    <x v="21"/>
    <n v="14.97343182"/>
    <n v="16.299859730000001"/>
    <n v="1.0763901330000001"/>
    <n v="13.47608863"/>
  </r>
  <r>
    <x v="8"/>
    <x v="1"/>
    <x v="1"/>
    <x v="2"/>
    <x v="21"/>
    <n v="451.22467799999998"/>
    <n v="491.19661070000001"/>
    <n v="79.516837269999996"/>
    <n v="406.10221009999998"/>
  </r>
  <r>
    <x v="8"/>
    <x v="1"/>
    <x v="0"/>
    <x v="2"/>
    <x v="21"/>
    <n v="14.29554499"/>
    <n v="15.561921999999999"/>
    <n v="1.6179442369999999"/>
    <n v="12.865990480000001"/>
  </r>
  <r>
    <x v="8"/>
    <x v="0"/>
    <x v="3"/>
    <x v="8"/>
    <x v="22"/>
    <n v="8.2175646859999993"/>
    <n v="9.3376981200000007"/>
    <n v="0.116616599"/>
    <n v="7.3958082169999999"/>
  </r>
  <r>
    <x v="8"/>
    <x v="2"/>
    <x v="0"/>
    <x v="8"/>
    <x v="22"/>
    <n v="7.0145515410000003"/>
    <n v="7.9707026650000001"/>
    <n v="5.8246410000000002E-3"/>
    <n v="6.3130963879999999"/>
  </r>
  <r>
    <x v="8"/>
    <x v="2"/>
    <x v="2"/>
    <x v="8"/>
    <x v="22"/>
    <n v="24.303939140000001"/>
    <n v="27.616800779999998"/>
    <n v="0.204485259"/>
    <n v="21.873545230000001"/>
  </r>
  <r>
    <x v="8"/>
    <x v="3"/>
    <x v="3"/>
    <x v="8"/>
    <x v="22"/>
    <n v="20.593045140000001"/>
    <n v="23.400076089999999"/>
    <n v="7.73549E-4"/>
    <n v="18.53374062"/>
  </r>
  <r>
    <x v="8"/>
    <x v="3"/>
    <x v="2"/>
    <x v="8"/>
    <x v="22"/>
    <n v="36.102451520000002"/>
    <n v="41.023564350000001"/>
    <n v="0.114328071"/>
    <n v="32.492206369999998"/>
  </r>
  <r>
    <x v="8"/>
    <x v="0"/>
    <x v="0"/>
    <x v="8"/>
    <x v="22"/>
    <n v="4.2880421499999999"/>
    <n v="4.8725437100000004"/>
    <n v="7.1070097999999998E-2"/>
    <n v="3.8592379349999999"/>
  </r>
  <r>
    <x v="8"/>
    <x v="0"/>
    <x v="2"/>
    <x v="8"/>
    <x v="22"/>
    <n v="60.320421629999998"/>
    <n v="68.542677690000005"/>
    <n v="1.123129203"/>
    <n v="54.288379460000002"/>
  </r>
  <r>
    <x v="8"/>
    <x v="1"/>
    <x v="3"/>
    <x v="8"/>
    <x v="22"/>
    <n v="889.43952019999995"/>
    <n v="1010.678717"/>
    <n v="138.0339275"/>
    <n v="800.49556810000001"/>
  </r>
  <r>
    <x v="8"/>
    <x v="1"/>
    <x v="0"/>
    <x v="8"/>
    <x v="22"/>
    <n v="13.31729118"/>
    <n v="15.13256659"/>
    <n v="0.21911117499999999"/>
    <n v="11.985562059999999"/>
  </r>
  <r>
    <x v="8"/>
    <x v="1"/>
    <x v="2"/>
    <x v="8"/>
    <x v="22"/>
    <n v="57.351837920000001"/>
    <n v="65.169447349999999"/>
    <n v="3.9946080909999999"/>
    <n v="51.61665412"/>
  </r>
  <r>
    <x v="8"/>
    <x v="1"/>
    <x v="1"/>
    <x v="8"/>
    <x v="22"/>
    <n v="2099.6605070000001"/>
    <n v="2385.864513"/>
    <n v="350.03512119999999"/>
    <n v="1889.6944559999999"/>
  </r>
  <r>
    <x v="8"/>
    <x v="3"/>
    <x v="0"/>
    <x v="8"/>
    <x v="22"/>
    <n v="241.25743259999999"/>
    <n v="274.1431508"/>
    <n v="5.3098809999999998E-3"/>
    <n v="217.13168930000001"/>
  </r>
  <r>
    <x v="8"/>
    <x v="3"/>
    <x v="0"/>
    <x v="6"/>
    <x v="23"/>
    <n v="2.6864507190000002"/>
    <n v="3.37163777"/>
    <n v="2.5823999999999999E-3"/>
    <n v="2.4178056469999998"/>
  </r>
  <r>
    <x v="8"/>
    <x v="0"/>
    <x v="3"/>
    <x v="6"/>
    <x v="23"/>
    <n v="7.0288211000000003E-2"/>
    <n v="8.8215423000000001E-2"/>
    <n v="7.226835E-3"/>
    <n v="6.3259389999999999E-2"/>
  </r>
  <r>
    <x v="8"/>
    <x v="1"/>
    <x v="3"/>
    <x v="6"/>
    <x v="23"/>
    <n v="51.496331290000001"/>
    <n v="64.630620019999995"/>
    <n v="12.45900857"/>
    <n v="46.346698160000003"/>
  </r>
  <r>
    <x v="8"/>
    <x v="1"/>
    <x v="2"/>
    <x v="6"/>
    <x v="23"/>
    <n v="2.0189269859999999"/>
    <n v="2.5338601719999998"/>
    <n v="7.6100468000000004E-2"/>
    <n v="1.817034287"/>
  </r>
  <r>
    <x v="8"/>
    <x v="1"/>
    <x v="1"/>
    <x v="6"/>
    <x v="23"/>
    <n v="118.1414814"/>
    <n v="148.27380909999999"/>
    <n v="21.230141960000001"/>
    <n v="106.32733330000001"/>
  </r>
  <r>
    <x v="8"/>
    <x v="0"/>
    <x v="2"/>
    <x v="6"/>
    <x v="23"/>
    <n v="6.4608604850000004"/>
    <n v="8.1087217000000003"/>
    <n v="7.7021265000000005E-2"/>
    <n v="5.8147744369999996"/>
  </r>
  <r>
    <x v="8"/>
    <x v="2"/>
    <x v="2"/>
    <x v="6"/>
    <x v="23"/>
    <n v="6.3354220000000003E-2"/>
    <n v="7.9512897999999999E-2"/>
    <n v="2.6882999999999998E-3"/>
    <n v="5.7018798000000002E-2"/>
  </r>
  <r>
    <x v="8"/>
    <x v="1"/>
    <x v="1"/>
    <x v="0"/>
    <x v="24"/>
    <n v="154.38838720000001"/>
    <n v="228.73445480000001"/>
    <n v="41.930997390000002"/>
    <n v="138.94954849999999"/>
  </r>
  <r>
    <x v="8"/>
    <x v="2"/>
    <x v="2"/>
    <x v="0"/>
    <x v="24"/>
    <n v="2.7565278520000001"/>
    <n v="4.0839399050000003"/>
    <n v="4.4121800000000003E-2"/>
    <n v="2.4808750669999999"/>
  </r>
  <r>
    <x v="8"/>
    <x v="3"/>
    <x v="3"/>
    <x v="0"/>
    <x v="24"/>
    <n v="1.426238106"/>
    <n v="2.1130462040000002"/>
    <n v="9.6091199999999996E-4"/>
    <n v="1.283614295"/>
  </r>
  <r>
    <x v="8"/>
    <x v="3"/>
    <x v="0"/>
    <x v="0"/>
    <x v="24"/>
    <n v="14.196772319999999"/>
    <n v="21.033259279999999"/>
    <n v="9.9644880000000005E-3"/>
    <n v="12.77709509"/>
  </r>
  <r>
    <x v="8"/>
    <x v="0"/>
    <x v="3"/>
    <x v="0"/>
    <x v="24"/>
    <n v="0.15268295900000001"/>
    <n v="0.226207774"/>
    <n v="7.1374800000000005E-4"/>
    <n v="0.13741466299999999"/>
  </r>
  <r>
    <x v="8"/>
    <x v="0"/>
    <x v="0"/>
    <x v="0"/>
    <x v="24"/>
    <n v="0.48303638300000001"/>
    <n v="0.71564361600000004"/>
    <n v="8.1708619999999992E-3"/>
    <n v="0.434732744"/>
  </r>
  <r>
    <x v="8"/>
    <x v="0"/>
    <x v="2"/>
    <x v="0"/>
    <x v="24"/>
    <n v="20.241108449999999"/>
    <n v="29.988258760000001"/>
    <n v="0.405413091"/>
    <n v="18.216997599999999"/>
  </r>
  <r>
    <x v="8"/>
    <x v="1"/>
    <x v="3"/>
    <x v="0"/>
    <x v="24"/>
    <n v="67.230332070000003"/>
    <n v="99.605246429999994"/>
    <n v="17.181113750000002"/>
    <n v="60.50729887"/>
  </r>
  <r>
    <x v="8"/>
    <x v="1"/>
    <x v="2"/>
    <x v="0"/>
    <x v="24"/>
    <n v="7.9190451509999997"/>
    <n v="11.73247877"/>
    <n v="0.88804826100000001"/>
    <n v="7.127140636"/>
  </r>
  <r>
    <x v="8"/>
    <x v="1"/>
    <x v="3"/>
    <x v="2"/>
    <x v="25"/>
    <n v="180.33225179999999"/>
    <n v="196.3070621"/>
    <n v="33.284918490000003"/>
    <n v="162.29902659999999"/>
  </r>
  <r>
    <x v="8"/>
    <x v="2"/>
    <x v="0"/>
    <x v="2"/>
    <x v="25"/>
    <n v="2.026243886"/>
    <n v="2.2057395739999999"/>
    <n v="1.499235E-3"/>
    <n v="1.8236194969999999"/>
  </r>
  <r>
    <x v="8"/>
    <x v="2"/>
    <x v="2"/>
    <x v="2"/>
    <x v="25"/>
    <n v="0.57726370199999999"/>
    <n v="0.62840085599999995"/>
    <n v="2.4927650000000001E-3"/>
    <n v="0.51953733199999996"/>
  </r>
  <r>
    <x v="8"/>
    <x v="3"/>
    <x v="3"/>
    <x v="2"/>
    <x v="25"/>
    <n v="2.3517160110000002"/>
    <n v="2.5600437880000002"/>
    <n v="1.4473470000000001E-3"/>
    <n v="2.1165444099999999"/>
  </r>
  <r>
    <x v="8"/>
    <x v="3"/>
    <x v="0"/>
    <x v="2"/>
    <x v="25"/>
    <n v="22.848916930000001"/>
    <n v="24.872998089999999"/>
    <n v="1.4289853E-2"/>
    <n v="20.564025239999999"/>
  </r>
  <r>
    <x v="8"/>
    <x v="0"/>
    <x v="3"/>
    <x v="2"/>
    <x v="25"/>
    <n v="2.3272269999999999E-3"/>
    <n v="2.533385E-3"/>
    <n v="1.59953E-4"/>
    <n v="2.0945040000000001E-3"/>
  </r>
  <r>
    <x v="8"/>
    <x v="0"/>
    <x v="2"/>
    <x v="2"/>
    <x v="25"/>
    <n v="1.852198778"/>
    <n v="2.0162766049999998"/>
    <n v="5.2870051000000001E-2"/>
    <n v="1.6669788990000001"/>
  </r>
  <r>
    <x v="8"/>
    <x v="1"/>
    <x v="0"/>
    <x v="2"/>
    <x v="25"/>
    <n v="5.8118338779999998"/>
    <n v="6.3266776880000002"/>
    <n v="0.80104401199999997"/>
    <n v="5.2306504900000004"/>
  </r>
  <r>
    <x v="8"/>
    <x v="1"/>
    <x v="2"/>
    <x v="2"/>
    <x v="25"/>
    <n v="13.0950223"/>
    <n v="14.25505049"/>
    <n v="1.058792862"/>
    <n v="11.78552007"/>
  </r>
  <r>
    <x v="8"/>
    <x v="1"/>
    <x v="1"/>
    <x v="2"/>
    <x v="25"/>
    <n v="593.72528739999996"/>
    <n v="646.32069809999996"/>
    <n v="97.657893529999996"/>
    <n v="534.35275869999998"/>
  </r>
  <r>
    <x v="8"/>
    <x v="0"/>
    <x v="0"/>
    <x v="2"/>
    <x v="25"/>
    <n v="4.6818327999999999E-2"/>
    <n v="5.0965749999999997E-2"/>
    <n v="1.052896E-3"/>
    <n v="4.2136495000000003E-2"/>
  </r>
  <r>
    <x v="8"/>
    <x v="0"/>
    <x v="2"/>
    <x v="1"/>
    <x v="26"/>
    <n v="0.31430208999999998"/>
    <n v="0.35479336"/>
    <n v="2.5815773E-2"/>
    <n v="0.28287188099999999"/>
  </r>
  <r>
    <x v="8"/>
    <x v="1"/>
    <x v="1"/>
    <x v="1"/>
    <x v="26"/>
    <n v="44.91832806"/>
    <n v="50.705117809999997"/>
    <n v="8.21058238"/>
    <n v="40.426495250000002"/>
  </r>
  <r>
    <x v="8"/>
    <x v="1"/>
    <x v="3"/>
    <x v="1"/>
    <x v="26"/>
    <n v="12.101227290000001"/>
    <n v="13.660218049999999"/>
    <n v="2.612306684"/>
    <n v="10.89110456"/>
  </r>
  <r>
    <x v="8"/>
    <x v="0"/>
    <x v="0"/>
    <x v="1"/>
    <x v="26"/>
    <n v="8.8353249999999998E-3"/>
    <n v="9.973572E-3"/>
    <n v="5.8323499999999998E-5"/>
    <n v="7.9517919999999992E-3"/>
  </r>
  <r>
    <x v="8"/>
    <x v="0"/>
    <x v="3"/>
    <x v="1"/>
    <x v="26"/>
    <n v="4.6440769999999999E-3"/>
    <n v="5.2423699999999997E-3"/>
    <n v="4.2679040000000003E-3"/>
    <n v="4.1796699999999999E-3"/>
  </r>
  <r>
    <x v="8"/>
    <x v="3"/>
    <x v="0"/>
    <x v="1"/>
    <x v="26"/>
    <n v="1.0161509000000001E-2"/>
    <n v="1.1470607000000001E-2"/>
    <n v="1.606E-3"/>
    <n v="9.1453579999999993E-3"/>
  </r>
  <r>
    <x v="8"/>
    <x v="2"/>
    <x v="2"/>
    <x v="1"/>
    <x v="26"/>
    <n v="1.9120471E-2"/>
    <n v="2.1583745000000001E-2"/>
    <n v="2.0988000000000001E-3"/>
    <n v="1.7208424E-2"/>
  </r>
  <r>
    <x v="8"/>
    <x v="1"/>
    <x v="2"/>
    <x v="1"/>
    <x v="26"/>
    <n v="0.43500981599999999"/>
    <n v="0.491051758"/>
    <n v="2.6863334999999999E-2"/>
    <n v="0.391508835"/>
  </r>
  <r>
    <x v="8"/>
    <x v="0"/>
    <x v="2"/>
    <x v="2"/>
    <x v="27"/>
    <n v="0.38051207999999997"/>
    <n v="0.51177280700000005"/>
    <n v="1.1336369000000001E-2"/>
    <n v="0.34246087200000003"/>
  </r>
  <r>
    <x v="8"/>
    <x v="2"/>
    <x v="0"/>
    <x v="2"/>
    <x v="27"/>
    <n v="5.8185953999999998E-2"/>
    <n v="7.8257671000000001E-2"/>
    <n v="2.9814000000000002E-4"/>
    <n v="5.2367359000000002E-2"/>
  </r>
  <r>
    <x v="8"/>
    <x v="2"/>
    <x v="2"/>
    <x v="2"/>
    <x v="27"/>
    <n v="1.7682256839999999"/>
    <n v="2.3781894729999999"/>
    <n v="3.5168159999999997E-2"/>
    <n v="1.5914031150000001"/>
  </r>
  <r>
    <x v="8"/>
    <x v="3"/>
    <x v="3"/>
    <x v="2"/>
    <x v="27"/>
    <n v="0.359516104"/>
    <n v="0.48353409899999999"/>
    <n v="1.86598E-4"/>
    <n v="0.32356449300000001"/>
  </r>
  <r>
    <x v="8"/>
    <x v="0"/>
    <x v="0"/>
    <x v="2"/>
    <x v="27"/>
    <n v="8.2772560000000002E-3"/>
    <n v="1.1132563E-2"/>
    <n v="4.85312E-5"/>
    <n v="7.4495300000000002E-3"/>
  </r>
  <r>
    <x v="8"/>
    <x v="1"/>
    <x v="3"/>
    <x v="2"/>
    <x v="27"/>
    <n v="27.727973769999998"/>
    <n v="37.292963180000001"/>
    <n v="5.4356729719999999"/>
    <n v="24.955176389999998"/>
  </r>
  <r>
    <x v="8"/>
    <x v="1"/>
    <x v="0"/>
    <x v="2"/>
    <x v="27"/>
    <n v="1.0371446"/>
    <n v="1.3949160410000001"/>
    <n v="0.175835925"/>
    <n v="0.93343014000000002"/>
  </r>
  <r>
    <x v="8"/>
    <x v="1"/>
    <x v="2"/>
    <x v="2"/>
    <x v="27"/>
    <n v="1.356733092"/>
    <n v="1.8247491739999999"/>
    <n v="0.17356463699999999"/>
    <n v="1.2210597830000001"/>
  </r>
  <r>
    <x v="8"/>
    <x v="1"/>
    <x v="1"/>
    <x v="2"/>
    <x v="27"/>
    <n v="93.737476599999994"/>
    <n v="126.0729793"/>
    <n v="15.612794470000001"/>
    <n v="84.363728940000001"/>
  </r>
  <r>
    <x v="8"/>
    <x v="3"/>
    <x v="0"/>
    <x v="2"/>
    <x v="27"/>
    <n v="3.9098356839999999"/>
    <n v="5.2585652100000004"/>
    <n v="2.0237020000000001E-3"/>
    <n v="3.5188521160000001"/>
  </r>
  <r>
    <x v="8"/>
    <x v="0"/>
    <x v="3"/>
    <x v="5"/>
    <x v="28"/>
    <n v="0.10934875099999999"/>
    <n v="0.117828787"/>
    <n v="1.9502580000000001E-3"/>
    <n v="9.8413875999999997E-2"/>
  </r>
  <r>
    <x v="8"/>
    <x v="2"/>
    <x v="0"/>
    <x v="5"/>
    <x v="28"/>
    <n v="1.1653309000000001"/>
    <n v="1.255702748"/>
    <n v="7.02266E-4"/>
    <n v="1.0487978099999999"/>
  </r>
  <r>
    <x v="8"/>
    <x v="2"/>
    <x v="2"/>
    <x v="5"/>
    <x v="28"/>
    <n v="3.2142839410000001"/>
    <n v="3.4635528660000001"/>
    <n v="6.8312340000000003E-3"/>
    <n v="2.8928555469999999"/>
  </r>
  <r>
    <x v="8"/>
    <x v="1"/>
    <x v="1"/>
    <x v="5"/>
    <x v="28"/>
    <n v="177.992118"/>
    <n v="191.79547350000001"/>
    <n v="38.114112409999997"/>
    <n v="160.19290609999999"/>
  </r>
  <r>
    <x v="8"/>
    <x v="1"/>
    <x v="2"/>
    <x v="5"/>
    <x v="28"/>
    <n v="4.0199484859999997"/>
    <n v="4.3316970000000001"/>
    <n v="0.54809405700000002"/>
    <n v="3.6179536369999998"/>
  </r>
  <r>
    <x v="8"/>
    <x v="0"/>
    <x v="2"/>
    <x v="5"/>
    <x v="28"/>
    <n v="3.603457031"/>
    <n v="3.8829064760000001"/>
    <n v="4.8724998999999998E-2"/>
    <n v="3.243111329"/>
  </r>
  <r>
    <x v="8"/>
    <x v="1"/>
    <x v="0"/>
    <x v="5"/>
    <x v="28"/>
    <n v="2.8623541430000001"/>
    <n v="3.0843307809999998"/>
    <n v="0.62281682599999999"/>
    <n v="2.576118728"/>
  </r>
  <r>
    <x v="8"/>
    <x v="3"/>
    <x v="3"/>
    <x v="5"/>
    <x v="28"/>
    <n v="0.44997957799999999"/>
    <n v="0.48487566300000001"/>
    <n v="3.54163E-4"/>
    <n v="0.40498161999999999"/>
  </r>
  <r>
    <x v="8"/>
    <x v="3"/>
    <x v="0"/>
    <x v="5"/>
    <x v="28"/>
    <n v="2.4665120429999998"/>
    <n v="2.657790978"/>
    <n v="1.9733369999999999E-3"/>
    <n v="2.2198608399999999"/>
  </r>
  <r>
    <x v="8"/>
    <x v="0"/>
    <x v="0"/>
    <x v="5"/>
    <x v="28"/>
    <n v="0.20783184399999999"/>
    <n v="0.223949281"/>
    <n v="2.4357440000000001E-3"/>
    <n v="0.18704865900000001"/>
  </r>
  <r>
    <x v="8"/>
    <x v="1"/>
    <x v="3"/>
    <x v="5"/>
    <x v="28"/>
    <n v="49.442254990000002"/>
    <n v="53.276520410000003"/>
    <n v="14.392787999999999"/>
    <n v="44.49802948"/>
  </r>
  <r>
    <x v="8"/>
    <x v="2"/>
    <x v="2"/>
    <x v="2"/>
    <x v="29"/>
    <n v="9.6468915000000002E-2"/>
    <n v="0.105014655"/>
    <n v="4.8707380000000003E-3"/>
    <n v="8.6822022999999998E-2"/>
  </r>
  <r>
    <x v="8"/>
    <x v="0"/>
    <x v="0"/>
    <x v="2"/>
    <x v="29"/>
    <n v="3.5537580000000002E-3"/>
    <n v="3.8685690000000001E-3"/>
    <n v="1.6069399999999999E-5"/>
    <n v="3.198382E-3"/>
  </r>
  <r>
    <x v="8"/>
    <x v="0"/>
    <x v="2"/>
    <x v="2"/>
    <x v="29"/>
    <n v="0.39377045199999999"/>
    <n v="0.42865277699999998"/>
    <n v="8.2522310000000005E-3"/>
    <n v="0.35439340699999999"/>
  </r>
  <r>
    <x v="8"/>
    <x v="1"/>
    <x v="3"/>
    <x v="2"/>
    <x v="29"/>
    <n v="19.028016879999999"/>
    <n v="20.713621960000001"/>
    <n v="3.4181617929999999"/>
    <n v="17.125215189999999"/>
  </r>
  <r>
    <x v="8"/>
    <x v="1"/>
    <x v="0"/>
    <x v="2"/>
    <x v="29"/>
    <n v="0.65430633100000002"/>
    <n v="0.71226834000000006"/>
    <n v="0.18296315599999999"/>
    <n v="0.58887569799999995"/>
  </r>
  <r>
    <x v="8"/>
    <x v="1"/>
    <x v="2"/>
    <x v="2"/>
    <x v="29"/>
    <n v="1.7451764329999999"/>
    <n v="1.899773639"/>
    <n v="0.114690112"/>
    <n v="1.5706587890000001"/>
  </r>
  <r>
    <x v="8"/>
    <x v="1"/>
    <x v="1"/>
    <x v="2"/>
    <x v="29"/>
    <n v="60.72776666"/>
    <n v="66.10736206"/>
    <n v="10.260675239999999"/>
    <n v="54.654989989999997"/>
  </r>
  <r>
    <x v="8"/>
    <x v="2"/>
    <x v="0"/>
    <x v="2"/>
    <x v="29"/>
    <n v="1.6519164999999999E-2"/>
    <n v="1.7982522000000001E-2"/>
    <n v="7.6626199999999998E-4"/>
    <n v="1.4867249000000001E-2"/>
  </r>
  <r>
    <x v="8"/>
    <x v="3"/>
    <x v="0"/>
    <x v="5"/>
    <x v="30"/>
    <n v="1.4293458189999999"/>
    <n v="1.5559650350000001"/>
    <n v="1.2421649999999999E-3"/>
    <n v="1.286411237"/>
  </r>
  <r>
    <x v="8"/>
    <x v="1"/>
    <x v="1"/>
    <x v="5"/>
    <x v="30"/>
    <n v="336.14265369999998"/>
    <n v="365.91999570000002"/>
    <n v="78.106531779999997"/>
    <n v="302.52838839999998"/>
  </r>
  <r>
    <x v="8"/>
    <x v="1"/>
    <x v="0"/>
    <x v="5"/>
    <x v="30"/>
    <n v="4.778593667"/>
    <n v="5.201907448"/>
    <n v="1.0693841230000001"/>
    <n v="4.3007343000000002"/>
  </r>
  <r>
    <x v="8"/>
    <x v="0"/>
    <x v="2"/>
    <x v="5"/>
    <x v="30"/>
    <n v="3.7685798629999998"/>
    <n v="4.1024211360000002"/>
    <n v="5.3777432999999999E-2"/>
    <n v="3.391721875"/>
  </r>
  <r>
    <x v="8"/>
    <x v="0"/>
    <x v="3"/>
    <x v="5"/>
    <x v="30"/>
    <n v="0.19718496499999999"/>
    <n v="0.21465268000000001"/>
    <n v="3.0880830000000001E-3"/>
    <n v="0.17746646799999999"/>
  </r>
  <r>
    <x v="8"/>
    <x v="3"/>
    <x v="3"/>
    <x v="5"/>
    <x v="30"/>
    <n v="7.2674709000000004E-2"/>
    <n v="7.9112630000000003E-2"/>
    <n v="6.3435099999999998E-5"/>
    <n v="6.5407239000000006E-2"/>
  </r>
  <r>
    <x v="8"/>
    <x v="2"/>
    <x v="2"/>
    <x v="5"/>
    <x v="30"/>
    <n v="0.82248845000000004"/>
    <n v="0.89534894399999998"/>
    <n v="4.3064651000000002E-2"/>
    <n v="0.74023960499999997"/>
  </r>
  <r>
    <x v="8"/>
    <x v="2"/>
    <x v="0"/>
    <x v="5"/>
    <x v="30"/>
    <n v="2.8531440000000002E-3"/>
    <n v="3.1058919999999999E-3"/>
    <n v="2.39449E-4"/>
    <n v="2.5678300000000001E-3"/>
  </r>
  <r>
    <x v="8"/>
    <x v="1"/>
    <x v="2"/>
    <x v="5"/>
    <x v="30"/>
    <n v="7.7285324280000003"/>
    <n v="8.4131678070000007"/>
    <n v="1.0874405060000001"/>
    <n v="6.9556791850000002"/>
  </r>
  <r>
    <x v="8"/>
    <x v="0"/>
    <x v="0"/>
    <x v="5"/>
    <x v="30"/>
    <n v="0.27014521600000002"/>
    <n v="0.29407614700000001"/>
    <n v="2.903685E-3"/>
    <n v="0.24313069500000001"/>
  </r>
  <r>
    <x v="8"/>
    <x v="1"/>
    <x v="3"/>
    <x v="5"/>
    <x v="30"/>
    <n v="103.23162720000001"/>
    <n v="112.37644539999999"/>
    <n v="35.796487890000002"/>
    <n v="92.908464449999997"/>
  </r>
  <r>
    <x v="8"/>
    <x v="2"/>
    <x v="2"/>
    <x v="6"/>
    <x v="31"/>
    <n v="0.87650777899999999"/>
    <n v="0.87650777899999999"/>
    <n v="4.4839499999999997E-2"/>
    <n v="0.78885700199999997"/>
  </r>
  <r>
    <x v="8"/>
    <x v="3"/>
    <x v="0"/>
    <x v="6"/>
    <x v="31"/>
    <n v="9.3149191840000007"/>
    <n v="9.3149191840000007"/>
    <n v="9.7979999999999994E-3"/>
    <n v="8.3834272670000001"/>
  </r>
  <r>
    <x v="8"/>
    <x v="0"/>
    <x v="3"/>
    <x v="6"/>
    <x v="31"/>
    <n v="0.10617512899999999"/>
    <n v="0.10617512899999999"/>
    <n v="4.3317599999999996E-3"/>
    <n v="9.5557615999999998E-2"/>
  </r>
  <r>
    <x v="8"/>
    <x v="0"/>
    <x v="0"/>
    <x v="6"/>
    <x v="31"/>
    <n v="0.86980042000000002"/>
    <n v="0.86980042000000002"/>
    <n v="5.7732300000000003E-4"/>
    <n v="0.78282037800000004"/>
  </r>
  <r>
    <x v="8"/>
    <x v="0"/>
    <x v="2"/>
    <x v="6"/>
    <x v="31"/>
    <n v="11.82778326"/>
    <n v="11.82778326"/>
    <n v="9.7894816999999995E-2"/>
    <n v="10.645004930000001"/>
  </r>
  <r>
    <x v="8"/>
    <x v="1"/>
    <x v="3"/>
    <x v="6"/>
    <x v="31"/>
    <n v="77.401752270000003"/>
    <n v="77.401752270000003"/>
    <n v="20.31737236"/>
    <n v="69.661577030000004"/>
  </r>
  <r>
    <x v="8"/>
    <x v="1"/>
    <x v="2"/>
    <x v="6"/>
    <x v="31"/>
    <n v="2.384457533"/>
    <n v="2.384457533"/>
    <n v="0.16008169"/>
    <n v="2.1460117790000002"/>
  </r>
  <r>
    <x v="8"/>
    <x v="1"/>
    <x v="1"/>
    <x v="6"/>
    <x v="31"/>
    <n v="237.5977671"/>
    <n v="237.5977671"/>
    <n v="57.591763450000002"/>
    <n v="213.8379904"/>
  </r>
  <r>
    <x v="8"/>
    <x v="1"/>
    <x v="2"/>
    <x v="9"/>
    <x v="32"/>
    <n v="1.9663395189999999"/>
    <n v="3.494900135"/>
    <n v="0.26440499099999998"/>
    <n v="1.7697055669999999"/>
  </r>
  <r>
    <x v="8"/>
    <x v="3"/>
    <x v="0"/>
    <x v="9"/>
    <x v="32"/>
    <n v="0.67062261000000001"/>
    <n v="1.191940164"/>
    <n v="5.42878E-4"/>
    <n v="0.603560349"/>
  </r>
  <r>
    <x v="8"/>
    <x v="3"/>
    <x v="3"/>
    <x v="9"/>
    <x v="32"/>
    <n v="3.0405321999999999E-2"/>
    <n v="5.4041311000000002E-2"/>
    <n v="2.4721700000000001E-5"/>
    <n v="2.736479E-2"/>
  </r>
  <r>
    <x v="8"/>
    <x v="2"/>
    <x v="2"/>
    <x v="9"/>
    <x v="32"/>
    <n v="0.206664878"/>
    <n v="0.36731861500000001"/>
    <n v="1.0020041E-2"/>
    <n v="0.18599839000000001"/>
  </r>
  <r>
    <x v="8"/>
    <x v="2"/>
    <x v="0"/>
    <x v="9"/>
    <x v="32"/>
    <n v="3.139668E-3"/>
    <n v="5.580331E-3"/>
    <n v="2.4445899999999998E-4"/>
    <n v="2.8257009999999999E-3"/>
  </r>
  <r>
    <x v="8"/>
    <x v="0"/>
    <x v="3"/>
    <x v="9"/>
    <x v="32"/>
    <n v="3.2263270000000002E-3"/>
    <n v="5.7343560000000003E-3"/>
    <n v="4.3124400000000003E-5"/>
    <n v="2.903695E-3"/>
  </r>
  <r>
    <x v="8"/>
    <x v="0"/>
    <x v="0"/>
    <x v="9"/>
    <x v="32"/>
    <n v="5.1286352E-2"/>
    <n v="9.1154492000000004E-2"/>
    <n v="5.1966499999999999E-4"/>
    <n v="4.6157717000000001E-2"/>
  </r>
  <r>
    <x v="8"/>
    <x v="0"/>
    <x v="2"/>
    <x v="9"/>
    <x v="32"/>
    <n v="0.74438027500000004"/>
    <n v="1.323034348"/>
    <n v="1.0020011000000001E-2"/>
    <n v="0.66994224800000002"/>
  </r>
  <r>
    <x v="8"/>
    <x v="1"/>
    <x v="0"/>
    <x v="9"/>
    <x v="32"/>
    <n v="1.1436288320000001"/>
    <n v="2.0326441700000002"/>
    <n v="0.23618509700000001"/>
    <n v="1.029265949"/>
  </r>
  <r>
    <x v="8"/>
    <x v="1"/>
    <x v="1"/>
    <x v="9"/>
    <x v="32"/>
    <n v="83.914034650000005"/>
    <n v="149.1457442"/>
    <n v="18.312675299999999"/>
    <n v="75.522631189999998"/>
  </r>
  <r>
    <x v="8"/>
    <x v="1"/>
    <x v="3"/>
    <x v="9"/>
    <x v="32"/>
    <n v="26.81958362"/>
    <n v="47.668149620000001"/>
    <n v="8.8982169070000001"/>
    <n v="24.13762526"/>
  </r>
  <r>
    <x v="8"/>
    <x v="1"/>
    <x v="3"/>
    <x v="0"/>
    <x v="33"/>
    <n v="69.996536309999996"/>
    <n v="69.996536309999996"/>
    <n v="16.793226260000001"/>
    <n v="62.99688269"/>
  </r>
  <r>
    <x v="8"/>
    <x v="0"/>
    <x v="2"/>
    <x v="0"/>
    <x v="33"/>
    <n v="3.5921573859999998"/>
    <n v="3.5921573859999998"/>
    <n v="8.0596002999999999E-2"/>
    <n v="3.2329416480000002"/>
  </r>
  <r>
    <x v="8"/>
    <x v="1"/>
    <x v="1"/>
    <x v="0"/>
    <x v="33"/>
    <n v="154.1321466"/>
    <n v="154.1321466"/>
    <n v="43.057740950000003"/>
    <n v="138.718932"/>
  </r>
  <r>
    <x v="8"/>
    <x v="0"/>
    <x v="3"/>
    <x v="0"/>
    <x v="33"/>
    <n v="8.3967331000000006E-2"/>
    <n v="8.3967331000000006E-2"/>
    <n v="2.4300120000000001E-3"/>
    <n v="7.5570598000000003E-2"/>
  </r>
  <r>
    <x v="8"/>
    <x v="3"/>
    <x v="0"/>
    <x v="0"/>
    <x v="33"/>
    <n v="5.614207639"/>
    <n v="5.614207639"/>
    <n v="2.6704150000000002E-3"/>
    <n v="5.0527868749999998"/>
  </r>
  <r>
    <x v="8"/>
    <x v="3"/>
    <x v="3"/>
    <x v="0"/>
    <x v="33"/>
    <n v="0.61429645799999999"/>
    <n v="0.61429645799999999"/>
    <n v="2.7758500000000001E-4"/>
    <n v="0.55286681199999999"/>
  </r>
  <r>
    <x v="8"/>
    <x v="2"/>
    <x v="2"/>
    <x v="0"/>
    <x v="33"/>
    <n v="0.42705511899999998"/>
    <n v="0.42705511899999998"/>
    <n v="1.21435E-2"/>
    <n v="0.38434960600000001"/>
  </r>
  <r>
    <x v="8"/>
    <x v="1"/>
    <x v="2"/>
    <x v="0"/>
    <x v="33"/>
    <n v="4.0753344299999998"/>
    <n v="4.0753344299999998"/>
    <n v="0.86896768499999999"/>
    <n v="3.6678009880000002"/>
  </r>
  <r>
    <x v="8"/>
    <x v="0"/>
    <x v="0"/>
    <x v="0"/>
    <x v="33"/>
    <n v="4.4993369999999998E-2"/>
    <n v="4.4993369999999998E-2"/>
    <n v="2.6147840000000002E-3"/>
    <n v="4.0494032999999999E-2"/>
  </r>
  <r>
    <x v="8"/>
    <x v="0"/>
    <x v="2"/>
    <x v="7"/>
    <x v="34"/>
    <n v="10.31097903"/>
    <n v="10.767680289999999"/>
    <n v="0.124333122"/>
    <n v="9.2798811289999996"/>
  </r>
  <r>
    <x v="8"/>
    <x v="3"/>
    <x v="3"/>
    <x v="7"/>
    <x v="34"/>
    <n v="0.79675616900000001"/>
    <n v="0.83204666400000005"/>
    <n v="1.021823E-3"/>
    <n v="0.71708055199999998"/>
  </r>
  <r>
    <x v="8"/>
    <x v="2"/>
    <x v="0"/>
    <x v="7"/>
    <x v="34"/>
    <n v="0.18051841299999999"/>
    <n v="0.18851406400000001"/>
    <n v="9.3270400000000002E-4"/>
    <n v="0.162466572"/>
  </r>
  <r>
    <x v="8"/>
    <x v="0"/>
    <x v="0"/>
    <x v="7"/>
    <x v="34"/>
    <n v="0.55415089500000003"/>
    <n v="0.57869574300000004"/>
    <n v="5.486688E-3"/>
    <n v="0.498735806"/>
  </r>
  <r>
    <x v="8"/>
    <x v="2"/>
    <x v="2"/>
    <x v="7"/>
    <x v="34"/>
    <n v="4.4663310469999997"/>
    <n v="4.6641569780000003"/>
    <n v="4.3719396000000001E-2"/>
    <n v="4.0196979419999996"/>
  </r>
  <r>
    <x v="8"/>
    <x v="3"/>
    <x v="0"/>
    <x v="7"/>
    <x v="34"/>
    <n v="5.8719156740000003"/>
    <n v="6.1319987659999997"/>
    <n v="7.4660769999999998E-3"/>
    <n v="5.2847241069999997"/>
  </r>
  <r>
    <x v="8"/>
    <x v="1"/>
    <x v="2"/>
    <x v="7"/>
    <x v="34"/>
    <n v="7.1376012150000001"/>
    <n v="7.4537449560000004"/>
    <n v="0.95092864399999999"/>
    <n v="6.4238410930000001"/>
  </r>
  <r>
    <x v="8"/>
    <x v="1"/>
    <x v="0"/>
    <x v="7"/>
    <x v="34"/>
    <n v="3.2999656549999998"/>
    <n v="3.446130095"/>
    <n v="0.59843572"/>
    <n v="2.9699690890000001"/>
  </r>
  <r>
    <x v="8"/>
    <x v="1"/>
    <x v="3"/>
    <x v="7"/>
    <x v="34"/>
    <n v="96.451388390000005"/>
    <n v="100.7234823"/>
    <n v="20.471561319999999"/>
    <n v="86.806249539999996"/>
  </r>
  <r>
    <x v="8"/>
    <x v="1"/>
    <x v="1"/>
    <x v="7"/>
    <x v="34"/>
    <n v="378.38297499999999"/>
    <n v="395.1425845"/>
    <n v="75.418727219999994"/>
    <n v="340.54467740000001"/>
  </r>
  <r>
    <x v="8"/>
    <x v="0"/>
    <x v="3"/>
    <x v="7"/>
    <x v="34"/>
    <n v="0.48446908100000002"/>
    <n v="0.50592753300000004"/>
    <n v="4.2660900000000002E-3"/>
    <n v="0.43602217300000001"/>
  </r>
  <r>
    <x v="8"/>
    <x v="1"/>
    <x v="3"/>
    <x v="10"/>
    <x v="35"/>
    <n v="32.551627689999997"/>
    <n v="33.993427680000003"/>
    <n v="6.6864637230000001"/>
    <n v="29.296464919999998"/>
  </r>
  <r>
    <x v="8"/>
    <x v="1"/>
    <x v="1"/>
    <x v="10"/>
    <x v="35"/>
    <n v="127.9991208"/>
    <n v="133.66854939999999"/>
    <n v="24.781671750000001"/>
    <n v="115.1992087"/>
  </r>
  <r>
    <x v="8"/>
    <x v="1"/>
    <x v="2"/>
    <x v="10"/>
    <x v="35"/>
    <n v="2.4091793959999999"/>
    <n v="2.5158884939999999"/>
    <n v="0.31084256199999999"/>
    <n v="2.1682614569999998"/>
  </r>
  <r>
    <x v="8"/>
    <x v="2"/>
    <x v="0"/>
    <x v="10"/>
    <x v="35"/>
    <n v="4.7286870000000002E-2"/>
    <n v="4.9381333999999999E-2"/>
    <n v="2.4671200000000001E-4"/>
    <n v="4.2558182999999999E-2"/>
  </r>
  <r>
    <x v="8"/>
    <x v="2"/>
    <x v="2"/>
    <x v="10"/>
    <x v="35"/>
    <n v="1.1671757620000001"/>
    <n v="1.218873146"/>
    <n v="1.1521688E-2"/>
    <n v="1.0504581850000001"/>
  </r>
  <r>
    <x v="8"/>
    <x v="1"/>
    <x v="0"/>
    <x v="10"/>
    <x v="35"/>
    <n v="1.1193288159999999"/>
    <n v="1.168906929"/>
    <n v="0.19794846299999999"/>
    <n v="1.0073959349999999"/>
  </r>
  <r>
    <x v="8"/>
    <x v="3"/>
    <x v="3"/>
    <x v="10"/>
    <x v="35"/>
    <n v="0.39263232199999998"/>
    <n v="0.41002307399999999"/>
    <n v="5.0354299999999996E-4"/>
    <n v="0.35336909"/>
  </r>
  <r>
    <x v="8"/>
    <x v="3"/>
    <x v="0"/>
    <x v="10"/>
    <x v="35"/>
    <n v="2.8940528329999999"/>
    <n v="3.0222382919999999"/>
    <n v="3.6797570000000001E-3"/>
    <n v="2.6046475500000001"/>
  </r>
  <r>
    <x v="8"/>
    <x v="0"/>
    <x v="3"/>
    <x v="10"/>
    <x v="35"/>
    <n v="9.5484956999999995E-2"/>
    <n v="9.9714246000000006E-2"/>
    <n v="8.4827600000000002E-4"/>
    <n v="8.5936462000000005E-2"/>
  </r>
  <r>
    <x v="8"/>
    <x v="0"/>
    <x v="2"/>
    <x v="10"/>
    <x v="35"/>
    <n v="2.4956201990000002"/>
    <n v="2.6061579949999998"/>
    <n v="3.0040338E-2"/>
    <n v="2.2460581789999998"/>
  </r>
  <r>
    <x v="8"/>
    <x v="0"/>
    <x v="0"/>
    <x v="10"/>
    <x v="35"/>
    <n v="0.134132693"/>
    <n v="0.140073794"/>
    <n v="1.3241850000000001E-3"/>
    <n v="0.12071942300000001"/>
  </r>
  <r>
    <x v="8"/>
    <x v="1"/>
    <x v="2"/>
    <x v="2"/>
    <x v="36"/>
    <n v="1.2957353949999999"/>
    <n v="1.410518674"/>
    <n v="6.8023511999999994E-2"/>
    <n v="1.166161856"/>
  </r>
  <r>
    <x v="8"/>
    <x v="2"/>
    <x v="0"/>
    <x v="2"/>
    <x v="36"/>
    <n v="0.128943949"/>
    <n v="0.140366505"/>
    <n v="9.6637000000000003E-5"/>
    <n v="0.116049554"/>
  </r>
  <r>
    <x v="8"/>
    <x v="3"/>
    <x v="3"/>
    <x v="2"/>
    <x v="36"/>
    <n v="0.42777273999999998"/>
    <n v="0.46566717299999999"/>
    <n v="3.0834699999999999E-4"/>
    <n v="0.38499546600000001"/>
  </r>
  <r>
    <x v="8"/>
    <x v="3"/>
    <x v="0"/>
    <x v="2"/>
    <x v="36"/>
    <n v="3.0201528309999999"/>
    <n v="3.2876943719999998"/>
    <n v="2.255553E-3"/>
    <n v="2.7181375480000001"/>
  </r>
  <r>
    <x v="8"/>
    <x v="0"/>
    <x v="3"/>
    <x v="2"/>
    <x v="36"/>
    <n v="3.8940230999999999E-2"/>
    <n v="4.2389768000000001E-2"/>
    <n v="1.0237759999999999E-3"/>
    <n v="3.5046208000000002E-2"/>
  </r>
  <r>
    <x v="8"/>
    <x v="0"/>
    <x v="0"/>
    <x v="2"/>
    <x v="36"/>
    <n v="6.2917424999999999E-2"/>
    <n v="6.8490992000000001E-2"/>
    <n v="5.0098600000000003E-4"/>
    <n v="5.6625681999999997E-2"/>
  </r>
  <r>
    <x v="8"/>
    <x v="0"/>
    <x v="2"/>
    <x v="2"/>
    <x v="36"/>
    <n v="1.3965552080000001"/>
    <n v="1.5202696529999999"/>
    <n v="2.5275038E-2"/>
    <n v="1.256899687"/>
  </r>
  <r>
    <x v="8"/>
    <x v="1"/>
    <x v="3"/>
    <x v="2"/>
    <x v="36"/>
    <n v="15.464891639999999"/>
    <n v="16.834855730000001"/>
    <n v="1.8819504899999999"/>
    <n v="13.91840247"/>
  </r>
  <r>
    <x v="8"/>
    <x v="2"/>
    <x v="2"/>
    <x v="2"/>
    <x v="36"/>
    <n v="0.15609534999999999"/>
    <n v="0.16992312400000001"/>
    <n v="2.8121629999999999E-3"/>
    <n v="0.14048581500000001"/>
  </r>
  <r>
    <x v="8"/>
    <x v="1"/>
    <x v="0"/>
    <x v="2"/>
    <x v="36"/>
    <n v="1.856306799"/>
    <n v="2.0207485379999999"/>
    <n v="8.7157610999999996E-2"/>
    <n v="1.67067612"/>
  </r>
  <r>
    <x v="8"/>
    <x v="1"/>
    <x v="1"/>
    <x v="2"/>
    <x v="36"/>
    <n v="48.53247305"/>
    <n v="52.831743099999997"/>
    <n v="5.7321299870000004"/>
    <n v="43.679225750000001"/>
  </r>
  <r>
    <x v="8"/>
    <x v="1"/>
    <x v="0"/>
    <x v="9"/>
    <x v="37"/>
    <n v="7.4049204910000004"/>
    <n v="13.161235570000001"/>
    <n v="2.1122635160000001"/>
    <n v="6.6644284420000002"/>
  </r>
  <r>
    <x v="8"/>
    <x v="2"/>
    <x v="0"/>
    <x v="9"/>
    <x v="37"/>
    <n v="3.1780775999999997E-2"/>
    <n v="5.6485992999999998E-2"/>
    <n v="3.4338400000000002E-4"/>
    <n v="2.8602698999999999E-2"/>
  </r>
  <r>
    <x v="8"/>
    <x v="1"/>
    <x v="1"/>
    <x v="9"/>
    <x v="37"/>
    <n v="526.24062619999995"/>
    <n v="935.32089310000003"/>
    <n v="106.4279576"/>
    <n v="473.61656360000001"/>
  </r>
  <r>
    <x v="8"/>
    <x v="1"/>
    <x v="2"/>
    <x v="9"/>
    <x v="37"/>
    <n v="7.998997202"/>
    <n v="14.21712585"/>
    <n v="0.96561294499999994"/>
    <n v="7.1990974830000001"/>
  </r>
  <r>
    <x v="8"/>
    <x v="1"/>
    <x v="3"/>
    <x v="9"/>
    <x v="37"/>
    <n v="111.3736775"/>
    <n v="197.95151179999999"/>
    <n v="23.214678070000001"/>
    <n v="100.2363098"/>
  </r>
  <r>
    <x v="8"/>
    <x v="0"/>
    <x v="2"/>
    <x v="9"/>
    <x v="37"/>
    <n v="19.506353699999998"/>
    <n v="34.669881529999998"/>
    <n v="0.27598714600000002"/>
    <n v="17.555718339999999"/>
  </r>
  <r>
    <x v="8"/>
    <x v="0"/>
    <x v="0"/>
    <x v="9"/>
    <x v="37"/>
    <n v="1.735894778"/>
    <n v="3.085316057"/>
    <n v="2.4638477999999998E-2"/>
    <n v="1.5623053"/>
  </r>
  <r>
    <x v="8"/>
    <x v="0"/>
    <x v="3"/>
    <x v="9"/>
    <x v="37"/>
    <n v="0.61093437500000003"/>
    <n v="1.0858524730000001"/>
    <n v="1.2159876E-2"/>
    <n v="0.549840938"/>
  </r>
  <r>
    <x v="8"/>
    <x v="3"/>
    <x v="0"/>
    <x v="9"/>
    <x v="37"/>
    <n v="2.2744603410000002"/>
    <n v="4.0425428439999997"/>
    <n v="1.0865060000000001E-3"/>
    <n v="2.047014307"/>
  </r>
  <r>
    <x v="8"/>
    <x v="2"/>
    <x v="2"/>
    <x v="9"/>
    <x v="37"/>
    <n v="1.2528501329999999"/>
    <n v="2.2267701259999999"/>
    <n v="2.3102159999999999E-3"/>
    <n v="1.1275651200000001"/>
  </r>
  <r>
    <x v="8"/>
    <x v="3"/>
    <x v="3"/>
    <x v="9"/>
    <x v="37"/>
    <n v="0.56626263799999998"/>
    <n v="1.0064545570000001"/>
    <n v="2.75894E-4"/>
    <n v="0.50963637399999995"/>
  </r>
  <r>
    <x v="8"/>
    <x v="0"/>
    <x v="3"/>
    <x v="7"/>
    <x v="38"/>
    <n v="7.9190319999999995E-2"/>
    <n v="7.9186448000000006E-2"/>
    <n v="7.3844999999999998E-4"/>
    <n v="7.1271288000000002E-2"/>
  </r>
  <r>
    <x v="8"/>
    <x v="1"/>
    <x v="1"/>
    <x v="7"/>
    <x v="38"/>
    <n v="55.404518189999997"/>
    <n v="55.401809299999996"/>
    <n v="10.59643848"/>
    <n v="49.864066379999997"/>
  </r>
  <r>
    <x v="8"/>
    <x v="1"/>
    <x v="2"/>
    <x v="7"/>
    <x v="38"/>
    <n v="1.039841539"/>
    <n v="1.039790698"/>
    <n v="0.13216222699999999"/>
    <n v="0.93585738600000001"/>
  </r>
  <r>
    <x v="8"/>
    <x v="1"/>
    <x v="0"/>
    <x v="7"/>
    <x v="38"/>
    <n v="0.48649742299999998"/>
    <n v="0.48647363700000001"/>
    <n v="8.5587407000000004E-2"/>
    <n v="0.43784768099999999"/>
  </r>
  <r>
    <x v="8"/>
    <x v="1"/>
    <x v="3"/>
    <x v="7"/>
    <x v="38"/>
    <n v="14.042853089999999"/>
    <n v="14.0421665"/>
    <n v="2.8412858860000001"/>
    <n v="12.63856779"/>
  </r>
  <r>
    <x v="8"/>
    <x v="0"/>
    <x v="0"/>
    <x v="7"/>
    <x v="38"/>
    <n v="9.0163542999999999E-2"/>
    <n v="9.0159135000000001E-2"/>
    <n v="9.3626099999999997E-4"/>
    <n v="8.1147188999999995E-2"/>
  </r>
  <r>
    <x v="8"/>
    <x v="3"/>
    <x v="0"/>
    <x v="7"/>
    <x v="38"/>
    <n v="0.581555869"/>
    <n v="0.58152743500000004"/>
    <n v="7.7856500000000005E-4"/>
    <n v="0.52340028199999999"/>
  </r>
  <r>
    <x v="8"/>
    <x v="0"/>
    <x v="2"/>
    <x v="7"/>
    <x v="38"/>
    <n v="1.678195576"/>
    <n v="1.678113524"/>
    <n v="2.1247088000000001E-2"/>
    <n v="1.510376017"/>
  </r>
  <r>
    <x v="8"/>
    <x v="3"/>
    <x v="3"/>
    <x v="7"/>
    <x v="38"/>
    <n v="7.8895669000000002E-2"/>
    <n v="7.8891811000000006E-2"/>
    <n v="1.06535E-4"/>
    <n v="7.1006102000000001E-2"/>
  </r>
  <r>
    <x v="8"/>
    <x v="2"/>
    <x v="2"/>
    <x v="7"/>
    <x v="38"/>
    <n v="0.69077876299999996"/>
    <n v="0.69074498799999995"/>
    <n v="7.2038140000000002E-3"/>
    <n v="0.62170088700000004"/>
  </r>
  <r>
    <x v="8"/>
    <x v="2"/>
    <x v="0"/>
    <x v="7"/>
    <x v="38"/>
    <n v="2.4805369000000001E-2"/>
    <n v="2.4804156000000001E-2"/>
    <n v="1.07586E-4"/>
    <n v="2.2324831999999999E-2"/>
  </r>
  <r>
    <x v="8"/>
    <x v="0"/>
    <x v="3"/>
    <x v="1"/>
    <x v="39"/>
    <n v="0.10573589799999999"/>
    <n v="0.111687447"/>
    <n v="1.7700487000000001E-2"/>
    <n v="9.5162308000000001E-2"/>
  </r>
  <r>
    <x v="8"/>
    <x v="2"/>
    <x v="2"/>
    <x v="1"/>
    <x v="39"/>
    <n v="0.610296485"/>
    <n v="0.64464820300000003"/>
    <n v="2.53853E-2"/>
    <n v="0.54926683700000001"/>
  </r>
  <r>
    <x v="8"/>
    <x v="3"/>
    <x v="0"/>
    <x v="1"/>
    <x v="39"/>
    <n v="0.84072217199999999"/>
    <n v="0.888043845"/>
    <n v="7.9660600000000005E-4"/>
    <n v="0.75664995499999999"/>
  </r>
  <r>
    <x v="8"/>
    <x v="1"/>
    <x v="3"/>
    <x v="1"/>
    <x v="39"/>
    <n v="122.3152807"/>
    <n v="129.2000328"/>
    <n v="21.681196450000002"/>
    <n v="110.0837526"/>
  </r>
  <r>
    <x v="8"/>
    <x v="0"/>
    <x v="0"/>
    <x v="1"/>
    <x v="39"/>
    <n v="0.39913126300000001"/>
    <n v="0.42159713799999998"/>
    <n v="1.2422589999999999E-3"/>
    <n v="0.35921813699999999"/>
  </r>
  <r>
    <x v="8"/>
    <x v="0"/>
    <x v="2"/>
    <x v="1"/>
    <x v="39"/>
    <n v="6.722972049"/>
    <n v="7.1013875310000003"/>
    <n v="0.112501455"/>
    <n v="6.0506748440000004"/>
  </r>
  <r>
    <x v="8"/>
    <x v="1"/>
    <x v="2"/>
    <x v="1"/>
    <x v="39"/>
    <n v="3.6963710079999998"/>
    <n v="3.9044283979999999"/>
    <n v="0.23916706800000001"/>
    <n v="3.3267339069999999"/>
  </r>
  <r>
    <x v="8"/>
    <x v="3"/>
    <x v="3"/>
    <x v="1"/>
    <x v="39"/>
    <n v="1.2504010489999999"/>
    <n v="1.3207822899999999"/>
    <n v="8.8579399999999997E-4"/>
    <n v="1.1253609440000001"/>
  </r>
  <r>
    <x v="8"/>
    <x v="1"/>
    <x v="1"/>
    <x v="1"/>
    <x v="39"/>
    <n v="288.37027610000001"/>
    <n v="304.60175470000001"/>
    <n v="46.465175979999998"/>
    <n v="259.53324850000001"/>
  </r>
  <r>
    <x v="8"/>
    <x v="1"/>
    <x v="2"/>
    <x v="10"/>
    <x v="40"/>
    <n v="3.9573114450000002"/>
    <n v="5.0047230889999996"/>
    <n v="0.458792757"/>
    <n v="3.5615802990000001"/>
  </r>
  <r>
    <x v="8"/>
    <x v="2"/>
    <x v="0"/>
    <x v="10"/>
    <x v="40"/>
    <n v="0.42586044899999997"/>
    <n v="0.53857616500000005"/>
    <n v="3.6477900000000003E-4"/>
    <n v="0.38327440400000001"/>
  </r>
  <r>
    <x v="8"/>
    <x v="2"/>
    <x v="2"/>
    <x v="10"/>
    <x v="40"/>
    <n v="3.3370374520000001"/>
    <n v="4.2202764720000001"/>
    <n v="6.2002209999999997E-3"/>
    <n v="3.0033337069999999"/>
  </r>
  <r>
    <x v="8"/>
    <x v="3"/>
    <x v="3"/>
    <x v="10"/>
    <x v="40"/>
    <n v="1.3134384370000001"/>
    <n v="1.6610761540000001"/>
    <n v="4.9013300000000002E-4"/>
    <n v="1.1820945940000001"/>
  </r>
  <r>
    <x v="8"/>
    <x v="3"/>
    <x v="0"/>
    <x v="10"/>
    <x v="40"/>
    <n v="11.412320640000001"/>
    <n v="14.432906129999999"/>
    <n v="4.392867E-3"/>
    <n v="10.271088580000001"/>
  </r>
  <r>
    <x v="8"/>
    <x v="0"/>
    <x v="0"/>
    <x v="10"/>
    <x v="40"/>
    <n v="0.36210185"/>
    <n v="0.45794209400000002"/>
    <n v="3.9934239999999998E-3"/>
    <n v="0.325891665"/>
  </r>
  <r>
    <x v="8"/>
    <x v="0"/>
    <x v="3"/>
    <x v="10"/>
    <x v="40"/>
    <n v="0.27430061"/>
    <n v="0.34690183400000002"/>
    <n v="3.281108E-3"/>
    <n v="0.24687054899999999"/>
  </r>
  <r>
    <x v="8"/>
    <x v="0"/>
    <x v="2"/>
    <x v="10"/>
    <x v="40"/>
    <n v="6.598541859"/>
    <n v="8.3450279960000007"/>
    <n v="0.100164268"/>
    <n v="5.9386876749999997"/>
  </r>
  <r>
    <x v="8"/>
    <x v="1"/>
    <x v="3"/>
    <x v="10"/>
    <x v="40"/>
    <n v="40.23342933"/>
    <n v="50.882316320000001"/>
    <n v="10.69017799"/>
    <n v="36.210086390000001"/>
  </r>
  <r>
    <x v="8"/>
    <x v="1"/>
    <x v="0"/>
    <x v="10"/>
    <x v="40"/>
    <n v="1.3339544050000001"/>
    <n v="1.687022239"/>
    <n v="0.24698031100000001"/>
    <n v="1.2005589649999999"/>
  </r>
  <r>
    <x v="8"/>
    <x v="1"/>
    <x v="1"/>
    <x v="10"/>
    <x v="40"/>
    <n v="158.51085259999999"/>
    <n v="200.4651226"/>
    <n v="32.549122850000003"/>
    <n v="142.6597673"/>
  </r>
  <r>
    <x v="8"/>
    <x v="1"/>
    <x v="1"/>
    <x v="1"/>
    <x v="41"/>
    <n v="573.13269219999995"/>
    <n v="558.44158319999997"/>
    <n v="109.2708366"/>
    <n v="515.81942289999995"/>
  </r>
  <r>
    <x v="8"/>
    <x v="1"/>
    <x v="3"/>
    <x v="1"/>
    <x v="41"/>
    <n v="172.19253509999999"/>
    <n v="167.7787242"/>
    <n v="32.913296189999997"/>
    <n v="154.97328150000001"/>
  </r>
  <r>
    <x v="8"/>
    <x v="0"/>
    <x v="2"/>
    <x v="1"/>
    <x v="41"/>
    <n v="29.530811709999998"/>
    <n v="28.773848480000002"/>
    <n v="0.46248531900000001"/>
    <n v="26.57773053"/>
  </r>
  <r>
    <x v="8"/>
    <x v="0"/>
    <x v="0"/>
    <x v="1"/>
    <x v="41"/>
    <n v="6.0785759000000002E-2"/>
    <n v="5.9227637E-2"/>
    <n v="2.6233700000000002E-4"/>
    <n v="5.4707183E-2"/>
  </r>
  <r>
    <x v="8"/>
    <x v="0"/>
    <x v="3"/>
    <x v="1"/>
    <x v="41"/>
    <n v="0.241619682"/>
    <n v="0.23542624500000001"/>
    <n v="5.4788744E-2"/>
    <n v="0.217457713"/>
  </r>
  <r>
    <x v="8"/>
    <x v="3"/>
    <x v="0"/>
    <x v="1"/>
    <x v="41"/>
    <n v="10.420876659999999"/>
    <n v="10.153758359999999"/>
    <n v="1.09356E-2"/>
    <n v="9.3787889969999991"/>
  </r>
  <r>
    <x v="8"/>
    <x v="2"/>
    <x v="2"/>
    <x v="1"/>
    <x v="41"/>
    <n v="15.94865302"/>
    <n v="15.53984123"/>
    <n v="0.21525250000000001"/>
    <n v="14.353787710000001"/>
  </r>
  <r>
    <x v="8"/>
    <x v="1"/>
    <x v="2"/>
    <x v="1"/>
    <x v="41"/>
    <n v="6.8337011089999997"/>
    <n v="6.6585328639999997"/>
    <n v="0.40490457099999999"/>
    <n v="6.1503309980000003"/>
  </r>
  <r>
    <x v="8"/>
    <x v="3"/>
    <x v="3"/>
    <x v="2"/>
    <x v="42"/>
    <n v="5.6646617509999997"/>
    <n v="6.1664682549999998"/>
    <n v="2.9973729999999998E-3"/>
    <n v="5.0981955760000002"/>
  </r>
  <r>
    <x v="8"/>
    <x v="2"/>
    <x v="2"/>
    <x v="2"/>
    <x v="42"/>
    <n v="1.155080543"/>
    <n v="1.2574038510000001"/>
    <n v="5.5019090000000001E-3"/>
    <n v="1.039572489"/>
  </r>
  <r>
    <x v="8"/>
    <x v="2"/>
    <x v="0"/>
    <x v="2"/>
    <x v="42"/>
    <n v="0.25873295600000001"/>
    <n v="0.28165292600000003"/>
    <n v="2.3449909999999998E-3"/>
    <n v="0.23285966"/>
  </r>
  <r>
    <x v="8"/>
    <x v="0"/>
    <x v="0"/>
    <x v="2"/>
    <x v="42"/>
    <n v="5.9940564000000002E-2"/>
    <n v="6.5250424000000001E-2"/>
    <n v="7.4700199999999997E-4"/>
    <n v="5.3946506999999998E-2"/>
  </r>
  <r>
    <x v="8"/>
    <x v="3"/>
    <x v="0"/>
    <x v="2"/>
    <x v="42"/>
    <n v="46.374593369999999"/>
    <n v="50.482706720000003"/>
    <n v="2.5559627000000001E-2"/>
    <n v="41.73713403"/>
  </r>
  <r>
    <x v="8"/>
    <x v="1"/>
    <x v="1"/>
    <x v="2"/>
    <x v="42"/>
    <n v="377.69681589999999"/>
    <n v="411.15525129999997"/>
    <n v="61.302428190000001"/>
    <n v="339.92713429999998"/>
  </r>
  <r>
    <x v="8"/>
    <x v="1"/>
    <x v="3"/>
    <x v="2"/>
    <x v="42"/>
    <n v="123.21850569999999"/>
    <n v="134.1338701"/>
    <n v="19.607741789999999"/>
    <n v="110.8966551"/>
  </r>
  <r>
    <x v="8"/>
    <x v="1"/>
    <x v="0"/>
    <x v="2"/>
    <x v="42"/>
    <n v="4.4615492110000003"/>
    <n v="4.8567774720000001"/>
    <n v="0.744258894"/>
    <n v="4.0153942899999997"/>
  </r>
  <r>
    <x v="8"/>
    <x v="1"/>
    <x v="2"/>
    <x v="2"/>
    <x v="42"/>
    <n v="14.48806038"/>
    <n v="15.77149146"/>
    <n v="0.85019113000000002"/>
    <n v="13.039254339999999"/>
  </r>
  <r>
    <x v="8"/>
    <x v="0"/>
    <x v="2"/>
    <x v="2"/>
    <x v="42"/>
    <n v="3.2311982850000001"/>
    <n v="3.5174353790000001"/>
    <n v="5.9967798000000003E-2"/>
    <n v="2.9080784569999998"/>
  </r>
  <r>
    <x v="8"/>
    <x v="1"/>
    <x v="0"/>
    <x v="2"/>
    <x v="43"/>
    <n v="2.6388030499999999"/>
    <n v="3.2606741279999998"/>
    <n v="0.36853470399999999"/>
    <n v="2.3749227450000001"/>
  </r>
  <r>
    <x v="8"/>
    <x v="2"/>
    <x v="0"/>
    <x v="2"/>
    <x v="43"/>
    <n v="0.127835795"/>
    <n v="0.15796209899999999"/>
    <n v="1.87119E-4"/>
    <n v="0.115052215"/>
  </r>
  <r>
    <x v="8"/>
    <x v="1"/>
    <x v="2"/>
    <x v="2"/>
    <x v="43"/>
    <n v="7.1085704710000002"/>
    <n v="8.7838051499999992"/>
    <n v="0.53437668500000002"/>
    <n v="6.397713424"/>
  </r>
  <r>
    <x v="8"/>
    <x v="1"/>
    <x v="1"/>
    <x v="2"/>
    <x v="43"/>
    <n v="232.1189747"/>
    <n v="286.821078"/>
    <n v="38.054896999999997"/>
    <n v="208.9070773"/>
  </r>
  <r>
    <x v="8"/>
    <x v="1"/>
    <x v="3"/>
    <x v="2"/>
    <x v="43"/>
    <n v="68.915466339999995"/>
    <n v="85.156365910000005"/>
    <n v="12.608519709999999"/>
    <n v="62.023919710000001"/>
  </r>
  <r>
    <x v="8"/>
    <x v="0"/>
    <x v="2"/>
    <x v="2"/>
    <x v="43"/>
    <n v="2.5649629699999998"/>
    <n v="3.1694325939999999"/>
    <n v="6.1635605000000003E-2"/>
    <n v="2.3084666729999999"/>
  </r>
  <r>
    <x v="8"/>
    <x v="0"/>
    <x v="0"/>
    <x v="2"/>
    <x v="43"/>
    <n v="3.6454833999999998E-2"/>
    <n v="4.5045927999999999E-2"/>
    <n v="5.6859499999999997E-4"/>
    <n v="3.2809350000000001E-2"/>
  </r>
  <r>
    <x v="8"/>
    <x v="3"/>
    <x v="0"/>
    <x v="2"/>
    <x v="43"/>
    <n v="20.296242889999998"/>
    <n v="25.079338180000001"/>
    <n v="1.3062860000000001E-2"/>
    <n v="18.266618600000001"/>
  </r>
  <r>
    <x v="8"/>
    <x v="3"/>
    <x v="3"/>
    <x v="2"/>
    <x v="43"/>
    <n v="3.392200742"/>
    <n v="4.1916205900000003"/>
    <n v="2.0555399999999998E-3"/>
    <n v="3.052980668"/>
  </r>
  <r>
    <x v="8"/>
    <x v="2"/>
    <x v="2"/>
    <x v="2"/>
    <x v="43"/>
    <n v="1.1593197900000001"/>
    <n v="1.4325298150000001"/>
    <n v="1.0538481000000001E-2"/>
    <n v="1.04338781"/>
  </r>
  <r>
    <x v="8"/>
    <x v="1"/>
    <x v="2"/>
    <x v="2"/>
    <x v="44"/>
    <n v="5.9511021230000001"/>
    <n v="6.1682056449999996"/>
    <n v="0.42867144099999999"/>
    <n v="5.3559919120000004"/>
  </r>
  <r>
    <x v="8"/>
    <x v="1"/>
    <x v="3"/>
    <x v="2"/>
    <x v="44"/>
    <n v="69.637794060000004"/>
    <n v="72.178266399999998"/>
    <n v="12.43047176"/>
    <n v="62.674014659999997"/>
  </r>
  <r>
    <x v="8"/>
    <x v="0"/>
    <x v="0"/>
    <x v="2"/>
    <x v="44"/>
    <n v="0.24534341800000001"/>
    <n v="0.25429384700000002"/>
    <n v="2.9937319999999998E-3"/>
    <n v="0.22080907599999999"/>
  </r>
  <r>
    <x v="8"/>
    <x v="1"/>
    <x v="1"/>
    <x v="2"/>
    <x v="44"/>
    <n v="200.0585346"/>
    <n v="207.35691589999999"/>
    <n v="33.3747866"/>
    <n v="180.05268119999999"/>
  </r>
  <r>
    <x v="8"/>
    <x v="0"/>
    <x v="2"/>
    <x v="2"/>
    <x v="44"/>
    <n v="7.5990022369999997"/>
    <n v="7.8762231820000004"/>
    <n v="0.14057947100000001"/>
    <n v="6.8391020119999997"/>
  </r>
  <r>
    <x v="8"/>
    <x v="0"/>
    <x v="3"/>
    <x v="2"/>
    <x v="44"/>
    <n v="1.5299919E-2"/>
    <n v="1.5858079000000001E-2"/>
    <n v="3.8819800000000003E-4"/>
    <n v="1.3769927E-2"/>
  </r>
  <r>
    <x v="8"/>
    <x v="3"/>
    <x v="3"/>
    <x v="2"/>
    <x v="44"/>
    <n v="1.338824016"/>
    <n v="1.387665962"/>
    <n v="1.1324740000000001E-3"/>
    <n v="1.204941614"/>
  </r>
  <r>
    <x v="8"/>
    <x v="2"/>
    <x v="2"/>
    <x v="2"/>
    <x v="44"/>
    <n v="6.4627968950000003"/>
    <n v="6.6985676710000002"/>
    <n v="9.5214365999999995E-2"/>
    <n v="5.8165172050000002"/>
  </r>
  <r>
    <x v="8"/>
    <x v="2"/>
    <x v="0"/>
    <x v="2"/>
    <x v="44"/>
    <n v="0.42098512799999999"/>
    <n v="0.43634318300000002"/>
    <n v="1.48534E-4"/>
    <n v="0.37888661499999998"/>
  </r>
  <r>
    <x v="8"/>
    <x v="3"/>
    <x v="0"/>
    <x v="2"/>
    <x v="44"/>
    <n v="13.34499149"/>
    <n v="13.831833189999999"/>
    <n v="1.1510426000000001E-2"/>
    <n v="12.010492340000001"/>
  </r>
  <r>
    <x v="8"/>
    <x v="1"/>
    <x v="0"/>
    <x v="2"/>
    <x v="44"/>
    <n v="2.321411705"/>
    <n v="2.406099658"/>
    <n v="0.399989496"/>
    <n v="2.0892705349999998"/>
  </r>
  <r>
    <x v="8"/>
    <x v="1"/>
    <x v="1"/>
    <x v="4"/>
    <x v="45"/>
    <n v="211.99902309999999"/>
    <n v="210.06331729999999"/>
    <n v="49.944470969999998"/>
    <n v="190.7991208"/>
  </r>
  <r>
    <x v="8"/>
    <x v="2"/>
    <x v="2"/>
    <x v="4"/>
    <x v="45"/>
    <n v="5.0524709569999997"/>
    <n v="5.0063382079999998"/>
    <n v="4.3325099999999998E-2"/>
    <n v="4.547223861"/>
  </r>
  <r>
    <x v="8"/>
    <x v="3"/>
    <x v="0"/>
    <x v="4"/>
    <x v="45"/>
    <n v="6.7947469729999996"/>
    <n v="6.7327059729999998"/>
    <n v="6.7112999999999999E-3"/>
    <n v="6.1152722759999998"/>
  </r>
  <r>
    <x v="8"/>
    <x v="0"/>
    <x v="3"/>
    <x v="4"/>
    <x v="45"/>
    <n v="0.315688364"/>
    <n v="0.312805899"/>
    <n v="4.9721761000000003E-2"/>
    <n v="0.28411952800000001"/>
  </r>
  <r>
    <x v="8"/>
    <x v="0"/>
    <x v="0"/>
    <x v="4"/>
    <x v="45"/>
    <n v="0.73618441999999995"/>
    <n v="0.72946251900000003"/>
    <n v="4.4425970000000004E-3"/>
    <n v="0.66256597800000006"/>
  </r>
  <r>
    <x v="8"/>
    <x v="1"/>
    <x v="3"/>
    <x v="4"/>
    <x v="45"/>
    <n v="117.7411458"/>
    <n v="116.6660832"/>
    <n v="30.490581930000001"/>
    <n v="105.96703119999999"/>
  </r>
  <r>
    <x v="8"/>
    <x v="0"/>
    <x v="2"/>
    <x v="4"/>
    <x v="45"/>
    <n v="17.51801489"/>
    <n v="17.358062629999999"/>
    <n v="0.224138542"/>
    <n v="15.7662134"/>
  </r>
  <r>
    <x v="8"/>
    <x v="0"/>
    <x v="0"/>
    <x v="6"/>
    <x v="46"/>
    <n v="0.46132716400000001"/>
    <n v="0.47888184499999997"/>
    <n v="1.8273320000000001E-3"/>
    <n v="0.41519444700000002"/>
  </r>
  <r>
    <x v="8"/>
    <x v="1"/>
    <x v="1"/>
    <x v="6"/>
    <x v="46"/>
    <n v="131.59380440000001"/>
    <n v="136.60128599999999"/>
    <n v="29.049034540000001"/>
    <n v="118.43442400000001"/>
  </r>
  <r>
    <x v="8"/>
    <x v="1"/>
    <x v="2"/>
    <x v="6"/>
    <x v="46"/>
    <n v="0.86899120799999996"/>
    <n v="0.90205855099999999"/>
    <n v="0.143685637"/>
    <n v="0.78209208699999999"/>
  </r>
  <r>
    <x v="8"/>
    <x v="0"/>
    <x v="2"/>
    <x v="6"/>
    <x v="46"/>
    <n v="4.1571678920000004"/>
    <n v="4.3153587870000001"/>
    <n v="0.12342525"/>
    <n v="3.7414511030000002"/>
  </r>
  <r>
    <x v="8"/>
    <x v="0"/>
    <x v="3"/>
    <x v="6"/>
    <x v="46"/>
    <n v="4.7387705000000002E-2"/>
    <n v="4.9190929000000001E-2"/>
    <n v="1.3413517999999999E-2"/>
    <n v="4.2648933999999999E-2"/>
  </r>
  <r>
    <x v="8"/>
    <x v="3"/>
    <x v="0"/>
    <x v="6"/>
    <x v="46"/>
    <n v="0.92097219699999999"/>
    <n v="0.95601754999999999"/>
    <n v="6.8360000000000003E-4"/>
    <n v="0.82887497799999998"/>
  </r>
  <r>
    <x v="8"/>
    <x v="2"/>
    <x v="2"/>
    <x v="6"/>
    <x v="46"/>
    <n v="2.7547037059999999"/>
    <n v="2.8595272440000001"/>
    <n v="1.5968799999999998E-2"/>
    <n v="2.4792333339999999"/>
  </r>
  <r>
    <x v="8"/>
    <x v="1"/>
    <x v="3"/>
    <x v="6"/>
    <x v="46"/>
    <n v="57.917407410000003"/>
    <n v="60.121313229999998"/>
    <n v="10.05156582"/>
    <n v="52.12566666"/>
  </r>
  <r>
    <x v="8"/>
    <x v="2"/>
    <x v="0"/>
    <x v="7"/>
    <x v="47"/>
    <n v="0.189384779"/>
    <n v="0.3747627"/>
    <n v="6.3030499999999995E-4"/>
    <n v="0.17044630099999999"/>
  </r>
  <r>
    <x v="8"/>
    <x v="1"/>
    <x v="2"/>
    <x v="7"/>
    <x v="47"/>
    <n v="3.112117944"/>
    <n v="6.1583920729999999"/>
    <n v="0.41262469400000001"/>
    <n v="2.8009061499999999"/>
  </r>
  <r>
    <x v="8"/>
    <x v="3"/>
    <x v="0"/>
    <x v="7"/>
    <x v="47"/>
    <n v="6.5737029050000002"/>
    <n v="13.008324419999999"/>
    <n v="6.0377449999999997E-3"/>
    <n v="5.916332615"/>
  </r>
  <r>
    <x v="8"/>
    <x v="1"/>
    <x v="0"/>
    <x v="7"/>
    <x v="47"/>
    <n v="0.76669331500000004"/>
    <n v="1.517165519"/>
    <n v="0.22534520299999999"/>
    <n v="0.69002398399999998"/>
  </r>
  <r>
    <x v="8"/>
    <x v="1"/>
    <x v="3"/>
    <x v="7"/>
    <x v="47"/>
    <n v="25.81289645"/>
    <n v="51.079663340000003"/>
    <n v="6.9357829779999998"/>
    <n v="23.231606800000002"/>
  </r>
  <r>
    <x v="8"/>
    <x v="3"/>
    <x v="3"/>
    <x v="7"/>
    <x v="47"/>
    <n v="0.406907091"/>
    <n v="0.80520515199999998"/>
    <n v="3.7635499999999998E-4"/>
    <n v="0.36621638200000001"/>
  </r>
  <r>
    <x v="8"/>
    <x v="0"/>
    <x v="3"/>
    <x v="7"/>
    <x v="47"/>
    <n v="1.8044023999999999E-2"/>
    <n v="3.5706285999999997E-2"/>
    <n v="1.8834599999999999E-4"/>
    <n v="1.6239620999999999E-2"/>
  </r>
  <r>
    <x v="8"/>
    <x v="0"/>
    <x v="0"/>
    <x v="7"/>
    <x v="47"/>
    <n v="3.6163107E-2"/>
    <n v="7.1561103000000001E-2"/>
    <n v="5.5604199999999997E-4"/>
    <n v="3.2546796000000003E-2"/>
  </r>
  <r>
    <x v="8"/>
    <x v="0"/>
    <x v="2"/>
    <x v="7"/>
    <x v="47"/>
    <n v="0.64162103500000001"/>
    <n v="1.2696671420000001"/>
    <n v="1.3721011999999999E-2"/>
    <n v="0.57745893199999998"/>
  </r>
  <r>
    <x v="8"/>
    <x v="2"/>
    <x v="2"/>
    <x v="7"/>
    <x v="47"/>
    <n v="5.4367034000000002E-2"/>
    <n v="0.107583811"/>
    <n v="2.4259949999999998E-3"/>
    <n v="4.8930330000000001E-2"/>
  </r>
  <r>
    <x v="8"/>
    <x v="1"/>
    <x v="1"/>
    <x v="7"/>
    <x v="47"/>
    <n v="95.279593379999994"/>
    <n v="188.54333389999999"/>
    <n v="27.64443382"/>
    <n v="85.751634050000007"/>
  </r>
  <r>
    <x v="8"/>
    <x v="1"/>
    <x v="1"/>
    <x v="2"/>
    <x v="48"/>
    <n v="970.12825829999997"/>
    <n v="1097.3971650000001"/>
    <n v="155.96069550000001"/>
    <n v="873.1154325"/>
  </r>
  <r>
    <x v="8"/>
    <x v="1"/>
    <x v="2"/>
    <x v="2"/>
    <x v="48"/>
    <n v="28.852364009999999"/>
    <n v="32.637439620000002"/>
    <n v="2.0765772619999998"/>
    <n v="25.967127609999999"/>
  </r>
  <r>
    <x v="8"/>
    <x v="1"/>
    <x v="3"/>
    <x v="2"/>
    <x v="48"/>
    <n v="393.49276370000001"/>
    <n v="445.11417899999998"/>
    <n v="68.187379070000006"/>
    <n v="354.1434873"/>
  </r>
  <r>
    <x v="8"/>
    <x v="0"/>
    <x v="2"/>
    <x v="2"/>
    <x v="48"/>
    <n v="41.96062036"/>
    <n v="47.465338129999999"/>
    <n v="0.88241452799999998"/>
    <n v="37.764558319999999"/>
  </r>
  <r>
    <x v="8"/>
    <x v="0"/>
    <x v="0"/>
    <x v="2"/>
    <x v="48"/>
    <n v="1.2904311909999999"/>
    <n v="1.4597199059999999"/>
    <n v="2.1766207999999999E-2"/>
    <n v="1.161388072"/>
  </r>
  <r>
    <x v="8"/>
    <x v="2"/>
    <x v="0"/>
    <x v="2"/>
    <x v="48"/>
    <n v="0.21150285399999999"/>
    <n v="0.23924943000000001"/>
    <n v="1.3328680000000001E-3"/>
    <n v="0.190352569"/>
  </r>
  <r>
    <x v="8"/>
    <x v="0"/>
    <x v="3"/>
    <x v="2"/>
    <x v="48"/>
    <n v="6.5552608409999999"/>
    <n v="7.4152305109999999"/>
    <n v="0.192708765"/>
    <n v="5.8997347570000001"/>
  </r>
  <r>
    <x v="8"/>
    <x v="2"/>
    <x v="2"/>
    <x v="2"/>
    <x v="48"/>
    <n v="2.6976985390000001"/>
    <n v="3.0516034379999999"/>
    <n v="4.9447032000000002E-2"/>
    <n v="2.4279286849999999"/>
  </r>
  <r>
    <x v="8"/>
    <x v="3"/>
    <x v="3"/>
    <x v="2"/>
    <x v="48"/>
    <n v="11.923319960000001"/>
    <n v="13.48751302"/>
    <n v="7.461746E-3"/>
    <n v="10.73098796"/>
  </r>
  <r>
    <x v="8"/>
    <x v="3"/>
    <x v="0"/>
    <x v="2"/>
    <x v="48"/>
    <n v="88.709067469999994"/>
    <n v="100.3466071"/>
    <n v="5.7943254E-2"/>
    <n v="79.838160729999998"/>
  </r>
  <r>
    <x v="8"/>
    <x v="1"/>
    <x v="0"/>
    <x v="2"/>
    <x v="48"/>
    <n v="12.8396294"/>
    <n v="14.524031000000001"/>
    <n v="1.252854017"/>
    <n v="11.555666459999999"/>
  </r>
  <r>
    <x v="8"/>
    <x v="0"/>
    <x v="3"/>
    <x v="3"/>
    <x v="49"/>
    <n v="10.2746025"/>
    <n v="10.2746025"/>
    <n v="1.3755869060000001"/>
    <n v="9.2471422529999998"/>
  </r>
  <r>
    <x v="8"/>
    <x v="3"/>
    <x v="0"/>
    <x v="3"/>
    <x v="49"/>
    <n v="1220.8149699999999"/>
    <n v="1220.8149699999999"/>
    <n v="0.39961413600000001"/>
    <n v="1098.733473"/>
  </r>
  <r>
    <x v="8"/>
    <x v="1"/>
    <x v="1"/>
    <x v="3"/>
    <x v="49"/>
    <n v="11610.66404"/>
    <n v="11610.66404"/>
    <n v="2634.5185270000002"/>
    <n v="10449.59764"/>
  </r>
  <r>
    <x v="8"/>
    <x v="0"/>
    <x v="0"/>
    <x v="3"/>
    <x v="49"/>
    <n v="8.5301733000000005E-2"/>
    <n v="8.5301733000000005E-2"/>
    <n v="1.2882134E-2"/>
    <n v="7.6771560000000003E-2"/>
  </r>
  <r>
    <x v="8"/>
    <x v="1"/>
    <x v="2"/>
    <x v="3"/>
    <x v="49"/>
    <n v="475.4403423"/>
    <n v="475.4403423"/>
    <n v="52.810985850000002"/>
    <n v="427.8963081"/>
  </r>
  <r>
    <x v="8"/>
    <x v="1"/>
    <x v="0"/>
    <x v="3"/>
    <x v="49"/>
    <n v="272.74661839999999"/>
    <n v="272.74661839999999"/>
    <n v="35.050368550000002"/>
    <n v="245.4719566"/>
  </r>
  <r>
    <x v="8"/>
    <x v="1"/>
    <x v="3"/>
    <x v="3"/>
    <x v="49"/>
    <n v="9156.2010570000002"/>
    <n v="9156.2010570000002"/>
    <n v="2867.2822139999998"/>
    <n v="8240.5809509999999"/>
  </r>
  <r>
    <x v="8"/>
    <x v="2"/>
    <x v="2"/>
    <x v="3"/>
    <x v="49"/>
    <n v="87.261838019999999"/>
    <n v="87.261838019999999"/>
    <n v="0.59972639999999999"/>
    <n v="78.535654230000006"/>
  </r>
  <r>
    <x v="8"/>
    <x v="0"/>
    <x v="2"/>
    <x v="3"/>
    <x v="49"/>
    <n v="201.63289259999999"/>
    <n v="201.63289259999999"/>
    <n v="4.0472147600000001"/>
    <n v="181.46960329999999"/>
  </r>
  <r>
    <x v="8"/>
    <x v="3"/>
    <x v="3"/>
    <x v="3"/>
    <x v="49"/>
    <n v="152.5213794"/>
    <n v="152.5213794"/>
    <n v="4.8234064E-2"/>
    <n v="137.26924149999999"/>
  </r>
  <r>
    <x v="9"/>
    <x v="0"/>
    <x v="2"/>
    <x v="0"/>
    <x v="0"/>
    <n v="6.1097771539999997"/>
    <n v="21.24483811"/>
    <n v="0.143575226"/>
    <n v="5.4987994389999999"/>
  </r>
  <r>
    <x v="9"/>
    <x v="1"/>
    <x v="1"/>
    <x v="0"/>
    <x v="0"/>
    <n v="32.509482009999999"/>
    <n v="113.0415505"/>
    <n v="10.30780221"/>
    <n v="29.258533809999999"/>
  </r>
  <r>
    <x v="9"/>
    <x v="1"/>
    <x v="3"/>
    <x v="0"/>
    <x v="0"/>
    <n v="18.666575900000002"/>
    <n v="64.907176340000007"/>
    <n v="5.4885530999999999"/>
    <n v="16.799918309999999"/>
  </r>
  <r>
    <x v="9"/>
    <x v="0"/>
    <x v="3"/>
    <x v="0"/>
    <x v="0"/>
    <n v="0.183109517"/>
    <n v="0.636706043"/>
    <n v="1.229429E-3"/>
    <n v="0.16479856500000001"/>
  </r>
  <r>
    <x v="9"/>
    <x v="3"/>
    <x v="3"/>
    <x v="0"/>
    <x v="0"/>
    <n v="0.44611276"/>
    <n v="1.55121752"/>
    <n v="2.5239199999999999E-4"/>
    <n v="0.40150148400000002"/>
  </r>
  <r>
    <x v="9"/>
    <x v="2"/>
    <x v="2"/>
    <x v="0"/>
    <x v="0"/>
    <n v="0.114489037"/>
    <n v="0.39809979899999998"/>
    <n v="6.7479999999999997E-3"/>
    <n v="0.10304013300000001"/>
  </r>
  <r>
    <x v="9"/>
    <x v="3"/>
    <x v="0"/>
    <x v="0"/>
    <x v="0"/>
    <n v="4.1446686440000002"/>
    <n v="14.41178822"/>
    <n v="2.3755080000000001E-3"/>
    <n v="3.7302017799999998"/>
  </r>
  <r>
    <x v="9"/>
    <x v="1"/>
    <x v="2"/>
    <x v="0"/>
    <x v="0"/>
    <n v="1.443952677"/>
    <n v="5.0208935759999997"/>
    <n v="0.19694088900000001"/>
    <n v="1.2995574089999999"/>
  </r>
  <r>
    <x v="9"/>
    <x v="0"/>
    <x v="0"/>
    <x v="0"/>
    <x v="0"/>
    <n v="7.2945367999999997E-2"/>
    <n v="0.25364468899999998"/>
    <n v="4.1864499999999999E-4"/>
    <n v="6.5650831000000007E-2"/>
  </r>
  <r>
    <x v="9"/>
    <x v="0"/>
    <x v="0"/>
    <x v="1"/>
    <x v="1"/>
    <n v="0.43009770000000003"/>
    <n v="0.52187768499999998"/>
    <n v="1.347125E-3"/>
    <n v="0.38708793000000002"/>
  </r>
  <r>
    <x v="9"/>
    <x v="2"/>
    <x v="2"/>
    <x v="1"/>
    <x v="1"/>
    <n v="0.50867975200000004"/>
    <n v="0.61722862199999995"/>
    <n v="2.2538699999999998E-2"/>
    <n v="0.457811776"/>
  </r>
  <r>
    <x v="9"/>
    <x v="3"/>
    <x v="3"/>
    <x v="1"/>
    <x v="1"/>
    <n v="8.1402407960000005"/>
    <n v="9.8773139590000003"/>
    <n v="5.3155909999999997E-3"/>
    <n v="7.3262167150000002"/>
  </r>
  <r>
    <x v="9"/>
    <x v="0"/>
    <x v="3"/>
    <x v="1"/>
    <x v="1"/>
    <n v="0.46497964000000003"/>
    <n v="0.56420319799999996"/>
    <n v="5.2780372999999998E-2"/>
    <n v="0.41848167600000002"/>
  </r>
  <r>
    <x v="9"/>
    <x v="0"/>
    <x v="2"/>
    <x v="1"/>
    <x v="1"/>
    <n v="28.245015510000002"/>
    <n v="34.272313670000003"/>
    <n v="0.41536080199999997"/>
    <n v="25.42051395"/>
  </r>
  <r>
    <x v="9"/>
    <x v="1"/>
    <x v="3"/>
    <x v="1"/>
    <x v="1"/>
    <n v="229.12425279999999"/>
    <n v="278.01784220000002"/>
    <n v="34.481312340000002"/>
    <n v="206.21182759999999"/>
  </r>
  <r>
    <x v="9"/>
    <x v="1"/>
    <x v="2"/>
    <x v="1"/>
    <x v="1"/>
    <n v="6.5649131900000004"/>
    <n v="7.9658219360000002"/>
    <n v="0.328973511"/>
    <n v="5.9084218709999998"/>
  </r>
  <r>
    <x v="9"/>
    <x v="1"/>
    <x v="1"/>
    <x v="1"/>
    <x v="1"/>
    <n v="427.77824029999999"/>
    <n v="519.06326739999997"/>
    <n v="66.555285549999994"/>
    <n v="385.00041629999998"/>
  </r>
  <r>
    <x v="9"/>
    <x v="3"/>
    <x v="0"/>
    <x v="1"/>
    <x v="1"/>
    <n v="13.09686947"/>
    <n v="15.89165418"/>
    <n v="7.3976090000000003E-3"/>
    <n v="11.78718252"/>
  </r>
  <r>
    <x v="9"/>
    <x v="0"/>
    <x v="2"/>
    <x v="2"/>
    <x v="2"/>
    <n v="1.2472509009999999"/>
    <n v="1.3577391599999999"/>
    <n v="2.4170693E-2"/>
    <n v="1.12252581"/>
  </r>
  <r>
    <x v="9"/>
    <x v="3"/>
    <x v="3"/>
    <x v="2"/>
    <x v="2"/>
    <n v="0.76072414300000002"/>
    <n v="0.82811321999999998"/>
    <n v="4.32025E-4"/>
    <n v="0.68465172900000004"/>
  </r>
  <r>
    <x v="9"/>
    <x v="2"/>
    <x v="2"/>
    <x v="2"/>
    <x v="2"/>
    <n v="0.20200874999999999"/>
    <n v="0.21990378299999999"/>
    <n v="9.4645000000000007E-3"/>
    <n v="0.18180787500000001"/>
  </r>
  <r>
    <x v="9"/>
    <x v="3"/>
    <x v="0"/>
    <x v="2"/>
    <x v="2"/>
    <n v="4.9540035209999997"/>
    <n v="5.3928560589999996"/>
    <n v="2.8323749999999998E-3"/>
    <n v="4.4586031689999999"/>
  </r>
  <r>
    <x v="9"/>
    <x v="0"/>
    <x v="0"/>
    <x v="2"/>
    <x v="2"/>
    <n v="1.9636803000000001E-2"/>
    <n v="2.1376338000000002E-2"/>
    <n v="1.31707E-4"/>
    <n v="1.7673122999999999E-2"/>
  </r>
  <r>
    <x v="9"/>
    <x v="1"/>
    <x v="3"/>
    <x v="2"/>
    <x v="2"/>
    <n v="61.443026080000003"/>
    <n v="66.885983049999993"/>
    <n v="8.6731445770000004"/>
    <n v="55.298723459999998"/>
  </r>
  <r>
    <x v="9"/>
    <x v="1"/>
    <x v="0"/>
    <x v="2"/>
    <x v="2"/>
    <n v="2.6369375900000001"/>
    <n v="2.8705318430000002"/>
    <n v="0.47842554399999998"/>
    <n v="2.3732438299999998"/>
  </r>
  <r>
    <x v="9"/>
    <x v="1"/>
    <x v="2"/>
    <x v="2"/>
    <x v="2"/>
    <n v="5.7298189129999999"/>
    <n v="6.2373973930000002"/>
    <n v="0.32761808799999997"/>
    <n v="5.1568370210000003"/>
  </r>
  <r>
    <x v="9"/>
    <x v="1"/>
    <x v="1"/>
    <x v="2"/>
    <x v="2"/>
    <n v="174.21325640000001"/>
    <n v="189.64601279999999"/>
    <n v="25.005703889999999"/>
    <n v="156.79193069999999"/>
  </r>
  <r>
    <x v="9"/>
    <x v="2"/>
    <x v="0"/>
    <x v="2"/>
    <x v="3"/>
    <n v="0.77662210099999995"/>
    <n v="0.84541950399999999"/>
    <n v="4.0674299999999999E-4"/>
    <n v="0.698959891"/>
  </r>
  <r>
    <x v="9"/>
    <x v="1"/>
    <x v="0"/>
    <x v="2"/>
    <x v="3"/>
    <n v="7.187138322"/>
    <n v="7.8238140700000001"/>
    <n v="0.30929595900000001"/>
    <n v="6.4684244910000004"/>
  </r>
  <r>
    <x v="9"/>
    <x v="1"/>
    <x v="3"/>
    <x v="2"/>
    <x v="3"/>
    <n v="43.056399599999999"/>
    <n v="46.870569330000002"/>
    <n v="6.2294382280000002"/>
    <n v="38.750759649999999"/>
  </r>
  <r>
    <x v="9"/>
    <x v="0"/>
    <x v="2"/>
    <x v="2"/>
    <x v="3"/>
    <n v="1.916683253"/>
    <n v="2.0864734660000002"/>
    <n v="3.6822434000000001E-2"/>
    <n v="1.7250149290000001"/>
  </r>
  <r>
    <x v="9"/>
    <x v="0"/>
    <x v="0"/>
    <x v="2"/>
    <x v="3"/>
    <n v="0.11169852600000001"/>
    <n v="0.121593388"/>
    <n v="5.1536599999999996E-4"/>
    <n v="0.100528673"/>
  </r>
  <r>
    <x v="9"/>
    <x v="2"/>
    <x v="2"/>
    <x v="2"/>
    <x v="3"/>
    <n v="0.75573538900000004"/>
    <n v="0.82268253400000002"/>
    <n v="1.5697856999999999E-2"/>
    <n v="0.68016184999999996"/>
  </r>
  <r>
    <x v="9"/>
    <x v="1"/>
    <x v="1"/>
    <x v="2"/>
    <x v="3"/>
    <n v="151.93252000000001"/>
    <n v="165.39152780000001"/>
    <n v="22.39178888"/>
    <n v="136.73926800000001"/>
  </r>
  <r>
    <x v="9"/>
    <x v="3"/>
    <x v="0"/>
    <x v="2"/>
    <x v="3"/>
    <n v="15.35744523"/>
    <n v="16.717891139999999"/>
    <n v="1.1705762E-2"/>
    <n v="13.82170071"/>
  </r>
  <r>
    <x v="9"/>
    <x v="3"/>
    <x v="3"/>
    <x v="2"/>
    <x v="3"/>
    <n v="2.0841849830000001"/>
    <n v="2.2688134080000002"/>
    <n v="1.514938E-3"/>
    <n v="1.875766485"/>
  </r>
  <r>
    <x v="9"/>
    <x v="1"/>
    <x v="2"/>
    <x v="2"/>
    <x v="3"/>
    <n v="3.7949942499999998"/>
    <n v="4.1311754519999999"/>
    <n v="0.19946713399999999"/>
    <n v="3.4154948250000001"/>
  </r>
  <r>
    <x v="9"/>
    <x v="2"/>
    <x v="2"/>
    <x v="0"/>
    <x v="4"/>
    <n v="0.48440913600000002"/>
    <n v="0.72102807300000005"/>
    <n v="4.5541000000000002E-3"/>
    <n v="0.43596822200000002"/>
  </r>
  <r>
    <x v="9"/>
    <x v="3"/>
    <x v="3"/>
    <x v="0"/>
    <x v="4"/>
    <n v="11.67711244"/>
    <n v="17.381022059999999"/>
    <n v="4.6912500000000001E-3"/>
    <n v="10.509401199999999"/>
  </r>
  <r>
    <x v="9"/>
    <x v="3"/>
    <x v="0"/>
    <x v="0"/>
    <x v="4"/>
    <n v="115.51108000000001"/>
    <n v="171.93468329999999"/>
    <n v="4.9221250000000001E-2"/>
    <n v="103.95997199999999"/>
  </r>
  <r>
    <x v="9"/>
    <x v="1"/>
    <x v="1"/>
    <x v="0"/>
    <x v="4"/>
    <n v="331.63265460000002"/>
    <n v="493.62498770000002"/>
    <n v="102.3054061"/>
    <n v="298.4693891"/>
  </r>
  <r>
    <x v="9"/>
    <x v="1"/>
    <x v="2"/>
    <x v="0"/>
    <x v="4"/>
    <n v="9.6402205209999998"/>
    <n v="14.349171200000001"/>
    <n v="1.884492726"/>
    <n v="8.6761984689999991"/>
  </r>
  <r>
    <x v="9"/>
    <x v="1"/>
    <x v="3"/>
    <x v="0"/>
    <x v="4"/>
    <n v="144.17026329999999"/>
    <n v="214.59299469999999"/>
    <n v="39.825471329999999"/>
    <n v="129.75323700000001"/>
  </r>
  <r>
    <x v="9"/>
    <x v="0"/>
    <x v="0"/>
    <x v="0"/>
    <x v="4"/>
    <n v="0.73144206000000001"/>
    <n v="1.0887289689999999"/>
    <n v="1.0183075E-2"/>
    <n v="0.65829785399999996"/>
  </r>
  <r>
    <x v="9"/>
    <x v="0"/>
    <x v="3"/>
    <x v="0"/>
    <x v="4"/>
    <n v="0.112823466"/>
    <n v="0.16793425300000001"/>
    <n v="7.0785300000000004E-4"/>
    <n v="0.10154112"/>
  </r>
  <r>
    <x v="9"/>
    <x v="0"/>
    <x v="2"/>
    <x v="0"/>
    <x v="4"/>
    <n v="29.113316609999998"/>
    <n v="43.334274710000003"/>
    <n v="0.34968587200000001"/>
    <n v="26.20198495"/>
  </r>
  <r>
    <x v="9"/>
    <x v="1"/>
    <x v="0"/>
    <x v="3"/>
    <x v="5"/>
    <n v="12.79275395"/>
    <n v="15.43548897"/>
    <n v="1.356657907"/>
    <n v="11.51347855"/>
  </r>
  <r>
    <x v="9"/>
    <x v="1"/>
    <x v="2"/>
    <x v="3"/>
    <x v="5"/>
    <n v="64.914945509999995"/>
    <n v="78.325115139999994"/>
    <n v="5.0229541119999999"/>
    <n v="58.423450959999997"/>
  </r>
  <r>
    <x v="9"/>
    <x v="1"/>
    <x v="1"/>
    <x v="3"/>
    <x v="5"/>
    <n v="632.86542429999997"/>
    <n v="763.60315549999996"/>
    <n v="228.9797164"/>
    <n v="569.57888190000006"/>
  </r>
  <r>
    <x v="9"/>
    <x v="2"/>
    <x v="2"/>
    <x v="3"/>
    <x v="5"/>
    <n v="0.37064328299999999"/>
    <n v="0.44721100200000002"/>
    <n v="1.5022560000000001E-2"/>
    <n v="0.33357895500000001"/>
  </r>
  <r>
    <x v="9"/>
    <x v="3"/>
    <x v="3"/>
    <x v="3"/>
    <x v="5"/>
    <n v="2.9321873790000001"/>
    <n v="3.5379204629999998"/>
    <n v="1.1702920000000001E-3"/>
    <n v="2.6389686409999999"/>
  </r>
  <r>
    <x v="9"/>
    <x v="3"/>
    <x v="0"/>
    <x v="3"/>
    <x v="5"/>
    <n v="54.65266003"/>
    <n v="65.942840369999999"/>
    <n v="2.2075707999999999E-2"/>
    <n v="49.18739403"/>
  </r>
  <r>
    <x v="9"/>
    <x v="0"/>
    <x v="2"/>
    <x v="3"/>
    <x v="5"/>
    <n v="9.7738418429999996"/>
    <n v="11.792928140000001"/>
    <n v="0.44255162199999998"/>
    <n v="8.7964576579999996"/>
  </r>
  <r>
    <x v="9"/>
    <x v="0"/>
    <x v="0"/>
    <x v="3"/>
    <x v="5"/>
    <n v="6.4647970000000004E-3"/>
    <n v="7.8002990000000001E-3"/>
    <n v="6.5337800000000003E-4"/>
    <n v="5.8183169999999999E-3"/>
  </r>
  <r>
    <x v="9"/>
    <x v="1"/>
    <x v="3"/>
    <x v="3"/>
    <x v="5"/>
    <n v="344.75910049999999"/>
    <n v="415.97964889999997"/>
    <n v="127.95877609999999"/>
    <n v="310.28319049999999"/>
  </r>
  <r>
    <x v="9"/>
    <x v="2"/>
    <x v="0"/>
    <x v="3"/>
    <x v="5"/>
    <n v="2.0195486740000002"/>
    <n v="2.4367482890000001"/>
    <n v="3.4978399999999999E-3"/>
    <n v="1.8175938060000001"/>
  </r>
  <r>
    <x v="9"/>
    <x v="2"/>
    <x v="2"/>
    <x v="0"/>
    <x v="6"/>
    <n v="0.859418032"/>
    <n v="1.049893567"/>
    <n v="2.2385599999999999E-2"/>
    <n v="0.77347622900000002"/>
  </r>
  <r>
    <x v="9"/>
    <x v="3"/>
    <x v="3"/>
    <x v="0"/>
    <x v="6"/>
    <n v="0.15912514"/>
    <n v="0.194392548"/>
    <n v="6.9908999999999998E-5"/>
    <n v="0.14321262600000001"/>
  </r>
  <r>
    <x v="9"/>
    <x v="3"/>
    <x v="0"/>
    <x v="0"/>
    <x v="6"/>
    <n v="2.4340125000000001"/>
    <n v="2.9734703850000002"/>
    <n v="9.6529099999999996E-4"/>
    <n v="2.1906112499999999"/>
  </r>
  <r>
    <x v="9"/>
    <x v="1"/>
    <x v="2"/>
    <x v="0"/>
    <x v="6"/>
    <n v="10.69745872"/>
    <n v="13.068370310000001"/>
    <n v="0.487113295"/>
    <n v="9.6277128469999997"/>
  </r>
  <r>
    <x v="9"/>
    <x v="1"/>
    <x v="3"/>
    <x v="0"/>
    <x v="6"/>
    <n v="37.738167420000003"/>
    <n v="46.102196749999997"/>
    <n v="6.7240024470000002"/>
    <n v="33.964350680000003"/>
  </r>
  <r>
    <x v="9"/>
    <x v="0"/>
    <x v="2"/>
    <x v="0"/>
    <x v="6"/>
    <n v="17.182982540000001"/>
    <n v="20.991301279999998"/>
    <n v="0.29761458000000002"/>
    <n v="15.464684289999999"/>
  </r>
  <r>
    <x v="9"/>
    <x v="0"/>
    <x v="0"/>
    <x v="0"/>
    <x v="6"/>
    <n v="0.18794071200000001"/>
    <n v="0.22959460600000001"/>
    <n v="8.0992E-4"/>
    <n v="0.16914664099999999"/>
  </r>
  <r>
    <x v="9"/>
    <x v="0"/>
    <x v="3"/>
    <x v="0"/>
    <x v="6"/>
    <n v="0.33120134200000001"/>
    <n v="0.40460654200000001"/>
    <n v="1.486001E-3"/>
    <n v="0.29808120799999999"/>
  </r>
  <r>
    <x v="9"/>
    <x v="1"/>
    <x v="1"/>
    <x v="0"/>
    <x v="6"/>
    <n v="73.947729100000004"/>
    <n v="90.336998059999999"/>
    <n v="12.88128186"/>
    <n v="66.552956190000003"/>
  </r>
  <r>
    <x v="9"/>
    <x v="3"/>
    <x v="0"/>
    <x v="4"/>
    <x v="7"/>
    <n v="90.412406840000003"/>
    <n v="94.484379270000005"/>
    <n v="7.3154485000000005E-2"/>
    <n v="81.37116614"/>
  </r>
  <r>
    <x v="9"/>
    <x v="1"/>
    <x v="3"/>
    <x v="4"/>
    <x v="7"/>
    <n v="5775.059483"/>
    <n v="6035.1552350000002"/>
    <n v="1633.9573949999999"/>
    <n v="5197.553535"/>
  </r>
  <r>
    <x v="9"/>
    <x v="0"/>
    <x v="2"/>
    <x v="4"/>
    <x v="7"/>
    <n v="524.0310786"/>
    <n v="547.63226550000002"/>
    <n v="7.3102170720000004"/>
    <n v="471.62797089999998"/>
  </r>
  <r>
    <x v="9"/>
    <x v="0"/>
    <x v="3"/>
    <x v="4"/>
    <x v="7"/>
    <n v="13.27581788"/>
    <n v="13.873730999999999"/>
    <n v="0.10536324699999999"/>
    <n v="11.94823609"/>
  </r>
  <r>
    <x v="9"/>
    <x v="2"/>
    <x v="2"/>
    <x v="4"/>
    <x v="7"/>
    <n v="100.4337898"/>
    <n v="104.9571028"/>
    <n v="1.1686569"/>
    <n v="90.390410790000004"/>
  </r>
  <r>
    <x v="9"/>
    <x v="3"/>
    <x v="3"/>
    <x v="4"/>
    <x v="7"/>
    <n v="13.44658562"/>
    <n v="14.052189739999999"/>
    <n v="1.1325015000000001E-2"/>
    <n v="12.10192706"/>
  </r>
  <r>
    <x v="9"/>
    <x v="0"/>
    <x v="0"/>
    <x v="4"/>
    <x v="7"/>
    <n v="2.2139770040000002"/>
    <n v="2.313689573"/>
    <n v="1.2187882000000001E-2"/>
    <n v="1.9925793039999999"/>
  </r>
  <r>
    <x v="9"/>
    <x v="1"/>
    <x v="1"/>
    <x v="4"/>
    <x v="7"/>
    <n v="8838.1571359999998"/>
    <n v="9236.2079510000003"/>
    <n v="2103.0696309999998"/>
    <n v="7954.3414229999998"/>
  </r>
  <r>
    <x v="9"/>
    <x v="3"/>
    <x v="0"/>
    <x v="0"/>
    <x v="8"/>
    <n v="1.2679910489999999"/>
    <n v="1.9385229260000001"/>
    <n v="5.3898800000000001E-4"/>
    <n v="1.1411919450000001"/>
  </r>
  <r>
    <x v="9"/>
    <x v="3"/>
    <x v="3"/>
    <x v="0"/>
    <x v="8"/>
    <n v="4.3313364E-2"/>
    <n v="6.6218093000000006E-2"/>
    <n v="1.8411699999999999E-5"/>
    <n v="3.8982028000000002E-2"/>
  </r>
  <r>
    <x v="9"/>
    <x v="0"/>
    <x v="3"/>
    <x v="0"/>
    <x v="8"/>
    <n v="8.1108387000000004E-2"/>
    <n v="0.12399966699999999"/>
    <n v="4.8094700000000002E-4"/>
    <n v="7.2997547999999995E-2"/>
  </r>
  <r>
    <x v="9"/>
    <x v="0"/>
    <x v="0"/>
    <x v="0"/>
    <x v="8"/>
    <n v="0.133120564"/>
    <n v="0.20351663"/>
    <n v="1.737155E-3"/>
    <n v="0.11980850699999999"/>
  </r>
  <r>
    <x v="9"/>
    <x v="0"/>
    <x v="2"/>
    <x v="0"/>
    <x v="8"/>
    <n v="5.5122920569999998"/>
    <n v="8.4272712589999994"/>
    <n v="7.6976999000000004E-2"/>
    <n v="4.9610628510000003"/>
  </r>
  <r>
    <x v="9"/>
    <x v="1"/>
    <x v="2"/>
    <x v="0"/>
    <x v="8"/>
    <n v="3.9445381629999998"/>
    <n v="6.0304665909999997"/>
    <n v="0.484463107"/>
    <n v="3.5500843469999999"/>
  </r>
  <r>
    <x v="9"/>
    <x v="1"/>
    <x v="1"/>
    <x v="0"/>
    <x v="8"/>
    <n v="45.102296709999997"/>
    <n v="68.953038930000005"/>
    <n v="15.966457269999999"/>
    <n v="40.592067049999997"/>
  </r>
  <r>
    <x v="9"/>
    <x v="1"/>
    <x v="3"/>
    <x v="0"/>
    <x v="8"/>
    <n v="21.134225069999999"/>
    <n v="32.310306799999999"/>
    <n v="6.3268305250000001"/>
    <n v="19.020802570000001"/>
  </r>
  <r>
    <x v="9"/>
    <x v="2"/>
    <x v="2"/>
    <x v="0"/>
    <x v="8"/>
    <n v="0.57276961299999996"/>
    <n v="0.87565840900000003"/>
    <n v="1.7907699999999999E-2"/>
    <n v="0.51549265099999997"/>
  </r>
  <r>
    <x v="9"/>
    <x v="2"/>
    <x v="2"/>
    <x v="5"/>
    <x v="9"/>
    <n v="0.52997925499999998"/>
    <n v="0.56400783099999996"/>
    <n v="6.5928000000000002E-3"/>
    <n v="0.47698132900000001"/>
  </r>
  <r>
    <x v="9"/>
    <x v="0"/>
    <x v="3"/>
    <x v="5"/>
    <x v="9"/>
    <n v="0.15284945599999999"/>
    <n v="0.16266351800000001"/>
    <n v="2.0865670000000001E-3"/>
    <n v="0.137564511"/>
  </r>
  <r>
    <x v="9"/>
    <x v="0"/>
    <x v="0"/>
    <x v="5"/>
    <x v="9"/>
    <n v="0.26059654100000001"/>
    <n v="0.27732876099999998"/>
    <n v="2.11678E-3"/>
    <n v="0.234536887"/>
  </r>
  <r>
    <x v="9"/>
    <x v="0"/>
    <x v="2"/>
    <x v="5"/>
    <x v="9"/>
    <n v="5.1240445079999999"/>
    <n v="5.453045951"/>
    <n v="6.0520952000000003E-2"/>
    <n v="4.6116400569999998"/>
  </r>
  <r>
    <x v="9"/>
    <x v="1"/>
    <x v="3"/>
    <x v="5"/>
    <x v="9"/>
    <n v="24.509516560000002"/>
    <n v="26.083208259999999"/>
    <n v="6.4957270449999998"/>
    <n v="22.0585649"/>
  </r>
  <r>
    <x v="9"/>
    <x v="1"/>
    <x v="0"/>
    <x v="5"/>
    <x v="9"/>
    <n v="1.2844167660000001"/>
    <n v="1.3668857940000001"/>
    <n v="0.31914207900000002"/>
    <n v="1.155975089"/>
  </r>
  <r>
    <x v="9"/>
    <x v="1"/>
    <x v="2"/>
    <x v="5"/>
    <x v="9"/>
    <n v="2.501651635"/>
    <n v="2.6622761179999999"/>
    <n v="0.31051278500000001"/>
    <n v="2.2514864710000002"/>
  </r>
  <r>
    <x v="9"/>
    <x v="1"/>
    <x v="1"/>
    <x v="5"/>
    <x v="9"/>
    <n v="100.8694905"/>
    <n v="107.34605569999999"/>
    <n v="21.63009989"/>
    <n v="90.782541480000006"/>
  </r>
  <r>
    <x v="9"/>
    <x v="2"/>
    <x v="2"/>
    <x v="2"/>
    <x v="10"/>
    <n v="0.13923794"/>
    <n v="0.151238076"/>
    <n v="1.622664E-3"/>
    <n v="0.12531414599999999"/>
  </r>
  <r>
    <x v="9"/>
    <x v="0"/>
    <x v="2"/>
    <x v="2"/>
    <x v="10"/>
    <n v="0.97464081599999997"/>
    <n v="1.058639632"/>
    <n v="1.8531873000000001E-2"/>
    <n v="0.87717673399999996"/>
  </r>
  <r>
    <x v="9"/>
    <x v="3"/>
    <x v="3"/>
    <x v="2"/>
    <x v="10"/>
    <n v="2.3356949089999999"/>
    <n v="2.5369953289999998"/>
    <n v="1.7988850000000001E-3"/>
    <n v="2.102125418"/>
  </r>
  <r>
    <x v="9"/>
    <x v="3"/>
    <x v="0"/>
    <x v="2"/>
    <x v="10"/>
    <n v="15.80607447"/>
    <n v="17.16831122"/>
    <n v="1.2564315E-2"/>
    <n v="14.22546702"/>
  </r>
  <r>
    <x v="9"/>
    <x v="1"/>
    <x v="1"/>
    <x v="2"/>
    <x v="10"/>
    <n v="128.90491470000001"/>
    <n v="140.01450500000001"/>
    <n v="19.03196093"/>
    <n v="116.0144232"/>
  </r>
  <r>
    <x v="9"/>
    <x v="1"/>
    <x v="0"/>
    <x v="2"/>
    <x v="10"/>
    <n v="1.665747372"/>
    <n v="1.8093087779999999"/>
    <n v="0.22468948899999999"/>
    <n v="1.4991726350000001"/>
  </r>
  <r>
    <x v="9"/>
    <x v="0"/>
    <x v="0"/>
    <x v="2"/>
    <x v="10"/>
    <n v="3.0969580999999999E-2"/>
    <n v="3.3638675E-2"/>
    <n v="1.68927E-4"/>
    <n v="2.7872622999999999E-2"/>
  </r>
  <r>
    <x v="9"/>
    <x v="1"/>
    <x v="2"/>
    <x v="2"/>
    <x v="10"/>
    <n v="3.1053659759999999"/>
    <n v="3.3730000210000002"/>
    <n v="0.21517334900000001"/>
    <n v="2.7948293789999998"/>
  </r>
  <r>
    <x v="9"/>
    <x v="1"/>
    <x v="3"/>
    <x v="2"/>
    <x v="10"/>
    <n v="42.100998240000003"/>
    <n v="45.729446709999998"/>
    <n v="6.7794337330000003"/>
    <n v="37.890898409999998"/>
  </r>
  <r>
    <x v="9"/>
    <x v="2"/>
    <x v="0"/>
    <x v="2"/>
    <x v="10"/>
    <n v="0.51335666499999999"/>
    <n v="0.55759999100000002"/>
    <n v="5.6573599999999995E-4"/>
    <n v="0.46202099800000002"/>
  </r>
  <r>
    <x v="9"/>
    <x v="1"/>
    <x v="0"/>
    <x v="2"/>
    <x v="11"/>
    <n v="1.9571582080000001"/>
    <n v="2.1305339110000001"/>
    <n v="0.29343686200000002"/>
    <n v="1.761442387"/>
  </r>
  <r>
    <x v="9"/>
    <x v="1"/>
    <x v="2"/>
    <x v="2"/>
    <x v="11"/>
    <n v="3.4117025750000001"/>
    <n v="3.7139297189999998"/>
    <n v="0.293288834"/>
    <n v="3.0705323180000001"/>
  </r>
  <r>
    <x v="9"/>
    <x v="2"/>
    <x v="2"/>
    <x v="2"/>
    <x v="11"/>
    <n v="0.92685551300000002"/>
    <n v="1.008961408"/>
    <n v="1.5007700000000001E-2"/>
    <n v="0.83416996099999996"/>
  </r>
  <r>
    <x v="9"/>
    <x v="3"/>
    <x v="3"/>
    <x v="2"/>
    <x v="11"/>
    <n v="0.44884790099999999"/>
    <n v="0.48860928599999998"/>
    <n v="3.7289700000000002E-4"/>
    <n v="0.40396311099999999"/>
  </r>
  <r>
    <x v="9"/>
    <x v="3"/>
    <x v="0"/>
    <x v="2"/>
    <x v="11"/>
    <n v="2.0450373239999999"/>
    <n v="2.226197838"/>
    <n v="1.830503E-3"/>
    <n v="1.8405335920000001"/>
  </r>
  <r>
    <x v="9"/>
    <x v="0"/>
    <x v="0"/>
    <x v="2"/>
    <x v="11"/>
    <n v="6.4434139999999997E-3"/>
    <n v="7.0142069999999997E-3"/>
    <n v="4.38553E-5"/>
    <n v="5.7990730000000001E-3"/>
  </r>
  <r>
    <x v="9"/>
    <x v="0"/>
    <x v="2"/>
    <x v="2"/>
    <x v="11"/>
    <n v="0.58169522100000004"/>
    <n v="0.63322494299999998"/>
    <n v="1.6058844999999999E-2"/>
    <n v="0.52352569800000004"/>
  </r>
  <r>
    <x v="9"/>
    <x v="1"/>
    <x v="3"/>
    <x v="2"/>
    <x v="11"/>
    <n v="56.68165372"/>
    <n v="61.70282246"/>
    <n v="9.4301387339999998"/>
    <n v="51.013488350000003"/>
  </r>
  <r>
    <x v="9"/>
    <x v="1"/>
    <x v="1"/>
    <x v="2"/>
    <x v="11"/>
    <n v="183.28324319999999"/>
    <n v="199.51946839999999"/>
    <n v="26.870792269999999"/>
    <n v="164.9549189"/>
  </r>
  <r>
    <x v="9"/>
    <x v="2"/>
    <x v="2"/>
    <x v="2"/>
    <x v="12"/>
    <n v="1.1631187430000001"/>
    <n v="1.2661541190000001"/>
    <n v="2.7102225000000001E-2"/>
    <n v="1.0468068690000001"/>
  </r>
  <r>
    <x v="9"/>
    <x v="1"/>
    <x v="1"/>
    <x v="2"/>
    <x v="12"/>
    <n v="809.3316969"/>
    <n v="881.0266944"/>
    <n v="141.31469079999999"/>
    <n v="728.39852719999999"/>
  </r>
  <r>
    <x v="9"/>
    <x v="3"/>
    <x v="3"/>
    <x v="2"/>
    <x v="12"/>
    <n v="11.815391350000001"/>
    <n v="12.862062890000001"/>
    <n v="6.5837769999999999E-3"/>
    <n v="10.633852210000001"/>
  </r>
  <r>
    <x v="9"/>
    <x v="3"/>
    <x v="0"/>
    <x v="2"/>
    <x v="12"/>
    <n v="71.167375219999997"/>
    <n v="77.471767839999998"/>
    <n v="4.2252222999999998E-2"/>
    <n v="64.050637690000002"/>
  </r>
  <r>
    <x v="9"/>
    <x v="0"/>
    <x v="3"/>
    <x v="2"/>
    <x v="12"/>
    <n v="1.3305291299999999"/>
    <n v="1.448394626"/>
    <n v="3.7589165000000001E-2"/>
    <n v="1.197476217"/>
  </r>
  <r>
    <x v="9"/>
    <x v="0"/>
    <x v="0"/>
    <x v="2"/>
    <x v="12"/>
    <n v="0.37240963999999999"/>
    <n v="0.405399709"/>
    <n v="6.5865020000000002E-3"/>
    <n v="0.335168676"/>
  </r>
  <r>
    <x v="9"/>
    <x v="0"/>
    <x v="2"/>
    <x v="2"/>
    <x v="12"/>
    <n v="21.88260725"/>
    <n v="23.82108745"/>
    <n v="0.336382134"/>
    <n v="19.694346530000001"/>
  </r>
  <r>
    <x v="9"/>
    <x v="1"/>
    <x v="3"/>
    <x v="2"/>
    <x v="12"/>
    <n v="335.1756853"/>
    <n v="364.86736789999998"/>
    <n v="55.435189919999999"/>
    <n v="301.65811669999999"/>
  </r>
  <r>
    <x v="9"/>
    <x v="1"/>
    <x v="0"/>
    <x v="2"/>
    <x v="12"/>
    <n v="25.596799140000002"/>
    <n v="27.864302630000001"/>
    <n v="1.662722408"/>
    <n v="23.037119229999998"/>
  </r>
  <r>
    <x v="9"/>
    <x v="1"/>
    <x v="2"/>
    <x v="2"/>
    <x v="12"/>
    <n v="19.683080499999999"/>
    <n v="21.42671468"/>
    <n v="1.7089686449999999"/>
    <n v="17.714772450000002"/>
  </r>
  <r>
    <x v="9"/>
    <x v="2"/>
    <x v="0"/>
    <x v="2"/>
    <x v="12"/>
    <n v="0.113726824"/>
    <n v="0.123801363"/>
    <n v="1.19675E-4"/>
    <n v="0.102354141"/>
  </r>
  <r>
    <x v="9"/>
    <x v="2"/>
    <x v="2"/>
    <x v="2"/>
    <x v="13"/>
    <n v="2.8551484999999999"/>
    <n v="3.1080730609999998"/>
    <n v="6.8873553000000004E-2"/>
    <n v="2.5696336500000001"/>
  </r>
  <r>
    <x v="9"/>
    <x v="0"/>
    <x v="3"/>
    <x v="2"/>
    <x v="13"/>
    <n v="1.821947698"/>
    <n v="1.98334572"/>
    <n v="5.2771278999999997E-2"/>
    <n v="1.6397529280000001"/>
  </r>
  <r>
    <x v="9"/>
    <x v="3"/>
    <x v="0"/>
    <x v="2"/>
    <x v="13"/>
    <n v="233.26283570000001"/>
    <n v="253.92652459999999"/>
    <n v="0.13139479500000001"/>
    <n v="209.9365521"/>
  </r>
  <r>
    <x v="9"/>
    <x v="1"/>
    <x v="2"/>
    <x v="2"/>
    <x v="13"/>
    <n v="50.980751120000001"/>
    <n v="55.496902939999998"/>
    <n v="3.061515413"/>
    <n v="45.882675999999996"/>
  </r>
  <r>
    <x v="9"/>
    <x v="1"/>
    <x v="0"/>
    <x v="2"/>
    <x v="13"/>
    <n v="25.00608909"/>
    <n v="27.22126428"/>
    <n v="2.9301587169999999"/>
    <n v="22.505480179999999"/>
  </r>
  <r>
    <x v="9"/>
    <x v="1"/>
    <x v="3"/>
    <x v="2"/>
    <x v="13"/>
    <n v="590.52833290000001"/>
    <n v="642.84054000000003"/>
    <n v="128.98457730000001"/>
    <n v="531.47549960000003"/>
  </r>
  <r>
    <x v="9"/>
    <x v="0"/>
    <x v="2"/>
    <x v="2"/>
    <x v="13"/>
    <n v="18.655253049999999"/>
    <n v="20.307836689999998"/>
    <n v="0.343307996"/>
    <n v="16.789727750000001"/>
  </r>
  <r>
    <x v="9"/>
    <x v="1"/>
    <x v="1"/>
    <x v="2"/>
    <x v="13"/>
    <n v="1205.5686679999999"/>
    <n v="1312.3644879999999"/>
    <n v="200.54806060000001"/>
    <n v="1085.0118010000001"/>
  </r>
  <r>
    <x v="9"/>
    <x v="0"/>
    <x v="0"/>
    <x v="2"/>
    <x v="13"/>
    <n v="0.582989541"/>
    <n v="0.63463392100000005"/>
    <n v="8.7030240000000002E-3"/>
    <n v="0.52469058700000004"/>
  </r>
  <r>
    <x v="9"/>
    <x v="3"/>
    <x v="3"/>
    <x v="2"/>
    <x v="13"/>
    <n v="17.475640590000001"/>
    <n v="19.023727749999999"/>
    <n v="1.5569905E-2"/>
    <n v="15.728076529999999"/>
  </r>
  <r>
    <x v="9"/>
    <x v="2"/>
    <x v="0"/>
    <x v="2"/>
    <x v="13"/>
    <n v="0.21368277599999999"/>
    <n v="0.23261195700000001"/>
    <n v="4.8184699999999998E-4"/>
    <n v="0.192314499"/>
  </r>
  <r>
    <x v="9"/>
    <x v="3"/>
    <x v="0"/>
    <x v="2"/>
    <x v="14"/>
    <n v="0.47385821099999997"/>
    <n v="0.51583514500000005"/>
    <n v="3.3602700000000003E-4"/>
    <n v="0.42647238900000001"/>
  </r>
  <r>
    <x v="9"/>
    <x v="0"/>
    <x v="2"/>
    <x v="2"/>
    <x v="14"/>
    <n v="0.69812319"/>
    <n v="0.75996673299999995"/>
    <n v="1.05366E-2"/>
    <n v="0.62831087100000005"/>
  </r>
  <r>
    <x v="9"/>
    <x v="1"/>
    <x v="3"/>
    <x v="2"/>
    <x v="14"/>
    <n v="18.28950554"/>
    <n v="19.909689270000001"/>
    <n v="3.1472202629999999"/>
    <n v="16.460554980000001"/>
  </r>
  <r>
    <x v="9"/>
    <x v="1"/>
    <x v="0"/>
    <x v="2"/>
    <x v="14"/>
    <n v="0.59616841200000004"/>
    <n v="0.64898024700000001"/>
    <n v="7.6173843000000005E-2"/>
    <n v="0.53655156999999998"/>
  </r>
  <r>
    <x v="9"/>
    <x v="1"/>
    <x v="2"/>
    <x v="2"/>
    <x v="14"/>
    <n v="1.580683195"/>
    <n v="1.7207086979999999"/>
    <n v="8.9560374999999998E-2"/>
    <n v="1.4226148750000001"/>
  </r>
  <r>
    <x v="9"/>
    <x v="1"/>
    <x v="1"/>
    <x v="2"/>
    <x v="14"/>
    <n v="59.410378909999999"/>
    <n v="64.673272949999998"/>
    <n v="8.9880196189999992"/>
    <n v="53.469341010000001"/>
  </r>
  <r>
    <x v="9"/>
    <x v="2"/>
    <x v="2"/>
    <x v="2"/>
    <x v="14"/>
    <n v="0.56577147699999997"/>
    <n v="0.61589058699999999"/>
    <n v="1.1766229E-2"/>
    <n v="0.50919433000000003"/>
  </r>
  <r>
    <x v="9"/>
    <x v="2"/>
    <x v="0"/>
    <x v="2"/>
    <x v="14"/>
    <n v="0.159469901"/>
    <n v="0.17359661100000001"/>
    <n v="3.1277099999999999E-4"/>
    <n v="0.143522911"/>
  </r>
  <r>
    <x v="9"/>
    <x v="3"/>
    <x v="3"/>
    <x v="2"/>
    <x v="14"/>
    <n v="9.9730738999999999E-2"/>
    <n v="0.108565429"/>
    <n v="7.1972900000000003E-5"/>
    <n v="8.9757665E-2"/>
  </r>
  <r>
    <x v="9"/>
    <x v="0"/>
    <x v="3"/>
    <x v="4"/>
    <x v="15"/>
    <n v="9.5063395999999994E-2"/>
    <n v="9.5832663999999998E-2"/>
    <n v="5.0737988999999997E-2"/>
    <n v="8.5557057000000006E-2"/>
  </r>
  <r>
    <x v="9"/>
    <x v="3"/>
    <x v="0"/>
    <x v="4"/>
    <x v="15"/>
    <n v="8.2213877110000002"/>
    <n v="8.2879164210000003"/>
    <n v="7.6737000000000003E-3"/>
    <n v="7.3992489389999996"/>
  </r>
  <r>
    <x v="9"/>
    <x v="0"/>
    <x v="0"/>
    <x v="4"/>
    <x v="15"/>
    <n v="2.0631179999999999E-2"/>
    <n v="2.0798131000000001E-2"/>
    <n v="8.7532200000000002E-5"/>
    <n v="1.8568062E-2"/>
  </r>
  <r>
    <x v="9"/>
    <x v="0"/>
    <x v="2"/>
    <x v="4"/>
    <x v="15"/>
    <n v="6.8567150239999997"/>
    <n v="6.912200597"/>
    <n v="0.41097087900000001"/>
    <n v="6.1710435199999996"/>
  </r>
  <r>
    <x v="9"/>
    <x v="1"/>
    <x v="3"/>
    <x v="4"/>
    <x v="15"/>
    <n v="84.426727889999995"/>
    <n v="85.109921709999995"/>
    <n v="20.346295229999999"/>
    <n v="75.98405511"/>
  </r>
  <r>
    <x v="9"/>
    <x v="1"/>
    <x v="1"/>
    <x v="4"/>
    <x v="15"/>
    <n v="184.6214272"/>
    <n v="186.11541170000001"/>
    <n v="40.591157670000001"/>
    <n v="166.15928450000001"/>
  </r>
  <r>
    <x v="9"/>
    <x v="2"/>
    <x v="2"/>
    <x v="4"/>
    <x v="15"/>
    <n v="0.53234286099999995"/>
    <n v="0.53665065999999995"/>
    <n v="8.1313200000000002E-2"/>
    <n v="0.47910857499999998"/>
  </r>
  <r>
    <x v="9"/>
    <x v="3"/>
    <x v="3"/>
    <x v="5"/>
    <x v="16"/>
    <n v="3.2905149999999999E-3"/>
    <n v="3.7239259999999998E-3"/>
    <n v="1.9884500000000001E-4"/>
    <n v="2.9614630000000001E-3"/>
  </r>
  <r>
    <x v="9"/>
    <x v="3"/>
    <x v="0"/>
    <x v="5"/>
    <x v="16"/>
    <n v="2.4293975999999998E-2"/>
    <n v="2.7493863E-2"/>
    <n v="1.4713549999999999E-3"/>
    <n v="2.1864578999999999E-2"/>
  </r>
  <r>
    <x v="9"/>
    <x v="2"/>
    <x v="2"/>
    <x v="5"/>
    <x v="16"/>
    <n v="0.12861456800000001"/>
    <n v="0.14555506700000001"/>
    <n v="2.4767579999999999E-3"/>
    <n v="0.11575311100000001"/>
  </r>
  <r>
    <x v="9"/>
    <x v="2"/>
    <x v="0"/>
    <x v="5"/>
    <x v="16"/>
    <n v="0.111440054"/>
    <n v="0.12611840899999999"/>
    <n v="1.8084199999999999E-4"/>
    <n v="0.100296049"/>
  </r>
  <r>
    <x v="9"/>
    <x v="0"/>
    <x v="3"/>
    <x v="5"/>
    <x v="16"/>
    <n v="1.492456E-2"/>
    <n v="1.6890352000000001E-2"/>
    <n v="3.0806399999999998E-4"/>
    <n v="1.3432104E-2"/>
  </r>
  <r>
    <x v="9"/>
    <x v="0"/>
    <x v="0"/>
    <x v="5"/>
    <x v="16"/>
    <n v="2.5154737999999999E-2"/>
    <n v="2.8468001E-2"/>
    <n v="2.7265500000000001E-4"/>
    <n v="2.2639264999999999E-2"/>
  </r>
  <r>
    <x v="9"/>
    <x v="1"/>
    <x v="3"/>
    <x v="5"/>
    <x v="16"/>
    <n v="16.819482090000001"/>
    <n v="19.034864349999999"/>
    <n v="5.1416385089999999"/>
    <n v="15.137533879999999"/>
  </r>
  <r>
    <x v="9"/>
    <x v="1"/>
    <x v="0"/>
    <x v="5"/>
    <x v="16"/>
    <n v="0.65122099200000005"/>
    <n v="0.73699672699999996"/>
    <n v="0.172860387"/>
    <n v="0.58609889299999995"/>
  </r>
  <r>
    <x v="9"/>
    <x v="1"/>
    <x v="2"/>
    <x v="5"/>
    <x v="16"/>
    <n v="1.3955426120000001"/>
    <n v="1.579356854"/>
    <n v="0.19670783999999999"/>
    <n v="1.2559883510000001"/>
  </r>
  <r>
    <x v="9"/>
    <x v="1"/>
    <x v="1"/>
    <x v="5"/>
    <x v="16"/>
    <n v="61.836331209999997"/>
    <n v="69.981118949999995"/>
    <n v="14.115852459999999"/>
    <n v="55.652698090000001"/>
  </r>
  <r>
    <x v="9"/>
    <x v="0"/>
    <x v="2"/>
    <x v="5"/>
    <x v="16"/>
    <n v="0.73661175899999998"/>
    <n v="0.83363475899999995"/>
    <n v="1.0610981E-2"/>
    <n v="0.66295058200000001"/>
  </r>
  <r>
    <x v="9"/>
    <x v="1"/>
    <x v="3"/>
    <x v="6"/>
    <x v="17"/>
    <n v="250.5971376"/>
    <n v="272.49144289999998"/>
    <n v="60.776267529999998"/>
    <n v="225.5374238"/>
  </r>
  <r>
    <x v="9"/>
    <x v="0"/>
    <x v="2"/>
    <x v="6"/>
    <x v="17"/>
    <n v="17.680248209999998"/>
    <n v="19.224945640000001"/>
    <n v="0.26104323400000001"/>
    <n v="15.912223389999999"/>
  </r>
  <r>
    <x v="9"/>
    <x v="1"/>
    <x v="1"/>
    <x v="6"/>
    <x v="17"/>
    <n v="533.52328109999996"/>
    <n v="580.13642970000001"/>
    <n v="104.82587409999999"/>
    <n v="480.170953"/>
  </r>
  <r>
    <x v="9"/>
    <x v="0"/>
    <x v="3"/>
    <x v="6"/>
    <x v="17"/>
    <n v="0.112277629"/>
    <n v="0.122087161"/>
    <n v="9.6633239999999992E-3"/>
    <n v="0.101049866"/>
  </r>
  <r>
    <x v="9"/>
    <x v="2"/>
    <x v="2"/>
    <x v="6"/>
    <x v="17"/>
    <n v="4.7817767660000001"/>
    <n v="5.1995536070000004"/>
    <n v="9.35811E-2"/>
    <n v="4.3035990890000004"/>
  </r>
  <r>
    <x v="9"/>
    <x v="0"/>
    <x v="0"/>
    <x v="6"/>
    <x v="17"/>
    <n v="0.64621368000000001"/>
    <n v="0.70267242399999996"/>
    <n v="9.5454299999999997E-4"/>
    <n v="0.58159231199999994"/>
  </r>
  <r>
    <x v="9"/>
    <x v="1"/>
    <x v="2"/>
    <x v="6"/>
    <x v="17"/>
    <n v="10.06268229"/>
    <n v="10.941844120000001"/>
    <n v="0.33964251000000001"/>
    <n v="9.0564140609999999"/>
  </r>
  <r>
    <x v="9"/>
    <x v="1"/>
    <x v="2"/>
    <x v="6"/>
    <x v="18"/>
    <n v="1.510240834"/>
    <n v="1.9331304439999999"/>
    <n v="0.109028079"/>
    <n v="1.3592167509999999"/>
  </r>
  <r>
    <x v="9"/>
    <x v="0"/>
    <x v="3"/>
    <x v="6"/>
    <x v="18"/>
    <n v="4.9795253999999997E-2"/>
    <n v="6.3738656000000005E-2"/>
    <n v="6.0838070000000001E-3"/>
    <n v="4.4815728999999999E-2"/>
  </r>
  <r>
    <x v="9"/>
    <x v="1"/>
    <x v="1"/>
    <x v="6"/>
    <x v="18"/>
    <n v="131.06415770000001"/>
    <n v="167.76404640000001"/>
    <n v="32.408043910000004"/>
    <n v="117.957742"/>
  </r>
  <r>
    <x v="9"/>
    <x v="1"/>
    <x v="3"/>
    <x v="6"/>
    <x v="18"/>
    <n v="39.362599090000003"/>
    <n v="50.384704829999997"/>
    <n v="11.750914509999999"/>
    <n v="35.426339179999999"/>
  </r>
  <r>
    <x v="9"/>
    <x v="0"/>
    <x v="0"/>
    <x v="6"/>
    <x v="18"/>
    <n v="0.31052057900000002"/>
    <n v="0.39747090099999999"/>
    <n v="2.09555E-4"/>
    <n v="0.27946852100000003"/>
  </r>
  <r>
    <x v="9"/>
    <x v="3"/>
    <x v="0"/>
    <x v="6"/>
    <x v="18"/>
    <n v="0.72516159199999997"/>
    <n v="0.92821748599999998"/>
    <n v="1.1206E-3"/>
    <n v="0.652645433"/>
  </r>
  <r>
    <x v="9"/>
    <x v="2"/>
    <x v="2"/>
    <x v="6"/>
    <x v="18"/>
    <n v="0.46155637199999999"/>
    <n v="0.59079893400000005"/>
    <n v="1.74448E-2"/>
    <n v="0.41540073500000002"/>
  </r>
  <r>
    <x v="9"/>
    <x v="0"/>
    <x v="2"/>
    <x v="6"/>
    <x v="18"/>
    <n v="5.4139985189999997"/>
    <n v="6.9299976030000003"/>
    <n v="5.8134437999999997E-2"/>
    <n v="4.872598666"/>
  </r>
  <r>
    <x v="9"/>
    <x v="1"/>
    <x v="1"/>
    <x v="2"/>
    <x v="19"/>
    <n v="285.30975059999997"/>
    <n v="310.5840379"/>
    <n v="48.639912819999999"/>
    <n v="256.77877560000002"/>
  </r>
  <r>
    <x v="9"/>
    <x v="1"/>
    <x v="2"/>
    <x v="2"/>
    <x v="19"/>
    <n v="3.7594763680000001"/>
    <n v="4.0925112029999999"/>
    <n v="0.40556842500000001"/>
    <n v="3.3835287310000002"/>
  </r>
  <r>
    <x v="9"/>
    <x v="1"/>
    <x v="0"/>
    <x v="2"/>
    <x v="19"/>
    <n v="2.7924961000000001"/>
    <n v="3.0398705709999998"/>
    <n v="0.42296231099999998"/>
    <n v="2.5132464900000002"/>
  </r>
  <r>
    <x v="9"/>
    <x v="2"/>
    <x v="2"/>
    <x v="2"/>
    <x v="19"/>
    <n v="1.9752919360000001"/>
    <n v="2.1502740239999998"/>
    <n v="5.1339999999999997E-3"/>
    <n v="1.777762743"/>
  </r>
  <r>
    <x v="9"/>
    <x v="0"/>
    <x v="2"/>
    <x v="2"/>
    <x v="19"/>
    <n v="0.107402935"/>
    <n v="0.11691727"/>
    <n v="1.8554000000000001E-3"/>
    <n v="9.6662640999999994E-2"/>
  </r>
  <r>
    <x v="9"/>
    <x v="1"/>
    <x v="3"/>
    <x v="2"/>
    <x v="19"/>
    <n v="80.129995030000003"/>
    <n v="87.228345200000007"/>
    <n v="14.305419150000001"/>
    <n v="72.116995529999997"/>
  </r>
  <r>
    <x v="9"/>
    <x v="0"/>
    <x v="0"/>
    <x v="7"/>
    <x v="20"/>
    <n v="1.3988408000000001E-2"/>
    <n v="1.3254768E-2"/>
    <n v="1.91912E-4"/>
    <n v="1.2589568000000001E-2"/>
  </r>
  <r>
    <x v="9"/>
    <x v="3"/>
    <x v="3"/>
    <x v="7"/>
    <x v="20"/>
    <n v="0.452749173"/>
    <n v="0.42900416000000002"/>
    <n v="1.8834900000000001E-4"/>
    <n v="0.40747425500000001"/>
  </r>
  <r>
    <x v="9"/>
    <x v="0"/>
    <x v="3"/>
    <x v="7"/>
    <x v="20"/>
    <n v="5.8055090000000004E-3"/>
    <n v="5.5010320000000003E-3"/>
    <n v="3.5042700000000002E-5"/>
    <n v="5.224958E-3"/>
  </r>
  <r>
    <x v="9"/>
    <x v="0"/>
    <x v="2"/>
    <x v="7"/>
    <x v="20"/>
    <n v="0.29186374300000001"/>
    <n v="0.276556574"/>
    <n v="7.0703449999999996E-3"/>
    <n v="0.26267737000000002"/>
  </r>
  <r>
    <x v="9"/>
    <x v="1"/>
    <x v="3"/>
    <x v="7"/>
    <x v="20"/>
    <n v="62.125567439999998"/>
    <n v="58.867312210000001"/>
    <n v="13.67920103"/>
    <n v="55.913010710000002"/>
  </r>
  <r>
    <x v="9"/>
    <x v="1"/>
    <x v="0"/>
    <x v="7"/>
    <x v="20"/>
    <n v="2.1476787879999999"/>
    <n v="2.0350410129999998"/>
    <n v="0.36878291600000002"/>
    <n v="1.9329109090000001"/>
  </r>
  <r>
    <x v="9"/>
    <x v="1"/>
    <x v="2"/>
    <x v="7"/>
    <x v="20"/>
    <n v="4.3119604369999998"/>
    <n v="4.0858141300000002"/>
    <n v="0.58165579300000003"/>
    <n v="3.8807643939999998"/>
  </r>
  <r>
    <x v="9"/>
    <x v="1"/>
    <x v="1"/>
    <x v="7"/>
    <x v="20"/>
    <n v="230.8921723"/>
    <n v="218.7827356"/>
    <n v="42.263765059999997"/>
    <n v="207.80295520000001"/>
  </r>
  <r>
    <x v="9"/>
    <x v="2"/>
    <x v="2"/>
    <x v="7"/>
    <x v="20"/>
    <n v="9.0244550000000007E-3"/>
    <n v="8.5511560000000007E-3"/>
    <n v="6.5340000000000005E-4"/>
    <n v="8.1220100000000007E-3"/>
  </r>
  <r>
    <x v="9"/>
    <x v="3"/>
    <x v="0"/>
    <x v="7"/>
    <x v="20"/>
    <n v="4.6167182010000003"/>
    <n v="4.374588481"/>
    <n v="1.941251E-3"/>
    <n v="4.155046381"/>
  </r>
  <r>
    <x v="9"/>
    <x v="2"/>
    <x v="0"/>
    <x v="2"/>
    <x v="21"/>
    <n v="0.168857861"/>
    <n v="0.18381620800000001"/>
    <n v="7.2592999999999996E-4"/>
    <n v="0.15197207500000001"/>
  </r>
  <r>
    <x v="9"/>
    <x v="1"/>
    <x v="1"/>
    <x v="2"/>
    <x v="21"/>
    <n v="442.33198490000001"/>
    <n v="481.51615450000003"/>
    <n v="78.041121939999996"/>
    <n v="398.09878629999997"/>
  </r>
  <r>
    <x v="9"/>
    <x v="1"/>
    <x v="2"/>
    <x v="2"/>
    <x v="21"/>
    <n v="14.67833684"/>
    <n v="15.97862364"/>
    <n v="1.0564139180000001"/>
    <n v="13.21050316"/>
  </r>
  <r>
    <x v="9"/>
    <x v="1"/>
    <x v="0"/>
    <x v="2"/>
    <x v="21"/>
    <n v="14.013809739999999"/>
    <n v="15.255229119999999"/>
    <n v="1.5879175759999999"/>
    <n v="12.612428769999999"/>
  </r>
  <r>
    <x v="9"/>
    <x v="1"/>
    <x v="3"/>
    <x v="2"/>
    <x v="21"/>
    <n v="148.01369779999999"/>
    <n v="161.12555510000001"/>
    <n v="27.207177860000002"/>
    <n v="133.21232800000001"/>
  </r>
  <r>
    <x v="9"/>
    <x v="0"/>
    <x v="2"/>
    <x v="2"/>
    <x v="21"/>
    <n v="6.2392213080000003"/>
    <n v="6.7919254179999999"/>
    <n v="0.125301686"/>
    <n v="5.6152991769999998"/>
  </r>
  <r>
    <x v="9"/>
    <x v="0"/>
    <x v="0"/>
    <x v="2"/>
    <x v="21"/>
    <n v="0.26697807000000001"/>
    <n v="0.29062843799999999"/>
    <n v="5.0938260000000001E-3"/>
    <n v="0.24028026299999999"/>
  </r>
  <r>
    <x v="9"/>
    <x v="0"/>
    <x v="3"/>
    <x v="2"/>
    <x v="21"/>
    <n v="1.5373139600000001"/>
    <n v="1.67349758"/>
    <n v="4.5045288000000003E-2"/>
    <n v="1.3835825639999999"/>
  </r>
  <r>
    <x v="9"/>
    <x v="3"/>
    <x v="0"/>
    <x v="2"/>
    <x v="21"/>
    <n v="53.730472120000002"/>
    <n v="58.490209159999999"/>
    <n v="3.2597279999999999E-2"/>
    <n v="48.357424909999999"/>
  </r>
  <r>
    <x v="9"/>
    <x v="2"/>
    <x v="2"/>
    <x v="2"/>
    <x v="21"/>
    <n v="3.100298167"/>
    <n v="3.3749394170000002"/>
    <n v="1.484707E-2"/>
    <n v="2.7902683499999998"/>
  </r>
  <r>
    <x v="9"/>
    <x v="3"/>
    <x v="3"/>
    <x v="2"/>
    <x v="21"/>
    <n v="8.6494769599999994"/>
    <n v="9.4156946060000006"/>
    <n v="5.1063200000000001E-3"/>
    <n v="7.7845292629999996"/>
  </r>
  <r>
    <x v="9"/>
    <x v="2"/>
    <x v="2"/>
    <x v="8"/>
    <x v="22"/>
    <n v="20.30895894"/>
    <n v="23.07726619"/>
    <n v="0.163492999"/>
    <n v="18.27806305"/>
  </r>
  <r>
    <x v="9"/>
    <x v="1"/>
    <x v="1"/>
    <x v="8"/>
    <x v="22"/>
    <n v="2061.2914019999998"/>
    <n v="2342.2653289999998"/>
    <n v="341.28889529999998"/>
    <n v="1855.1622620000001"/>
  </r>
  <r>
    <x v="9"/>
    <x v="2"/>
    <x v="0"/>
    <x v="8"/>
    <x v="22"/>
    <n v="5.8615288000000003"/>
    <n v="6.660511788"/>
    <n v="4.657001E-3"/>
    <n v="5.2753759200000001"/>
  </r>
  <r>
    <x v="9"/>
    <x v="3"/>
    <x v="3"/>
    <x v="8"/>
    <x v="22"/>
    <n v="17.719428310000001"/>
    <n v="20.134757530000002"/>
    <n v="6.6560499999999999E-4"/>
    <n v="15.947485479999999"/>
  </r>
  <r>
    <x v="9"/>
    <x v="3"/>
    <x v="0"/>
    <x v="8"/>
    <x v="22"/>
    <n v="207.5916288"/>
    <n v="235.88837280000001"/>
    <n v="4.5689229999999999E-3"/>
    <n v="186.83246589999999"/>
  </r>
  <r>
    <x v="9"/>
    <x v="3"/>
    <x v="2"/>
    <x v="8"/>
    <x v="22"/>
    <n v="31.064604450000001"/>
    <n v="35.299010070000001"/>
    <n v="9.8374372000000002E-2"/>
    <n v="27.958144000000001"/>
  </r>
  <r>
    <x v="9"/>
    <x v="0"/>
    <x v="3"/>
    <x v="8"/>
    <x v="22"/>
    <n v="6.5541851590000002"/>
    <n v="7.4475838980000004"/>
    <n v="9.2806550000000002E-2"/>
    <n v="5.8987666430000001"/>
  </r>
  <r>
    <x v="9"/>
    <x v="0"/>
    <x v="0"/>
    <x v="8"/>
    <x v="22"/>
    <n v="3.4200670500000001"/>
    <n v="3.886255222"/>
    <n v="5.6559449999999997E-2"/>
    <n v="3.0780603449999999"/>
  </r>
  <r>
    <x v="9"/>
    <x v="0"/>
    <x v="2"/>
    <x v="8"/>
    <x v="22"/>
    <n v="48.110508080000002"/>
    <n v="54.668435000000002"/>
    <n v="0.89381569999999999"/>
    <n v="43.299457269999998"/>
  </r>
  <r>
    <x v="9"/>
    <x v="1"/>
    <x v="3"/>
    <x v="8"/>
    <x v="22"/>
    <n v="873.18594129999997"/>
    <n v="992.2096186"/>
    <n v="134.58491380000001"/>
    <n v="785.86734709999996"/>
  </r>
  <r>
    <x v="9"/>
    <x v="1"/>
    <x v="0"/>
    <x v="8"/>
    <x v="22"/>
    <n v="13.07393158"/>
    <n v="14.856034729999999"/>
    <n v="0.213636308"/>
    <n v="11.76653842"/>
  </r>
  <r>
    <x v="9"/>
    <x v="1"/>
    <x v="2"/>
    <x v="8"/>
    <x v="22"/>
    <n v="56.30379293"/>
    <n v="63.978543709999997"/>
    <n v="3.894795979"/>
    <n v="50.67341364"/>
  </r>
  <r>
    <x v="9"/>
    <x v="1"/>
    <x v="2"/>
    <x v="6"/>
    <x v="23"/>
    <n v="1.9942578929999999"/>
    <n v="2.5028991559999998"/>
    <n v="7.5906425999999999E-2"/>
    <n v="1.7948321039999999"/>
  </r>
  <r>
    <x v="9"/>
    <x v="1"/>
    <x v="3"/>
    <x v="6"/>
    <x v="23"/>
    <n v="50.867102109999998"/>
    <n v="63.840904100000003"/>
    <n v="12.42724035"/>
    <n v="45.780391889999997"/>
  </r>
  <r>
    <x v="9"/>
    <x v="0"/>
    <x v="2"/>
    <x v="6"/>
    <x v="23"/>
    <n v="5.2071994190000002"/>
    <n v="6.535310741"/>
    <n v="6.0424980000000003E-2"/>
    <n v="4.6864794779999999"/>
  </r>
  <r>
    <x v="9"/>
    <x v="0"/>
    <x v="3"/>
    <x v="6"/>
    <x v="23"/>
    <n v="5.6649533000000002E-2"/>
    <n v="7.1098161000000007E-2"/>
    <n v="5.6696200000000002E-3"/>
    <n v="5.0984580000000002E-2"/>
  </r>
  <r>
    <x v="9"/>
    <x v="3"/>
    <x v="0"/>
    <x v="6"/>
    <x v="23"/>
    <n v="2.3314026970000001"/>
    <n v="2.9260337199999999"/>
    <n v="2.2411000000000002E-3"/>
    <n v="2.0982624269999999"/>
  </r>
  <r>
    <x v="9"/>
    <x v="1"/>
    <x v="1"/>
    <x v="6"/>
    <x v="23"/>
    <n v="116.6979209"/>
    <n v="146.46206430000001"/>
    <n v="21.176008929999998"/>
    <n v="105.0281288"/>
  </r>
  <r>
    <x v="9"/>
    <x v="2"/>
    <x v="2"/>
    <x v="6"/>
    <x v="23"/>
    <n v="5.1840745000000001E-2"/>
    <n v="6.5062878000000005E-2"/>
    <n v="2.1863E-3"/>
    <n v="4.6656670999999997E-2"/>
  </r>
  <r>
    <x v="9"/>
    <x v="0"/>
    <x v="3"/>
    <x v="0"/>
    <x v="24"/>
    <n v="0.13278224"/>
    <n v="0.19672381899999999"/>
    <n v="6.0537600000000003E-4"/>
    <n v="0.119504016"/>
  </r>
  <r>
    <x v="9"/>
    <x v="2"/>
    <x v="2"/>
    <x v="0"/>
    <x v="24"/>
    <n v="2.2004489860000001"/>
    <n v="3.2600800379999999"/>
    <n v="3.6004000000000001E-2"/>
    <n v="1.980404088"/>
  </r>
  <r>
    <x v="9"/>
    <x v="3"/>
    <x v="0"/>
    <x v="0"/>
    <x v="24"/>
    <n v="13.03843337"/>
    <n v="19.317119659999999"/>
    <n v="9.1514879999999993E-3"/>
    <n v="11.73459003"/>
  </r>
  <r>
    <x v="9"/>
    <x v="0"/>
    <x v="0"/>
    <x v="0"/>
    <x v="24"/>
    <n v="0.42007734800000002"/>
    <n v="0.62236652000000003"/>
    <n v="6.9302449999999998E-3"/>
    <n v="0.37806961300000003"/>
  </r>
  <r>
    <x v="9"/>
    <x v="0"/>
    <x v="2"/>
    <x v="0"/>
    <x v="24"/>
    <n v="17.602879340000001"/>
    <n v="26.079584619999999"/>
    <n v="0.34385747900000002"/>
    <n v="15.8425914"/>
  </r>
  <r>
    <x v="9"/>
    <x v="1"/>
    <x v="3"/>
    <x v="0"/>
    <x v="24"/>
    <n v="66.270935730000005"/>
    <n v="98.183850669999998"/>
    <n v="17.342809500000001"/>
    <n v="59.643842159999998"/>
  </r>
  <r>
    <x v="9"/>
    <x v="1"/>
    <x v="2"/>
    <x v="0"/>
    <x v="24"/>
    <n v="7.8060380790000004"/>
    <n v="11.56505289"/>
    <n v="0.89640590499999995"/>
    <n v="7.025434272"/>
  </r>
  <r>
    <x v="9"/>
    <x v="1"/>
    <x v="1"/>
    <x v="0"/>
    <x v="24"/>
    <n v="152.18522010000001"/>
    <n v="225.47034769999999"/>
    <n v="42.325620489999999"/>
    <n v="136.9666981"/>
  </r>
  <r>
    <x v="9"/>
    <x v="3"/>
    <x v="3"/>
    <x v="0"/>
    <x v="24"/>
    <n v="1.3098688979999999"/>
    <n v="1.940639148"/>
    <n v="8.8251200000000001E-4"/>
    <n v="1.178882008"/>
  </r>
  <r>
    <x v="9"/>
    <x v="0"/>
    <x v="2"/>
    <x v="2"/>
    <x v="25"/>
    <n v="1.4772410929999999"/>
    <n v="1.608103133"/>
    <n v="4.1862075999999998E-2"/>
    <n v="1.329516983"/>
  </r>
  <r>
    <x v="9"/>
    <x v="0"/>
    <x v="0"/>
    <x v="2"/>
    <x v="25"/>
    <n v="3.7340461999999998E-2"/>
    <n v="4.0648283E-2"/>
    <n v="8.3367499999999998E-4"/>
    <n v="3.3606416E-2"/>
  </r>
  <r>
    <x v="9"/>
    <x v="0"/>
    <x v="3"/>
    <x v="2"/>
    <x v="25"/>
    <n v="1.856105E-3"/>
    <n v="2.0205290000000001E-3"/>
    <n v="1.26649E-4"/>
    <n v="1.670494E-3"/>
  </r>
  <r>
    <x v="9"/>
    <x v="1"/>
    <x v="3"/>
    <x v="2"/>
    <x v="25"/>
    <n v="176.0287386"/>
    <n v="191.62232030000001"/>
    <n v="32.660202210000001"/>
    <n v="158.42586470000001"/>
  </r>
  <r>
    <x v="9"/>
    <x v="3"/>
    <x v="0"/>
    <x v="2"/>
    <x v="25"/>
    <n v="21.10199802"/>
    <n v="22.97132762"/>
    <n v="1.3190501E-2"/>
    <n v="18.991798230000001"/>
  </r>
  <r>
    <x v="9"/>
    <x v="1"/>
    <x v="0"/>
    <x v="2"/>
    <x v="25"/>
    <n v="5.6731382000000004"/>
    <n v="6.1756955939999996"/>
    <n v="0.78600941700000004"/>
    <n v="5.1058243799999996"/>
  </r>
  <r>
    <x v="9"/>
    <x v="1"/>
    <x v="2"/>
    <x v="2"/>
    <x v="25"/>
    <n v="12.78251801"/>
    <n v="13.914862879999999"/>
    <n v="1.0389206449999999"/>
    <n v="11.504266210000001"/>
  </r>
  <r>
    <x v="9"/>
    <x v="1"/>
    <x v="1"/>
    <x v="2"/>
    <x v="25"/>
    <n v="579.55641530000003"/>
    <n v="630.89667029999998"/>
    <n v="95.824977029999999"/>
    <n v="521.60077379999996"/>
  </r>
  <r>
    <x v="9"/>
    <x v="2"/>
    <x v="0"/>
    <x v="2"/>
    <x v="25"/>
    <n v="1.55916677"/>
    <n v="1.6972862310000001"/>
    <n v="1.1725349999999999E-3"/>
    <n v="1.403250093"/>
  </r>
  <r>
    <x v="9"/>
    <x v="3"/>
    <x v="3"/>
    <x v="2"/>
    <x v="25"/>
    <n v="2.1719150530000002"/>
    <n v="2.3643150849999999"/>
    <n v="1.335999E-3"/>
    <n v="1.954723548"/>
  </r>
  <r>
    <x v="9"/>
    <x v="2"/>
    <x v="2"/>
    <x v="2"/>
    <x v="25"/>
    <n v="0.44419647000000001"/>
    <n v="0.48354580600000002"/>
    <n v="1.9495649999999999E-3"/>
    <n v="0.399776823"/>
  </r>
  <r>
    <x v="9"/>
    <x v="3"/>
    <x v="0"/>
    <x v="1"/>
    <x v="26"/>
    <n v="9.0333549999999999E-3"/>
    <n v="1.0197114E-2"/>
    <n v="1.4277000000000001E-3"/>
    <n v="8.13002E-3"/>
  </r>
  <r>
    <x v="9"/>
    <x v="0"/>
    <x v="3"/>
    <x v="1"/>
    <x v="26"/>
    <n v="3.9135919999999996E-3"/>
    <n v="4.4177770000000003E-3"/>
    <n v="3.653248E-3"/>
    <n v="3.522233E-3"/>
  </r>
  <r>
    <x v="9"/>
    <x v="2"/>
    <x v="2"/>
    <x v="1"/>
    <x v="26"/>
    <n v="1.6932010000000001E-2"/>
    <n v="1.9113346E-2"/>
    <n v="1.8569000000000001E-3"/>
    <n v="1.5238809000000001E-2"/>
  </r>
  <r>
    <x v="9"/>
    <x v="1"/>
    <x v="3"/>
    <x v="1"/>
    <x v="26"/>
    <n v="11.52330108"/>
    <n v="13.007838100000001"/>
    <n v="2.49663462"/>
    <n v="10.37097097"/>
  </r>
  <r>
    <x v="9"/>
    <x v="1"/>
    <x v="2"/>
    <x v="1"/>
    <x v="26"/>
    <n v="0.41423476799999998"/>
    <n v="0.46760027900000001"/>
    <n v="2.5673835999999998E-2"/>
    <n v="0.37281129200000002"/>
  </r>
  <r>
    <x v="9"/>
    <x v="1"/>
    <x v="1"/>
    <x v="1"/>
    <x v="26"/>
    <n v="42.773134149999997"/>
    <n v="48.28356041"/>
    <n v="7.8470205440000003"/>
    <n v="38.495820739999999"/>
  </r>
  <r>
    <x v="9"/>
    <x v="0"/>
    <x v="2"/>
    <x v="1"/>
    <x v="26"/>
    <n v="0.26486426499999999"/>
    <n v="0.29898650100000002"/>
    <n v="2.2097828999999999E-2"/>
    <n v="0.23837783800000001"/>
  </r>
  <r>
    <x v="9"/>
    <x v="0"/>
    <x v="0"/>
    <x v="1"/>
    <x v="26"/>
    <n v="7.4455809999999997E-3"/>
    <n v="8.4047889999999993E-3"/>
    <n v="4.9923799999999998E-5"/>
    <n v="6.7010230000000004E-3"/>
  </r>
  <r>
    <x v="9"/>
    <x v="0"/>
    <x v="0"/>
    <x v="2"/>
    <x v="27"/>
    <n v="6.5560979999999998E-3"/>
    <n v="8.8176769999999995E-3"/>
    <n v="3.8298399999999999E-5"/>
    <n v="5.9004879999999997E-3"/>
  </r>
  <r>
    <x v="9"/>
    <x v="1"/>
    <x v="1"/>
    <x v="2"/>
    <x v="27"/>
    <n v="90.386475349999998"/>
    <n v="121.566023"/>
    <n v="15.31804975"/>
    <n v="81.347827809999998"/>
  </r>
  <r>
    <x v="9"/>
    <x v="2"/>
    <x v="0"/>
    <x v="2"/>
    <x v="27"/>
    <n v="4.5871548999999998E-2"/>
    <n v="6.1695312000000002E-2"/>
    <n v="2.36615E-4"/>
    <n v="4.1284394000000002E-2"/>
  </r>
  <r>
    <x v="9"/>
    <x v="2"/>
    <x v="2"/>
    <x v="2"/>
    <x v="27"/>
    <n v="1.3940005470000001"/>
    <n v="1.87487234"/>
    <n v="2.7910685000000001E-2"/>
    <n v="1.254600492"/>
  </r>
  <r>
    <x v="9"/>
    <x v="3"/>
    <x v="0"/>
    <x v="2"/>
    <x v="27"/>
    <n v="3.610808537"/>
    <n v="4.8563862249999996"/>
    <n v="1.8679619999999999E-3"/>
    <n v="3.2497276839999998"/>
  </r>
  <r>
    <x v="9"/>
    <x v="0"/>
    <x v="2"/>
    <x v="2"/>
    <x v="27"/>
    <n v="0.30138907700000001"/>
    <n v="0.40535568300000002"/>
    <n v="8.9461019999999992E-3"/>
    <n v="0.27125016899999999"/>
  </r>
  <r>
    <x v="9"/>
    <x v="1"/>
    <x v="3"/>
    <x v="2"/>
    <x v="27"/>
    <n v="26.736732289999999"/>
    <n v="35.959784919999997"/>
    <n v="5.3330561159999998"/>
    <n v="24.06305906"/>
  </r>
  <r>
    <x v="9"/>
    <x v="1"/>
    <x v="0"/>
    <x v="2"/>
    <x v="27"/>
    <n v="1.0000679370000001"/>
    <n v="1.3450494820000001"/>
    <n v="0.172516423"/>
    <n v="0.90006114299999995"/>
  </r>
  <r>
    <x v="9"/>
    <x v="1"/>
    <x v="2"/>
    <x v="2"/>
    <x v="27"/>
    <n v="1.308231527"/>
    <n v="1.7595166019999999"/>
    <n v="0.17028801299999999"/>
    <n v="1.1774083740000001"/>
  </r>
  <r>
    <x v="9"/>
    <x v="3"/>
    <x v="3"/>
    <x v="2"/>
    <x v="27"/>
    <n v="0.33202004400000001"/>
    <n v="0.44655305099999998"/>
    <n v="1.7223800000000001E-4"/>
    <n v="0.29881804000000001"/>
  </r>
  <r>
    <x v="9"/>
    <x v="0"/>
    <x v="3"/>
    <x v="5"/>
    <x v="28"/>
    <n v="8.2713058000000006E-2"/>
    <n v="8.9127487000000005E-2"/>
    <n v="1.459952E-3"/>
    <n v="7.4441752E-2"/>
  </r>
  <r>
    <x v="9"/>
    <x v="1"/>
    <x v="1"/>
    <x v="5"/>
    <x v="28"/>
    <n v="174.59550440000001"/>
    <n v="188.1354513"/>
    <n v="37.727568290000001"/>
    <n v="157.1359539"/>
  </r>
  <r>
    <x v="9"/>
    <x v="1"/>
    <x v="2"/>
    <x v="5"/>
    <x v="28"/>
    <n v="3.9432360360000001"/>
    <n v="4.2490354699999999"/>
    <n v="0.54253541900000002"/>
    <n v="3.5489124310000002"/>
  </r>
  <r>
    <x v="9"/>
    <x v="1"/>
    <x v="0"/>
    <x v="5"/>
    <x v="28"/>
    <n v="2.8077320000000001"/>
    <n v="3.0254726700000001"/>
    <n v="0.61650036900000005"/>
    <n v="2.526958799"/>
  </r>
  <r>
    <x v="9"/>
    <x v="1"/>
    <x v="3"/>
    <x v="5"/>
    <x v="28"/>
    <n v="48.498751220000003"/>
    <n v="52.259847579999999"/>
    <n v="14.246819820000001"/>
    <n v="43.648876090000002"/>
  </r>
  <r>
    <x v="9"/>
    <x v="0"/>
    <x v="0"/>
    <x v="5"/>
    <x v="28"/>
    <n v="0.15720716700000001"/>
    <n v="0.16939864199999999"/>
    <n v="1.8233839999999999E-3"/>
    <n v="0.14148645100000001"/>
  </r>
  <r>
    <x v="9"/>
    <x v="3"/>
    <x v="0"/>
    <x v="5"/>
    <x v="28"/>
    <n v="1.9614216579999999"/>
    <n v="2.1135306429999998"/>
    <n v="1.5692589999999999E-3"/>
    <n v="1.7652794919999999"/>
  </r>
  <r>
    <x v="9"/>
    <x v="3"/>
    <x v="3"/>
    <x v="5"/>
    <x v="28"/>
    <n v="0.35783311600000001"/>
    <n v="0.38558320800000001"/>
    <n v="2.8164100000000001E-4"/>
    <n v="0.322049804"/>
  </r>
  <r>
    <x v="9"/>
    <x v="2"/>
    <x v="2"/>
    <x v="5"/>
    <x v="28"/>
    <n v="2.430190466"/>
    <n v="2.6186526489999999"/>
    <n v="5.2798230000000003E-3"/>
    <n v="2.1871714199999999"/>
  </r>
  <r>
    <x v="9"/>
    <x v="2"/>
    <x v="0"/>
    <x v="5"/>
    <x v="28"/>
    <n v="0.88105969900000003"/>
    <n v="0.94938621000000001"/>
    <n v="5.4277700000000004E-4"/>
    <n v="0.79295372900000005"/>
  </r>
  <r>
    <x v="9"/>
    <x v="0"/>
    <x v="2"/>
    <x v="5"/>
    <x v="28"/>
    <n v="2.7257096980000002"/>
    <n v="2.9370895080000001"/>
    <n v="3.6475264E-2"/>
    <n v="2.4531387279999999"/>
  </r>
  <r>
    <x v="9"/>
    <x v="1"/>
    <x v="1"/>
    <x v="2"/>
    <x v="29"/>
    <n v="54.914839350000001"/>
    <n v="59.779494079999999"/>
    <n v="9.8630427259999998"/>
    <n v="49.42335542"/>
  </r>
  <r>
    <x v="9"/>
    <x v="1"/>
    <x v="2"/>
    <x v="2"/>
    <x v="29"/>
    <n v="1.5781262629999999"/>
    <n v="1.717925258"/>
    <n v="0.110245519"/>
    <n v="1.4203136359999999"/>
  </r>
  <r>
    <x v="9"/>
    <x v="1"/>
    <x v="0"/>
    <x v="2"/>
    <x v="29"/>
    <n v="0.59167542399999995"/>
    <n v="0.64408924599999995"/>
    <n v="0.17587277400000001"/>
    <n v="0.53250788100000002"/>
  </r>
  <r>
    <x v="9"/>
    <x v="1"/>
    <x v="3"/>
    <x v="2"/>
    <x v="29"/>
    <n v="17.20663459"/>
    <n v="18.73089173"/>
    <n v="3.2856975799999999"/>
    <n v="15.485971129999999"/>
  </r>
  <r>
    <x v="9"/>
    <x v="0"/>
    <x v="0"/>
    <x v="2"/>
    <x v="29"/>
    <n v="2.8330830000000001E-3"/>
    <n v="3.0840529999999998E-3"/>
    <n v="1.2744100000000001E-5"/>
    <n v="2.5497749999999998E-3"/>
  </r>
  <r>
    <x v="9"/>
    <x v="2"/>
    <x v="2"/>
    <x v="2"/>
    <x v="29"/>
    <n v="7.5868590999999999E-2"/>
    <n v="8.2589441999999999E-2"/>
    <n v="3.8598679999999998E-3"/>
    <n v="6.8281730999999998E-2"/>
  </r>
  <r>
    <x v="9"/>
    <x v="2"/>
    <x v="0"/>
    <x v="2"/>
    <x v="29"/>
    <n v="1.2991602E-2"/>
    <n v="1.4142469E-2"/>
    <n v="6.0723199999999998E-4"/>
    <n v="1.1692442000000001E-2"/>
  </r>
  <r>
    <x v="9"/>
    <x v="0"/>
    <x v="2"/>
    <x v="2"/>
    <x v="29"/>
    <n v="0.31391683799999998"/>
    <n v="0.34172529699999998"/>
    <n v="6.544556E-3"/>
    <n v="0.28252515499999997"/>
  </r>
  <r>
    <x v="9"/>
    <x v="0"/>
    <x v="2"/>
    <x v="5"/>
    <x v="30"/>
    <n v="2.8485948849999998"/>
    <n v="3.1009388910000002"/>
    <n v="4.0174358E-2"/>
    <n v="2.5637353950000001"/>
  </r>
  <r>
    <x v="9"/>
    <x v="3"/>
    <x v="3"/>
    <x v="5"/>
    <x v="30"/>
    <n v="5.7795027999999998E-2"/>
    <n v="6.2914824999999994E-2"/>
    <n v="5.0447800000000002E-5"/>
    <n v="5.2015525E-2"/>
  </r>
  <r>
    <x v="9"/>
    <x v="2"/>
    <x v="2"/>
    <x v="5"/>
    <x v="30"/>
    <n v="0.64523735999999998"/>
    <n v="0.70239598999999997"/>
    <n v="3.3433204000000001E-2"/>
    <n v="0.58071362400000004"/>
  </r>
  <r>
    <x v="9"/>
    <x v="0"/>
    <x v="3"/>
    <x v="5"/>
    <x v="30"/>
    <n v="0.14904820999999999"/>
    <n v="0.16225170999999999"/>
    <n v="2.3069480000000001E-3"/>
    <n v="0.134143389"/>
  </r>
  <r>
    <x v="9"/>
    <x v="1"/>
    <x v="2"/>
    <x v="5"/>
    <x v="30"/>
    <n v="7.5889363479999998"/>
    <n v="8.2612055469999994"/>
    <n v="1.068211834"/>
    <n v="6.8300427130000001"/>
  </r>
  <r>
    <x v="9"/>
    <x v="1"/>
    <x v="0"/>
    <x v="5"/>
    <x v="30"/>
    <n v="4.6922806509999999"/>
    <n v="5.1079483559999996"/>
    <n v="1.0504747329999999"/>
    <n v="4.2230525859999997"/>
  </r>
  <r>
    <x v="9"/>
    <x v="1"/>
    <x v="3"/>
    <x v="5"/>
    <x v="30"/>
    <n v="101.36701309999999"/>
    <n v="110.3466536"/>
    <n v="35.163516340000001"/>
    <n v="91.230311760000006"/>
  </r>
  <r>
    <x v="9"/>
    <x v="1"/>
    <x v="1"/>
    <x v="5"/>
    <x v="30"/>
    <n v="330.07110039999998"/>
    <n v="359.31059119999998"/>
    <n v="76.725412700000007"/>
    <n v="297.0639903"/>
  </r>
  <r>
    <x v="9"/>
    <x v="3"/>
    <x v="0"/>
    <x v="5"/>
    <x v="30"/>
    <n v="1.1366964100000001"/>
    <n v="1.237391152"/>
    <n v="9.87852E-4"/>
    <n v="1.0230267689999999"/>
  </r>
  <r>
    <x v="9"/>
    <x v="2"/>
    <x v="0"/>
    <x v="5"/>
    <x v="30"/>
    <n v="2.2382750000000001E-3"/>
    <n v="2.4365540000000001E-3"/>
    <n v="1.8589600000000001E-4"/>
    <n v="2.0144479999999998E-3"/>
  </r>
  <r>
    <x v="9"/>
    <x v="0"/>
    <x v="0"/>
    <x v="5"/>
    <x v="30"/>
    <n v="0.20419741899999999"/>
    <n v="0.222286335"/>
    <n v="2.1691940000000002E-3"/>
    <n v="0.183777677"/>
  </r>
  <r>
    <x v="9"/>
    <x v="0"/>
    <x v="2"/>
    <x v="6"/>
    <x v="31"/>
    <n v="9.5902160260000002"/>
    <n v="9.5902160260000002"/>
    <n v="7.7315021999999997E-2"/>
    <n v="8.6311944230000002"/>
  </r>
  <r>
    <x v="9"/>
    <x v="2"/>
    <x v="2"/>
    <x v="6"/>
    <x v="31"/>
    <n v="0.71282200799999995"/>
    <n v="0.71282200799999995"/>
    <n v="3.6264499999999998E-2"/>
    <n v="0.64153980799999999"/>
  </r>
  <r>
    <x v="9"/>
    <x v="3"/>
    <x v="0"/>
    <x v="6"/>
    <x v="31"/>
    <n v="8.0836857379999998"/>
    <n v="8.0836857379999998"/>
    <n v="8.5029000000000007E-3"/>
    <n v="7.2753171649999997"/>
  </r>
  <r>
    <x v="9"/>
    <x v="0"/>
    <x v="0"/>
    <x v="6"/>
    <x v="31"/>
    <n v="0.70525251899999997"/>
    <n v="0.70525251899999997"/>
    <n v="4.5595599999999998E-4"/>
    <n v="0.63472726700000004"/>
  </r>
  <r>
    <x v="9"/>
    <x v="1"/>
    <x v="3"/>
    <x v="6"/>
    <x v="31"/>
    <n v="76.32214716"/>
    <n v="76.32214716"/>
    <n v="20.20875534"/>
    <n v="68.689932429999999"/>
  </r>
  <r>
    <x v="9"/>
    <x v="1"/>
    <x v="2"/>
    <x v="6"/>
    <x v="31"/>
    <n v="2.3511989510000002"/>
    <n v="2.3511989510000002"/>
    <n v="0.15922589000000001"/>
    <n v="2.1160790550000002"/>
  </r>
  <r>
    <x v="9"/>
    <x v="1"/>
    <x v="1"/>
    <x v="6"/>
    <x v="31"/>
    <n v="234.2837366"/>
    <n v="234.2837366"/>
    <n v="57.28387687"/>
    <n v="210.85536289999999"/>
  </r>
  <r>
    <x v="9"/>
    <x v="0"/>
    <x v="3"/>
    <x v="6"/>
    <x v="31"/>
    <n v="8.6089032999999995E-2"/>
    <n v="8.6089032999999995E-2"/>
    <n v="3.421122E-3"/>
    <n v="7.7480128999999995E-2"/>
  </r>
  <r>
    <x v="9"/>
    <x v="1"/>
    <x v="2"/>
    <x v="9"/>
    <x v="32"/>
    <n v="1.9362312070000001"/>
    <n v="3.441386719"/>
    <n v="0.26057577900000001"/>
    <n v="1.7426080859999999"/>
  </r>
  <r>
    <x v="9"/>
    <x v="2"/>
    <x v="2"/>
    <x v="9"/>
    <x v="32"/>
    <n v="0.162343607"/>
    <n v="0.28854360600000001"/>
    <n v="7.7805770000000003E-3"/>
    <n v="0.146109247"/>
  </r>
  <r>
    <x v="9"/>
    <x v="1"/>
    <x v="0"/>
    <x v="9"/>
    <x v="32"/>
    <n v="1.1261177499999999"/>
    <n v="2.0015206110000001"/>
    <n v="0.232764576"/>
    <n v="1.0135059749999999"/>
  </r>
  <r>
    <x v="9"/>
    <x v="1"/>
    <x v="3"/>
    <x v="9"/>
    <x v="32"/>
    <n v="26.408925960000001"/>
    <n v="46.938261670000003"/>
    <n v="8.7693495860000006"/>
    <n v="23.76803336"/>
  </r>
  <r>
    <x v="9"/>
    <x v="0"/>
    <x v="2"/>
    <x v="9"/>
    <x v="32"/>
    <n v="0.56272118900000001"/>
    <n v="1.0001601149999999"/>
    <n v="7.4864140000000003E-3"/>
    <n v="0.50644906999999995"/>
  </r>
  <r>
    <x v="9"/>
    <x v="0"/>
    <x v="0"/>
    <x v="9"/>
    <x v="32"/>
    <n v="3.8770394999999999E-2"/>
    <n v="6.8909084999999995E-2"/>
    <n v="3.8826600000000001E-4"/>
    <n v="3.4893355000000001E-2"/>
  </r>
  <r>
    <x v="9"/>
    <x v="1"/>
    <x v="1"/>
    <x v="9"/>
    <x v="32"/>
    <n v="82.629154839999998"/>
    <n v="146.86204570000001"/>
    <n v="18.047464260000002"/>
    <n v="74.366239359999994"/>
  </r>
  <r>
    <x v="9"/>
    <x v="3"/>
    <x v="0"/>
    <x v="9"/>
    <x v="32"/>
    <n v="0.53332484999999996"/>
    <n v="0.94791213399999996"/>
    <n v="4.3173899999999999E-4"/>
    <n v="0.47999236499999998"/>
  </r>
  <r>
    <x v="9"/>
    <x v="3"/>
    <x v="3"/>
    <x v="9"/>
    <x v="32"/>
    <n v="2.4180387000000001E-2"/>
    <n v="4.2977336999999997E-2"/>
    <n v="1.9660599999999999E-5"/>
    <n v="2.1762348000000001E-2"/>
  </r>
  <r>
    <x v="9"/>
    <x v="2"/>
    <x v="0"/>
    <x v="9"/>
    <x v="32"/>
    <n v="2.466336E-3"/>
    <n v="4.3835749999999998E-3"/>
    <n v="1.8982299999999999E-4"/>
    <n v="2.219702E-3"/>
  </r>
  <r>
    <x v="9"/>
    <x v="0"/>
    <x v="3"/>
    <x v="9"/>
    <x v="32"/>
    <n v="2.4389720000000002E-3"/>
    <n v="4.3349399999999998E-3"/>
    <n v="3.22203E-5"/>
    <n v="2.1950749999999999E-3"/>
  </r>
  <r>
    <x v="9"/>
    <x v="2"/>
    <x v="2"/>
    <x v="0"/>
    <x v="33"/>
    <n v="0.36825955999999999"/>
    <n v="0.36825955999999999"/>
    <n v="1.0335499999999999E-2"/>
    <n v="0.33143360300000002"/>
  </r>
  <r>
    <x v="9"/>
    <x v="1"/>
    <x v="2"/>
    <x v="0"/>
    <x v="33"/>
    <n v="3.9581933020000002"/>
    <n v="3.9581933020000002"/>
    <n v="0.86955329400000003"/>
    <n v="3.5623739730000001"/>
  </r>
  <r>
    <x v="9"/>
    <x v="1"/>
    <x v="3"/>
    <x v="0"/>
    <x v="33"/>
    <n v="67.984560759999994"/>
    <n v="67.984560759999994"/>
    <n v="16.804543450000001"/>
    <n v="61.186104690000001"/>
  </r>
  <r>
    <x v="9"/>
    <x v="0"/>
    <x v="2"/>
    <x v="0"/>
    <x v="33"/>
    <n v="3.0910458260000002"/>
    <n v="3.0910458260000002"/>
    <n v="6.7053291000000001E-2"/>
    <n v="2.781941244"/>
  </r>
  <r>
    <x v="9"/>
    <x v="0"/>
    <x v="0"/>
    <x v="0"/>
    <x v="33"/>
    <n v="3.8716725E-2"/>
    <n v="3.8716725E-2"/>
    <n v="2.1754169999999998E-3"/>
    <n v="3.4845052000000001E-2"/>
  </r>
  <r>
    <x v="9"/>
    <x v="0"/>
    <x v="3"/>
    <x v="0"/>
    <x v="33"/>
    <n v="7.2253757000000002E-2"/>
    <n v="7.2253757000000002E-2"/>
    <n v="2.0216919999999998E-3"/>
    <n v="6.5028381999999996E-2"/>
  </r>
  <r>
    <x v="9"/>
    <x v="3"/>
    <x v="3"/>
    <x v="0"/>
    <x v="33"/>
    <n v="0.56418046099999997"/>
    <n v="0.56418046099999997"/>
    <n v="2.5493899999999998E-4"/>
    <n v="0.50776241499999997"/>
  </r>
  <r>
    <x v="9"/>
    <x v="1"/>
    <x v="1"/>
    <x v="0"/>
    <x v="33"/>
    <n v="149.70178300000001"/>
    <n v="149.70178300000001"/>
    <n v="43.086758160000002"/>
    <n v="134.73160469999999"/>
  </r>
  <r>
    <x v="9"/>
    <x v="3"/>
    <x v="0"/>
    <x v="0"/>
    <x v="33"/>
    <n v="5.1561851179999998"/>
    <n v="5.1561851179999998"/>
    <n v="2.4525609999999998E-3"/>
    <n v="4.6405666060000001"/>
  </r>
  <r>
    <x v="9"/>
    <x v="1"/>
    <x v="2"/>
    <x v="7"/>
    <x v="34"/>
    <n v="7.3529252620000003"/>
    <n v="7.6786062890000002"/>
    <n v="0.994763438"/>
    <n v="6.6176327349999999"/>
  </r>
  <r>
    <x v="9"/>
    <x v="2"/>
    <x v="2"/>
    <x v="7"/>
    <x v="34"/>
    <n v="3.5263040999999999"/>
    <n v="3.6824936840000002"/>
    <n v="3.3462906000000001E-2"/>
    <n v="3.1736736890000001"/>
  </r>
  <r>
    <x v="9"/>
    <x v="3"/>
    <x v="3"/>
    <x v="7"/>
    <x v="34"/>
    <n v="0.73594376100000003"/>
    <n v="0.76854070900000004"/>
    <n v="9.4370499999999998E-4"/>
    <n v="0.66234938499999996"/>
  </r>
  <r>
    <x v="9"/>
    <x v="3"/>
    <x v="0"/>
    <x v="7"/>
    <x v="34"/>
    <n v="5.4237417580000002"/>
    <n v="5.6639740099999996"/>
    <n v="6.8952950000000001E-3"/>
    <n v="4.8813675830000003"/>
  </r>
  <r>
    <x v="9"/>
    <x v="0"/>
    <x v="3"/>
    <x v="7"/>
    <x v="34"/>
    <n v="0.39074761800000002"/>
    <n v="0.40805489099999998"/>
    <n v="3.4109180000000002E-3"/>
    <n v="0.35167285599999998"/>
  </r>
  <r>
    <x v="9"/>
    <x v="0"/>
    <x v="0"/>
    <x v="7"/>
    <x v="34"/>
    <n v="0.44694935200000002"/>
    <n v="0.46674595299999999"/>
    <n v="4.3868370000000002E-3"/>
    <n v="0.40225441699999998"/>
  </r>
  <r>
    <x v="9"/>
    <x v="0"/>
    <x v="2"/>
    <x v="7"/>
    <x v="34"/>
    <n v="8.3163005600000002"/>
    <n v="8.6846520960000007"/>
    <n v="9.9409545000000002E-2"/>
    <n v="7.4846705040000003"/>
  </r>
  <r>
    <x v="9"/>
    <x v="2"/>
    <x v="0"/>
    <x v="7"/>
    <x v="34"/>
    <n v="0.14252477299999999"/>
    <n v="0.148837583"/>
    <n v="7.1389399999999997E-4"/>
    <n v="0.12827229600000001"/>
  </r>
  <r>
    <x v="9"/>
    <x v="1"/>
    <x v="0"/>
    <x v="7"/>
    <x v="34"/>
    <n v="3.3995175820000001"/>
    <n v="3.5500914479999999"/>
    <n v="0.62602170800000001"/>
    <n v="3.0595658239999999"/>
  </r>
  <r>
    <x v="9"/>
    <x v="1"/>
    <x v="3"/>
    <x v="7"/>
    <x v="34"/>
    <n v="99.361091889999997"/>
    <n v="103.76206449999999"/>
    <n v="21.41523535"/>
    <n v="89.424982689999993"/>
  </r>
  <r>
    <x v="9"/>
    <x v="1"/>
    <x v="1"/>
    <x v="7"/>
    <x v="34"/>
    <n v="389.79786790000003"/>
    <n v="407.06307399999997"/>
    <n v="78.895291299999997"/>
    <n v="350.81808100000001"/>
  </r>
  <r>
    <x v="9"/>
    <x v="0"/>
    <x v="3"/>
    <x v="10"/>
    <x v="35"/>
    <n v="7.7009208999999995E-2"/>
    <n v="8.0420156000000007E-2"/>
    <n v="6.7815400000000004E-4"/>
    <n v="6.9308287999999996E-2"/>
  </r>
  <r>
    <x v="9"/>
    <x v="1"/>
    <x v="1"/>
    <x v="10"/>
    <x v="35"/>
    <n v="130.8703538"/>
    <n v="136.66695720000001"/>
    <n v="25.90880409"/>
    <n v="117.78331849999999"/>
  </r>
  <r>
    <x v="9"/>
    <x v="1"/>
    <x v="2"/>
    <x v="10"/>
    <x v="35"/>
    <n v="2.4632212949999999"/>
    <n v="2.5723240559999998"/>
    <n v="0.32498045800000003"/>
    <n v="2.2168991660000001"/>
  </r>
  <r>
    <x v="9"/>
    <x v="1"/>
    <x v="0"/>
    <x v="10"/>
    <x v="35"/>
    <n v="1.1444372220000001"/>
    <n v="1.1951274549999999"/>
    <n v="0.20695165400000001"/>
    <n v="1.0299935"/>
  </r>
  <r>
    <x v="9"/>
    <x v="1"/>
    <x v="3"/>
    <x v="10"/>
    <x v="35"/>
    <n v="33.281814820000001"/>
    <n v="34.755956769999997"/>
    <n v="6.9905807959999997"/>
    <n v="29.953633329999999"/>
  </r>
  <r>
    <x v="9"/>
    <x v="0"/>
    <x v="0"/>
    <x v="10"/>
    <x v="35"/>
    <n v="0.10817884699999999"/>
    <n v="0.11297038099999999"/>
    <n v="1.058619E-3"/>
    <n v="9.7360961999999995E-2"/>
  </r>
  <r>
    <x v="9"/>
    <x v="3"/>
    <x v="0"/>
    <x v="10"/>
    <x v="35"/>
    <n v="2.6731734810000001"/>
    <n v="2.7915755940000002"/>
    <n v="3.3984509999999998E-3"/>
    <n v="2.4058561329999999"/>
  </r>
  <r>
    <x v="9"/>
    <x v="3"/>
    <x v="3"/>
    <x v="10"/>
    <x v="35"/>
    <n v="0.36266591199999998"/>
    <n v="0.37872937099999998"/>
    <n v="4.6504899999999999E-4"/>
    <n v="0.32639932100000002"/>
  </r>
  <r>
    <x v="9"/>
    <x v="2"/>
    <x v="2"/>
    <x v="10"/>
    <x v="35"/>
    <n v="0.92150679800000002"/>
    <n v="0.96232283600000001"/>
    <n v="8.8134790000000008E-3"/>
    <n v="0.82935611799999998"/>
  </r>
  <r>
    <x v="9"/>
    <x v="2"/>
    <x v="0"/>
    <x v="10"/>
    <x v="35"/>
    <n v="3.7333855999999999E-2"/>
    <n v="3.8987474000000001E-2"/>
    <n v="1.8872100000000001E-4"/>
    <n v="3.3600471E-2"/>
  </r>
  <r>
    <x v="9"/>
    <x v="0"/>
    <x v="2"/>
    <x v="10"/>
    <x v="35"/>
    <n v="2.0127331310000001"/>
    <n v="2.1018825470000002"/>
    <n v="2.4015727000000001E-2"/>
    <n v="1.8114598180000001"/>
  </r>
  <r>
    <x v="9"/>
    <x v="0"/>
    <x v="2"/>
    <x v="2"/>
    <x v="36"/>
    <n v="1.1122560189999999"/>
    <n v="1.210785698"/>
    <n v="2.0115119000000001E-2"/>
    <n v="1.001030417"/>
  </r>
  <r>
    <x v="9"/>
    <x v="0"/>
    <x v="0"/>
    <x v="2"/>
    <x v="36"/>
    <n v="5.0109213999999999E-2"/>
    <n v="5.4548160999999998E-2"/>
    <n v="3.9870900000000002E-4"/>
    <n v="4.5098292999999998E-2"/>
  </r>
  <r>
    <x v="9"/>
    <x v="1"/>
    <x v="3"/>
    <x v="2"/>
    <x v="36"/>
    <n v="13.831908609999999"/>
    <n v="15.057214200000001"/>
    <n v="1.833386247"/>
    <n v="12.44871775"/>
  </r>
  <r>
    <x v="9"/>
    <x v="2"/>
    <x v="0"/>
    <x v="2"/>
    <x v="36"/>
    <n v="9.7811342999999995E-2"/>
    <n v="0.106476003"/>
    <n v="7.5929599999999999E-5"/>
    <n v="8.8030208999999998E-2"/>
  </r>
  <r>
    <x v="9"/>
    <x v="2"/>
    <x v="2"/>
    <x v="2"/>
    <x v="36"/>
    <n v="0.11840723"/>
    <n v="0.128896386"/>
    <n v="2.2095700000000001E-3"/>
    <n v="0.106566507"/>
  </r>
  <r>
    <x v="9"/>
    <x v="3"/>
    <x v="3"/>
    <x v="2"/>
    <x v="36"/>
    <n v="0.395058417"/>
    <n v="0.43005483700000002"/>
    <n v="2.8461900000000001E-4"/>
    <n v="0.35555257499999998"/>
  </r>
  <r>
    <x v="9"/>
    <x v="3"/>
    <x v="0"/>
    <x v="2"/>
    <x v="36"/>
    <n v="2.7891837960000001"/>
    <n v="3.0362648449999998"/>
    <n v="2.0819810000000001E-3"/>
    <n v="2.5102654160000002"/>
  </r>
  <r>
    <x v="9"/>
    <x v="0"/>
    <x v="3"/>
    <x v="2"/>
    <x v="36"/>
    <n v="3.1013099999999998E-2"/>
    <n v="3.3760408999999998E-2"/>
    <n v="8.1477100000000005E-4"/>
    <n v="2.7911789999999999E-2"/>
  </r>
  <r>
    <x v="9"/>
    <x v="1"/>
    <x v="2"/>
    <x v="2"/>
    <x v="36"/>
    <n v="1.1589149139999999"/>
    <n v="1.261577892"/>
    <n v="6.6268146999999999E-2"/>
    <n v="1.0430234229999999"/>
  </r>
  <r>
    <x v="9"/>
    <x v="1"/>
    <x v="1"/>
    <x v="2"/>
    <x v="36"/>
    <n v="43.407787620000001"/>
    <n v="47.253085210000002"/>
    <n v="5.58421082"/>
    <n v="39.067008860000001"/>
  </r>
  <r>
    <x v="9"/>
    <x v="1"/>
    <x v="0"/>
    <x v="2"/>
    <x v="36"/>
    <n v="1.6602939480000001"/>
    <n v="1.807371804"/>
    <n v="8.4908485000000006E-2"/>
    <n v="1.4942645539999999"/>
  </r>
  <r>
    <x v="9"/>
    <x v="0"/>
    <x v="3"/>
    <x v="9"/>
    <x v="37"/>
    <n v="0.46505379000000002"/>
    <n v="0.82656964200000005"/>
    <n v="9.2653760000000005E-3"/>
    <n v="0.41854841100000001"/>
  </r>
  <r>
    <x v="9"/>
    <x v="3"/>
    <x v="0"/>
    <x v="9"/>
    <x v="37"/>
    <n v="1.8086603800000001"/>
    <n v="3.2146469839999998"/>
    <n v="8.6400599999999995E-4"/>
    <n v="1.6277943420000001"/>
  </r>
  <r>
    <x v="9"/>
    <x v="2"/>
    <x v="0"/>
    <x v="9"/>
    <x v="37"/>
    <n v="2.3887535000000001E-2"/>
    <n v="4.2456832999999999E-2"/>
    <n v="2.5018799999999998E-4"/>
    <n v="2.1498781000000002E-2"/>
  </r>
  <r>
    <x v="9"/>
    <x v="0"/>
    <x v="0"/>
    <x v="9"/>
    <x v="37"/>
    <n v="1.3213930620000001"/>
    <n v="2.348595827"/>
    <n v="1.877361E-2"/>
    <n v="1.1892537560000001"/>
  </r>
  <r>
    <x v="9"/>
    <x v="0"/>
    <x v="2"/>
    <x v="9"/>
    <x v="37"/>
    <n v="14.84857307"/>
    <n v="26.391312129999999"/>
    <n v="0.210292014"/>
    <n v="13.36371576"/>
  </r>
  <r>
    <x v="9"/>
    <x v="1"/>
    <x v="3"/>
    <x v="9"/>
    <x v="37"/>
    <n v="109.67265860000001"/>
    <n v="194.9281829"/>
    <n v="22.878284570000002"/>
    <n v="98.705392779999997"/>
  </r>
  <r>
    <x v="9"/>
    <x v="1"/>
    <x v="0"/>
    <x v="9"/>
    <x v="37"/>
    <n v="7.2918245620000004"/>
    <n v="12.96022299"/>
    <n v="2.0816556519999998"/>
    <n v="6.5626421060000002"/>
  </r>
  <r>
    <x v="9"/>
    <x v="1"/>
    <x v="2"/>
    <x v="9"/>
    <x v="37"/>
    <n v="7.8768278929999997"/>
    <n v="13.999986570000001"/>
    <n v="0.95162068"/>
    <n v="7.0891451050000001"/>
  </r>
  <r>
    <x v="9"/>
    <x v="1"/>
    <x v="1"/>
    <x v="9"/>
    <x v="37"/>
    <n v="518.20331199999998"/>
    <n v="921.03566409999996"/>
    <n v="104.8857577"/>
    <n v="466.38298090000001"/>
  </r>
  <r>
    <x v="9"/>
    <x v="2"/>
    <x v="2"/>
    <x v="9"/>
    <x v="37"/>
    <n v="0.94168565299999996"/>
    <n v="1.6737177299999999"/>
    <n v="1.6832119999999999E-3"/>
    <n v="0.84751708800000003"/>
  </r>
  <r>
    <x v="9"/>
    <x v="3"/>
    <x v="3"/>
    <x v="9"/>
    <x v="37"/>
    <n v="0.450294419"/>
    <n v="0.80033687499999995"/>
    <n v="2.1939400000000001E-4"/>
    <n v="0.40526497700000003"/>
  </r>
  <r>
    <x v="9"/>
    <x v="0"/>
    <x v="0"/>
    <x v="7"/>
    <x v="38"/>
    <n v="7.2718468999999994E-2"/>
    <n v="7.2714913000000006E-2"/>
    <n v="7.4853799999999998E-4"/>
    <n v="6.5446621999999996E-2"/>
  </r>
  <r>
    <x v="9"/>
    <x v="1"/>
    <x v="1"/>
    <x v="7"/>
    <x v="38"/>
    <n v="55.619834500000003"/>
    <n v="55.617115079999998"/>
    <n v="11.072263510000001"/>
    <n v="50.057851059999997"/>
  </r>
  <r>
    <x v="9"/>
    <x v="2"/>
    <x v="0"/>
    <x v="7"/>
    <x v="38"/>
    <n v="1.9586895E-2"/>
    <n v="1.9585937000000001E-2"/>
    <n v="8.2312100000000001E-5"/>
    <n v="1.7628205000000001E-2"/>
  </r>
  <r>
    <x v="9"/>
    <x v="2"/>
    <x v="2"/>
    <x v="7"/>
    <x v="38"/>
    <n v="0.54545492299999998"/>
    <n v="0.54542825399999995"/>
    <n v="5.5114880000000002E-3"/>
    <n v="0.49090943199999998"/>
  </r>
  <r>
    <x v="9"/>
    <x v="3"/>
    <x v="3"/>
    <x v="7"/>
    <x v="38"/>
    <n v="7.2870916999999993E-2"/>
    <n v="7.2867354999999995E-2"/>
    <n v="9.8386499999999997E-5"/>
    <n v="6.5583825999999998E-2"/>
  </r>
  <r>
    <x v="9"/>
    <x v="0"/>
    <x v="3"/>
    <x v="7"/>
    <x v="38"/>
    <n v="6.3868373000000006E-2"/>
    <n v="6.3865249999999998E-2"/>
    <n v="5.9038799999999996E-4"/>
    <n v="5.7481535E-2"/>
  </r>
  <r>
    <x v="9"/>
    <x v="0"/>
    <x v="2"/>
    <x v="7"/>
    <x v="38"/>
    <n v="1.353493973"/>
    <n v="1.3534277969999999"/>
    <n v="1.6986973999999998E-2"/>
    <n v="1.218144575"/>
  </r>
  <r>
    <x v="9"/>
    <x v="1"/>
    <x v="3"/>
    <x v="7"/>
    <x v="38"/>
    <n v="14.09742726"/>
    <n v="14.096737989999999"/>
    <n v="2.9688716730000002"/>
    <n v="12.68768453"/>
  </r>
  <r>
    <x v="9"/>
    <x v="1"/>
    <x v="0"/>
    <x v="7"/>
    <x v="38"/>
    <n v="0.488388078"/>
    <n v="0.488364199"/>
    <n v="8.9430645000000003E-2"/>
    <n v="0.43954926999999999"/>
  </r>
  <r>
    <x v="9"/>
    <x v="1"/>
    <x v="2"/>
    <x v="7"/>
    <x v="38"/>
    <n v="1.0438826329999999"/>
    <n v="1.0438315949999999"/>
    <n v="0.13809687200000001"/>
    <n v="0.93949437000000002"/>
  </r>
  <r>
    <x v="9"/>
    <x v="3"/>
    <x v="0"/>
    <x v="7"/>
    <x v="38"/>
    <n v="0.53714621399999996"/>
    <n v="0.53711995099999998"/>
    <n v="7.1901300000000001E-4"/>
    <n v="0.48343159200000002"/>
  </r>
  <r>
    <x v="9"/>
    <x v="2"/>
    <x v="2"/>
    <x v="1"/>
    <x v="39"/>
    <n v="0.50386655899999999"/>
    <n v="0.53222766300000002"/>
    <n v="2.1408799999999999E-2"/>
    <n v="0.45347990399999999"/>
  </r>
  <r>
    <x v="9"/>
    <x v="3"/>
    <x v="0"/>
    <x v="1"/>
    <x v="39"/>
    <n v="0.74737430400000004"/>
    <n v="0.78944171200000002"/>
    <n v="7.0815699999999995E-4"/>
    <n v="0.67263687400000005"/>
  </r>
  <r>
    <x v="9"/>
    <x v="0"/>
    <x v="2"/>
    <x v="1"/>
    <x v="39"/>
    <n v="5.7251170179999997"/>
    <n v="6.0473663000000002"/>
    <n v="9.2718983000000005E-2"/>
    <n v="5.1526053159999998"/>
  </r>
  <r>
    <x v="9"/>
    <x v="0"/>
    <x v="0"/>
    <x v="1"/>
    <x v="39"/>
    <n v="0.33989033000000002"/>
    <n v="0.35902171399999999"/>
    <n v="1.023817E-3"/>
    <n v="0.30590129700000002"/>
  </r>
  <r>
    <x v="9"/>
    <x v="0"/>
    <x v="3"/>
    <x v="1"/>
    <x v="39"/>
    <n v="9.0042079999999997E-2"/>
    <n v="9.5110272999999995E-2"/>
    <n v="1.4587999000000001E-2"/>
    <n v="8.1037871999999997E-2"/>
  </r>
  <r>
    <x v="9"/>
    <x v="3"/>
    <x v="3"/>
    <x v="1"/>
    <x v="39"/>
    <n v="1.1115653249999999"/>
    <n v="1.1741319290000001"/>
    <n v="7.8744299999999998E-4"/>
    <n v="1.000408792"/>
  </r>
  <r>
    <x v="9"/>
    <x v="1"/>
    <x v="1"/>
    <x v="1"/>
    <x v="39"/>
    <n v="276.4472366"/>
    <n v="292.00760389999999"/>
    <n v="44.935749459999997"/>
    <n v="248.802513"/>
  </r>
  <r>
    <x v="9"/>
    <x v="1"/>
    <x v="3"/>
    <x v="1"/>
    <x v="39"/>
    <n v="117.2579983"/>
    <n v="123.8580915"/>
    <n v="20.96754808"/>
    <n v="105.53219850000001"/>
  </r>
  <r>
    <x v="9"/>
    <x v="1"/>
    <x v="2"/>
    <x v="1"/>
    <x v="39"/>
    <n v="3.5435398010000001"/>
    <n v="3.7429947910000001"/>
    <n v="0.23129475399999999"/>
    <n v="3.1891858210000001"/>
  </r>
  <r>
    <x v="9"/>
    <x v="1"/>
    <x v="1"/>
    <x v="10"/>
    <x v="40"/>
    <n v="164.564753"/>
    <n v="208.12135470000001"/>
    <n v="34.230677399999998"/>
    <n v="148.10827760000001"/>
  </r>
  <r>
    <x v="9"/>
    <x v="1"/>
    <x v="2"/>
    <x v="10"/>
    <x v="40"/>
    <n v="4.1084504280000003"/>
    <n v="5.1958651729999996"/>
    <n v="0.48249493399999999"/>
    <n v="3.6976053840000001"/>
  </r>
  <r>
    <x v="9"/>
    <x v="1"/>
    <x v="0"/>
    <x v="10"/>
    <x v="40"/>
    <n v="1.384901245"/>
    <n v="1.751453565"/>
    <n v="0.25973982099999998"/>
    <n v="1.246411121"/>
  </r>
  <r>
    <x v="9"/>
    <x v="1"/>
    <x v="3"/>
    <x v="10"/>
    <x v="40"/>
    <n v="41.770038130000003"/>
    <n v="52.825631029999997"/>
    <n v="11.242454540000001"/>
    <n v="37.59303431"/>
  </r>
  <r>
    <x v="9"/>
    <x v="0"/>
    <x v="3"/>
    <x v="10"/>
    <x v="40"/>
    <n v="0.21877660700000001"/>
    <n v="0.276681872"/>
    <n v="2.5732709999999998E-3"/>
    <n v="0.19689894599999999"/>
  </r>
  <r>
    <x v="9"/>
    <x v="0"/>
    <x v="2"/>
    <x v="10"/>
    <x v="40"/>
    <n v="5.2628632440000001"/>
    <n v="6.6558251889999998"/>
    <n v="7.8555711E-2"/>
    <n v="4.7365769210000002"/>
  </r>
  <r>
    <x v="9"/>
    <x v="2"/>
    <x v="0"/>
    <x v="10"/>
    <x v="40"/>
    <n v="0.33650801699999999"/>
    <n v="0.42557414700000001"/>
    <n v="2.8646699999999999E-4"/>
    <n v="0.30285721599999998"/>
  </r>
  <r>
    <x v="9"/>
    <x v="0"/>
    <x v="0"/>
    <x v="10"/>
    <x v="40"/>
    <n v="0.28880509599999998"/>
    <n v="0.36524533199999998"/>
    <n v="3.131918E-3"/>
    <n v="0.25992458699999998"/>
  </r>
  <r>
    <x v="9"/>
    <x v="3"/>
    <x v="3"/>
    <x v="10"/>
    <x v="40"/>
    <n v="1.2131917050000001"/>
    <n v="1.5342963590000001"/>
    <n v="4.5266300000000001E-4"/>
    <n v="1.091872535"/>
  </r>
  <r>
    <x v="9"/>
    <x v="2"/>
    <x v="2"/>
    <x v="10"/>
    <x v="40"/>
    <n v="2.6368728539999999"/>
    <n v="3.3347939979999999"/>
    <n v="4.8691330000000003E-3"/>
    <n v="2.3731855689999999"/>
  </r>
  <r>
    <x v="9"/>
    <x v="3"/>
    <x v="0"/>
    <x v="10"/>
    <x v="40"/>
    <n v="10.541287929999999"/>
    <n v="13.331330579999999"/>
    <n v="4.0570370000000003E-3"/>
    <n v="9.4871591340000005"/>
  </r>
  <r>
    <x v="9"/>
    <x v="0"/>
    <x v="2"/>
    <x v="1"/>
    <x v="41"/>
    <n v="25.494821510000001"/>
    <n v="24.841312810000002"/>
    <n v="0.38557946399999998"/>
    <n v="22.945339359999998"/>
  </r>
  <r>
    <x v="9"/>
    <x v="1"/>
    <x v="1"/>
    <x v="1"/>
    <x v="41"/>
    <n v="545.02355699999998"/>
    <n v="531.05296940000005"/>
    <n v="104.65729810000001"/>
    <n v="490.52120129999997"/>
  </r>
  <r>
    <x v="9"/>
    <x v="0"/>
    <x v="0"/>
    <x v="1"/>
    <x v="41"/>
    <n v="5.247814E-2"/>
    <n v="5.1132968000000001E-2"/>
    <n v="2.1871400000000001E-4"/>
    <n v="4.7230326000000003E-2"/>
  </r>
  <r>
    <x v="9"/>
    <x v="0"/>
    <x v="3"/>
    <x v="1"/>
    <x v="41"/>
    <n v="0.20859740399999999"/>
    <n v="0.20325042700000001"/>
    <n v="4.5678021999999999E-2"/>
    <n v="0.187737663"/>
  </r>
  <r>
    <x v="9"/>
    <x v="3"/>
    <x v="0"/>
    <x v="1"/>
    <x v="41"/>
    <n v="9.2641970990000004"/>
    <n v="9.0267279560000002"/>
    <n v="9.7217999999999992E-3"/>
    <n v="8.3377773879999992"/>
  </r>
  <r>
    <x v="9"/>
    <x v="1"/>
    <x v="2"/>
    <x v="1"/>
    <x v="41"/>
    <n v="6.4985441179999999"/>
    <n v="6.3319669520000001"/>
    <n v="0.38780904199999999"/>
    <n v="5.848689706"/>
  </r>
  <r>
    <x v="9"/>
    <x v="2"/>
    <x v="2"/>
    <x v="1"/>
    <x v="41"/>
    <n v="13.206165800000001"/>
    <n v="12.86765218"/>
    <n v="0.18444730000000001"/>
    <n v="11.88554922"/>
  </r>
  <r>
    <x v="9"/>
    <x v="1"/>
    <x v="3"/>
    <x v="1"/>
    <x v="41"/>
    <n v="163.74739959999999"/>
    <n v="159.55006280000001"/>
    <n v="31.52365953"/>
    <n v="147.37265959999999"/>
  </r>
  <r>
    <x v="9"/>
    <x v="3"/>
    <x v="0"/>
    <x v="2"/>
    <x v="42"/>
    <n v="42.828782279999999"/>
    <n v="46.622788419999999"/>
    <n v="2.3593137E-2"/>
    <n v="38.545904049999997"/>
  </r>
  <r>
    <x v="9"/>
    <x v="3"/>
    <x v="3"/>
    <x v="2"/>
    <x v="42"/>
    <n v="5.2315405300000002"/>
    <n v="5.6949788039999998"/>
    <n v="2.7667630000000002E-3"/>
    <n v="4.7083864770000003"/>
  </r>
  <r>
    <x v="9"/>
    <x v="2"/>
    <x v="2"/>
    <x v="2"/>
    <x v="42"/>
    <n v="0.890151523"/>
    <n v="0.96900597899999996"/>
    <n v="4.2762859999999998E-3"/>
    <n v="0.80113637100000001"/>
  </r>
  <r>
    <x v="9"/>
    <x v="0"/>
    <x v="0"/>
    <x v="2"/>
    <x v="42"/>
    <n v="4.7892272999999999E-2"/>
    <n v="5.2134831E-2"/>
    <n v="5.9379799999999998E-4"/>
    <n v="4.3103045999999999E-2"/>
  </r>
  <r>
    <x v="9"/>
    <x v="0"/>
    <x v="2"/>
    <x v="2"/>
    <x v="42"/>
    <n v="2.5817146320000002"/>
    <n v="2.8104169360000002"/>
    <n v="4.7668901999999999E-2"/>
    <n v="2.3235431690000001"/>
  </r>
  <r>
    <x v="9"/>
    <x v="1"/>
    <x v="0"/>
    <x v="2"/>
    <x v="42"/>
    <n v="4.3427557209999996"/>
    <n v="4.7274606099999996"/>
    <n v="0.72243458900000002"/>
    <n v="3.9084801489999998"/>
  </r>
  <r>
    <x v="9"/>
    <x v="1"/>
    <x v="2"/>
    <x v="2"/>
    <x v="42"/>
    <n v="14.102300380000001"/>
    <n v="15.35155874"/>
    <n v="0.82526051700000003"/>
    <n v="12.692070340000001"/>
  </r>
  <r>
    <x v="9"/>
    <x v="1"/>
    <x v="1"/>
    <x v="2"/>
    <x v="42"/>
    <n v="367.64023680000003"/>
    <n v="400.20780569999999"/>
    <n v="59.504823999999999"/>
    <n v="330.87621309999997"/>
  </r>
  <r>
    <x v="9"/>
    <x v="2"/>
    <x v="0"/>
    <x v="2"/>
    <x v="42"/>
    <n v="0.199390022"/>
    <n v="0.21705307300000001"/>
    <n v="1.822614E-3"/>
    <n v="0.17945101999999999"/>
  </r>
  <r>
    <x v="9"/>
    <x v="1"/>
    <x v="3"/>
    <x v="2"/>
    <x v="42"/>
    <n v="119.937682"/>
    <n v="130.5624133"/>
    <n v="19.032773389999999"/>
    <n v="107.9439138"/>
  </r>
  <r>
    <x v="9"/>
    <x v="1"/>
    <x v="2"/>
    <x v="2"/>
    <x v="43"/>
    <n v="6.9105827309999999"/>
    <n v="8.5391588130000002"/>
    <n v="0.52328125299999995"/>
    <n v="6.2195244589999996"/>
  </r>
  <r>
    <x v="9"/>
    <x v="3"/>
    <x v="0"/>
    <x v="2"/>
    <x v="43"/>
    <n v="18.744481520000001"/>
    <n v="23.1618824"/>
    <n v="1.2057899E-2"/>
    <n v="16.870033370000002"/>
  </r>
  <r>
    <x v="9"/>
    <x v="1"/>
    <x v="1"/>
    <x v="2"/>
    <x v="43"/>
    <n v="225.6540024"/>
    <n v="278.83254399999998"/>
    <n v="37.26475112"/>
    <n v="203.0886022"/>
  </r>
  <r>
    <x v="9"/>
    <x v="1"/>
    <x v="3"/>
    <x v="2"/>
    <x v="43"/>
    <n v="66.996034370000004"/>
    <n v="82.784592779999997"/>
    <n v="12.346725019999999"/>
    <n v="60.29643094"/>
  </r>
  <r>
    <x v="9"/>
    <x v="0"/>
    <x v="0"/>
    <x v="2"/>
    <x v="43"/>
    <n v="2.9118148999999999E-2"/>
    <n v="3.5980250999999998E-2"/>
    <n v="4.5235700000000002E-4"/>
    <n v="2.6206334000000001E-2"/>
  </r>
  <r>
    <x v="9"/>
    <x v="3"/>
    <x v="3"/>
    <x v="2"/>
    <x v="43"/>
    <n v="3.1328480079999999"/>
    <n v="3.871147734"/>
    <n v="1.8974009999999999E-3"/>
    <n v="2.8195632069999998"/>
  </r>
  <r>
    <x v="9"/>
    <x v="2"/>
    <x v="2"/>
    <x v="2"/>
    <x v="43"/>
    <n v="0.91629135399999995"/>
    <n v="1.1322283070000001"/>
    <n v="8.4131190000000002E-3"/>
    <n v="0.82466221799999995"/>
  </r>
  <r>
    <x v="9"/>
    <x v="2"/>
    <x v="0"/>
    <x v="2"/>
    <x v="43"/>
    <n v="0.101037552"/>
    <n v="0.124848473"/>
    <n v="1.49381E-4"/>
    <n v="9.0933796999999997E-2"/>
  </r>
  <r>
    <x v="9"/>
    <x v="1"/>
    <x v="0"/>
    <x v="2"/>
    <x v="43"/>
    <n v="2.565307169"/>
    <n v="3.169857908"/>
    <n v="0.36088270099999997"/>
    <n v="2.308776452"/>
  </r>
  <r>
    <x v="9"/>
    <x v="0"/>
    <x v="2"/>
    <x v="2"/>
    <x v="43"/>
    <n v="2.048753687"/>
    <n v="2.5315713280000001"/>
    <n v="4.9035343000000002E-2"/>
    <n v="1.843878318"/>
  </r>
  <r>
    <x v="9"/>
    <x v="2"/>
    <x v="2"/>
    <x v="2"/>
    <x v="44"/>
    <n v="5.0871594800000004"/>
    <n v="5.2727453119999996"/>
    <n v="7.5410359999999996E-2"/>
    <n v="4.5784435319999996"/>
  </r>
  <r>
    <x v="9"/>
    <x v="1"/>
    <x v="1"/>
    <x v="2"/>
    <x v="44"/>
    <n v="192.97682330000001"/>
    <n v="200.01685509999999"/>
    <n v="32.353427979999999"/>
    <n v="173.67914099999999"/>
  </r>
  <r>
    <x v="9"/>
    <x v="1"/>
    <x v="2"/>
    <x v="2"/>
    <x v="44"/>
    <n v="5.7404438410000003"/>
    <n v="5.9498622900000004"/>
    <n v="0.41555293599999998"/>
    <n v="5.1663994579999999"/>
  </r>
  <r>
    <x v="9"/>
    <x v="1"/>
    <x v="0"/>
    <x v="2"/>
    <x v="44"/>
    <n v="2.2392379170000001"/>
    <n v="2.3209280699999999"/>
    <n v="0.38774873700000001"/>
    <n v="2.0153141259999998"/>
  </r>
  <r>
    <x v="9"/>
    <x v="1"/>
    <x v="3"/>
    <x v="2"/>
    <x v="44"/>
    <n v="67.172741740000006"/>
    <n v="69.623285949999996"/>
    <n v="12.05006575"/>
    <n v="60.455467579999997"/>
  </r>
  <r>
    <x v="9"/>
    <x v="0"/>
    <x v="2"/>
    <x v="2"/>
    <x v="44"/>
    <n v="6.082008514"/>
    <n v="6.3038876620000002"/>
    <n v="0.11165911000000001"/>
    <n v="5.4738076610000004"/>
  </r>
  <r>
    <x v="9"/>
    <x v="0"/>
    <x v="0"/>
    <x v="2"/>
    <x v="44"/>
    <n v="0.19636535299999999"/>
    <n v="0.20352900199999999"/>
    <n v="2.377854E-3"/>
    <n v="0.17672881700000001"/>
  </r>
  <r>
    <x v="9"/>
    <x v="0"/>
    <x v="3"/>
    <x v="2"/>
    <x v="44"/>
    <n v="1.2245587E-2"/>
    <n v="1.2692320999999999E-2"/>
    <n v="3.08337E-4"/>
    <n v="1.1021028E-2"/>
  </r>
  <r>
    <x v="9"/>
    <x v="3"/>
    <x v="3"/>
    <x v="2"/>
    <x v="44"/>
    <n v="1.236458445"/>
    <n v="1.2815659699999999"/>
    <n v="1.0453459999999999E-3"/>
    <n v="1.1128126009999999"/>
  </r>
  <r>
    <x v="9"/>
    <x v="2"/>
    <x v="0"/>
    <x v="2"/>
    <x v="44"/>
    <n v="0.33137641800000001"/>
    <n v="0.34346543699999998"/>
    <n v="1.1764000000000001E-4"/>
    <n v="0.29823877599999998"/>
  </r>
  <r>
    <x v="9"/>
    <x v="3"/>
    <x v="0"/>
    <x v="2"/>
    <x v="44"/>
    <n v="12.32464255"/>
    <n v="12.774260659999999"/>
    <n v="1.0624854E-2"/>
    <n v="11.09217829"/>
  </r>
  <r>
    <x v="9"/>
    <x v="0"/>
    <x v="2"/>
    <x v="4"/>
    <x v="45"/>
    <n v="14.39700788"/>
    <n v="14.26555269"/>
    <n v="0.18785642299999999"/>
    <n v="12.95730709"/>
  </r>
  <r>
    <x v="9"/>
    <x v="1"/>
    <x v="3"/>
    <x v="4"/>
    <x v="45"/>
    <n v="121.22551"/>
    <n v="120.1186326"/>
    <n v="31.808205050000002"/>
    <n v="109.102959"/>
  </r>
  <r>
    <x v="9"/>
    <x v="0"/>
    <x v="3"/>
    <x v="4"/>
    <x v="45"/>
    <n v="0.25944537099999998"/>
    <n v="0.25707644499999999"/>
    <n v="4.1673119000000002E-2"/>
    <n v="0.23350083399999999"/>
  </r>
  <r>
    <x v="9"/>
    <x v="1"/>
    <x v="1"/>
    <x v="4"/>
    <x v="45"/>
    <n v="218.27280099999999"/>
    <n v="216.279811"/>
    <n v="52.10277645"/>
    <n v="196.44552089999999"/>
  </r>
  <r>
    <x v="9"/>
    <x v="0"/>
    <x v="0"/>
    <x v="4"/>
    <x v="45"/>
    <n v="0.60502590999999994"/>
    <n v="0.59950158200000003"/>
    <n v="3.7234579999999998E-3"/>
    <n v="0.54452331899999995"/>
  </r>
  <r>
    <x v="9"/>
    <x v="3"/>
    <x v="0"/>
    <x v="4"/>
    <x v="45"/>
    <n v="6.4204473110000002"/>
    <n v="6.3618239389999998"/>
    <n v="6.3958000000000001E-3"/>
    <n v="5.7784025799999998"/>
  </r>
  <r>
    <x v="9"/>
    <x v="2"/>
    <x v="2"/>
    <x v="4"/>
    <x v="45"/>
    <n v="4.3649063410000002"/>
    <n v="4.3250515600000004"/>
    <n v="3.6377800000000002E-2"/>
    <n v="3.9284157070000001"/>
  </r>
  <r>
    <x v="9"/>
    <x v="1"/>
    <x v="1"/>
    <x v="6"/>
    <x v="46"/>
    <n v="129.2819982"/>
    <n v="134.20150960000001"/>
    <n v="28.82927136"/>
    <n v="116.35379829999999"/>
  </r>
  <r>
    <x v="9"/>
    <x v="1"/>
    <x v="3"/>
    <x v="6"/>
    <x v="46"/>
    <n v="56.899929210000003"/>
    <n v="59.065117379999997"/>
    <n v="9.9755232219999996"/>
    <n v="51.209936290000002"/>
  </r>
  <r>
    <x v="9"/>
    <x v="0"/>
    <x v="2"/>
    <x v="6"/>
    <x v="46"/>
    <n v="3.2752685920000002"/>
    <n v="3.3999009579999999"/>
    <n v="9.6921320000000005E-2"/>
    <n v="2.947741733"/>
  </r>
  <r>
    <x v="9"/>
    <x v="0"/>
    <x v="0"/>
    <x v="6"/>
    <x v="46"/>
    <n v="0.36346147400000001"/>
    <n v="0.37729211499999998"/>
    <n v="1.4349370000000001E-3"/>
    <n v="0.32711532700000001"/>
  </r>
  <r>
    <x v="9"/>
    <x v="2"/>
    <x v="2"/>
    <x v="6"/>
    <x v="46"/>
    <n v="2.2608486829999999"/>
    <n v="2.3468797709999998"/>
    <n v="1.2989199999999999E-2"/>
    <n v="2.0347638140000002"/>
  </r>
  <r>
    <x v="9"/>
    <x v="0"/>
    <x v="3"/>
    <x v="6"/>
    <x v="46"/>
    <n v="3.7334903000000003E-2"/>
    <n v="3.8755591999999998E-2"/>
    <n v="1.0533143999999999E-2"/>
    <n v="3.3601412999999997E-2"/>
  </r>
  <r>
    <x v="9"/>
    <x v="3"/>
    <x v="0"/>
    <x v="6"/>
    <x v="46"/>
    <n v="0.79918311900000005"/>
    <n v="0.82959408499999998"/>
    <n v="5.932E-4"/>
    <n v="0.71926480800000003"/>
  </r>
  <r>
    <x v="9"/>
    <x v="1"/>
    <x v="2"/>
    <x v="6"/>
    <x v="46"/>
    <n v="0.85372499199999996"/>
    <n v="0.88621141699999995"/>
    <n v="0.14259861900000001"/>
    <n v="0.76835249299999997"/>
  </r>
  <r>
    <x v="9"/>
    <x v="2"/>
    <x v="2"/>
    <x v="7"/>
    <x v="47"/>
    <n v="4.0903600999999998E-2"/>
    <n v="8.0941794999999997E-2"/>
    <n v="1.867896E-3"/>
    <n v="3.6813240999999997E-2"/>
  </r>
  <r>
    <x v="9"/>
    <x v="1"/>
    <x v="0"/>
    <x v="7"/>
    <x v="47"/>
    <n v="0.79284068900000004"/>
    <n v="1.5689070599999999"/>
    <n v="0.23577784800000001"/>
    <n v="0.71355661999999997"/>
  </r>
  <r>
    <x v="9"/>
    <x v="1"/>
    <x v="3"/>
    <x v="7"/>
    <x v="47"/>
    <n v="26.693221650000002"/>
    <n v="52.821688510000001"/>
    <n v="7.2568839619999999"/>
    <n v="24.023899490000002"/>
  </r>
  <r>
    <x v="9"/>
    <x v="0"/>
    <x v="2"/>
    <x v="7"/>
    <x v="47"/>
    <n v="0.51793846600000004"/>
    <n v="1.0249187850000001"/>
    <n v="1.1013879000000001E-2"/>
    <n v="0.46614462000000001"/>
  </r>
  <r>
    <x v="9"/>
    <x v="0"/>
    <x v="0"/>
    <x v="7"/>
    <x v="47"/>
    <n v="2.9192098E-2"/>
    <n v="5.7766572000000002E-2"/>
    <n v="4.4633599999999998E-4"/>
    <n v="2.6272888000000001E-2"/>
  </r>
  <r>
    <x v="9"/>
    <x v="0"/>
    <x v="3"/>
    <x v="7"/>
    <x v="47"/>
    <n v="1.4565754E-2"/>
    <n v="2.8823336000000001E-2"/>
    <n v="1.51185E-4"/>
    <n v="1.3109178000000001E-2"/>
  </r>
  <r>
    <x v="9"/>
    <x v="2"/>
    <x v="0"/>
    <x v="7"/>
    <x v="47"/>
    <n v="0.14248559999999999"/>
    <n v="0.28195659899999997"/>
    <n v="4.8530399999999999E-4"/>
    <n v="0.12823704"/>
  </r>
  <r>
    <x v="9"/>
    <x v="3"/>
    <x v="3"/>
    <x v="7"/>
    <x v="47"/>
    <n v="0.37585358899999999"/>
    <n v="0.74375515400000003"/>
    <n v="3.4758599999999999E-4"/>
    <n v="0.33826823"/>
  </r>
  <r>
    <x v="9"/>
    <x v="1"/>
    <x v="1"/>
    <x v="7"/>
    <x v="47"/>
    <n v="98.529016709999993"/>
    <n v="194.97343169999999"/>
    <n v="28.924268399999999"/>
    <n v="88.676115050000007"/>
  </r>
  <r>
    <x v="9"/>
    <x v="3"/>
    <x v="0"/>
    <x v="7"/>
    <x v="47"/>
    <n v="6.0720245139999998"/>
    <n v="12.015581770000001"/>
    <n v="5.5762140000000003E-3"/>
    <n v="5.4648220619999996"/>
  </r>
  <r>
    <x v="9"/>
    <x v="1"/>
    <x v="2"/>
    <x v="7"/>
    <x v="47"/>
    <n v="3.2182538780000001"/>
    <n v="6.3684183980000002"/>
    <n v="0.43172768500000003"/>
    <n v="2.8964284899999999"/>
  </r>
  <r>
    <x v="9"/>
    <x v="1"/>
    <x v="1"/>
    <x v="2"/>
    <x v="48"/>
    <n v="924.9273561"/>
    <n v="1046.2664600000001"/>
    <n v="150.875777"/>
    <n v="832.43462050000005"/>
  </r>
  <r>
    <x v="9"/>
    <x v="1"/>
    <x v="2"/>
    <x v="2"/>
    <x v="48"/>
    <n v="27.508054250000001"/>
    <n v="31.116772940000001"/>
    <n v="2.0088728570000001"/>
    <n v="24.757248820000001"/>
  </r>
  <r>
    <x v="9"/>
    <x v="1"/>
    <x v="0"/>
    <x v="2"/>
    <x v="48"/>
    <n v="12.2413963"/>
    <n v="13.847317070000001"/>
    <n v="1.212006157"/>
    <n v="11.01725667"/>
  </r>
  <r>
    <x v="9"/>
    <x v="1"/>
    <x v="3"/>
    <x v="2"/>
    <x v="48"/>
    <n v="375.15887040000001"/>
    <n v="424.37510420000001"/>
    <n v="65.964208260000007"/>
    <n v="337.64298339999999"/>
  </r>
  <r>
    <x v="9"/>
    <x v="0"/>
    <x v="2"/>
    <x v="2"/>
    <x v="48"/>
    <n v="28.908252180000002"/>
    <n v="32.700659639999998"/>
    <n v="0.61230541000000005"/>
    <n v="26.017426960000002"/>
  </r>
  <r>
    <x v="9"/>
    <x v="0"/>
    <x v="0"/>
    <x v="2"/>
    <x v="48"/>
    <n v="0.88902666299999999"/>
    <n v="1.005656036"/>
    <n v="1.5103521E-2"/>
    <n v="0.80012399599999995"/>
  </r>
  <r>
    <x v="9"/>
    <x v="0"/>
    <x v="3"/>
    <x v="2"/>
    <x v="48"/>
    <n v="4.5161661549999996"/>
    <n v="5.1086316590000003"/>
    <n v="0.133720168"/>
    <n v="4.0645495389999997"/>
  </r>
  <r>
    <x v="9"/>
    <x v="3"/>
    <x v="0"/>
    <x v="2"/>
    <x v="48"/>
    <n v="78.200272040000002"/>
    <n v="88.459186799999998"/>
    <n v="5.1052698000000001E-2"/>
    <n v="70.380244840000003"/>
  </r>
  <r>
    <x v="9"/>
    <x v="3"/>
    <x v="3"/>
    <x v="2"/>
    <x v="48"/>
    <n v="10.51084056"/>
    <n v="11.889733680000001"/>
    <n v="6.574402E-3"/>
    <n v="9.4597565039999996"/>
  </r>
  <r>
    <x v="9"/>
    <x v="2"/>
    <x v="0"/>
    <x v="2"/>
    <x v="48"/>
    <n v="0.145553876"/>
    <n v="0.16464875500000001"/>
    <n v="9.3075999999999999E-4"/>
    <n v="0.130998488"/>
  </r>
  <r>
    <x v="9"/>
    <x v="2"/>
    <x v="2"/>
    <x v="2"/>
    <x v="48"/>
    <n v="1.8565256649999999"/>
    <n v="2.1000790189999998"/>
    <n v="3.4529539999999997E-2"/>
    <n v="1.670873099"/>
  </r>
  <r>
    <x v="9"/>
    <x v="1"/>
    <x v="1"/>
    <x v="3"/>
    <x v="49"/>
    <n v="11161.599480000001"/>
    <n v="11161.599480000001"/>
    <n v="2542.5331350000001"/>
    <n v="10045.43953"/>
  </r>
  <r>
    <x v="9"/>
    <x v="2"/>
    <x v="2"/>
    <x v="3"/>
    <x v="49"/>
    <n v="61.318774310000002"/>
    <n v="61.318774310000002"/>
    <n v="0.42153109999999999"/>
    <n v="55.18689689"/>
  </r>
  <r>
    <x v="9"/>
    <x v="1"/>
    <x v="2"/>
    <x v="3"/>
    <x v="49"/>
    <n v="457.05178089999998"/>
    <n v="457.05178089999998"/>
    <n v="50.967066680000002"/>
    <n v="411.34660280000003"/>
  </r>
  <r>
    <x v="9"/>
    <x v="1"/>
    <x v="0"/>
    <x v="3"/>
    <x v="49"/>
    <n v="262.19762309999999"/>
    <n v="262.19762309999999"/>
    <n v="33.826569259999999"/>
    <n v="235.9778608"/>
  </r>
  <r>
    <x v="9"/>
    <x v="1"/>
    <x v="3"/>
    <x v="3"/>
    <x v="49"/>
    <n v="8802.0675310000006"/>
    <n v="8802.0675310000006"/>
    <n v="2767.169774"/>
    <n v="7921.8607769999999"/>
  </r>
  <r>
    <x v="9"/>
    <x v="0"/>
    <x v="2"/>
    <x v="3"/>
    <x v="49"/>
    <n v="145.92458329999999"/>
    <n v="145.92458329999999"/>
    <n v="2.8768344510000001"/>
    <n v="131.3321249"/>
  </r>
  <r>
    <x v="9"/>
    <x v="0"/>
    <x v="0"/>
    <x v="3"/>
    <x v="49"/>
    <n v="6.1734074E-2"/>
    <n v="6.1734074E-2"/>
    <n v="9.1568569999999991E-3"/>
    <n v="5.5560666000000002E-2"/>
  </r>
  <r>
    <x v="9"/>
    <x v="0"/>
    <x v="3"/>
    <x v="3"/>
    <x v="49"/>
    <n v="7.4358755140000001"/>
    <n v="7.4358755140000001"/>
    <n v="0.97779239200000001"/>
    <n v="6.6922879630000001"/>
  </r>
  <r>
    <x v="9"/>
    <x v="3"/>
    <x v="0"/>
    <x v="3"/>
    <x v="49"/>
    <n v="1136.731632"/>
    <n v="1136.731632"/>
    <n v="0.37209209100000001"/>
    <n v="1023.0584679999999"/>
  </r>
  <r>
    <x v="9"/>
    <x v="3"/>
    <x v="3"/>
    <x v="3"/>
    <x v="49"/>
    <n v="142.0165059"/>
    <n v="142.0165059"/>
    <n v="4.4912108999999999E-2"/>
    <n v="127.814855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9" cacheId="53" dataOnRows="1" applyNumberFormats="0" applyBorderFormats="0" applyFontFormats="0" applyPatternFormats="0" applyAlignmentFormats="0" applyWidthHeightFormats="1" dataCaption="Values" updatedVersion="6" minRefreshableVersion="3" colGrandTotals="0" itemPrintTitles="1" createdVersion="4" indent="0" compact="0" compactData="0" gridDropZones="1" multipleFieldFilters="0">
  <location ref="A19:J28" firstHeaderRow="1" firstDataRow="2" firstDataCol="2" rowPageCount="3" colPageCount="1"/>
  <pivotFields count="8">
    <pivotField axis="axisCol" compact="0" outline="0" showAll="0">
      <items count="9">
        <item x="0"/>
        <item x="1"/>
        <item x="2"/>
        <item x="3"/>
        <item x="4"/>
        <item x="5"/>
        <item x="6"/>
        <item x="7"/>
        <item t="default"/>
      </items>
    </pivotField>
    <pivotField axis="axisPage" compact="0" outline="0" showAll="0">
      <items count="12">
        <item x="0"/>
        <item x="1"/>
        <item x="2"/>
        <item x="3"/>
        <item x="5"/>
        <item x="6"/>
        <item x="7"/>
        <item x="8"/>
        <item x="9"/>
        <item x="10"/>
        <item x="4"/>
        <item t="default"/>
      </items>
    </pivotField>
    <pivotField name="Device Group" axis="axisPage" compact="0" outline="0" showAll="0">
      <items count="4">
        <item x="0"/>
        <item x="1"/>
        <item n="Ultramobile" x="2"/>
        <item t="default"/>
      </items>
    </pivotField>
    <pivotField name="Device Type" axis="axisRow" compact="0" outline="0" showAll="0">
      <items count="9">
        <item x="2"/>
        <item n="Desk-based" h="1" x="0"/>
        <item h="1" x="1"/>
        <item x="3"/>
        <item h="1" x="5"/>
        <item h="1" x="6"/>
        <item h="1" x="7"/>
        <item x="4"/>
        <item t="default"/>
      </items>
    </pivotField>
    <pivotField axis="axisRow" compact="0" outline="0" showAll="0">
      <items count="11">
        <item x="2"/>
        <item h="1" x="3"/>
        <item h="1" x="8"/>
        <item x="7"/>
        <item h="1" x="0"/>
        <item h="1" x="5"/>
        <item h="1" x="6"/>
        <item h="1" x="1"/>
        <item h="1" x="9"/>
        <item h="1" x="4"/>
        <item t="default"/>
      </items>
    </pivotField>
    <pivotField axis="axisPage" compact="0" outline="0" showAll="0">
      <items count="3">
        <item x="0"/>
        <item x="1"/>
        <item t="default"/>
      </items>
    </pivotField>
    <pivotField compact="0" numFmtId="3" outline="0" showAll="0" defaultSubtotal="0"/>
    <pivotField dataField="1" compact="0" numFmtId="3" outline="0" showAll="0" defaultSubtotal="0"/>
  </pivotFields>
  <rowFields count="2">
    <field x="3"/>
    <field x="4"/>
  </rowFields>
  <rowItems count="8">
    <i>
      <x/>
      <x/>
    </i>
    <i t="default">
      <x/>
    </i>
    <i>
      <x v="3"/>
      <x/>
    </i>
    <i r="1">
      <x v="3"/>
    </i>
    <i t="default">
      <x v="3"/>
    </i>
    <i>
      <x v="7"/>
      <x/>
    </i>
    <i t="default">
      <x v="7"/>
    </i>
    <i t="grand">
      <x/>
    </i>
  </rowItems>
  <colFields count="1">
    <field x="0"/>
  </colFields>
  <colItems count="8">
    <i>
      <x/>
    </i>
    <i>
      <x v="1"/>
    </i>
    <i>
      <x v="2"/>
    </i>
    <i>
      <x v="3"/>
    </i>
    <i>
      <x v="4"/>
    </i>
    <i>
      <x v="5"/>
    </i>
    <i>
      <x v="6"/>
    </i>
    <i>
      <x v="7"/>
    </i>
  </colItems>
  <pageFields count="3">
    <pageField fld="2" hier="-1"/>
    <pageField fld="1" hier="-1"/>
    <pageField fld="5" hier="-1"/>
  </pageFields>
  <dataFields count="1">
    <dataField name="Sum of Units (K)" fld="7" baseField="0" baseItem="0" numFmtId="3"/>
  </dataFields>
  <formats count="77">
    <format dxfId="144">
      <pivotArea dataOnly="0" labelOnly="1" outline="0" fieldPosition="0">
        <references count="1">
          <reference field="0" count="0"/>
        </references>
      </pivotArea>
    </format>
    <format dxfId="143">
      <pivotArea field="2" type="button" dataOnly="0" labelOnly="1" outline="0" axis="axisPage" fieldPosition="0"/>
    </format>
    <format dxfId="142">
      <pivotArea field="3" type="button" dataOnly="0" labelOnly="1" outline="0" axis="axisRow" fieldPosition="0"/>
    </format>
    <format dxfId="141">
      <pivotArea dataOnly="0" labelOnly="1" outline="0" fieldPosition="0">
        <references count="1">
          <reference field="3" count="0"/>
        </references>
      </pivotArea>
    </format>
    <format dxfId="140">
      <pivotArea field="4" type="button" dataOnly="0" labelOnly="1" outline="0" axis="axisRow" fieldPosition="1"/>
    </format>
    <format dxfId="139">
      <pivotArea type="origin" dataOnly="0" labelOnly="1" outline="0" fieldPosition="0"/>
    </format>
    <format dxfId="138">
      <pivotArea field="1" type="button" dataOnly="0" labelOnly="1" outline="0" axis="axisPage" fieldPosition="1"/>
    </format>
    <format dxfId="137">
      <pivotArea field="5" type="button" dataOnly="0" labelOnly="1" outline="0" axis="axisPage" fieldPosition="2"/>
    </format>
    <format dxfId="136">
      <pivotArea field="0" type="button" dataOnly="0" labelOnly="1" outline="0" axis="axisCol" fieldPosition="0"/>
    </format>
    <format dxfId="135">
      <pivotArea type="topRight" dataOnly="0" labelOnly="1" outline="0" fieldPosition="0"/>
    </format>
    <format dxfId="134">
      <pivotArea dataOnly="0" labelOnly="1" outline="0" fieldPosition="0">
        <references count="1">
          <reference field="0" count="0"/>
        </references>
      </pivotArea>
    </format>
    <format dxfId="133">
      <pivotArea dataOnly="0" labelOnly="1" outline="0" fieldPosition="0">
        <references count="1">
          <reference field="0" count="0"/>
        </references>
      </pivotArea>
    </format>
    <format dxfId="132">
      <pivotArea field="1" type="button" dataOnly="0" labelOnly="1" outline="0" axis="axisPage" fieldPosition="1"/>
    </format>
    <format dxfId="131">
      <pivotArea field="5" type="button" dataOnly="0" labelOnly="1" outline="0" axis="axisPage" fieldPosition="2"/>
    </format>
    <format dxfId="130">
      <pivotArea type="origin" dataOnly="0" labelOnly="1" outline="0" fieldPosition="0"/>
    </format>
    <format dxfId="129">
      <pivotArea grandRow="1" outline="0" collapsedLevelsAreSubtotals="1" fieldPosition="0"/>
    </format>
    <format dxfId="128">
      <pivotArea dataOnly="0" labelOnly="1" grandRow="1" outline="0" fieldPosition="0"/>
    </format>
    <format dxfId="127">
      <pivotArea field="0" type="button" dataOnly="0" labelOnly="1" outline="0" axis="axisCol" fieldPosition="0"/>
    </format>
    <format dxfId="126">
      <pivotArea field="2" type="button" dataOnly="0" labelOnly="1" outline="0" axis="axisPage" fieldPosition="0"/>
    </format>
    <format dxfId="125">
      <pivotArea field="3" type="button" dataOnly="0" labelOnly="1" outline="0" axis="axisRow" fieldPosition="0"/>
    </format>
    <format dxfId="124">
      <pivotArea field="4" type="button" dataOnly="0" labelOnly="1" outline="0" axis="axisRow" fieldPosition="1"/>
    </format>
    <format dxfId="123">
      <pivotArea type="all" dataOnly="0" outline="0" fieldPosition="0"/>
    </format>
    <format dxfId="122">
      <pivotArea outline="0" collapsedLevelsAreSubtotals="1" fieldPosition="0"/>
    </format>
    <format dxfId="121">
      <pivotArea type="origin" dataOnly="0" labelOnly="1" outline="0" fieldPosition="0"/>
    </format>
    <format dxfId="120">
      <pivotArea field="0" type="button" dataOnly="0" labelOnly="1" outline="0" axis="axisCol" fieldPosition="0"/>
    </format>
    <format dxfId="119">
      <pivotArea type="topRight" dataOnly="0" labelOnly="1" outline="0" fieldPosition="0"/>
    </format>
    <format dxfId="118">
      <pivotArea field="3" type="button" dataOnly="0" labelOnly="1" outline="0" axis="axisRow" fieldPosition="0"/>
    </format>
    <format dxfId="117">
      <pivotArea field="4" type="button" dataOnly="0" labelOnly="1" outline="0" axis="axisRow" fieldPosition="1"/>
    </format>
    <format dxfId="116">
      <pivotArea dataOnly="0" labelOnly="1" outline="0" fieldPosition="0">
        <references count="1">
          <reference field="3" count="0"/>
        </references>
      </pivotArea>
    </format>
    <format dxfId="115">
      <pivotArea dataOnly="0" labelOnly="1" outline="0" fieldPosition="0">
        <references count="1">
          <reference field="3" count="0" defaultSubtotal="1"/>
        </references>
      </pivotArea>
    </format>
    <format dxfId="114">
      <pivotArea dataOnly="0" labelOnly="1" grandRow="1" outline="0" fieldPosition="0"/>
    </format>
    <format dxfId="113">
      <pivotArea dataOnly="0" labelOnly="1" outline="0" fieldPosition="0">
        <references count="2">
          <reference field="3" count="1" selected="0">
            <x v="0"/>
          </reference>
          <reference field="4" count="1">
            <x v="0"/>
          </reference>
        </references>
      </pivotArea>
    </format>
    <format dxfId="112">
      <pivotArea dataOnly="0" labelOnly="1" outline="0" fieldPosition="0">
        <references count="2">
          <reference field="3" count="1" selected="0">
            <x v="3"/>
          </reference>
          <reference field="4" count="0"/>
        </references>
      </pivotArea>
    </format>
    <format dxfId="111">
      <pivotArea dataOnly="0" labelOnly="1" outline="0" fieldPosition="0">
        <references count="2">
          <reference field="3" count="1" selected="0">
            <x v="7"/>
          </reference>
          <reference field="4" count="1">
            <x v="0"/>
          </reference>
        </references>
      </pivotArea>
    </format>
    <format dxfId="110">
      <pivotArea dataOnly="0" labelOnly="1" outline="0" fieldPosition="0">
        <references count="1">
          <reference field="0" count="0"/>
        </references>
      </pivotArea>
    </format>
    <format dxfId="109">
      <pivotArea type="all" dataOnly="0" outline="0" fieldPosition="0"/>
    </format>
    <format dxfId="108">
      <pivotArea outline="0" collapsedLevelsAreSubtotals="1" fieldPosition="0"/>
    </format>
    <format dxfId="107">
      <pivotArea type="origin" dataOnly="0" labelOnly="1" outline="0" fieldPosition="0"/>
    </format>
    <format dxfId="106">
      <pivotArea field="0" type="button" dataOnly="0" labelOnly="1" outline="0" axis="axisCol" fieldPosition="0"/>
    </format>
    <format dxfId="105">
      <pivotArea type="topRight" dataOnly="0" labelOnly="1" outline="0" fieldPosition="0"/>
    </format>
    <format dxfId="104">
      <pivotArea field="3" type="button" dataOnly="0" labelOnly="1" outline="0" axis="axisRow" fieldPosition="0"/>
    </format>
    <format dxfId="103">
      <pivotArea field="4" type="button" dataOnly="0" labelOnly="1" outline="0" axis="axisRow" fieldPosition="1"/>
    </format>
    <format dxfId="102">
      <pivotArea dataOnly="0" labelOnly="1" outline="0" fieldPosition="0">
        <references count="1">
          <reference field="3" count="0"/>
        </references>
      </pivotArea>
    </format>
    <format dxfId="101">
      <pivotArea dataOnly="0" labelOnly="1" outline="0" fieldPosition="0">
        <references count="1">
          <reference field="3" count="0" defaultSubtotal="1"/>
        </references>
      </pivotArea>
    </format>
    <format dxfId="100">
      <pivotArea dataOnly="0" labelOnly="1" grandRow="1" outline="0" fieldPosition="0"/>
    </format>
    <format dxfId="99">
      <pivotArea dataOnly="0" labelOnly="1" outline="0" fieldPosition="0">
        <references count="2">
          <reference field="3" count="1" selected="0">
            <x v="0"/>
          </reference>
          <reference field="4" count="1">
            <x v="0"/>
          </reference>
        </references>
      </pivotArea>
    </format>
    <format dxfId="98">
      <pivotArea dataOnly="0" labelOnly="1" outline="0" fieldPosition="0">
        <references count="2">
          <reference field="3" count="1" selected="0">
            <x v="3"/>
          </reference>
          <reference field="4" count="0"/>
        </references>
      </pivotArea>
    </format>
    <format dxfId="97">
      <pivotArea dataOnly="0" labelOnly="1" outline="0" fieldPosition="0">
        <references count="2">
          <reference field="3" count="1" selected="0">
            <x v="7"/>
          </reference>
          <reference field="4" count="1">
            <x v="0"/>
          </reference>
        </references>
      </pivotArea>
    </format>
    <format dxfId="96">
      <pivotArea dataOnly="0" labelOnly="1" outline="0" fieldPosition="0">
        <references count="1">
          <reference field="0" count="0"/>
        </references>
      </pivotArea>
    </format>
    <format dxfId="95">
      <pivotArea type="all" dataOnly="0" outline="0" fieldPosition="0"/>
    </format>
    <format dxfId="94">
      <pivotArea outline="0" collapsedLevelsAreSubtotals="1" fieldPosition="0"/>
    </format>
    <format dxfId="93">
      <pivotArea type="origin" dataOnly="0" labelOnly="1" outline="0" fieldPosition="0"/>
    </format>
    <format dxfId="92">
      <pivotArea field="0" type="button" dataOnly="0" labelOnly="1" outline="0" axis="axisCol" fieldPosition="0"/>
    </format>
    <format dxfId="91">
      <pivotArea type="topRight" dataOnly="0" labelOnly="1" outline="0" fieldPosition="0"/>
    </format>
    <format dxfId="90">
      <pivotArea field="3" type="button" dataOnly="0" labelOnly="1" outline="0" axis="axisRow" fieldPosition="0"/>
    </format>
    <format dxfId="89">
      <pivotArea field="4" type="button" dataOnly="0" labelOnly="1" outline="0" axis="axisRow" fieldPosition="1"/>
    </format>
    <format dxfId="88">
      <pivotArea dataOnly="0" labelOnly="1" outline="0" fieldPosition="0">
        <references count="1">
          <reference field="3" count="0"/>
        </references>
      </pivotArea>
    </format>
    <format dxfId="87">
      <pivotArea dataOnly="0" labelOnly="1" outline="0" fieldPosition="0">
        <references count="1">
          <reference field="3" count="0" defaultSubtotal="1"/>
        </references>
      </pivotArea>
    </format>
    <format dxfId="86">
      <pivotArea dataOnly="0" labelOnly="1" grandRow="1" outline="0" fieldPosition="0"/>
    </format>
    <format dxfId="85">
      <pivotArea dataOnly="0" labelOnly="1" outline="0" fieldPosition="0">
        <references count="2">
          <reference field="3" count="1" selected="0">
            <x v="0"/>
          </reference>
          <reference field="4" count="1">
            <x v="0"/>
          </reference>
        </references>
      </pivotArea>
    </format>
    <format dxfId="84">
      <pivotArea dataOnly="0" labelOnly="1" outline="0" fieldPosition="0">
        <references count="2">
          <reference field="3" count="1" selected="0">
            <x v="3"/>
          </reference>
          <reference field="4" count="0"/>
        </references>
      </pivotArea>
    </format>
    <format dxfId="83">
      <pivotArea dataOnly="0" labelOnly="1" outline="0" fieldPosition="0">
        <references count="2">
          <reference field="3" count="1" selected="0">
            <x v="7"/>
          </reference>
          <reference field="4" count="1">
            <x v="0"/>
          </reference>
        </references>
      </pivotArea>
    </format>
    <format dxfId="82">
      <pivotArea dataOnly="0" labelOnly="1" outline="0" fieldPosition="0">
        <references count="1">
          <reference field="0" count="0"/>
        </references>
      </pivotArea>
    </format>
    <format dxfId="81">
      <pivotArea type="all" dataOnly="0" outline="0" fieldPosition="0"/>
    </format>
    <format dxfId="80">
      <pivotArea outline="0" collapsedLevelsAreSubtotals="1" fieldPosition="0"/>
    </format>
    <format dxfId="79">
      <pivotArea type="origin" dataOnly="0" labelOnly="1" outline="0" fieldPosition="0"/>
    </format>
    <format dxfId="78">
      <pivotArea field="0" type="button" dataOnly="0" labelOnly="1" outline="0" axis="axisCol" fieldPosition="0"/>
    </format>
    <format dxfId="77">
      <pivotArea type="topRight" dataOnly="0" labelOnly="1" outline="0" fieldPosition="0"/>
    </format>
    <format dxfId="76">
      <pivotArea field="3" type="button" dataOnly="0" labelOnly="1" outline="0" axis="axisRow" fieldPosition="0"/>
    </format>
    <format dxfId="75">
      <pivotArea field="4" type="button" dataOnly="0" labelOnly="1" outline="0" axis="axisRow" fieldPosition="1"/>
    </format>
    <format dxfId="74">
      <pivotArea dataOnly="0" labelOnly="1" outline="0" fieldPosition="0">
        <references count="1">
          <reference field="3" count="0"/>
        </references>
      </pivotArea>
    </format>
    <format dxfId="73">
      <pivotArea dataOnly="0" labelOnly="1" outline="0" fieldPosition="0">
        <references count="1">
          <reference field="3" count="0" defaultSubtotal="1"/>
        </references>
      </pivotArea>
    </format>
    <format dxfId="72">
      <pivotArea dataOnly="0" labelOnly="1" grandRow="1" outline="0" fieldPosition="0"/>
    </format>
    <format dxfId="71">
      <pivotArea dataOnly="0" labelOnly="1" outline="0" fieldPosition="0">
        <references count="2">
          <reference field="3" count="1" selected="0">
            <x v="0"/>
          </reference>
          <reference field="4" count="1">
            <x v="0"/>
          </reference>
        </references>
      </pivotArea>
    </format>
    <format dxfId="70">
      <pivotArea dataOnly="0" labelOnly="1" outline="0" fieldPosition="0">
        <references count="2">
          <reference field="3" count="1" selected="0">
            <x v="3"/>
          </reference>
          <reference field="4" count="0"/>
        </references>
      </pivotArea>
    </format>
    <format dxfId="69">
      <pivotArea dataOnly="0" labelOnly="1" outline="0" fieldPosition="0">
        <references count="2">
          <reference field="3" count="1" selected="0">
            <x v="7"/>
          </reference>
          <reference field="4" count="1">
            <x v="0"/>
          </reference>
        </references>
      </pivotArea>
    </format>
    <format dxfId="68">
      <pivotArea dataOnly="0" labelOnly="1" outline="0" fieldPosition="0">
        <references count="1">
          <reference field="0" count="0"/>
        </references>
      </pivotArea>
    </format>
  </formats>
  <pivotTableStyleInfo showRowHeaders="1" showColHeaders="1" showRowStripes="0" showColStripes="0" showLastColumn="1"/>
</pivotTableDefinition>
</file>

<file path=xl/pivotTables/pivotTable2.xml><?xml version="1.0" encoding="utf-8"?>
<pivotTableDefinition xmlns="http://schemas.openxmlformats.org/spreadsheetml/2006/main" name="樞紐分析表7" cacheId="55" dataOnRows="1" applyNumberFormats="0" applyBorderFormats="0" applyFontFormats="0" applyPatternFormats="0" applyAlignmentFormats="0" applyWidthHeightFormats="1" dataCaption="Data" updatedVersion="5" asteriskTotals="1" showMemberPropertyTips="0" colGrandTotals="0" itemPrintTitles="1" createdVersion="1" indent="0" compact="0" compactData="0" gridDropZones="1">
  <location ref="A84:I97" firstHeaderRow="1" firstDataRow="2" firstDataCol="1"/>
  <pivotFields count="9">
    <pivotField axis="axisCol" compact="0" outline="0" subtotalTop="0" showAll="0" includeNewItemsInFilter="1" defaultSubtotal="0">
      <items count="10">
        <item h="1" x="0"/>
        <item h="1" x="1"/>
        <item x="2"/>
        <item x="3"/>
        <item x="4"/>
        <item x="5"/>
        <item x="6"/>
        <item x="7"/>
        <item x="8"/>
        <item x="9"/>
      </items>
    </pivotField>
    <pivotField compact="0" outline="0" subtotalTop="0" showAll="0" includeNewItemsInFilter="1" defaultSubtotal="0"/>
    <pivotField compact="0" outline="0" subtotalTop="0" showAll="0" includeNewItemsInFilter="1" defaultSubtotal="0"/>
    <pivotField axis="axisRow" compact="0" outline="0" subtotalTop="0" showAll="0" includeNewItemsInFilter="1" defaultSubtotal="0">
      <items count="11">
        <item x="3"/>
        <item x="0"/>
        <item x="2"/>
        <item x="5"/>
        <item x="4"/>
        <item x="8"/>
        <item n="Mature Asia/Pacific" x="1"/>
        <item n="Emerging Asia/Pacific" x="6"/>
        <item x="7"/>
        <item x="9"/>
        <item x="10"/>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s>
  <rowFields count="1">
    <field x="3"/>
  </rowFields>
  <rowItems count="12">
    <i>
      <x/>
    </i>
    <i>
      <x v="1"/>
    </i>
    <i>
      <x v="2"/>
    </i>
    <i>
      <x v="3"/>
    </i>
    <i>
      <x v="4"/>
    </i>
    <i>
      <x v="5"/>
    </i>
    <i>
      <x v="6"/>
    </i>
    <i>
      <x v="7"/>
    </i>
    <i>
      <x v="8"/>
    </i>
    <i>
      <x v="9"/>
    </i>
    <i>
      <x v="10"/>
    </i>
    <i t="grand">
      <x/>
    </i>
  </rowItems>
  <colFields count="1">
    <field x="0"/>
  </colFields>
  <colItems count="8">
    <i>
      <x v="2"/>
    </i>
    <i>
      <x v="3"/>
    </i>
    <i>
      <x v="4"/>
    </i>
    <i>
      <x v="5"/>
    </i>
    <i>
      <x v="6"/>
    </i>
    <i>
      <x v="7"/>
    </i>
    <i>
      <x v="8"/>
    </i>
    <i>
      <x v="9"/>
    </i>
  </colItems>
  <dataFields count="1">
    <dataField name="Sum of Shipments" fld="7" baseField="0" baseItem="0" numFmtId="170"/>
  </dataFields>
  <formats count="13">
    <format dxfId="12">
      <pivotArea grandRow="1" outline="0" fieldPosition="0"/>
    </format>
    <format dxfId="11">
      <pivotArea dataOnly="0" labelOnly="1" grandRow="1" outline="0" fieldPosition="0"/>
    </format>
    <format dxfId="10">
      <pivotArea dataOnly="0" labelOnly="1" grandCol="1" outline="0" fieldPosition="0"/>
    </format>
    <format dxfId="9">
      <pivotArea field="3" type="button" dataOnly="0" labelOnly="1" outline="0" axis="axisRow" fieldPosition="0"/>
    </format>
    <format dxfId="8">
      <pivotArea outline="0" fieldPosition="0"/>
    </format>
    <format dxfId="7">
      <pivotArea dataOnly="0" labelOnly="1" outline="0" fieldPosition="0">
        <references count="1">
          <reference field="0" count="0"/>
        </references>
      </pivotArea>
    </format>
    <format dxfId="6">
      <pivotArea outline="0" fieldPosition="0"/>
    </format>
    <format dxfId="5">
      <pivotArea dataOnly="0" labelOnly="1" outline="0" fieldPosition="0">
        <references count="1">
          <reference field="3" count="0"/>
        </references>
      </pivotArea>
    </format>
    <format dxfId="4">
      <pivotArea dataOnly="0" labelOnly="1" grandRow="1" outline="0" fieldPosition="0"/>
    </format>
    <format dxfId="3">
      <pivotArea type="origin" dataOnly="0" labelOnly="1" outline="0" fieldPosition="0"/>
    </format>
    <format dxfId="2">
      <pivotArea field="3" type="button" dataOnly="0" labelOnly="1" outline="0" axis="axisRow" fieldPosition="0"/>
    </format>
    <format dxfId="1">
      <pivotArea dataOnly="0" labelOnly="1" outline="0" fieldPosition="0">
        <references count="1">
          <reference field="0" count="0"/>
        </references>
      </pivotArea>
    </format>
    <format dxfId="0">
      <pivotArea dataOnly="0" labelOnly="1" outline="0" fieldPosition="0">
        <references count="1">
          <reference field="0" count="0"/>
        </references>
      </pivotArea>
    </format>
  </formats>
  <pivotTableStyleInfo showRowHeaders="1" showColHeaders="1" showRowStripes="0" showColStripes="0" showLastColumn="1"/>
</pivotTableDefinition>
</file>

<file path=xl/pivotTables/pivotTable3.xml><?xml version="1.0" encoding="utf-8"?>
<pivotTableDefinition xmlns="http://schemas.openxmlformats.org/spreadsheetml/2006/main" name="樞紐分析表6" cacheId="55" dataOnRows="1" applyNumberFormats="0" applyBorderFormats="0" applyFontFormats="0" applyPatternFormats="0" applyAlignmentFormats="0" applyWidthHeightFormats="1" dataCaption="Data" updatedVersion="5" showMemberPropertyTips="0" colGrandTotals="0" itemPrintTitles="1" createdVersion="1" indent="0" compact="0" compactData="0" gridDropZones="1">
  <location ref="A123:J144" firstHeaderRow="1" firstDataRow="2" firstDataCol="2"/>
  <pivotFields count="9">
    <pivotField axis="axisCol" compact="0" outline="0" subtotalTop="0" showAll="0" includeNewItemsInFilter="1" defaultSubtotal="0">
      <items count="10">
        <item h="1" x="0"/>
        <item h="1" x="1"/>
        <item x="2"/>
        <item x="3"/>
        <item x="4"/>
        <item x="5"/>
        <item x="6"/>
        <item x="7"/>
        <item x="8"/>
        <item x="9"/>
      </items>
    </pivotField>
    <pivotField axis="axisRow" compact="0" outline="0" subtotalTop="0" showAll="0" includeNewItemsInFilter="1">
      <items count="5">
        <item x="2"/>
        <item x="3"/>
        <item x="0"/>
        <item x="1"/>
        <item t="default"/>
      </items>
    </pivotField>
    <pivotField axis="axisRow" compact="0" outline="0" subtotalTop="0" showAll="0" includeNewItemsInFilter="1" defaultSubtotal="0">
      <items count="4">
        <item x="3"/>
        <item x="0"/>
        <item x="2"/>
        <item x="1"/>
      </items>
    </pivotField>
    <pivotField compact="0" outline="0" subtotalTop="0" showAll="0" includeNewItemsInFilter="1">
      <items count="12">
        <item x="5"/>
        <item x="4"/>
        <item x="8"/>
        <item x="0"/>
        <item x="3"/>
        <item x="2"/>
        <item x="1"/>
        <item x="6"/>
        <item x="7"/>
        <item x="9"/>
        <item x="10"/>
        <item t="default"/>
      </items>
    </pivotField>
    <pivotField compact="0" outline="0" subtotalTop="0" showAll="0" includeNewItemsInFilter="1">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compact="0" outline="0" subtotalTop="0" showAll="0" includeNewItemsInFilter="1"/>
    <pivotField compact="0" outline="0" subtotalTop="0" showAll="0" includeNewItemsInFilter="1" defaultSubtotal="0"/>
    <pivotField dataField="1" compact="0" outline="0" subtotalTop="0" showAll="0" includeNewItemsInFilter="1"/>
    <pivotField compact="0" outline="0" subtotalTop="0" showAll="0" includeNewItemsInFilter="1" defaultSubtotal="0"/>
  </pivotFields>
  <rowFields count="2">
    <field x="1"/>
    <field x="2"/>
  </rowFields>
  <rowItems count="20">
    <i>
      <x/>
      <x/>
    </i>
    <i r="1">
      <x v="1"/>
    </i>
    <i r="1">
      <x v="2"/>
    </i>
    <i r="1">
      <x v="3"/>
    </i>
    <i t="default">
      <x/>
    </i>
    <i>
      <x v="1"/>
      <x/>
    </i>
    <i r="1">
      <x v="1"/>
    </i>
    <i r="1">
      <x v="2"/>
    </i>
    <i r="1">
      <x v="3"/>
    </i>
    <i t="default">
      <x v="1"/>
    </i>
    <i>
      <x v="2"/>
      <x/>
    </i>
    <i r="1">
      <x v="1"/>
    </i>
    <i r="1">
      <x v="2"/>
    </i>
    <i t="default">
      <x v="2"/>
    </i>
    <i>
      <x v="3"/>
      <x/>
    </i>
    <i r="1">
      <x v="1"/>
    </i>
    <i r="1">
      <x v="2"/>
    </i>
    <i r="1">
      <x v="3"/>
    </i>
    <i t="default">
      <x v="3"/>
    </i>
    <i t="grand">
      <x/>
    </i>
  </rowItems>
  <colFields count="1">
    <field x="0"/>
  </colFields>
  <colItems count="8">
    <i>
      <x v="2"/>
    </i>
    <i>
      <x v="3"/>
    </i>
    <i>
      <x v="4"/>
    </i>
    <i>
      <x v="5"/>
    </i>
    <i>
      <x v="6"/>
    </i>
    <i>
      <x v="7"/>
    </i>
    <i>
      <x v="8"/>
    </i>
    <i>
      <x v="9"/>
    </i>
  </colItems>
  <dataFields count="1">
    <dataField name="Sum of Shipments" fld="7" baseField="0" baseItem="0" numFmtId="178"/>
  </dataFields>
  <formats count="23">
    <format dxfId="35">
      <pivotArea dataOnly="0" labelOnly="1" grandCol="1" outline="0" fieldPosition="0"/>
    </format>
    <format dxfId="34">
      <pivotArea grandRow="1" outline="0" fieldPosition="0"/>
    </format>
    <format dxfId="33">
      <pivotArea dataOnly="0" labelOnly="1" grandRow="1" outline="0" fieldPosition="0"/>
    </format>
    <format dxfId="32">
      <pivotArea outline="0" fieldPosition="0"/>
    </format>
    <format dxfId="31">
      <pivotArea field="1" type="button" dataOnly="0" labelOnly="1" outline="0" axis="axisRow" fieldPosition="0"/>
    </format>
    <format dxfId="30">
      <pivotArea field="2" type="button" dataOnly="0" labelOnly="1" outline="0" axis="axisRow" fieldPosition="1"/>
    </format>
    <format dxfId="29">
      <pivotArea dataOnly="0" labelOnly="1" outline="0" fieldPosition="0">
        <references count="1">
          <reference field="0" count="0"/>
        </references>
      </pivotArea>
    </format>
    <format dxfId="28">
      <pivotArea dataOnly="0" labelOnly="1" outline="0" fieldPosition="0">
        <references count="1">
          <reference field="0" count="0"/>
        </references>
      </pivotArea>
    </format>
    <format dxfId="27">
      <pivotArea outline="0" fieldPosition="0"/>
    </format>
    <format dxfId="26">
      <pivotArea dataOnly="0" labelOnly="1" outline="0" fieldPosition="0">
        <references count="1">
          <reference field="1" count="0"/>
        </references>
      </pivotArea>
    </format>
    <format dxfId="25">
      <pivotArea dataOnly="0" labelOnly="1" outline="0" fieldPosition="0">
        <references count="1">
          <reference field="1" count="0" defaultSubtotal="1"/>
        </references>
      </pivotArea>
    </format>
    <format dxfId="24">
      <pivotArea dataOnly="0" labelOnly="1" grandRow="1" outline="0" fieldPosition="0"/>
    </format>
    <format dxfId="23">
      <pivotArea dataOnly="0" labelOnly="1" outline="0" fieldPosition="0">
        <references count="2">
          <reference field="1" count="1" selected="0">
            <x v="0"/>
          </reference>
          <reference field="2" count="0"/>
        </references>
      </pivotArea>
    </format>
    <format dxfId="22">
      <pivotArea dataOnly="0" labelOnly="1" outline="0" fieldPosition="0">
        <references count="2">
          <reference field="1" count="1" selected="0">
            <x v="1"/>
          </reference>
          <reference field="2" count="3">
            <x v="0"/>
            <x v="1"/>
            <x v="2"/>
          </reference>
        </references>
      </pivotArea>
    </format>
    <format dxfId="21">
      <pivotArea dataOnly="0" labelOnly="1" outline="0" fieldPosition="0">
        <references count="2">
          <reference field="1" count="1" selected="0">
            <x v="2"/>
          </reference>
          <reference field="2" count="3">
            <x v="0"/>
            <x v="1"/>
            <x v="2"/>
          </reference>
        </references>
      </pivotArea>
    </format>
    <format dxfId="20">
      <pivotArea dataOnly="0" labelOnly="1" outline="0" fieldPosition="0">
        <references count="2">
          <reference field="1" count="1" selected="0">
            <x v="3"/>
          </reference>
          <reference field="2" count="0"/>
        </references>
      </pivotArea>
    </format>
    <format dxfId="19">
      <pivotArea type="origin" dataOnly="0" labelOnly="1" outline="0" fieldPosition="0"/>
    </format>
    <format dxfId="18">
      <pivotArea field="1" type="button" dataOnly="0" labelOnly="1" outline="0" axis="axisRow" fieldPosition="0"/>
    </format>
    <format dxfId="17">
      <pivotArea field="2" type="button" dataOnly="0" labelOnly="1" outline="0" axis="axisRow" fieldPosition="1"/>
    </format>
    <format dxfId="16">
      <pivotArea dataOnly="0" labelOnly="1" outline="0" fieldPosition="0">
        <references count="1">
          <reference field="0" count="0"/>
        </references>
      </pivotArea>
    </format>
    <format dxfId="15">
      <pivotArea field="3" type="button" dataOnly="0" labelOnly="1" outline="0"/>
    </format>
    <format dxfId="14">
      <pivotArea field="4" type="button" dataOnly="0" labelOnly="1" outline="0"/>
    </format>
    <format dxfId="13">
      <pivotArea outline="0" fieldPosition="0">
        <references count="1">
          <reference field="4294967294" count="1">
            <x v="0"/>
          </reference>
        </references>
      </pivotArea>
    </format>
  </formats>
  <pivotTableStyleInfo showRowHeaders="1" showColHeaders="1" showRowStripes="0" showColStripes="0" showLastColumn="1"/>
</pivotTableDefinition>
</file>

<file path=xl/pivotTables/pivotTable4.xml><?xml version="1.0" encoding="utf-8"?>
<pivotTableDefinition xmlns="http://schemas.openxmlformats.org/spreadsheetml/2006/main" name="樞紐分析表5" cacheId="54" dataOnRows="1" dataPosition="0" applyNumberFormats="0" applyBorderFormats="0" applyFontFormats="0" applyPatternFormats="0" applyAlignmentFormats="0" applyWidthHeightFormats="1" dataCaption="Data" updatedVersion="5" showMemberPropertyTips="0" colGrandTotals="0" itemPrintTitles="1" createdVersion="1" indent="0" compact="0" compactData="0" gridDropZones="1">
  <location ref="A15:J34" firstHeaderRow="1" firstDataRow="2" firstDataCol="2" rowPageCount="2" colPageCount="1"/>
  <pivotFields count="10">
    <pivotField axis="axisCol" compact="0" outline="0" subtotalTop="0" showAll="0" includeNewItemsInFilter="1">
      <items count="14">
        <item h="1" x="0"/>
        <item h="1" x="1"/>
        <item h="1" x="2"/>
        <item h="1" x="3"/>
        <item h="1" x="4"/>
        <item x="5"/>
        <item x="6"/>
        <item x="7"/>
        <item x="8"/>
        <item x="9"/>
        <item x="10"/>
        <item x="11"/>
        <item x="12"/>
        <item t="default"/>
      </items>
    </pivotField>
    <pivotField axis="axisPage" compact="0" outline="0" subtotalTop="0" showAll="0" includeNewItemsInFilter="1">
      <items count="12">
        <item x="5"/>
        <item x="4"/>
        <item x="8"/>
        <item x="0"/>
        <item x="3"/>
        <item x="2"/>
        <item x="1"/>
        <item x="6"/>
        <item x="7"/>
        <item x="9"/>
        <item x="10"/>
        <item t="default"/>
      </items>
    </pivotField>
    <pivotField compact="0" outline="0" subtotalTop="0" showAll="0" includeNewItemsInFilter="1"/>
    <pivotField axis="axisRow" compact="0" outline="0" subtotalTop="0" showAll="0" includeNewItemsInFilter="1">
      <items count="6">
        <item x="4"/>
        <item x="1"/>
        <item x="2"/>
        <item x="0"/>
        <item x="3"/>
        <item t="default"/>
      </items>
    </pivotField>
    <pivotField compact="0" outline="0" subtotalTop="0" showAll="0" includeNewItemsInFilter="1"/>
    <pivotField axis="axisPage" compact="0" outline="0" subtotalTop="0" showAll="0" includeNewItemsInFilter="1">
      <items count="5">
        <item x="1"/>
        <item x="2"/>
        <item x="0"/>
        <item x="3"/>
        <item t="default"/>
      </items>
    </pivotField>
    <pivotField compact="0" outline="0" subtotalTop="0" showAll="0" includeNewItemsInFilter="1" defaultSubtotal="0"/>
    <pivotField compact="0" outline="0" subtotalTop="0" showAll="0" includeNewItemsInFilter="1" defaultSubtotal="0"/>
    <pivotField dataField="1" compact="0" outline="0" subtotalTop="0" showAll="0" includeNewItemsInFilter="1"/>
    <pivotField compact="0" outline="0" subtotalTop="0" showAll="0" includeNewItemsInFilter="1"/>
  </pivotFields>
  <rowFields count="2">
    <field x="-2"/>
    <field x="3"/>
  </rowFields>
  <rowItems count="18">
    <i>
      <x/>
      <x/>
    </i>
    <i r="1">
      <x v="1"/>
    </i>
    <i r="1">
      <x v="2"/>
    </i>
    <i r="1">
      <x v="3"/>
    </i>
    <i r="1">
      <x v="4"/>
    </i>
    <i i="1">
      <x v="1"/>
      <x/>
    </i>
    <i r="1" i="1">
      <x v="1"/>
    </i>
    <i r="1" i="1">
      <x v="2"/>
    </i>
    <i r="1" i="1">
      <x v="3"/>
    </i>
    <i r="1" i="1">
      <x v="4"/>
    </i>
    <i i="2">
      <x v="2"/>
      <x/>
    </i>
    <i r="1" i="2">
      <x v="1"/>
    </i>
    <i r="1" i="2">
      <x v="2"/>
    </i>
    <i r="1" i="2">
      <x v="3"/>
    </i>
    <i r="1" i="2">
      <x v="4"/>
    </i>
    <i t="grand">
      <x/>
    </i>
    <i t="grand" i="1">
      <x/>
    </i>
    <i t="grand" i="2">
      <x/>
    </i>
  </rowItems>
  <colFields count="1">
    <field x="0"/>
  </colFields>
  <colItems count="8">
    <i>
      <x v="5"/>
    </i>
    <i>
      <x v="6"/>
    </i>
    <i>
      <x v="7"/>
    </i>
    <i>
      <x v="8"/>
    </i>
    <i>
      <x v="9"/>
    </i>
    <i>
      <x v="10"/>
    </i>
    <i>
      <x v="11"/>
    </i>
    <i>
      <x v="12"/>
    </i>
  </colItems>
  <pageFields count="2">
    <pageField fld="5" hier="-1"/>
    <pageField fld="1" hier="-1"/>
  </pageFields>
  <dataFields count="3">
    <dataField name="Sum of Units (K)" fld="8" baseField="0" baseItem="0" numFmtId="168"/>
    <dataField name="Units (K) Share %" fld="8" showDataAs="percentOfCol" baseField="0" baseItem="0" numFmtId="10"/>
    <dataField name="Units (K) Growth %" fld="8" showDataAs="percentDiff" baseField="0" baseItem="1048828" numFmtId="10"/>
  </dataFields>
  <formats count="16">
    <format dxfId="51">
      <pivotArea outline="0" fieldPosition="0"/>
    </format>
    <format dxfId="50">
      <pivotArea outline="0" fieldPosition="0">
        <references count="1">
          <reference field="4294967294" count="1">
            <x v="1"/>
          </reference>
        </references>
      </pivotArea>
    </format>
    <format dxfId="49">
      <pivotArea outline="0" fieldPosition="0">
        <references count="1">
          <reference field="4294967294" count="1">
            <x v="2"/>
          </reference>
        </references>
      </pivotArea>
    </format>
    <format dxfId="48">
      <pivotArea dataOnly="0" labelOnly="1" grandCol="1" outline="0" fieldPosition="0"/>
    </format>
    <format dxfId="47">
      <pivotArea type="all" dataOnly="0" outline="0" fieldPosition="0"/>
    </format>
    <format dxfId="46">
      <pivotArea dataOnly="0" labelOnly="1" outline="0" fieldPosition="0">
        <references count="1">
          <reference field="0" count="0"/>
        </references>
      </pivotArea>
    </format>
    <format dxfId="45">
      <pivotArea type="all" dataOnly="0" outline="0" fieldPosition="0"/>
    </format>
    <format dxfId="44">
      <pivotArea outline="0" fieldPosition="0"/>
    </format>
    <format dxfId="43">
      <pivotArea dataOnly="0" labelOnly="1" outline="0" fieldPosition="0">
        <references count="1">
          <reference field="4294967294" count="3">
            <x v="0"/>
            <x v="1"/>
            <x v="2"/>
          </reference>
        </references>
      </pivotArea>
    </format>
    <format dxfId="42">
      <pivotArea field="3" dataOnly="0" labelOnly="1" grandRow="1" outline="0" axis="axisRow" fieldPosition="1">
        <references count="1">
          <reference field="4294967294" count="1" selected="0">
            <x v="0"/>
          </reference>
        </references>
      </pivotArea>
    </format>
    <format dxfId="41">
      <pivotArea field="3" dataOnly="0" labelOnly="1" grandRow="1" outline="0" axis="axisRow" fieldPosition="1">
        <references count="1">
          <reference field="4294967294" count="1" selected="0">
            <x v="1"/>
          </reference>
        </references>
      </pivotArea>
    </format>
    <format dxfId="40">
      <pivotArea field="3" dataOnly="0" labelOnly="1" grandRow="1" outline="0" axis="axisRow" fieldPosition="1">
        <references count="1">
          <reference field="4294967294" count="1" selected="0">
            <x v="2"/>
          </reference>
        </references>
      </pivotArea>
    </format>
    <format dxfId="39">
      <pivotArea dataOnly="0" labelOnly="1" outline="0" fieldPosition="0">
        <references count="2">
          <reference field="4294967294" count="1" selected="0">
            <x v="0"/>
          </reference>
          <reference field="3" count="0"/>
        </references>
      </pivotArea>
    </format>
    <format dxfId="38">
      <pivotArea dataOnly="0" labelOnly="1" outline="0" fieldPosition="0">
        <references count="2">
          <reference field="4294967294" count="1" selected="0">
            <x v="1"/>
          </reference>
          <reference field="3" count="0"/>
        </references>
      </pivotArea>
    </format>
    <format dxfId="37">
      <pivotArea dataOnly="0" labelOnly="1" outline="0" fieldPosition="0">
        <references count="2">
          <reference field="4294967294" count="1" selected="0">
            <x v="2"/>
          </reference>
          <reference field="3" count="0"/>
        </references>
      </pivotArea>
    </format>
    <format dxfId="36">
      <pivotArea dataOnly="0" labelOnly="1" outline="0" fieldPosition="0">
        <references count="1">
          <reference field="0" count="0"/>
        </references>
      </pivotArea>
    </format>
  </formats>
  <pivotTableStyleInfo showRowHeaders="1" showColHeaders="1" showRowStripes="0" showColStripes="0" showLastColumn="1"/>
</pivotTableDefinition>
</file>

<file path=xl/pivotTables/pivotTable5.xml><?xml version="1.0" encoding="utf-8"?>
<pivotTableDefinition xmlns="http://schemas.openxmlformats.org/spreadsheetml/2006/main" name="樞紐分析表4" cacheId="54" dataOnRows="1" dataPosition="0" applyNumberFormats="0" applyBorderFormats="0" applyFontFormats="0" applyPatternFormats="0" applyAlignmentFormats="0" applyWidthHeightFormats="1" dataCaption="Data" updatedVersion="5" showMemberPropertyTips="0" colGrandTotals="0" itemPrintTitles="1" createdVersion="1" indent="0" compact="0" compactData="0" gridDropZones="1">
  <location ref="A44:J63" firstHeaderRow="1" firstDataRow="2" firstDataCol="2" rowPageCount="2" colPageCount="1"/>
  <pivotFields count="10">
    <pivotField axis="axisCol" compact="0" outline="0" subtotalTop="0" showAll="0" includeNewItemsInFilter="1">
      <items count="14">
        <item h="1" x="0"/>
        <item h="1" x="1"/>
        <item h="1" x="2"/>
        <item h="1" x="3"/>
        <item h="1" x="4"/>
        <item x="5"/>
        <item x="6"/>
        <item x="7"/>
        <item x="8"/>
        <item x="9"/>
        <item x="10"/>
        <item x="11"/>
        <item x="12"/>
        <item t="default"/>
      </items>
    </pivotField>
    <pivotField axis="axisPage" compact="0" outline="0" subtotalTop="0" showAll="0" includeNewItemsInFilter="1">
      <items count="12">
        <item x="5"/>
        <item x="4"/>
        <item x="8"/>
        <item x="0"/>
        <item x="3"/>
        <item x="2"/>
        <item x="1"/>
        <item x="6"/>
        <item x="7"/>
        <item x="9"/>
        <item x="10"/>
        <item t="default"/>
      </items>
    </pivotField>
    <pivotField compact="0" outline="0" subtotalTop="0" showAll="0" includeNewItemsInFilter="1"/>
    <pivotField axis="axisRow" compact="0" outline="0" subtotalTop="0" showAll="0" includeNewItemsInFilter="1">
      <items count="6">
        <item x="4"/>
        <item x="1"/>
        <item x="2"/>
        <item x="0"/>
        <item x="3"/>
        <item t="default"/>
      </items>
    </pivotField>
    <pivotField compact="0" outline="0" subtotalTop="0" showAll="0" includeNewItemsInFilter="1"/>
    <pivotField axis="axisPage" compact="0" outline="0" subtotalTop="0" showAll="0" includeNewItemsInFilter="1">
      <items count="5">
        <item x="1"/>
        <item x="2"/>
        <item x="0"/>
        <item x="3"/>
        <item t="default"/>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pivotField dataField="1" compact="0" outline="0" subtotalTop="0" showAll="0" includeNewItemsInFilter="1"/>
  </pivotFields>
  <rowFields count="2">
    <field x="-2"/>
    <field x="3"/>
  </rowFields>
  <rowItems count="18">
    <i>
      <x/>
      <x/>
    </i>
    <i r="1">
      <x v="1"/>
    </i>
    <i r="1">
      <x v="2"/>
    </i>
    <i r="1">
      <x v="3"/>
    </i>
    <i r="1">
      <x v="4"/>
    </i>
    <i i="1">
      <x v="1"/>
      <x/>
    </i>
    <i r="1" i="1">
      <x v="1"/>
    </i>
    <i r="1" i="1">
      <x v="2"/>
    </i>
    <i r="1" i="1">
      <x v="3"/>
    </i>
    <i r="1" i="1">
      <x v="4"/>
    </i>
    <i i="2">
      <x v="2"/>
      <x/>
    </i>
    <i r="1" i="2">
      <x v="1"/>
    </i>
    <i r="1" i="2">
      <x v="2"/>
    </i>
    <i r="1" i="2">
      <x v="3"/>
    </i>
    <i r="1" i="2">
      <x v="4"/>
    </i>
    <i t="grand">
      <x/>
    </i>
    <i t="grand" i="1">
      <x/>
    </i>
    <i t="grand" i="2">
      <x/>
    </i>
  </rowItems>
  <colFields count="1">
    <field x="0"/>
  </colFields>
  <colItems count="8">
    <i>
      <x v="5"/>
    </i>
    <i>
      <x v="6"/>
    </i>
    <i>
      <x v="7"/>
    </i>
    <i>
      <x v="8"/>
    </i>
    <i>
      <x v="9"/>
    </i>
    <i>
      <x v="10"/>
    </i>
    <i>
      <x v="11"/>
    </i>
    <i>
      <x v="12"/>
    </i>
  </colItems>
  <pageFields count="2">
    <pageField fld="5" hier="-1"/>
    <pageField fld="1" hier="-1"/>
  </pageFields>
  <dataFields count="3">
    <dataField name="Sum of Vendor Revenue" fld="9" baseField="0" baseItem="0" numFmtId="168"/>
    <dataField name="Vendor Revenue Share %" fld="9" showDataAs="percentOfCol" baseField="0" baseItem="0" numFmtId="10"/>
    <dataField name="Vendor Revenue Growth %" fld="9" showDataAs="percentDiff" baseField="0" baseItem="1048828" numFmtId="10"/>
  </dataFields>
  <formats count="16">
    <format dxfId="67">
      <pivotArea outline="0" fieldPosition="0"/>
    </format>
    <format dxfId="66">
      <pivotArea outline="0" fieldPosition="0">
        <references count="1">
          <reference field="4294967294" count="1">
            <x v="1"/>
          </reference>
        </references>
      </pivotArea>
    </format>
    <format dxfId="65">
      <pivotArea outline="0" fieldPosition="0">
        <references count="1">
          <reference field="4294967294" count="1">
            <x v="2"/>
          </reference>
        </references>
      </pivotArea>
    </format>
    <format dxfId="64">
      <pivotArea dataOnly="0" labelOnly="1" grandCol="1" outline="0" fieldPosition="0"/>
    </format>
    <format dxfId="63">
      <pivotArea dataOnly="0" labelOnly="1" outline="0" fieldPosition="0">
        <references count="1">
          <reference field="0" count="0"/>
        </references>
      </pivotArea>
    </format>
    <format dxfId="62">
      <pivotArea type="all" dataOnly="0" outline="0" fieldPosition="0"/>
    </format>
    <format dxfId="61">
      <pivotArea type="all" dataOnly="0" outline="0" fieldPosition="0"/>
    </format>
    <format dxfId="60">
      <pivotArea outline="0" fieldPosition="0"/>
    </format>
    <format dxfId="59">
      <pivotArea dataOnly="0" labelOnly="1" outline="0" fieldPosition="0">
        <references count="1">
          <reference field="4294967294" count="3">
            <x v="0"/>
            <x v="1"/>
            <x v="2"/>
          </reference>
        </references>
      </pivotArea>
    </format>
    <format dxfId="58">
      <pivotArea field="3" dataOnly="0" labelOnly="1" grandRow="1" outline="0" axis="axisRow" fieldPosition="1">
        <references count="1">
          <reference field="4294967294" count="1" selected="0">
            <x v="0"/>
          </reference>
        </references>
      </pivotArea>
    </format>
    <format dxfId="57">
      <pivotArea field="3" dataOnly="0" labelOnly="1" grandRow="1" outline="0" axis="axisRow" fieldPosition="1">
        <references count="1">
          <reference field="4294967294" count="1" selected="0">
            <x v="1"/>
          </reference>
        </references>
      </pivotArea>
    </format>
    <format dxfId="56">
      <pivotArea field="3" dataOnly="0" labelOnly="1" grandRow="1" outline="0" axis="axisRow" fieldPosition="1">
        <references count="1">
          <reference field="4294967294" count="1" selected="0">
            <x v="2"/>
          </reference>
        </references>
      </pivotArea>
    </format>
    <format dxfId="55">
      <pivotArea dataOnly="0" labelOnly="1" outline="0" fieldPosition="0">
        <references count="2">
          <reference field="4294967294" count="1" selected="0">
            <x v="0"/>
          </reference>
          <reference field="3" count="0"/>
        </references>
      </pivotArea>
    </format>
    <format dxfId="54">
      <pivotArea dataOnly="0" labelOnly="1" outline="0" fieldPosition="0">
        <references count="2">
          <reference field="4294967294" count="1" selected="0">
            <x v="1"/>
          </reference>
          <reference field="3" count="0"/>
        </references>
      </pivotArea>
    </format>
    <format dxfId="53">
      <pivotArea dataOnly="0" labelOnly="1" outline="0" fieldPosition="0">
        <references count="2">
          <reference field="4294967294" count="1" selected="0">
            <x v="2"/>
          </reference>
          <reference field="3" count="0"/>
        </references>
      </pivotArea>
    </format>
    <format dxfId="52">
      <pivotArea dataOnly="0" labelOnly="1" outline="0" fieldPosition="0">
        <references count="1">
          <reference field="0" count="0"/>
        </references>
      </pivotArea>
    </format>
  </formats>
  <pivotTableStyleInfo showRowHeaders="1" showColHeaders="1" showRowStripes="0" showColStripes="0" showLastColumn="1"/>
</pivotTableDefinition>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drawing" Target="../drawings/drawing2.xml"/><Relationship Id="rId4" Type="http://schemas.openxmlformats.org/officeDocument/2006/relationships/pivotTable" Target="../pivotTables/pivotTable5.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B1:V129"/>
  <sheetViews>
    <sheetView showGridLines="0" tabSelected="1" zoomScale="70" zoomScaleNormal="70" workbookViewId="0">
      <selection activeCell="R6" sqref="R6"/>
    </sheetView>
  </sheetViews>
  <sheetFormatPr defaultColWidth="9" defaultRowHeight="15.75"/>
  <cols>
    <col min="1" max="1" width="9" style="587"/>
    <col min="2" max="2" width="29.75" style="587" customWidth="1"/>
    <col min="3" max="5" width="11.625" style="587" hidden="1" customWidth="1"/>
    <col min="6" max="10" width="13.25" style="587" customWidth="1"/>
    <col min="11" max="11" width="11" style="587" customWidth="1"/>
    <col min="12" max="12" width="11.125" style="587" bestFit="1" customWidth="1"/>
    <col min="13" max="13" width="11.125" style="587" customWidth="1"/>
    <col min="14" max="14" width="13" style="587" bestFit="1" customWidth="1"/>
    <col min="15" max="16384" width="9" style="587"/>
  </cols>
  <sheetData>
    <row r="1" spans="2:14" ht="16.5" thickBot="1"/>
    <row r="2" spans="2:14" ht="18.75">
      <c r="B2" s="589" t="str">
        <f>CHOOSE('P&amp;L Drivers'!$S$2,"Bank Case","Stress Case")&amp;" - NTD mln"</f>
        <v>Bank Case - NTD mln</v>
      </c>
      <c r="C2" s="590" t="str">
        <f>FS!G1</f>
        <v>2014 (A)</v>
      </c>
      <c r="D2" s="590" t="str">
        <f>FS!H1</f>
        <v>2015 (A)</v>
      </c>
      <c r="E2" s="590" t="str">
        <f>FS!I1</f>
        <v>2016(A)</v>
      </c>
      <c r="F2" s="591" t="str">
        <f>FS!J1</f>
        <v>2017(A)</v>
      </c>
      <c r="G2" s="590" t="str">
        <f>FS!O1</f>
        <v>2018 (F)</v>
      </c>
      <c r="H2" s="590" t="str">
        <f>FS!P1</f>
        <v>2019 (F)</v>
      </c>
      <c r="I2" s="590" t="str">
        <f>FS!Q1</f>
        <v>2020 (F)</v>
      </c>
      <c r="J2" s="592" t="str">
        <f>FS!R1</f>
        <v>2021 (F)</v>
      </c>
      <c r="L2" s="590" t="s">
        <v>773</v>
      </c>
      <c r="M2" s="590" t="s">
        <v>772</v>
      </c>
      <c r="N2" s="590" t="s">
        <v>771</v>
      </c>
    </row>
    <row r="3" spans="2:14" ht="18.75">
      <c r="B3" s="593" t="s">
        <v>39</v>
      </c>
      <c r="C3" s="594">
        <f>FS!G3</f>
        <v>4213172</v>
      </c>
      <c r="D3" s="594">
        <f>FS!H3</f>
        <v>4482146</v>
      </c>
      <c r="E3" s="594">
        <f>FS!I3</f>
        <v>4358733.3569999998</v>
      </c>
      <c r="F3" s="595">
        <f>FS!J3</f>
        <v>4706736.0959999999</v>
      </c>
      <c r="G3" s="594">
        <f>FS!O3</f>
        <v>4863659.9982402064</v>
      </c>
      <c r="H3" s="594">
        <f>FS!P3</f>
        <v>4965983.8365392741</v>
      </c>
      <c r="I3" s="594">
        <f>FS!Q3</f>
        <v>5068521.1393565852</v>
      </c>
      <c r="J3" s="596">
        <f>FS!R3</f>
        <v>5173871.7408279255</v>
      </c>
      <c r="L3" s="594">
        <f>FS!L3</f>
        <v>958009.21699999995</v>
      </c>
      <c r="M3" s="594">
        <f>FS!M3</f>
        <v>975043.85600000003</v>
      </c>
      <c r="N3" s="594">
        <f>FS!N3</f>
        <v>1028594.58</v>
      </c>
    </row>
    <row r="4" spans="2:14" ht="18.75">
      <c r="B4" s="597" t="s">
        <v>476</v>
      </c>
      <c r="C4" s="598"/>
      <c r="D4" s="598">
        <f>FS!H4</f>
        <v>6.3841210375460644E-2</v>
      </c>
      <c r="E4" s="598">
        <f>FS!I4</f>
        <v>-2.7534275545687326E-2</v>
      </c>
      <c r="F4" s="599">
        <f>FS!J4</f>
        <v>7.9840336743957518E-2</v>
      </c>
      <c r="G4" s="598">
        <f>FS!O4</f>
        <v>3.3340280618997964E-2</v>
      </c>
      <c r="H4" s="598">
        <f>FS!P4</f>
        <v>2.1038443957038799E-2</v>
      </c>
      <c r="I4" s="598">
        <f>FS!Q4</f>
        <v>2.0647933258028495E-2</v>
      </c>
      <c r="J4" s="600">
        <f>FS!R4</f>
        <v>2.078527416080056E-2</v>
      </c>
      <c r="L4" s="598">
        <f>FS!L4</f>
        <v>-5.5331785234240538E-2</v>
      </c>
      <c r="M4" s="598">
        <f>FS!M4</f>
        <v>1.7781289258723465E-2</v>
      </c>
      <c r="N4" s="598">
        <f>FS!N4</f>
        <v>5.4921349096732186E-2</v>
      </c>
    </row>
    <row r="5" spans="2:14" ht="18.75">
      <c r="B5" s="593" t="s">
        <v>43</v>
      </c>
      <c r="C5" s="594">
        <f>FS!G7</f>
        <v>291944</v>
      </c>
      <c r="D5" s="594">
        <f>FS!H7</f>
        <v>320592</v>
      </c>
      <c r="E5" s="594">
        <f>FS!I7</f>
        <v>321584.98</v>
      </c>
      <c r="F5" s="595">
        <f>FS!J7</f>
        <v>303006.94699999969</v>
      </c>
      <c r="G5" s="594">
        <f>FS!O7</f>
        <v>315560.05051081162</v>
      </c>
      <c r="H5" s="594">
        <f>FS!P7</f>
        <v>291254.44764057919</v>
      </c>
      <c r="I5" s="594">
        <f>FS!Q7</f>
        <v>304847.33597641904</v>
      </c>
      <c r="J5" s="596">
        <f>FS!R7</f>
        <v>303195.40644303057</v>
      </c>
      <c r="L5" s="594">
        <f>FS!L7</f>
        <v>67576.472999999998</v>
      </c>
      <c r="M5" s="594">
        <f>FS!M7</f>
        <v>71724.616000000038</v>
      </c>
      <c r="N5" s="594">
        <f>FS!N7</f>
        <v>63676.733999999939</v>
      </c>
    </row>
    <row r="6" spans="2:14" ht="18.75">
      <c r="B6" s="597" t="s">
        <v>44</v>
      </c>
      <c r="C6" s="598">
        <f>FS!G8</f>
        <v>6.929315964313823E-2</v>
      </c>
      <c r="D6" s="598">
        <f>FS!H8</f>
        <v>7.1526451838025806E-2</v>
      </c>
      <c r="E6" s="598">
        <f>FS!I8</f>
        <v>7.3779456934098486E-2</v>
      </c>
      <c r="F6" s="599">
        <f>FS!J8</f>
        <v>6.437729688254859E-2</v>
      </c>
      <c r="G6" s="598">
        <f>FS!O8</f>
        <v>6.4881190425520929E-2</v>
      </c>
      <c r="H6" s="598">
        <f>FS!P8</f>
        <v>5.8649898434536676E-2</v>
      </c>
      <c r="I6" s="598">
        <f>FS!Q8</f>
        <v>6.0145223349135989E-2</v>
      </c>
      <c r="J6" s="600">
        <f>FS!R8</f>
        <v>5.8601260647894046E-2</v>
      </c>
      <c r="L6" s="598">
        <f>FS!L8</f>
        <v>7.053843721004617E-2</v>
      </c>
      <c r="M6" s="598">
        <f>FS!M8</f>
        <v>7.3560399933436466E-2</v>
      </c>
      <c r="N6" s="953">
        <f>FS!N8</f>
        <v>6.1906542420240969E-2</v>
      </c>
    </row>
    <row r="7" spans="2:14" ht="18.75">
      <c r="B7" s="593" t="s">
        <v>50</v>
      </c>
      <c r="C7" s="594">
        <f>FS!G16</f>
        <v>143192</v>
      </c>
      <c r="D7" s="594">
        <f>FS!H16</f>
        <v>164269</v>
      </c>
      <c r="E7" s="594">
        <f>FS!I16</f>
        <v>174939.50099999999</v>
      </c>
      <c r="F7" s="595">
        <f>FS!J16</f>
        <v>112570.43099999969</v>
      </c>
      <c r="G7" s="594">
        <f>FS!O16</f>
        <v>121013.65058120337</v>
      </c>
      <c r="H7" s="594">
        <f>FS!P16</f>
        <v>92615.094179008214</v>
      </c>
      <c r="I7" s="594">
        <f>FS!Q16</f>
        <v>120788.40989974234</v>
      </c>
      <c r="J7" s="596">
        <f>FS!R16</f>
        <v>115310.76512610761</v>
      </c>
      <c r="L7" s="594">
        <f>FS!L16</f>
        <v>35324.663999999997</v>
      </c>
      <c r="M7" s="594">
        <f>FS!M16</f>
        <v>36489.726000000039</v>
      </c>
      <c r="N7" s="594">
        <f>FS!N16</f>
        <v>24659.859999999935</v>
      </c>
    </row>
    <row r="8" spans="2:14" ht="18.75">
      <c r="B8" s="597" t="s">
        <v>51</v>
      </c>
      <c r="C8" s="598">
        <f>FS!G17</f>
        <v>3.3986744429137954E-2</v>
      </c>
      <c r="D8" s="598">
        <f>FS!H17</f>
        <v>3.6649631671971418E-2</v>
      </c>
      <c r="E8" s="598">
        <f>FS!I17</f>
        <v>4.0135398674720997E-2</v>
      </c>
      <c r="F8" s="599">
        <f>FS!J17</f>
        <v>2.3916877578002982E-2</v>
      </c>
      <c r="G8" s="598">
        <f>FS!O17</f>
        <v>2.4881190425520932E-2</v>
      </c>
      <c r="H8" s="598">
        <f>FS!P17</f>
        <v>1.8649898434536669E-2</v>
      </c>
      <c r="I8" s="598">
        <f>FS!Q17</f>
        <v>2.383109522062201E-2</v>
      </c>
      <c r="J8" s="600">
        <f>FS!R17</f>
        <v>2.2287132519380064E-2</v>
      </c>
      <c r="L8" s="598">
        <f>FS!L17</f>
        <v>3.6872989709450778E-2</v>
      </c>
      <c r="M8" s="598">
        <f>FS!M17</f>
        <v>3.7423676663832069E-2</v>
      </c>
      <c r="N8" s="953">
        <f>FS!N17</f>
        <v>2.3974324266806787E-2</v>
      </c>
    </row>
    <row r="9" spans="2:14" ht="18.75">
      <c r="B9" s="593" t="s">
        <v>477</v>
      </c>
      <c r="C9" s="594">
        <f>FS!G20</f>
        <v>213424</v>
      </c>
      <c r="D9" s="594">
        <f>FS!H20</f>
        <v>235526</v>
      </c>
      <c r="E9" s="594">
        <f>FS!I20</f>
        <v>238226.50099999999</v>
      </c>
      <c r="F9" s="595">
        <f>FS!J20</f>
        <v>173570.84099999969</v>
      </c>
      <c r="G9" s="594">
        <f>FS!O20</f>
        <v>179955.41993488715</v>
      </c>
      <c r="H9" s="594">
        <f>FS!P20</f>
        <v>183741.40195195319</v>
      </c>
      <c r="I9" s="594">
        <f>FS!Q20</f>
        <v>241696.84962927597</v>
      </c>
      <c r="J9" s="596">
        <f>FS!R20</f>
        <v>246720.58491262284</v>
      </c>
      <c r="L9" s="594">
        <f>FS!L20</f>
        <v>52060.433999999994</v>
      </c>
      <c r="M9" s="594">
        <f>FS!M20</f>
        <v>51790.428000000036</v>
      </c>
      <c r="N9" s="594">
        <f>FS!N20</f>
        <v>38325.293999999936</v>
      </c>
    </row>
    <row r="10" spans="2:14" ht="18.75">
      <c r="B10" s="597" t="s">
        <v>478</v>
      </c>
      <c r="C10" s="598">
        <f>FS!G21</f>
        <v>5.0656370069866598E-2</v>
      </c>
      <c r="D10" s="598">
        <f>FS!H21</f>
        <v>5.2547596620011933E-2</v>
      </c>
      <c r="E10" s="598">
        <f>FS!I21</f>
        <v>5.4654983796477277E-2</v>
      </c>
      <c r="F10" s="599">
        <f>FS!J21</f>
        <v>3.6877113451826662E-2</v>
      </c>
      <c r="G10" s="598">
        <f>FS!O21</f>
        <v>3.6999999999999901E-2</v>
      </c>
      <c r="H10" s="598">
        <f>FS!P21</f>
        <v>3.7000000000000012E-2</v>
      </c>
      <c r="I10" s="598">
        <f>FS!Q21</f>
        <v>4.7685871871485923E-2</v>
      </c>
      <c r="J10" s="600">
        <f>FS!R21</f>
        <v>4.7685871871486034E-2</v>
      </c>
      <c r="L10" s="598">
        <f>FS!L21</f>
        <v>5.4342310153368802E-2</v>
      </c>
      <c r="M10" s="598">
        <f>FS!M21</f>
        <v>5.3115998507455887E-2</v>
      </c>
      <c r="N10" s="953">
        <f>FS!N21</f>
        <v>3.7259863842564619E-2</v>
      </c>
    </row>
    <row r="11" spans="2:14" ht="18.75">
      <c r="B11" s="593" t="s">
        <v>479</v>
      </c>
      <c r="C11" s="594">
        <f>FS!G29</f>
        <v>259360.07500000001</v>
      </c>
      <c r="D11" s="594">
        <f>FS!H29</f>
        <v>289166.283</v>
      </c>
      <c r="E11" s="594">
        <f>FS!I29</f>
        <v>287807.43599999999</v>
      </c>
      <c r="F11" s="595">
        <f>FS!J29</f>
        <v>282867.43699999969</v>
      </c>
      <c r="G11" s="594">
        <f>FS!O29</f>
        <v>217292.36898393719</v>
      </c>
      <c r="H11" s="594">
        <f>FS!P29</f>
        <v>220719.66488990944</v>
      </c>
      <c r="I11" s="594">
        <f>FS!Q29</f>
        <v>280177.971984701</v>
      </c>
      <c r="J11" s="596">
        <f>FS!R29</f>
        <v>286192.18842042284</v>
      </c>
      <c r="L11" s="594">
        <f>FS!L29</f>
        <v>58332.558999999994</v>
      </c>
      <c r="M11" s="594">
        <f>FS!M29</f>
        <v>60240.401000000034</v>
      </c>
      <c r="N11" s="594">
        <f>FS!N29</f>
        <v>54149.880999999936</v>
      </c>
    </row>
    <row r="12" spans="2:14" ht="18.75">
      <c r="B12" s="597" t="s">
        <v>480</v>
      </c>
      <c r="C12" s="598">
        <f>C11/C3</f>
        <v>6.1559337003094107E-2</v>
      </c>
      <c r="D12" s="598">
        <f t="shared" ref="D12:I12" si="0">D11/D3</f>
        <v>6.4515141407709614E-2</v>
      </c>
      <c r="E12" s="598">
        <f t="shared" si="0"/>
        <v>6.6030062503775216E-2</v>
      </c>
      <c r="F12" s="599">
        <f t="shared" si="0"/>
        <v>6.00984272817831E-2</v>
      </c>
      <c r="G12" s="598">
        <f t="shared" si="0"/>
        <v>4.4676718574604105E-2</v>
      </c>
      <c r="H12" s="598">
        <f t="shared" si="0"/>
        <v>4.4446311577954298E-2</v>
      </c>
      <c r="I12" s="598">
        <f t="shared" si="0"/>
        <v>5.5278051384484848E-2</v>
      </c>
      <c r="J12" s="600">
        <f>J11/J3</f>
        <v>5.5314898156834907E-2</v>
      </c>
      <c r="L12" s="598">
        <f t="shared" ref="L12:M12" si="1">L11/L3</f>
        <v>6.0889350504025469E-2</v>
      </c>
      <c r="M12" s="598">
        <f t="shared" si="1"/>
        <v>6.1782247669483321E-2</v>
      </c>
      <c r="N12" s="953">
        <f>N11/N3</f>
        <v>5.264453269819868E-2</v>
      </c>
    </row>
    <row r="13" spans="2:14" ht="18.75">
      <c r="B13" s="593" t="s">
        <v>481</v>
      </c>
      <c r="C13" s="602">
        <f>FS!G23</f>
        <v>15007.075000000001</v>
      </c>
      <c r="D13" s="602">
        <f>FS!H23</f>
        <v>18870.539000000001</v>
      </c>
      <c r="E13" s="602">
        <f>FS!I23</f>
        <v>26570.545999999998</v>
      </c>
      <c r="F13" s="603">
        <f>FS!J23</f>
        <v>38994.404000000002</v>
      </c>
      <c r="G13" s="602">
        <f>FS!O23</f>
        <v>21357.864344613998</v>
      </c>
      <c r="H13" s="602">
        <f>FS!P23</f>
        <v>20720.364404614</v>
      </c>
      <c r="I13" s="602">
        <f>FS!Q23</f>
        <v>20603.204404614</v>
      </c>
      <c r="J13" s="604">
        <f>FS!R23</f>
        <v>20103.273003613998</v>
      </c>
      <c r="L13" s="602">
        <f>FS!L23</f>
        <v>5290.8410000000003</v>
      </c>
      <c r="M13" s="602">
        <f>FS!M23</f>
        <v>8501.4429999999993</v>
      </c>
      <c r="N13" s="602">
        <f>FS!N23</f>
        <v>10604.115</v>
      </c>
    </row>
    <row r="14" spans="2:14" ht="18.75">
      <c r="B14" s="593" t="s">
        <v>636</v>
      </c>
      <c r="C14" s="602"/>
      <c r="D14" s="602"/>
      <c r="E14" s="602"/>
      <c r="F14" s="603">
        <f>FS!J28</f>
        <v>182872.62299999967</v>
      </c>
      <c r="G14" s="602">
        <f>FS!O28</f>
        <v>136992.73528563938</v>
      </c>
      <c r="H14" s="602">
        <f>FS!P28</f>
        <v>108872.99271235047</v>
      </c>
      <c r="I14" s="602">
        <f>FS!Q28</f>
        <v>138666.32785055335</v>
      </c>
      <c r="J14" s="604">
        <f>FS!R28</f>
        <v>134679.09563029362</v>
      </c>
      <c r="L14" s="602">
        <f>FS!L28</f>
        <v>36305.947999999997</v>
      </c>
      <c r="M14" s="602">
        <f>FS!M28</f>
        <v>36438.256000000038</v>
      </c>
      <c r="N14" s="602">
        <f>FS!N28</f>
        <v>29880.331999999937</v>
      </c>
    </row>
    <row r="15" spans="2:14" ht="18.75">
      <c r="B15" s="593" t="s">
        <v>482</v>
      </c>
      <c r="C15" s="594">
        <f>FS!G33</f>
        <v>130535</v>
      </c>
      <c r="D15" s="594">
        <f>FS!H33</f>
        <v>146867.74400000001</v>
      </c>
      <c r="E15" s="594">
        <f>FS!I33</f>
        <v>148663.12799999997</v>
      </c>
      <c r="F15" s="595">
        <f>FS!J33</f>
        <v>138734.40099999966</v>
      </c>
      <c r="G15" s="594">
        <f>FS!O33</f>
        <v>100346.10888708066</v>
      </c>
      <c r="H15" s="594">
        <f>FS!P33</f>
        <v>75103.238582050864</v>
      </c>
      <c r="I15" s="594">
        <f>FS!Q33</f>
        <v>97928.683307159285</v>
      </c>
      <c r="J15" s="596">
        <f>FS!R33</f>
        <v>94619.280564343702</v>
      </c>
      <c r="L15" s="594">
        <f>FS!L33</f>
        <v>27576.757999999998</v>
      </c>
      <c r="M15" s="594">
        <f>FS!M33</f>
        <v>28167.531000000035</v>
      </c>
      <c r="N15" s="594">
        <f>FS!N33</f>
        <v>24080.662999999935</v>
      </c>
    </row>
    <row r="16" spans="2:14" ht="18.75">
      <c r="B16" s="597" t="s">
        <v>483</v>
      </c>
      <c r="C16" s="598">
        <f>FS!G34</f>
        <v>3.0982594586691451E-2</v>
      </c>
      <c r="D16" s="598">
        <f>FS!H34</f>
        <v>3.2767282458001146E-2</v>
      </c>
      <c r="E16" s="598">
        <f>FS!I34</f>
        <v>3.4106956270048332E-2</v>
      </c>
      <c r="F16" s="599">
        <f>FS!J34</f>
        <v>2.9475712716908544E-2</v>
      </c>
      <c r="G16" s="598">
        <f>FS!O34</f>
        <v>2.0631809979190237E-2</v>
      </c>
      <c r="H16" s="598">
        <f>FS!P34</f>
        <v>1.5123536655405081E-2</v>
      </c>
      <c r="I16" s="598">
        <f>FS!Q34</f>
        <v>1.9320957852331396E-2</v>
      </c>
      <c r="J16" s="600">
        <f>FS!R34</f>
        <v>1.8287906098963844E-2</v>
      </c>
      <c r="L16" s="598">
        <f>FS!L34</f>
        <v>2.8785482968897155E-2</v>
      </c>
      <c r="M16" s="598">
        <f>FS!M34</f>
        <v>2.888847596615186E-2</v>
      </c>
      <c r="N16" s="953">
        <f>FS!N34</f>
        <v>2.3411228746704007E-2</v>
      </c>
    </row>
    <row r="17" spans="2:14" ht="18.75">
      <c r="B17" s="605" t="s">
        <v>90</v>
      </c>
      <c r="C17" s="606" t="str">
        <f>C2</f>
        <v>2014 (A)</v>
      </c>
      <c r="D17" s="606" t="str">
        <f t="shared" ref="D17:J17" si="2">D2</f>
        <v>2015 (A)</v>
      </c>
      <c r="E17" s="606" t="str">
        <f t="shared" si="2"/>
        <v>2016(A)</v>
      </c>
      <c r="F17" s="607" t="str">
        <f t="shared" si="2"/>
        <v>2017(A)</v>
      </c>
      <c r="G17" s="606" t="str">
        <f t="shared" si="2"/>
        <v>2018 (F)</v>
      </c>
      <c r="H17" s="606" t="str">
        <f t="shared" si="2"/>
        <v>2019 (F)</v>
      </c>
      <c r="I17" s="606" t="str">
        <f t="shared" si="2"/>
        <v>2020 (F)</v>
      </c>
      <c r="J17" s="608" t="str">
        <f t="shared" si="2"/>
        <v>2021 (F)</v>
      </c>
      <c r="L17" s="606" t="str">
        <f t="shared" ref="L17:M17" si="3">L2</f>
        <v>Q1'16(A)</v>
      </c>
      <c r="M17" s="606" t="str">
        <f t="shared" si="3"/>
        <v>Q1'17(A)</v>
      </c>
      <c r="N17" s="606" t="str">
        <f>N2</f>
        <v>Q1'18(A)</v>
      </c>
    </row>
    <row r="18" spans="2:14" ht="18.75">
      <c r="B18" s="609" t="s">
        <v>484</v>
      </c>
      <c r="C18" s="610">
        <f>FS!G78</f>
        <v>679037</v>
      </c>
      <c r="D18" s="610">
        <f>FS!H78</f>
        <v>657138</v>
      </c>
      <c r="E18" s="610">
        <f>FS!I78</f>
        <v>633154.66</v>
      </c>
      <c r="F18" s="611">
        <f>FS!J78</f>
        <v>642495.41800000006</v>
      </c>
      <c r="G18" s="610">
        <f>FS!O78</f>
        <v>680653.2243761844</v>
      </c>
      <c r="H18" s="610">
        <f>FS!P78</f>
        <v>630618.70133006689</v>
      </c>
      <c r="I18" s="610">
        <f>FS!Q78</f>
        <v>559376.99091861839</v>
      </c>
      <c r="J18" s="612">
        <f>FS!R78</f>
        <v>627957.84139719885</v>
      </c>
      <c r="L18" s="610">
        <f>FS!L78</f>
        <v>640784.01899999997</v>
      </c>
      <c r="M18" s="610">
        <f>FS!M78</f>
        <v>534950.31499999994</v>
      </c>
      <c r="N18" s="610">
        <f>FS!N78</f>
        <v>576764.68999999994</v>
      </c>
    </row>
    <row r="19" spans="2:14" ht="18.75">
      <c r="B19" s="593" t="s">
        <v>104</v>
      </c>
      <c r="C19" s="613">
        <f>FS!G92</f>
        <v>2462715</v>
      </c>
      <c r="D19" s="613">
        <f>FS!H92</f>
        <v>2308300</v>
      </c>
      <c r="E19" s="613">
        <f>FS!I92</f>
        <v>2592043.3349999995</v>
      </c>
      <c r="F19" s="614">
        <f>FS!J92</f>
        <v>3407216.3429999999</v>
      </c>
      <c r="G19" s="613">
        <f>FS!O92</f>
        <v>3566671.6402136358</v>
      </c>
      <c r="H19" s="613">
        <f>FS!P92</f>
        <v>3632655.9620553115</v>
      </c>
      <c r="I19" s="613">
        <f>FS!Q92</f>
        <v>3667160.9262220701</v>
      </c>
      <c r="J19" s="615">
        <f>FS!R92</f>
        <v>3719328.8040943574</v>
      </c>
      <c r="L19" s="613">
        <f>FS!L92</f>
        <v>2128750.6440000003</v>
      </c>
      <c r="M19" s="613">
        <f>FS!M92</f>
        <v>2332342.1230000001</v>
      </c>
      <c r="N19" s="613">
        <f>FS!N92</f>
        <v>2722234.0120000001</v>
      </c>
    </row>
    <row r="20" spans="2:14" ht="18.75">
      <c r="B20" s="609" t="s">
        <v>485</v>
      </c>
      <c r="C20" s="610">
        <f>SUM(C21:C23)</f>
        <v>413616</v>
      </c>
      <c r="D20" s="610">
        <f t="shared" ref="D20:J20" si="4">SUM(D21:D23)</f>
        <v>294913.33900000004</v>
      </c>
      <c r="E20" s="610">
        <f t="shared" si="4"/>
        <v>426458.58299999998</v>
      </c>
      <c r="F20" s="611">
        <f t="shared" si="4"/>
        <v>663098.26</v>
      </c>
      <c r="G20" s="610">
        <f t="shared" si="4"/>
        <v>616865.18500000006</v>
      </c>
      <c r="H20" s="610">
        <f t="shared" si="4"/>
        <v>605191.86941034533</v>
      </c>
      <c r="I20" s="610">
        <f t="shared" si="4"/>
        <v>535724.77382069058</v>
      </c>
      <c r="J20" s="612">
        <f t="shared" si="4"/>
        <v>493088.85823103588</v>
      </c>
      <c r="L20" s="610">
        <f t="shared" ref="L20:N20" si="5">SUM(L21:L23)</f>
        <v>297370.15500000003</v>
      </c>
      <c r="M20" s="610">
        <f t="shared" si="5"/>
        <v>343589.43599999999</v>
      </c>
      <c r="N20" s="954">
        <f t="shared" si="5"/>
        <v>611485.93299999996</v>
      </c>
    </row>
    <row r="21" spans="2:14" ht="18.75">
      <c r="B21" s="601" t="s">
        <v>486</v>
      </c>
      <c r="C21" s="613">
        <f>FS!G97</f>
        <v>226501</v>
      </c>
      <c r="D21" s="613">
        <f>FS!H97</f>
        <v>77233.209000000003</v>
      </c>
      <c r="E21" s="613">
        <f>FS!I97</f>
        <v>187462.98699999999</v>
      </c>
      <c r="F21" s="614">
        <f>FS!J97</f>
        <v>429795.41500000004</v>
      </c>
      <c r="G21" s="613">
        <f>FS!O97</f>
        <v>429795.20600000001</v>
      </c>
      <c r="H21" s="613">
        <f>FS!P97</f>
        <v>429795.20600000001</v>
      </c>
      <c r="I21" s="613">
        <f>FS!Q97</f>
        <v>429795.20600000001</v>
      </c>
      <c r="J21" s="615">
        <f>FS!R97</f>
        <v>429795.20600000001</v>
      </c>
      <c r="L21" s="613">
        <f>FS!L97</f>
        <v>92811.626000000004</v>
      </c>
      <c r="M21" s="613">
        <f>FS!M97</f>
        <v>125324.72600000001</v>
      </c>
      <c r="N21" s="613">
        <f>FS!N97</f>
        <v>399510.21899999998</v>
      </c>
    </row>
    <row r="22" spans="2:14" ht="18.75">
      <c r="B22" s="601" t="s">
        <v>487</v>
      </c>
      <c r="C22" s="613">
        <f>FS!G98</f>
        <v>28273</v>
      </c>
      <c r="D22" s="613">
        <f>FS!H98</f>
        <v>45670.13</v>
      </c>
      <c r="E22" s="613">
        <f>FS!I98</f>
        <v>60762.957999999999</v>
      </c>
      <c r="F22" s="614">
        <f>FS!J98</f>
        <v>44822.838000000003</v>
      </c>
      <c r="G22" s="613">
        <f>FS!O98</f>
        <v>11673.315589654701</v>
      </c>
      <c r="H22" s="613">
        <f>FS!P98</f>
        <v>69467.095589654695</v>
      </c>
      <c r="I22" s="613">
        <f>FS!Q98</f>
        <v>42635.915589654709</v>
      </c>
      <c r="J22" s="615">
        <f>FS!R98</f>
        <v>23841.347565280103</v>
      </c>
      <c r="L22" s="613">
        <f>FS!L98</f>
        <v>45195.885000000002</v>
      </c>
      <c r="M22" s="613">
        <f>FS!M98</f>
        <v>66423.084000000003</v>
      </c>
      <c r="N22" s="613">
        <f>FS!N98</f>
        <v>23053.954000000002</v>
      </c>
    </row>
    <row r="23" spans="2:14" ht="18.75">
      <c r="B23" s="601" t="s">
        <v>488</v>
      </c>
      <c r="C23" s="613">
        <f>FS!G102+FS!G103</f>
        <v>158842</v>
      </c>
      <c r="D23" s="613">
        <f>FS!H102+FS!H103</f>
        <v>172010</v>
      </c>
      <c r="E23" s="613">
        <f>FS!I102+FS!I103</f>
        <v>178232.63800000001</v>
      </c>
      <c r="F23" s="614">
        <f>FS!J102+FS!J103</f>
        <v>188480.00700000001</v>
      </c>
      <c r="G23" s="613">
        <f>FS!O102+FS!O103</f>
        <v>175396.6634103453</v>
      </c>
      <c r="H23" s="613">
        <f>FS!P102+FS!P103</f>
        <v>105929.5678206906</v>
      </c>
      <c r="I23" s="613">
        <f>FS!Q102+FS!Q103</f>
        <v>63293.652231035885</v>
      </c>
      <c r="J23" s="615">
        <f>FS!R102+FS!R103</f>
        <v>39452.304665755786</v>
      </c>
      <c r="L23" s="613">
        <f>FS!L102+FS!L103</f>
        <v>159362.644</v>
      </c>
      <c r="M23" s="613">
        <f>FS!M102+FS!M103</f>
        <v>151841.62599999999</v>
      </c>
      <c r="N23" s="613">
        <f>FS!N102+FS!N103</f>
        <v>188921.76</v>
      </c>
    </row>
    <row r="24" spans="2:14" ht="18.75">
      <c r="B24" s="593" t="s">
        <v>569</v>
      </c>
      <c r="C24" s="613" t="str">
        <f>IF(C20-C18&lt;0, "Net Cash", C20-C18)</f>
        <v>Net Cash</v>
      </c>
      <c r="D24" s="613" t="str">
        <f t="shared" ref="D24:E24" si="6">IF(D20-D18&lt;0, "Net Cash", D20-D18)</f>
        <v>Net Cash</v>
      </c>
      <c r="E24" s="613" t="str">
        <f t="shared" si="6"/>
        <v>Net Cash</v>
      </c>
      <c r="F24" s="614" t="str">
        <f>IF(F20-F18-F111&lt;0, "Net Cash", F20-F18-F111)</f>
        <v>Net Cash</v>
      </c>
      <c r="G24" s="613" t="e">
        <f>IF(G20-G18-G111&lt;0, "Net Cash", G20-G18-G111)</f>
        <v>#REF!</v>
      </c>
      <c r="H24" s="613" t="str">
        <f t="shared" ref="H24:J24" si="7">IF(H20-H18-H111&lt;0, "Net Cash", H20-H18-H111)</f>
        <v>Net Cash</v>
      </c>
      <c r="I24" s="613" t="str">
        <f t="shared" si="7"/>
        <v>Net Cash</v>
      </c>
      <c r="J24" s="615" t="str">
        <f t="shared" si="7"/>
        <v>Net Cash</v>
      </c>
      <c r="L24" s="613" t="str">
        <f t="shared" ref="L24:M24" si="8">IF(L20-L18-J111&lt;0, "Net Cash", L20-L18-J111)</f>
        <v>Net Cash</v>
      </c>
      <c r="M24" s="613" t="str">
        <f t="shared" si="8"/>
        <v>Net Cash</v>
      </c>
      <c r="N24" s="613" t="str">
        <f>IF(N20-N18-FS!L169&lt;0, "Net Cash", N20-N18-FS!L169)</f>
        <v>Net Cash</v>
      </c>
    </row>
    <row r="25" spans="2:14" ht="18.75">
      <c r="B25" s="593" t="s">
        <v>489</v>
      </c>
      <c r="C25" s="613">
        <f>FS!G105</f>
        <v>1478037</v>
      </c>
      <c r="D25" s="613">
        <f>FS!H105</f>
        <v>1247909.2009999999</v>
      </c>
      <c r="E25" s="613">
        <f>FS!I105</f>
        <v>1458254.3419999999</v>
      </c>
      <c r="F25" s="614">
        <f>FS!J105</f>
        <v>2235424.1579999998</v>
      </c>
      <c r="G25" s="613">
        <f>FS!O105</f>
        <v>2229072.0272938441</v>
      </c>
      <c r="H25" s="613">
        <f>FS!P105</f>
        <v>2252378.7889336529</v>
      </c>
      <c r="I25" s="613">
        <f>FS!Q105</f>
        <v>2207481.6705859536</v>
      </c>
      <c r="J25" s="615">
        <f>FS!R105</f>
        <v>2194404.100699564</v>
      </c>
      <c r="L25" s="613">
        <f>FS!L105</f>
        <v>1049520.165</v>
      </c>
      <c r="M25" s="613">
        <f>FS!M105</f>
        <v>1148836.7930000001</v>
      </c>
      <c r="N25" s="613">
        <f>FS!N105</f>
        <v>1517920.1939999999</v>
      </c>
    </row>
    <row r="26" spans="2:14" ht="18.75">
      <c r="B26" s="593" t="s">
        <v>490</v>
      </c>
      <c r="C26" s="613">
        <f>FS!G113</f>
        <v>984678</v>
      </c>
      <c r="D26" s="613">
        <f>FS!H113</f>
        <v>1060390.8810000001</v>
      </c>
      <c r="E26" s="613">
        <f>FS!I113</f>
        <v>1133788.598</v>
      </c>
      <c r="F26" s="614">
        <f>FS!J113</f>
        <v>1171792.4550000001</v>
      </c>
      <c r="G26" s="613">
        <f>FS!O113</f>
        <v>1337599.6739197907</v>
      </c>
      <c r="H26" s="613">
        <f>FS!P113</f>
        <v>1380277.2341216588</v>
      </c>
      <c r="I26" s="613">
        <f>FS!Q113</f>
        <v>1459679.3166361162</v>
      </c>
      <c r="J26" s="615">
        <f>FS!R113</f>
        <v>1524924.7643947923</v>
      </c>
      <c r="L26" s="613">
        <f>FS!L113</f>
        <v>1079230.4890000001</v>
      </c>
      <c r="M26" s="613">
        <f>FS!M113</f>
        <v>1183505.33</v>
      </c>
      <c r="N26" s="613">
        <f>FS!N113</f>
        <v>1204313.8079999997</v>
      </c>
    </row>
    <row r="27" spans="2:14" ht="18.75">
      <c r="B27" s="605" t="s">
        <v>491</v>
      </c>
      <c r="C27" s="616" t="str">
        <f>C17</f>
        <v>2014 (A)</v>
      </c>
      <c r="D27" s="616" t="str">
        <f t="shared" ref="D27:N27" si="9">D17</f>
        <v>2015 (A)</v>
      </c>
      <c r="E27" s="616" t="str">
        <f t="shared" si="9"/>
        <v>2016(A)</v>
      </c>
      <c r="F27" s="617" t="str">
        <f t="shared" si="9"/>
        <v>2017(A)</v>
      </c>
      <c r="G27" s="616" t="str">
        <f t="shared" si="9"/>
        <v>2018 (F)</v>
      </c>
      <c r="H27" s="616" t="str">
        <f t="shared" si="9"/>
        <v>2019 (F)</v>
      </c>
      <c r="I27" s="616" t="str">
        <f t="shared" si="9"/>
        <v>2020 (F)</v>
      </c>
      <c r="J27" s="618" t="str">
        <f t="shared" si="9"/>
        <v>2021 (F)</v>
      </c>
      <c r="L27" s="616" t="str">
        <f t="shared" si="9"/>
        <v>Q1'16(A)</v>
      </c>
      <c r="M27" s="616" t="str">
        <f t="shared" si="9"/>
        <v>Q1'17(A)</v>
      </c>
      <c r="N27" s="616" t="str">
        <f t="shared" si="9"/>
        <v>Q1'18(A)</v>
      </c>
    </row>
    <row r="28" spans="2:14" ht="18.75">
      <c r="B28" s="609" t="s">
        <v>72</v>
      </c>
      <c r="C28" s="610">
        <f>FS!G47</f>
        <v>190676</v>
      </c>
      <c r="D28" s="610">
        <f>FS!H47</f>
        <v>242323</v>
      </c>
      <c r="E28" s="610">
        <f>FS!I47</f>
        <v>174020.734</v>
      </c>
      <c r="F28" s="611">
        <f>FS!J47</f>
        <v>-39341.313000000002</v>
      </c>
      <c r="G28" s="610">
        <f>FS!O47</f>
        <v>199675.44420240266</v>
      </c>
      <c r="H28" s="610">
        <f>FS!P47</f>
        <v>220153.89393497229</v>
      </c>
      <c r="I28" s="610">
        <f>FS!Q47</f>
        <v>222434.97323186506</v>
      </c>
      <c r="J28" s="612">
        <f>FS!R47</f>
        <v>231579.55588959221</v>
      </c>
      <c r="L28" s="610">
        <f>FS!L47</f>
        <v>48589.993000000002</v>
      </c>
      <c r="M28" s="610">
        <f>FS!M47</f>
        <v>76942.740999999995</v>
      </c>
      <c r="N28" s="954">
        <f>FS!N47</f>
        <v>6454.9229999999998</v>
      </c>
    </row>
    <row r="29" spans="2:14" ht="18.75">
      <c r="B29" s="601" t="s">
        <v>73</v>
      </c>
      <c r="C29" s="613">
        <f>FS!G50</f>
        <v>-27565</v>
      </c>
      <c r="D29" s="613">
        <f>FS!H50</f>
        <v>-70959</v>
      </c>
      <c r="E29" s="613">
        <f>FS!I50</f>
        <v>-53204.353000000003</v>
      </c>
      <c r="F29" s="614">
        <f>-FS!J50</f>
        <v>60384.845999999998</v>
      </c>
      <c r="G29" s="613">
        <f>-FS!O50</f>
        <v>158706.3670526784</v>
      </c>
      <c r="H29" s="613">
        <f>-FS!P50</f>
        <v>202505.11034689622</v>
      </c>
      <c r="I29" s="613">
        <f>-FS!Q50</f>
        <v>178692.79173953185</v>
      </c>
      <c r="J29" s="615">
        <f>-FS!R50</f>
        <v>63008.280341889498</v>
      </c>
      <c r="L29" s="613">
        <f>-FS!L50</f>
        <v>9743.5930000000008</v>
      </c>
      <c r="M29" s="613">
        <f>-FS!M50</f>
        <v>10283.597</v>
      </c>
      <c r="N29" s="613">
        <f>-FS!N50</f>
        <v>15643.321</v>
      </c>
    </row>
    <row r="30" spans="2:14" ht="18.75">
      <c r="B30" s="609" t="s">
        <v>492</v>
      </c>
      <c r="C30" s="610">
        <f>C28-C29</f>
        <v>218241</v>
      </c>
      <c r="D30" s="610">
        <f t="shared" ref="D30:I30" si="10">D28-D29</f>
        <v>313282</v>
      </c>
      <c r="E30" s="610">
        <f t="shared" si="10"/>
        <v>227225.087</v>
      </c>
      <c r="F30" s="611">
        <f t="shared" si="10"/>
        <v>-99726.159</v>
      </c>
      <c r="G30" s="610">
        <f>G28-G29</f>
        <v>40969.077149724268</v>
      </c>
      <c r="H30" s="610">
        <f t="shared" si="10"/>
        <v>17648.783588076069</v>
      </c>
      <c r="I30" s="610">
        <f t="shared" si="10"/>
        <v>43742.181492333213</v>
      </c>
      <c r="J30" s="612">
        <f>J28-J29</f>
        <v>168571.27554770271</v>
      </c>
      <c r="L30" s="610">
        <f>L28-L29</f>
        <v>38846.400000000001</v>
      </c>
      <c r="M30" s="610">
        <f t="shared" ref="M30:N30" si="11">M28-M29</f>
        <v>66659.144</v>
      </c>
      <c r="N30" s="954">
        <f t="shared" si="11"/>
        <v>-9188.398000000001</v>
      </c>
    </row>
    <row r="31" spans="2:14" ht="18.75">
      <c r="B31" s="593" t="s">
        <v>84</v>
      </c>
      <c r="C31" s="613">
        <f>FS!G64</f>
        <v>-158218.48199999999</v>
      </c>
      <c r="D31" s="613">
        <f>FS!H64</f>
        <v>-191178</v>
      </c>
      <c r="E31" s="613">
        <f>FS!I64</f>
        <v>51945</v>
      </c>
      <c r="F31" s="614">
        <f>FS!J64</f>
        <v>146239.899</v>
      </c>
      <c r="G31" s="613">
        <f>FS!O64</f>
        <v>5870.382632709996</v>
      </c>
      <c r="H31" s="613">
        <f>FS!P64</f>
        <v>-59360.33933903736</v>
      </c>
      <c r="I31" s="613">
        <f>FS!Q64</f>
        <v>-105158.06519115675</v>
      </c>
      <c r="J31" s="615">
        <f>FS!R64</f>
        <v>-89174.117204122304</v>
      </c>
      <c r="L31" s="613">
        <f>FS!L64</f>
        <v>-2040.6489999999999</v>
      </c>
      <c r="M31" s="613">
        <f>FS!M64</f>
        <v>-85808.255999999994</v>
      </c>
      <c r="N31" s="613">
        <f>FS!N64</f>
        <v>-61621.105000000003</v>
      </c>
    </row>
    <row r="32" spans="2:14" ht="18.75">
      <c r="B32" s="593" t="s">
        <v>493</v>
      </c>
      <c r="C32" s="613">
        <f>FS!G68</f>
        <v>-14989.744000000001</v>
      </c>
      <c r="D32" s="613">
        <f>FS!H68</f>
        <v>-14595</v>
      </c>
      <c r="E32" s="613">
        <f>FS!I68</f>
        <v>-23983.340000000004</v>
      </c>
      <c r="F32" s="614">
        <f>FS!J68</f>
        <v>9340.7580000000016</v>
      </c>
      <c r="G32" s="613">
        <f>FS!O68</f>
        <v>38157.806376184279</v>
      </c>
      <c r="H32" s="613">
        <f>FS!P68</f>
        <v>-50034.523046117509</v>
      </c>
      <c r="I32" s="613">
        <f>FS!Q68</f>
        <v>-71241.710411448526</v>
      </c>
      <c r="J32" s="615">
        <f>FS!R68</f>
        <v>68580.850478580396</v>
      </c>
      <c r="L32" s="613">
        <f>FS!L68</f>
        <v>-16353.701999999997</v>
      </c>
      <c r="M32" s="613">
        <f>FS!M68</f>
        <v>-98204.986000000004</v>
      </c>
      <c r="N32" s="613">
        <f>FS!N68</f>
        <v>-65731.369000000006</v>
      </c>
    </row>
    <row r="33" spans="2:15" ht="18.75">
      <c r="B33" s="605" t="s">
        <v>494</v>
      </c>
      <c r="C33" s="616" t="str">
        <f>C27</f>
        <v>2014 (A)</v>
      </c>
      <c r="D33" s="616" t="str">
        <f t="shared" ref="D33:J33" si="12">D27</f>
        <v>2015 (A)</v>
      </c>
      <c r="E33" s="616" t="str">
        <f t="shared" si="12"/>
        <v>2016(A)</v>
      </c>
      <c r="F33" s="617" t="str">
        <f t="shared" si="12"/>
        <v>2017(A)</v>
      </c>
      <c r="G33" s="616" t="str">
        <f t="shared" si="12"/>
        <v>2018 (F)</v>
      </c>
      <c r="H33" s="616" t="str">
        <f t="shared" si="12"/>
        <v>2019 (F)</v>
      </c>
      <c r="I33" s="616" t="str">
        <f t="shared" si="12"/>
        <v>2020 (F)</v>
      </c>
      <c r="J33" s="618" t="str">
        <f t="shared" si="12"/>
        <v>2021 (F)</v>
      </c>
      <c r="L33" s="616" t="str">
        <f t="shared" ref="L33:N33" si="13">L27</f>
        <v>Q1'16(A)</v>
      </c>
      <c r="M33" s="616" t="str">
        <f t="shared" si="13"/>
        <v>Q1'17(A)</v>
      </c>
      <c r="N33" s="616" t="str">
        <f t="shared" si="13"/>
        <v>Q1'18(A)</v>
      </c>
    </row>
    <row r="34" spans="2:15" ht="18.75">
      <c r="B34" s="609" t="s">
        <v>495</v>
      </c>
      <c r="C34" s="619">
        <f>FS!G84/FS!G100</f>
        <v>1.4835083932006861</v>
      </c>
      <c r="D34" s="619">
        <f>FS!H84/FS!H100</f>
        <v>1.6931932671302685</v>
      </c>
      <c r="E34" s="619">
        <f>FS!I84/FS!I100</f>
        <v>1.5416985840901669</v>
      </c>
      <c r="F34" s="620">
        <f>FS!J84/FS!J100</f>
        <v>1.3557803226097302</v>
      </c>
      <c r="G34" s="619">
        <f>FS!O84/FS!O100</f>
        <v>1.3763896672289553</v>
      </c>
      <c r="H34" s="619">
        <f>FS!P84/FS!P100</f>
        <v>1.2910203495147383</v>
      </c>
      <c r="I34" s="619">
        <f>FS!Q84/FS!Q100</f>
        <v>1.2768001112618848</v>
      </c>
      <c r="J34" s="621">
        <f>FS!R84/FS!R100</f>
        <v>1.3218010350318539</v>
      </c>
      <c r="L34" s="619">
        <f>FS!L84/FS!L100</f>
        <v>1.8249629878697673</v>
      </c>
      <c r="M34" s="619">
        <f>FS!M84/FS!M100</f>
        <v>1.6753213661184996</v>
      </c>
      <c r="N34" s="619">
        <f>FS!N84/FS!N100</f>
        <v>1.5713786651209856</v>
      </c>
    </row>
    <row r="35" spans="2:15" ht="18.75">
      <c r="B35" s="593" t="s">
        <v>496</v>
      </c>
      <c r="C35" s="622">
        <f>C25/C26</f>
        <v>1.5010358716250389</v>
      </c>
      <c r="D35" s="622">
        <f t="shared" ref="D35:J35" si="14">D25/D26</f>
        <v>1.1768388651392032</v>
      </c>
      <c r="E35" s="622">
        <f t="shared" si="14"/>
        <v>1.2861783445100405</v>
      </c>
      <c r="F35" s="623">
        <f t="shared" si="14"/>
        <v>1.9076963232366944</v>
      </c>
      <c r="G35" s="622">
        <f t="shared" si="14"/>
        <v>1.6664717185236924</v>
      </c>
      <c r="H35" s="622">
        <f t="shared" si="14"/>
        <v>1.6318307172304822</v>
      </c>
      <c r="I35" s="622">
        <f t="shared" si="14"/>
        <v>1.5123059191337827</v>
      </c>
      <c r="J35" s="624">
        <f t="shared" si="14"/>
        <v>1.4390245026747093</v>
      </c>
      <c r="L35" s="622">
        <f t="shared" ref="L35:N35" si="15">L25/L26</f>
        <v>0.97247082592382172</v>
      </c>
      <c r="M35" s="622">
        <f t="shared" si="15"/>
        <v>0.97070690251982217</v>
      </c>
      <c r="N35" s="959">
        <f t="shared" si="15"/>
        <v>1.2604025494989595</v>
      </c>
    </row>
    <row r="36" spans="2:15" ht="18.75">
      <c r="B36" s="609" t="s">
        <v>497</v>
      </c>
      <c r="C36" s="619">
        <f>C20/C26</f>
        <v>0.42005203731575197</v>
      </c>
      <c r="D36" s="619">
        <f t="shared" ref="D36:J36" si="16">D20/D26</f>
        <v>0.27811757370252227</v>
      </c>
      <c r="E36" s="619">
        <f t="shared" si="16"/>
        <v>0.37613588966432698</v>
      </c>
      <c r="F36" s="620">
        <f t="shared" si="16"/>
        <v>0.56588370847634439</v>
      </c>
      <c r="G36" s="619">
        <f t="shared" si="16"/>
        <v>0.4611732471437418</v>
      </c>
      <c r="H36" s="619">
        <f t="shared" si="16"/>
        <v>0.43845674944820773</v>
      </c>
      <c r="I36" s="619">
        <f t="shared" si="16"/>
        <v>0.36701539010314105</v>
      </c>
      <c r="J36" s="621">
        <f t="shared" si="16"/>
        <v>0.32335290877562184</v>
      </c>
      <c r="L36" s="619">
        <f t="shared" ref="L36:N36" si="17">L20/L26</f>
        <v>0.27553906049813237</v>
      </c>
      <c r="M36" s="619">
        <f t="shared" si="17"/>
        <v>0.29031507276777535</v>
      </c>
      <c r="N36" s="955">
        <f t="shared" si="17"/>
        <v>0.50774634396619001</v>
      </c>
    </row>
    <row r="37" spans="2:15" ht="18.75">
      <c r="B37" s="593" t="s">
        <v>498</v>
      </c>
      <c r="C37" s="622">
        <f>C20/C9</f>
        <v>1.9380013494264938</v>
      </c>
      <c r="D37" s="622">
        <f t="shared" ref="D37:J37" si="18">D20/D9</f>
        <v>1.2521476991924461</v>
      </c>
      <c r="E37" s="622">
        <f t="shared" si="18"/>
        <v>1.7901391373749809</v>
      </c>
      <c r="F37" s="623">
        <f t="shared" si="18"/>
        <v>3.8203321259473597</v>
      </c>
      <c r="G37" s="622">
        <f t="shared" si="18"/>
        <v>3.4278777778585328</v>
      </c>
      <c r="H37" s="622">
        <f t="shared" si="18"/>
        <v>3.2937153139203641</v>
      </c>
      <c r="I37" s="622">
        <f t="shared" si="18"/>
        <v>2.2165153358118075</v>
      </c>
      <c r="J37" s="624">
        <f t="shared" si="18"/>
        <v>1.998572021891345</v>
      </c>
      <c r="L37" s="622">
        <f>L20/(FS!L20+FS!H20-FS!K20)</f>
        <v>1.2853036968512646</v>
      </c>
      <c r="M37" s="622">
        <f>M20/(FS!M20+FS!I20-FS!L20)</f>
        <v>1.4439170319767904</v>
      </c>
      <c r="N37" s="956">
        <f>N20/(FS!N20+FS!J20-FS!M20)</f>
        <v>3.8192638130007541</v>
      </c>
      <c r="O37" s="587" t="s">
        <v>775</v>
      </c>
    </row>
    <row r="38" spans="2:15" ht="18.75">
      <c r="B38" s="609" t="s">
        <v>571</v>
      </c>
      <c r="C38" s="610" t="str">
        <f>IF(C20-C18&lt;0, "Net Cash", (C20-C18)/C9)</f>
        <v>Net Cash</v>
      </c>
      <c r="D38" s="610" t="str">
        <f t="shared" ref="D38:E38" si="19">IF(D20-D18&lt;0, "Net Cash", (D20-D18)/D9)</f>
        <v>Net Cash</v>
      </c>
      <c r="E38" s="610" t="str">
        <f t="shared" si="19"/>
        <v>Net Cash</v>
      </c>
      <c r="F38" s="620" t="str">
        <f>IF(F20-F18-F111&lt;0, "Net Cash", (F20-F18-F111)/F9)</f>
        <v>Net Cash</v>
      </c>
      <c r="G38" s="619" t="e">
        <f t="shared" ref="G38:J38" si="20">IF(G20-G18-G111&lt;0, "Net Cash", (G20-G18-G111)/G9)</f>
        <v>#REF!</v>
      </c>
      <c r="H38" s="619" t="str">
        <f t="shared" si="20"/>
        <v>Net Cash</v>
      </c>
      <c r="I38" s="619" t="str">
        <f t="shared" si="20"/>
        <v>Net Cash</v>
      </c>
      <c r="J38" s="621" t="str">
        <f t="shared" si="20"/>
        <v>Net Cash</v>
      </c>
      <c r="L38" s="619" t="str">
        <f>IF(L20-L18-FS!L169&lt;0, "Net Cash", (L20-L18-FS!L169)/(FS!L20+FS!H20-FS!K20))</f>
        <v>Net Cash</v>
      </c>
      <c r="M38" s="619" t="str">
        <f>IF(M20-M18-FS!M169&lt;0, "Net Cash", (M20-M18-FS!M169)/(FS!M20+FS!I20-FS!L20))</f>
        <v>Net Cash</v>
      </c>
      <c r="N38" s="619" t="str">
        <f>IF(N20-N18-N111&lt;0, "Net Cash", (N20-N18-N111)/(FS!N20+FS!J20-FS!M20))</f>
        <v>Net Cash</v>
      </c>
      <c r="O38" s="587" t="s">
        <v>775</v>
      </c>
    </row>
    <row r="39" spans="2:15" ht="18.75">
      <c r="B39" s="593" t="s">
        <v>499</v>
      </c>
      <c r="C39" s="622">
        <f>C20/C11</f>
        <v>1.5947558620963538</v>
      </c>
      <c r="D39" s="622">
        <f t="shared" ref="D39:J39" si="21">D20/D11</f>
        <v>1.0198745716145614</v>
      </c>
      <c r="E39" s="622">
        <f t="shared" si="21"/>
        <v>1.4817497036456</v>
      </c>
      <c r="F39" s="623">
        <f t="shared" si="21"/>
        <v>2.3442014642357041</v>
      </c>
      <c r="G39" s="622">
        <f t="shared" si="21"/>
        <v>2.8388718291602788</v>
      </c>
      <c r="H39" s="622">
        <f t="shared" si="21"/>
        <v>2.7419028101198095</v>
      </c>
      <c r="I39" s="622">
        <f t="shared" si="21"/>
        <v>1.9120874136741328</v>
      </c>
      <c r="J39" s="624">
        <f t="shared" si="21"/>
        <v>1.7229291300805076</v>
      </c>
      <c r="L39" s="622">
        <f>L20/(FS!L29+FS!H29-FS!K29)</f>
        <v>1.0420140388095136</v>
      </c>
      <c r="M39" s="622">
        <f>M20/(FS!M29+FS!I29-FS!L29)</f>
        <v>1.1859555297598079</v>
      </c>
      <c r="N39" s="961">
        <f>N20/(FS!N29+FS!J29-FS!M29)</f>
        <v>2.2093097200009666</v>
      </c>
      <c r="O39" s="587" t="s">
        <v>775</v>
      </c>
    </row>
    <row r="40" spans="2:15" ht="18.75">
      <c r="B40" s="609" t="s">
        <v>572</v>
      </c>
      <c r="C40" s="610" t="str">
        <f>IF(C20-C18&lt;0, "Net Cash", (C20-C18)/C11)</f>
        <v>Net Cash</v>
      </c>
      <c r="D40" s="610" t="str">
        <f t="shared" ref="D40:E40" si="22">IF(D20-D18&lt;0, "Net Cash", (D20-D18)/D11)</f>
        <v>Net Cash</v>
      </c>
      <c r="E40" s="610" t="str">
        <f t="shared" si="22"/>
        <v>Net Cash</v>
      </c>
      <c r="F40" s="620" t="str">
        <f>IF(F20-F18-F111&lt;0, "Net Cash", (F20-F18-F111)/F11)</f>
        <v>Net Cash</v>
      </c>
      <c r="G40" s="619" t="e">
        <f t="shared" ref="G40:J40" si="23">IF(G20-G18-G111&lt;0, "Net Cash", (G20-G18-G111)/G11)</f>
        <v>#REF!</v>
      </c>
      <c r="H40" s="619" t="str">
        <f t="shared" si="23"/>
        <v>Net Cash</v>
      </c>
      <c r="I40" s="619" t="str">
        <f t="shared" si="23"/>
        <v>Net Cash</v>
      </c>
      <c r="J40" s="621" t="str">
        <f t="shared" si="23"/>
        <v>Net Cash</v>
      </c>
      <c r="L40" s="619" t="str">
        <f>IF(L20-L18-FS!L169&lt;0, "Net Cash", (L20-L18-FS!L169)/(FS!L29+FS!H29-FS!K29))</f>
        <v>Net Cash</v>
      </c>
      <c r="M40" s="619" t="str">
        <f>IF(M20-M18-FS!M169&lt;0, "Net Cash", (M20-M18-FS!M169)/(FS!M29+FS!I29-FS!L29))</f>
        <v>Net Cash</v>
      </c>
      <c r="N40" s="619" t="str">
        <f>IF(N20-N18-N111&lt;0, "Net Cash", (N20-N18-N111)/(FS!N29+FS!J29-FS!M29))</f>
        <v>Net Cash</v>
      </c>
      <c r="O40" s="587" t="s">
        <v>775</v>
      </c>
    </row>
    <row r="41" spans="2:15" ht="18.75">
      <c r="B41" s="593" t="s">
        <v>500</v>
      </c>
      <c r="C41" s="622">
        <f>C11/C13</f>
        <v>17.282520078029862</v>
      </c>
      <c r="D41" s="622">
        <f t="shared" ref="D41:J41" si="24">D11/D13</f>
        <v>15.323689641297474</v>
      </c>
      <c r="E41" s="622">
        <f t="shared" si="24"/>
        <v>10.831822424725484</v>
      </c>
      <c r="F41" s="623">
        <f t="shared" si="24"/>
        <v>7.254052068599373</v>
      </c>
      <c r="G41" s="622">
        <f t="shared" si="24"/>
        <v>10.173880940429035</v>
      </c>
      <c r="H41" s="622">
        <f t="shared" si="24"/>
        <v>10.65230613611987</v>
      </c>
      <c r="I41" s="622">
        <f t="shared" si="24"/>
        <v>13.59875709052114</v>
      </c>
      <c r="J41" s="624">
        <f t="shared" si="24"/>
        <v>14.236099184892609</v>
      </c>
      <c r="L41" s="622">
        <f t="shared" ref="L41:N41" si="25">L11/L13</f>
        <v>11.02519599436082</v>
      </c>
      <c r="M41" s="622">
        <f t="shared" si="25"/>
        <v>7.0859030637504761</v>
      </c>
      <c r="N41" s="959">
        <f t="shared" si="25"/>
        <v>5.1064969589635663</v>
      </c>
    </row>
    <row r="42" spans="2:15" ht="19.5" thickBot="1">
      <c r="B42" s="625" t="s">
        <v>501</v>
      </c>
      <c r="C42" s="626">
        <f>C11/(C13+FS!G98)</f>
        <v>5.9925976329754516</v>
      </c>
      <c r="D42" s="626">
        <f>D11/(D13+FS!H98)</f>
        <v>4.4803731891902148</v>
      </c>
      <c r="E42" s="626">
        <f>E11/(E13+FS!I98)</f>
        <v>3.2954985523081723</v>
      </c>
      <c r="F42" s="627">
        <f>F11/(F13+FS!J98)</f>
        <v>3.3748120344976238</v>
      </c>
      <c r="G42" s="626">
        <f>G11/(G13+FS!O98)</f>
        <v>6.5784016621974777</v>
      </c>
      <c r="H42" s="626">
        <f>H11/(H13+FS!P98)</f>
        <v>2.4473431772436647</v>
      </c>
      <c r="I42" s="626">
        <f>I11/(I13+FS!Q98)</f>
        <v>4.4304533651020632</v>
      </c>
      <c r="J42" s="628">
        <f>J11/(J13+FS!R98)</f>
        <v>6.5125647853016631</v>
      </c>
      <c r="L42" s="626">
        <f>L11/(L13+FS!T98)</f>
        <v>11.02519599436082</v>
      </c>
      <c r="M42" s="626">
        <f>M11/(M13+FS!U98)</f>
        <v>7.0859030637504761</v>
      </c>
      <c r="N42" s="960">
        <f>N11/(N13+FS!V98)</f>
        <v>5.1064969589635663</v>
      </c>
    </row>
    <row r="45" spans="2:15">
      <c r="B45" s="629" t="s">
        <v>502</v>
      </c>
      <c r="C45" s="630" t="str">
        <f t="shared" ref="C45:J46" si="26">C2</f>
        <v>2014 (A)</v>
      </c>
      <c r="D45" s="630" t="str">
        <f t="shared" si="26"/>
        <v>2015 (A)</v>
      </c>
      <c r="E45" s="630" t="str">
        <f t="shared" si="26"/>
        <v>2016(A)</v>
      </c>
      <c r="F45" s="630" t="str">
        <f t="shared" si="26"/>
        <v>2017(A)</v>
      </c>
      <c r="G45" s="631" t="str">
        <f t="shared" si="26"/>
        <v>2018 (F)</v>
      </c>
      <c r="H45" s="630" t="str">
        <f t="shared" si="26"/>
        <v>2019 (F)</v>
      </c>
      <c r="I45" s="630" t="str">
        <f t="shared" si="26"/>
        <v>2020 (F)</v>
      </c>
      <c r="J45" s="630" t="str">
        <f t="shared" si="26"/>
        <v>2021 (F)</v>
      </c>
      <c r="L45" s="630" t="str">
        <f t="shared" ref="L45:N45" si="27">L2</f>
        <v>Q1'16(A)</v>
      </c>
      <c r="M45" s="630" t="str">
        <f t="shared" si="27"/>
        <v>Q1'17(A)</v>
      </c>
      <c r="N45" s="630" t="str">
        <f t="shared" si="27"/>
        <v>Q1'18(A)</v>
      </c>
    </row>
    <row r="46" spans="2:15">
      <c r="B46" s="26" t="s">
        <v>39</v>
      </c>
      <c r="C46" s="11">
        <f t="shared" si="26"/>
        <v>4213172</v>
      </c>
      <c r="D46" s="11">
        <f t="shared" si="26"/>
        <v>4482146</v>
      </c>
      <c r="E46" s="11">
        <f t="shared" si="26"/>
        <v>4358733.3569999998</v>
      </c>
      <c r="F46" s="632">
        <f t="shared" si="26"/>
        <v>4706736.0959999999</v>
      </c>
      <c r="G46" s="11">
        <f t="shared" si="26"/>
        <v>4863659.9982402064</v>
      </c>
      <c r="H46" s="11">
        <f t="shared" si="26"/>
        <v>4965983.8365392741</v>
      </c>
      <c r="I46" s="11">
        <f t="shared" si="26"/>
        <v>5068521.1393565852</v>
      </c>
      <c r="J46" s="11">
        <f t="shared" si="26"/>
        <v>5173871.7408279255</v>
      </c>
      <c r="L46" s="11">
        <f t="shared" ref="L46:N46" si="28">L3</f>
        <v>958009.21699999995</v>
      </c>
      <c r="M46" s="11">
        <f t="shared" si="28"/>
        <v>975043.85600000003</v>
      </c>
      <c r="N46" s="11">
        <f t="shared" si="28"/>
        <v>1028594.58</v>
      </c>
    </row>
    <row r="47" spans="2:15">
      <c r="B47" s="26" t="s">
        <v>477</v>
      </c>
      <c r="C47" s="11">
        <f>C9</f>
        <v>213424</v>
      </c>
      <c r="D47" s="11">
        <f>D9</f>
        <v>235526</v>
      </c>
      <c r="E47" s="11">
        <f t="shared" ref="E47:J47" si="29">E9</f>
        <v>238226.50099999999</v>
      </c>
      <c r="F47" s="632">
        <f t="shared" si="29"/>
        <v>173570.84099999969</v>
      </c>
      <c r="G47" s="11">
        <f t="shared" si="29"/>
        <v>179955.41993488715</v>
      </c>
      <c r="H47" s="11">
        <f t="shared" si="29"/>
        <v>183741.40195195319</v>
      </c>
      <c r="I47" s="11">
        <f t="shared" si="29"/>
        <v>241696.84962927597</v>
      </c>
      <c r="J47" s="11">
        <f t="shared" si="29"/>
        <v>246720.58491262284</v>
      </c>
      <c r="L47" s="11">
        <f t="shared" ref="L47:N47" si="30">L9</f>
        <v>52060.433999999994</v>
      </c>
      <c r="M47" s="11">
        <f t="shared" si="30"/>
        <v>51790.428000000036</v>
      </c>
      <c r="N47" s="11">
        <f t="shared" si="30"/>
        <v>38325.293999999936</v>
      </c>
    </row>
    <row r="48" spans="2:15">
      <c r="B48" s="26" t="s">
        <v>481</v>
      </c>
      <c r="C48" s="11">
        <f>C13</f>
        <v>15007.075000000001</v>
      </c>
      <c r="D48" s="11">
        <f t="shared" ref="D48:J48" si="31">D13</f>
        <v>18870.539000000001</v>
      </c>
      <c r="E48" s="11">
        <f t="shared" si="31"/>
        <v>26570.545999999998</v>
      </c>
      <c r="F48" s="632">
        <f t="shared" si="31"/>
        <v>38994.404000000002</v>
      </c>
      <c r="G48" s="11">
        <f t="shared" si="31"/>
        <v>21357.864344613998</v>
      </c>
      <c r="H48" s="11">
        <f t="shared" si="31"/>
        <v>20720.364404614</v>
      </c>
      <c r="I48" s="11">
        <f t="shared" si="31"/>
        <v>20603.204404614</v>
      </c>
      <c r="J48" s="11">
        <f t="shared" si="31"/>
        <v>20103.273003613998</v>
      </c>
      <c r="L48" s="11">
        <f t="shared" ref="L48:N48" si="32">L13</f>
        <v>5290.8410000000003</v>
      </c>
      <c r="M48" s="11">
        <f t="shared" si="32"/>
        <v>8501.4429999999993</v>
      </c>
      <c r="N48" s="11">
        <f t="shared" si="32"/>
        <v>10604.115</v>
      </c>
    </row>
    <row r="49" spans="2:14">
      <c r="B49" s="26" t="s">
        <v>503</v>
      </c>
      <c r="C49" s="11">
        <f>C15</f>
        <v>130535</v>
      </c>
      <c r="D49" s="11">
        <f>D15</f>
        <v>146867.74400000001</v>
      </c>
      <c r="E49" s="11">
        <f t="shared" ref="E49:J49" si="33">E15</f>
        <v>148663.12799999997</v>
      </c>
      <c r="F49" s="632">
        <f t="shared" si="33"/>
        <v>138734.40099999966</v>
      </c>
      <c r="G49" s="11">
        <f t="shared" si="33"/>
        <v>100346.10888708066</v>
      </c>
      <c r="H49" s="11">
        <f t="shared" si="33"/>
        <v>75103.238582050864</v>
      </c>
      <c r="I49" s="11">
        <f t="shared" si="33"/>
        <v>97928.683307159285</v>
      </c>
      <c r="J49" s="11">
        <f t="shared" si="33"/>
        <v>94619.280564343702</v>
      </c>
      <c r="L49" s="11">
        <f t="shared" ref="L49:N49" si="34">L15</f>
        <v>27576.757999999998</v>
      </c>
      <c r="M49" s="11">
        <f t="shared" si="34"/>
        <v>28167.531000000035</v>
      </c>
      <c r="N49" s="11">
        <f t="shared" si="34"/>
        <v>24080.662999999935</v>
      </c>
    </row>
    <row r="50" spans="2:14">
      <c r="B50" s="26" t="s">
        <v>504</v>
      </c>
      <c r="C50" s="11">
        <f>C18</f>
        <v>679037</v>
      </c>
      <c r="D50" s="11">
        <f>D18</f>
        <v>657138</v>
      </c>
      <c r="E50" s="11">
        <f t="shared" ref="E50:J50" si="35">E18</f>
        <v>633154.66</v>
      </c>
      <c r="F50" s="632">
        <f t="shared" si="35"/>
        <v>642495.41800000006</v>
      </c>
      <c r="G50" s="11">
        <f t="shared" si="35"/>
        <v>680653.2243761844</v>
      </c>
      <c r="H50" s="11">
        <f t="shared" si="35"/>
        <v>630618.70133006689</v>
      </c>
      <c r="I50" s="11">
        <f t="shared" si="35"/>
        <v>559376.99091861839</v>
      </c>
      <c r="J50" s="11">
        <f t="shared" si="35"/>
        <v>627957.84139719885</v>
      </c>
      <c r="L50" s="11">
        <f t="shared" ref="L50:N50" si="36">L18</f>
        <v>640784.01899999997</v>
      </c>
      <c r="M50" s="11">
        <f t="shared" si="36"/>
        <v>534950.31499999994</v>
      </c>
      <c r="N50" s="11">
        <f t="shared" si="36"/>
        <v>576764.68999999994</v>
      </c>
    </row>
    <row r="51" spans="2:14">
      <c r="B51" s="26" t="s">
        <v>485</v>
      </c>
      <c r="C51" s="11">
        <f>C20</f>
        <v>413616</v>
      </c>
      <c r="D51" s="11">
        <f>D20</f>
        <v>294913.33900000004</v>
      </c>
      <c r="E51" s="11">
        <f t="shared" ref="E51:J51" si="37">E20</f>
        <v>426458.58299999998</v>
      </c>
      <c r="F51" s="632">
        <f t="shared" si="37"/>
        <v>663098.26</v>
      </c>
      <c r="G51" s="11">
        <f t="shared" si="37"/>
        <v>616865.18500000006</v>
      </c>
      <c r="H51" s="11">
        <f t="shared" si="37"/>
        <v>605191.86941034533</v>
      </c>
      <c r="I51" s="11">
        <f t="shared" si="37"/>
        <v>535724.77382069058</v>
      </c>
      <c r="J51" s="11">
        <f t="shared" si="37"/>
        <v>493088.85823103588</v>
      </c>
      <c r="L51" s="11">
        <f t="shared" ref="L51:N51" si="38">L20</f>
        <v>297370.15500000003</v>
      </c>
      <c r="M51" s="11">
        <f t="shared" si="38"/>
        <v>343589.43599999999</v>
      </c>
      <c r="N51" s="11">
        <f t="shared" si="38"/>
        <v>611485.93299999996</v>
      </c>
    </row>
    <row r="52" spans="2:14">
      <c r="B52" s="26" t="str">
        <f>B26</f>
        <v>Shareholders Equity</v>
      </c>
      <c r="C52" s="11">
        <f>C26</f>
        <v>984678</v>
      </c>
      <c r="D52" s="11">
        <f>D26</f>
        <v>1060390.8810000001</v>
      </c>
      <c r="E52" s="11">
        <f t="shared" ref="E52:J52" si="39">E26</f>
        <v>1133788.598</v>
      </c>
      <c r="F52" s="632">
        <f t="shared" si="39"/>
        <v>1171792.4550000001</v>
      </c>
      <c r="G52" s="11">
        <f t="shared" si="39"/>
        <v>1337599.6739197907</v>
      </c>
      <c r="H52" s="11">
        <f t="shared" si="39"/>
        <v>1380277.2341216588</v>
      </c>
      <c r="I52" s="11">
        <f t="shared" si="39"/>
        <v>1459679.3166361162</v>
      </c>
      <c r="J52" s="11">
        <f t="shared" si="39"/>
        <v>1524924.7643947923</v>
      </c>
      <c r="L52" s="11">
        <f t="shared" ref="L52:N52" si="40">L26</f>
        <v>1079230.4890000001</v>
      </c>
      <c r="M52" s="11">
        <f t="shared" si="40"/>
        <v>1183505.33</v>
      </c>
      <c r="N52" s="11">
        <f t="shared" si="40"/>
        <v>1204313.8079999997</v>
      </c>
    </row>
    <row r="53" spans="2:14">
      <c r="B53" s="26"/>
      <c r="C53" s="4"/>
      <c r="D53" s="4"/>
      <c r="E53" s="4"/>
      <c r="F53" s="4"/>
      <c r="G53" s="26"/>
      <c r="H53" s="26"/>
      <c r="I53" s="26"/>
      <c r="J53" s="26"/>
    </row>
    <row r="54" spans="2:14">
      <c r="B54" s="629" t="s">
        <v>505</v>
      </c>
      <c r="C54" s="630" t="str">
        <f>C2</f>
        <v>2014 (A)</v>
      </c>
      <c r="D54" s="630" t="str">
        <f>D2</f>
        <v>2015 (A)</v>
      </c>
      <c r="E54" s="630" t="str">
        <f t="shared" ref="E54:J54" si="41">E2</f>
        <v>2016(A)</v>
      </c>
      <c r="F54" s="633" t="str">
        <f t="shared" si="41"/>
        <v>2017(A)</v>
      </c>
      <c r="G54" s="630" t="str">
        <f t="shared" si="41"/>
        <v>2018 (F)</v>
      </c>
      <c r="H54" s="630" t="str">
        <f t="shared" si="41"/>
        <v>2019 (F)</v>
      </c>
      <c r="I54" s="630" t="str">
        <f t="shared" si="41"/>
        <v>2020 (F)</v>
      </c>
      <c r="J54" s="630" t="str">
        <f t="shared" si="41"/>
        <v>2021 (F)</v>
      </c>
      <c r="L54" s="630" t="str">
        <f t="shared" ref="L54:N54" si="42">L2</f>
        <v>Q1'16(A)</v>
      </c>
      <c r="M54" s="630" t="str">
        <f t="shared" si="42"/>
        <v>Q1'17(A)</v>
      </c>
      <c r="N54" s="630" t="str">
        <f t="shared" si="42"/>
        <v>Q1'18(A)</v>
      </c>
    </row>
    <row r="55" spans="2:14">
      <c r="B55" s="26" t="s">
        <v>506</v>
      </c>
      <c r="C55" s="634">
        <f>C34</f>
        <v>1.4835083932006861</v>
      </c>
      <c r="D55" s="634">
        <f t="shared" ref="D55:J55" si="43">D34</f>
        <v>1.6931932671302685</v>
      </c>
      <c r="E55" s="634">
        <f t="shared" si="43"/>
        <v>1.5416985840901669</v>
      </c>
      <c r="F55" s="635">
        <f t="shared" si="43"/>
        <v>1.3557803226097302</v>
      </c>
      <c r="G55" s="634">
        <f t="shared" si="43"/>
        <v>1.3763896672289553</v>
      </c>
      <c r="H55" s="634">
        <f t="shared" si="43"/>
        <v>1.2910203495147383</v>
      </c>
      <c r="I55" s="634">
        <f t="shared" si="43"/>
        <v>1.2768001112618848</v>
      </c>
      <c r="J55" s="634">
        <f t="shared" si="43"/>
        <v>1.3218010350318539</v>
      </c>
      <c r="L55" s="634">
        <f t="shared" ref="L55:N55" si="44">L34</f>
        <v>1.8249629878697673</v>
      </c>
      <c r="M55" s="634">
        <f t="shared" si="44"/>
        <v>1.6753213661184996</v>
      </c>
      <c r="N55" s="634">
        <f t="shared" si="44"/>
        <v>1.5713786651209856</v>
      </c>
    </row>
    <row r="56" spans="2:14">
      <c r="B56" s="636" t="str">
        <f>B35</f>
        <v>Leverage Ratio</v>
      </c>
      <c r="C56" s="634">
        <f>C35</f>
        <v>1.5010358716250389</v>
      </c>
      <c r="D56" s="634">
        <f>D35</f>
        <v>1.1768388651392032</v>
      </c>
      <c r="E56" s="634">
        <f t="shared" ref="E56:J59" si="45">E35</f>
        <v>1.2861783445100405</v>
      </c>
      <c r="F56" s="635">
        <f t="shared" si="45"/>
        <v>1.9076963232366944</v>
      </c>
      <c r="G56" s="634">
        <f t="shared" si="45"/>
        <v>1.6664717185236924</v>
      </c>
      <c r="H56" s="634">
        <f t="shared" si="45"/>
        <v>1.6318307172304822</v>
      </c>
      <c r="I56" s="634">
        <f t="shared" si="45"/>
        <v>1.5123059191337827</v>
      </c>
      <c r="J56" s="634">
        <f t="shared" si="45"/>
        <v>1.4390245026747093</v>
      </c>
      <c r="L56" s="634">
        <f t="shared" ref="L56:N56" si="46">L35</f>
        <v>0.97247082592382172</v>
      </c>
      <c r="M56" s="634">
        <f t="shared" si="46"/>
        <v>0.97070690251982217</v>
      </c>
      <c r="N56" s="634">
        <f t="shared" si="46"/>
        <v>1.2604025494989595</v>
      </c>
    </row>
    <row r="57" spans="2:14">
      <c r="B57" s="636" t="str">
        <f>B36</f>
        <v>Gearing Ratio</v>
      </c>
      <c r="C57" s="634">
        <f t="shared" ref="C57:G59" si="47">C36</f>
        <v>0.42005203731575197</v>
      </c>
      <c r="D57" s="634">
        <f t="shared" si="47"/>
        <v>0.27811757370252227</v>
      </c>
      <c r="E57" s="634">
        <f t="shared" si="47"/>
        <v>0.37613588966432698</v>
      </c>
      <c r="F57" s="635">
        <f t="shared" si="47"/>
        <v>0.56588370847634439</v>
      </c>
      <c r="G57" s="634">
        <f t="shared" si="47"/>
        <v>0.4611732471437418</v>
      </c>
      <c r="H57" s="634">
        <f t="shared" si="45"/>
        <v>0.43845674944820773</v>
      </c>
      <c r="I57" s="634">
        <f t="shared" si="45"/>
        <v>0.36701539010314105</v>
      </c>
      <c r="J57" s="634">
        <f t="shared" si="45"/>
        <v>0.32335290877562184</v>
      </c>
      <c r="L57" s="634">
        <f t="shared" ref="L57:N57" si="48">L36</f>
        <v>0.27553906049813237</v>
      </c>
      <c r="M57" s="634">
        <f t="shared" si="48"/>
        <v>0.29031507276777535</v>
      </c>
      <c r="N57" s="634">
        <f t="shared" si="48"/>
        <v>0.50774634396619001</v>
      </c>
    </row>
    <row r="58" spans="2:14">
      <c r="B58" s="636" t="str">
        <f>B37</f>
        <v>Total Debt / Ops EBITDA</v>
      </c>
      <c r="C58" s="634">
        <f t="shared" si="47"/>
        <v>1.9380013494264938</v>
      </c>
      <c r="D58" s="634">
        <f t="shared" si="47"/>
        <v>1.2521476991924461</v>
      </c>
      <c r="E58" s="634">
        <f t="shared" si="47"/>
        <v>1.7901391373749809</v>
      </c>
      <c r="F58" s="635">
        <f t="shared" si="47"/>
        <v>3.8203321259473597</v>
      </c>
      <c r="G58" s="634">
        <f t="shared" si="47"/>
        <v>3.4278777778585328</v>
      </c>
      <c r="H58" s="634">
        <f t="shared" si="45"/>
        <v>3.2937153139203641</v>
      </c>
      <c r="I58" s="634">
        <f t="shared" si="45"/>
        <v>2.2165153358118075</v>
      </c>
      <c r="J58" s="634">
        <f t="shared" si="45"/>
        <v>1.998572021891345</v>
      </c>
      <c r="L58" s="634">
        <f t="shared" ref="L58:N58" si="49">L37</f>
        <v>1.2853036968512646</v>
      </c>
      <c r="M58" s="634">
        <f t="shared" si="49"/>
        <v>1.4439170319767904</v>
      </c>
      <c r="N58" s="634">
        <f t="shared" si="49"/>
        <v>3.8192638130007541</v>
      </c>
    </row>
    <row r="59" spans="2:14">
      <c r="B59" s="636" t="str">
        <f>B38</f>
        <v>Net Debt^ / Ops EBITDA</v>
      </c>
      <c r="C59" s="634" t="str">
        <f>C38</f>
        <v>Net Cash</v>
      </c>
      <c r="D59" s="634" t="str">
        <f>D38</f>
        <v>Net Cash</v>
      </c>
      <c r="E59" s="634" t="str">
        <f t="shared" si="47"/>
        <v>Net Cash</v>
      </c>
      <c r="F59" s="635" t="str">
        <f t="shared" si="47"/>
        <v>Net Cash</v>
      </c>
      <c r="G59" s="634" t="e">
        <f t="shared" si="47"/>
        <v>#REF!</v>
      </c>
      <c r="H59" s="634" t="str">
        <f t="shared" si="45"/>
        <v>Net Cash</v>
      </c>
      <c r="I59" s="634" t="str">
        <f t="shared" si="45"/>
        <v>Net Cash</v>
      </c>
      <c r="J59" s="634" t="str">
        <f t="shared" si="45"/>
        <v>Net Cash</v>
      </c>
      <c r="L59" s="634" t="str">
        <f t="shared" ref="L59:N59" si="50">L38</f>
        <v>Net Cash</v>
      </c>
      <c r="M59" s="634" t="str">
        <f t="shared" si="50"/>
        <v>Net Cash</v>
      </c>
      <c r="N59" s="634" t="str">
        <f t="shared" si="50"/>
        <v>Net Cash</v>
      </c>
    </row>
    <row r="60" spans="2:14">
      <c r="B60" s="636" t="str">
        <f t="shared" ref="B60" si="51">B41</f>
        <v>ISCR</v>
      </c>
      <c r="C60" s="634">
        <f>C41</f>
        <v>17.282520078029862</v>
      </c>
      <c r="D60" s="634">
        <f>D41</f>
        <v>15.323689641297474</v>
      </c>
      <c r="E60" s="634">
        <f t="shared" ref="E60:J60" si="52">E41</f>
        <v>10.831822424725484</v>
      </c>
      <c r="F60" s="635">
        <f>F41</f>
        <v>7.254052068599373</v>
      </c>
      <c r="G60" s="634">
        <f t="shared" si="52"/>
        <v>10.173880940429035</v>
      </c>
      <c r="H60" s="634">
        <f t="shared" si="52"/>
        <v>10.65230613611987</v>
      </c>
      <c r="I60" s="634">
        <f t="shared" si="52"/>
        <v>13.59875709052114</v>
      </c>
      <c r="J60" s="634">
        <f t="shared" si="52"/>
        <v>14.236099184892609</v>
      </c>
      <c r="L60" s="634">
        <f t="shared" ref="L60:N60" si="53">L41</f>
        <v>11.02519599436082</v>
      </c>
      <c r="M60" s="634">
        <f t="shared" si="53"/>
        <v>7.0859030637504761</v>
      </c>
      <c r="N60" s="634">
        <f t="shared" si="53"/>
        <v>5.1064969589635663</v>
      </c>
    </row>
    <row r="61" spans="2:14">
      <c r="B61" s="636" t="str">
        <f>B42</f>
        <v>DSCR</v>
      </c>
      <c r="C61" s="634">
        <f t="shared" ref="C61:G61" si="54">C42</f>
        <v>5.9925976329754516</v>
      </c>
      <c r="D61" s="634">
        <f t="shared" si="54"/>
        <v>4.4803731891902148</v>
      </c>
      <c r="E61" s="634">
        <f t="shared" si="54"/>
        <v>3.2954985523081723</v>
      </c>
      <c r="F61" s="635">
        <f t="shared" si="54"/>
        <v>3.3748120344976238</v>
      </c>
      <c r="G61" s="634">
        <f t="shared" si="54"/>
        <v>6.5784016621974777</v>
      </c>
      <c r="H61" s="634">
        <f>H42</f>
        <v>2.4473431772436647</v>
      </c>
      <c r="I61" s="634">
        <f>I42</f>
        <v>4.4304533651020632</v>
      </c>
      <c r="J61" s="634">
        <f>J42</f>
        <v>6.5125647853016631</v>
      </c>
      <c r="L61" s="634">
        <f>L42</f>
        <v>11.02519599436082</v>
      </c>
      <c r="M61" s="634">
        <f t="shared" ref="M61:N61" si="55">M42</f>
        <v>7.0859030637504761</v>
      </c>
      <c r="N61" s="634">
        <f t="shared" si="55"/>
        <v>5.1064969589635663</v>
      </c>
    </row>
    <row r="65" spans="2:11">
      <c r="B65" s="637" t="s">
        <v>507</v>
      </c>
      <c r="C65" s="638"/>
      <c r="D65" s="638"/>
      <c r="E65" s="638"/>
      <c r="F65" s="638"/>
      <c r="G65" s="639" t="str">
        <f>F54</f>
        <v>2017(A)</v>
      </c>
      <c r="H65" s="638" t="str">
        <f>G54</f>
        <v>2018 (F)</v>
      </c>
      <c r="I65" s="638" t="str">
        <f>H54</f>
        <v>2019 (F)</v>
      </c>
      <c r="J65" s="638" t="str">
        <f>I54</f>
        <v>2020 (F)</v>
      </c>
      <c r="K65" s="640" t="str">
        <f>J54</f>
        <v>2021 (F)</v>
      </c>
    </row>
    <row r="66" spans="2:11">
      <c r="B66" s="641" t="s">
        <v>520</v>
      </c>
      <c r="C66" s="642"/>
      <c r="D66" s="642"/>
      <c r="E66" s="642"/>
      <c r="F66" s="642"/>
      <c r="G66" s="643"/>
      <c r="H66" s="644"/>
      <c r="I66" s="644"/>
      <c r="J66" s="644"/>
      <c r="K66" s="645"/>
    </row>
    <row r="67" spans="2:11">
      <c r="B67" s="641" t="s">
        <v>6</v>
      </c>
      <c r="C67" s="642"/>
      <c r="D67" s="642"/>
      <c r="E67" s="642"/>
      <c r="F67" s="642"/>
      <c r="G67" s="643"/>
      <c r="H67" s="644"/>
      <c r="I67" s="644"/>
      <c r="J67" s="644"/>
      <c r="K67" s="645"/>
    </row>
    <row r="68" spans="2:11">
      <c r="B68" s="851" t="s">
        <v>5</v>
      </c>
      <c r="C68" s="642"/>
      <c r="D68" s="642"/>
      <c r="E68" s="642"/>
      <c r="F68" s="642"/>
      <c r="G68" s="643"/>
      <c r="H68" s="646">
        <f>'P&amp;L Drivers'!U5</f>
        <v>5.2490980640481411E-2</v>
      </c>
      <c r="I68" s="646">
        <f>'P&amp;L Drivers'!V5</f>
        <v>3.2517693987012875E-2</v>
      </c>
      <c r="J68" s="646">
        <f>'P&amp;L Drivers'!W5</f>
        <v>4.1177644577364392E-2</v>
      </c>
      <c r="K68" s="647">
        <f>'P&amp;L Drivers'!X5</f>
        <v>4.2497616501100399E-2</v>
      </c>
    </row>
    <row r="69" spans="2:11">
      <c r="B69" s="851" t="s">
        <v>508</v>
      </c>
      <c r="C69" s="642"/>
      <c r="D69" s="642"/>
      <c r="E69" s="642"/>
      <c r="F69" s="642"/>
      <c r="G69" s="643"/>
      <c r="H69" s="646">
        <f>'P&amp;L Drivers'!U6</f>
        <v>1.3196988856759795E-2</v>
      </c>
      <c r="I69" s="646">
        <f>'P&amp;L Drivers'!V6</f>
        <v>-1.1794744876804097E-3</v>
      </c>
      <c r="J69" s="646">
        <f>'P&amp;L Drivers'!W6</f>
        <v>2.7330906758514573E-2</v>
      </c>
      <c r="K69" s="647">
        <f>'P&amp;L Drivers'!X6</f>
        <v>3.4734680365919868E-2</v>
      </c>
    </row>
    <row r="70" spans="2:11">
      <c r="B70" s="641" t="s">
        <v>8</v>
      </c>
      <c r="C70" s="642"/>
      <c r="D70" s="642"/>
      <c r="E70" s="642"/>
      <c r="F70" s="642"/>
      <c r="G70" s="643"/>
      <c r="H70" s="646">
        <f>'P&amp;L Drivers'!U16</f>
        <v>2.8673990139261196E-2</v>
      </c>
      <c r="I70" s="646">
        <f>'P&amp;L Drivers'!V16</f>
        <v>3.413916333823841E-2</v>
      </c>
      <c r="J70" s="646">
        <f>'P&amp;L Drivers'!W16</f>
        <v>3.3865918607960399E-2</v>
      </c>
      <c r="K70" s="647">
        <f>'P&amp;L Drivers'!X16</f>
        <v>4.7188360204482915E-2</v>
      </c>
    </row>
    <row r="71" spans="2:11">
      <c r="B71" s="641" t="s">
        <v>10</v>
      </c>
      <c r="C71" s="642"/>
      <c r="D71" s="642"/>
      <c r="E71" s="642"/>
      <c r="F71" s="642"/>
      <c r="G71" s="643"/>
      <c r="H71" s="646">
        <f>'P&amp;L Drivers'!U20</f>
        <v>-4.2875850483442557E-2</v>
      </c>
      <c r="I71" s="646">
        <f>'P&amp;L Drivers'!V20</f>
        <v>-3.2882748639766035E-2</v>
      </c>
      <c r="J71" s="646">
        <f>'P&amp;L Drivers'!W20</f>
        <v>-4.2469357552182396E-2</v>
      </c>
      <c r="K71" s="647">
        <f>'P&amp;L Drivers'!X20</f>
        <v>-4.9216251086656171E-2</v>
      </c>
    </row>
    <row r="72" spans="2:11">
      <c r="B72" s="641" t="s">
        <v>509</v>
      </c>
      <c r="C72" s="642"/>
      <c r="D72" s="642"/>
      <c r="E72" s="642"/>
      <c r="F72" s="642"/>
      <c r="G72" s="643"/>
      <c r="H72" s="646">
        <f>'P&amp;L Drivers'!U24</f>
        <v>7.5315558817347528E-2</v>
      </c>
      <c r="I72" s="646">
        <f>'P&amp;L Drivers'!V24</f>
        <v>5.5941641227695627E-2</v>
      </c>
      <c r="J72" s="646">
        <f>'P&amp;L Drivers'!W24</f>
        <v>2.5062441650583356E-2</v>
      </c>
      <c r="K72" s="647">
        <f>'P&amp;L Drivers'!X24</f>
        <v>5.0868533896879509E-3</v>
      </c>
    </row>
    <row r="73" spans="2:11">
      <c r="B73" s="641" t="s">
        <v>11</v>
      </c>
      <c r="C73" s="642"/>
      <c r="D73" s="642"/>
      <c r="E73" s="642"/>
      <c r="F73" s="642"/>
      <c r="G73" s="643"/>
      <c r="H73" s="646">
        <f>'P&amp;L Drivers'!U28</f>
        <v>3.983271185625803E-2</v>
      </c>
      <c r="I73" s="646">
        <f>'P&amp;L Drivers'!V28</f>
        <v>1.2476579959487477E-2</v>
      </c>
      <c r="J73" s="646">
        <f>'P&amp;L Drivers'!W28</f>
        <v>-5.2162447763497433E-3</v>
      </c>
      <c r="K73" s="647">
        <f>'P&amp;L Drivers'!X28</f>
        <v>-6.1528090641305155E-4</v>
      </c>
    </row>
    <row r="74" spans="2:11">
      <c r="B74" s="641" t="s">
        <v>26</v>
      </c>
      <c r="C74" s="642"/>
      <c r="D74" s="642"/>
      <c r="E74" s="642"/>
      <c r="F74" s="642"/>
      <c r="G74" s="643"/>
      <c r="H74" s="646">
        <f>'P&amp;L Drivers'!U32</f>
        <v>0.11255698192297578</v>
      </c>
      <c r="I74" s="646">
        <f>'P&amp;L Drivers'!V32</f>
        <v>3.4858727597955046E-2</v>
      </c>
      <c r="J74" s="646">
        <f>'P&amp;L Drivers'!W32</f>
        <v>4.1344152349015888E-2</v>
      </c>
      <c r="K74" s="647">
        <f>'P&amp;L Drivers'!X32</f>
        <v>4.2500770655300071E-2</v>
      </c>
    </row>
    <row r="75" spans="2:11">
      <c r="B75" s="641"/>
      <c r="C75" s="642"/>
      <c r="D75" s="642"/>
      <c r="E75" s="642"/>
      <c r="F75" s="642"/>
      <c r="G75" s="643"/>
      <c r="H75" s="644"/>
      <c r="I75" s="644"/>
      <c r="J75" s="644"/>
      <c r="K75" s="645"/>
    </row>
    <row r="76" spans="2:11">
      <c r="B76" s="641" t="s">
        <v>521</v>
      </c>
      <c r="C76" s="642"/>
      <c r="D76" s="642"/>
      <c r="E76" s="642"/>
      <c r="F76" s="642"/>
      <c r="G76" s="643"/>
      <c r="H76" s="644"/>
      <c r="I76" s="644"/>
      <c r="J76" s="644"/>
      <c r="K76" s="645"/>
    </row>
    <row r="77" spans="2:11">
      <c r="B77" s="648" t="s">
        <v>510</v>
      </c>
      <c r="C77" s="100"/>
      <c r="D77" s="100"/>
      <c r="E77" s="100"/>
      <c r="F77" s="100" t="s">
        <v>555</v>
      </c>
      <c r="G77" s="649" t="s">
        <v>556</v>
      </c>
      <c r="H77" s="650"/>
      <c r="I77" s="650"/>
      <c r="J77" s="650"/>
      <c r="K77" s="651"/>
    </row>
    <row r="78" spans="2:11">
      <c r="B78" s="648" t="s">
        <v>6</v>
      </c>
      <c r="C78" s="100"/>
      <c r="D78" s="100"/>
      <c r="E78" s="100"/>
      <c r="F78" s="100"/>
      <c r="G78" s="652"/>
      <c r="H78" s="653"/>
      <c r="I78" s="653"/>
      <c r="J78" s="653"/>
      <c r="K78" s="654"/>
    </row>
    <row r="79" spans="2:11">
      <c r="B79" s="655" t="s">
        <v>5</v>
      </c>
      <c r="C79" s="100"/>
      <c r="D79" s="100"/>
      <c r="E79" s="100"/>
      <c r="F79" s="585">
        <v>0.38900000000000001</v>
      </c>
      <c r="G79" s="652">
        <f>'P&amp;L Drivers'!J4</f>
        <v>1830920.3413440001</v>
      </c>
      <c r="H79" s="653">
        <f>'P&amp;L Drivers'!M4</f>
        <v>1927027.1455357517</v>
      </c>
      <c r="I79" s="653">
        <f>'P&amp;L Drivers'!N4</f>
        <v>1989689.6245589503</v>
      </c>
      <c r="J79" s="653">
        <f>'P&amp;L Drivers'!O4</f>
        <v>2071620.3567383084</v>
      </c>
      <c r="K79" s="654">
        <f>'P&amp;L Drivers'!P4</f>
        <v>2159659.2841948457</v>
      </c>
    </row>
    <row r="80" spans="2:11">
      <c r="B80" s="655" t="s">
        <v>7</v>
      </c>
      <c r="C80" s="100"/>
      <c r="D80" s="100"/>
      <c r="E80" s="100"/>
      <c r="F80" s="585">
        <v>7.8E-2</v>
      </c>
      <c r="G80" s="652">
        <f>'P&amp;L Drivers'!J5</f>
        <v>367125.41548799997</v>
      </c>
      <c r="H80" s="653">
        <f>'P&amp;L Drivers'!M5</f>
        <v>371970.3655052284</v>
      </c>
      <c r="I80" s="653">
        <f>'P&amp;L Drivers'!N5</f>
        <v>371531.63594894181</v>
      </c>
      <c r="J80" s="653">
        <f>'P&amp;L Drivers'!O5</f>
        <v>381685.93244890071</v>
      </c>
      <c r="K80" s="654">
        <f>'P&amp;L Drivers'!P5</f>
        <v>394943.67131268134</v>
      </c>
    </row>
    <row r="81" spans="2:14">
      <c r="B81" s="656" t="s">
        <v>8</v>
      </c>
      <c r="C81" s="100"/>
      <c r="D81" s="100"/>
      <c r="E81" s="100"/>
      <c r="F81" s="585">
        <v>0.122</v>
      </c>
      <c r="G81" s="652">
        <f>'P&amp;L Drivers'!J6</f>
        <v>574221.80371200002</v>
      </c>
      <c r="H81" s="653">
        <f>'P&amp;L Drivers'!M6</f>
        <v>590687.03404938674</v>
      </c>
      <c r="I81" s="653">
        <f>'P&amp;L Drivers'!N6</f>
        <v>610852.59518657834</v>
      </c>
      <c r="J81" s="653">
        <f>'P&amp;L Drivers'!O6</f>
        <v>631539.67945662839</v>
      </c>
      <c r="K81" s="654">
        <f>'P&amp;L Drivers'!P6</f>
        <v>661341.00133425149</v>
      </c>
    </row>
    <row r="82" spans="2:14">
      <c r="B82" s="656" t="s">
        <v>10</v>
      </c>
      <c r="C82" s="100"/>
      <c r="D82" s="100"/>
      <c r="E82" s="100"/>
      <c r="F82" s="585">
        <v>0.183</v>
      </c>
      <c r="G82" s="652">
        <f>'P&amp;L Drivers'!J7</f>
        <v>861332.70556799998</v>
      </c>
      <c r="H82" s="653">
        <f>'P&amp;L Drivers'!M7</f>
        <v>824402.33326756733</v>
      </c>
      <c r="I82" s="653">
        <f>'P&amp;L Drivers'!N7</f>
        <v>797293.71856469323</v>
      </c>
      <c r="J82" s="653">
        <f>'P&amp;L Drivers'!O7</f>
        <v>763433.1665568602</v>
      </c>
      <c r="K82" s="654">
        <f>'P&amp;L Drivers'!P7</f>
        <v>725859.84814371681</v>
      </c>
    </row>
    <row r="83" spans="2:14">
      <c r="B83" s="656" t="s">
        <v>11</v>
      </c>
      <c r="C83" s="100"/>
      <c r="D83" s="100"/>
      <c r="E83" s="100"/>
      <c r="F83" s="585">
        <v>6.3E-2</v>
      </c>
      <c r="G83" s="652">
        <f>'P&amp;L Drivers'!J8</f>
        <v>296524.37404799997</v>
      </c>
      <c r="H83" s="653">
        <f>'P&amp;L Drivers'!M8</f>
        <v>308335.74399781122</v>
      </c>
      <c r="I83" s="653">
        <f>'P&amp;L Drivers'!N8</f>
        <v>312182.719562168</v>
      </c>
      <c r="J83" s="653">
        <f>'P&amp;L Drivers'!O8</f>
        <v>310554.29808198521</v>
      </c>
      <c r="K83" s="654">
        <f>'P&amp;L Drivers'!P8</f>
        <v>310363.21995197085</v>
      </c>
    </row>
    <row r="84" spans="2:14">
      <c r="B84" s="656" t="s">
        <v>13</v>
      </c>
      <c r="C84" s="100"/>
      <c r="D84" s="100"/>
      <c r="E84" s="100"/>
      <c r="F84" s="585">
        <v>3.5000000000000003E-2</v>
      </c>
      <c r="G84" s="652">
        <f>'P&amp;L Drivers'!J9</f>
        <v>164735.76336000001</v>
      </c>
      <c r="H84" s="653">
        <f>'P&amp;L Drivers'!M9</f>
        <v>183277.92369857914</v>
      </c>
      <c r="I84" s="653">
        <f>'P&amp;L Drivers'!N9</f>
        <v>189666.75891550671</v>
      </c>
      <c r="J84" s="653">
        <f>'P&amp;L Drivers'!O9</f>
        <v>197508.3702916535</v>
      </c>
      <c r="K84" s="654">
        <f>'P&amp;L Drivers'!P9</f>
        <v>205902.62823992112</v>
      </c>
    </row>
    <row r="85" spans="2:14">
      <c r="B85" s="656" t="s">
        <v>509</v>
      </c>
      <c r="C85" s="100"/>
      <c r="D85" s="100"/>
      <c r="E85" s="100"/>
      <c r="F85" s="585">
        <v>0.13</v>
      </c>
      <c r="G85" s="652">
        <f>'P&amp;L Drivers'!J10</f>
        <v>611875.69247999997</v>
      </c>
      <c r="H85" s="653">
        <f>'P&amp;L Drivers'!M10</f>
        <v>657959.4521858826</v>
      </c>
      <c r="I85" s="653">
        <f>'P&amp;L Drivers'!N10</f>
        <v>694766.78380243643</v>
      </c>
      <c r="J85" s="653">
        <f>'P&amp;L Drivers'!O10</f>
        <v>712179.33578224841</v>
      </c>
      <c r="K85" s="654">
        <f>'P&amp;L Drivers'!P10</f>
        <v>715802.08765053807</v>
      </c>
    </row>
    <row r="86" spans="2:14">
      <c r="B86" s="641"/>
      <c r="C86" s="642"/>
      <c r="D86" s="642"/>
      <c r="E86" s="642"/>
      <c r="F86" s="642"/>
      <c r="G86" s="643"/>
      <c r="H86" s="644"/>
      <c r="I86" s="644"/>
      <c r="J86" s="644"/>
      <c r="K86" s="645"/>
    </row>
    <row r="87" spans="2:14">
      <c r="B87" s="641" t="s">
        <v>554</v>
      </c>
      <c r="C87" s="642"/>
      <c r="D87" s="642"/>
      <c r="E87" s="642"/>
      <c r="F87" s="642"/>
      <c r="G87" s="657">
        <f>SUM(G79:G85)</f>
        <v>4706736.0959999999</v>
      </c>
      <c r="H87" s="658">
        <f t="shared" ref="H87:K87" si="56">SUM(H79:H85)</f>
        <v>4863659.9982402064</v>
      </c>
      <c r="I87" s="658">
        <f t="shared" si="56"/>
        <v>4965983.8365392741</v>
      </c>
      <c r="J87" s="658">
        <f t="shared" si="56"/>
        <v>5068521.1393565852</v>
      </c>
      <c r="K87" s="659">
        <f t="shared" si="56"/>
        <v>5173871.7408279255</v>
      </c>
    </row>
    <row r="88" spans="2:14">
      <c r="B88" s="660" t="s">
        <v>511</v>
      </c>
      <c r="C88" s="661"/>
      <c r="D88" s="661"/>
      <c r="E88" s="661"/>
      <c r="F88" s="661"/>
      <c r="G88" s="662">
        <f>'P&amp;L Drivers'!J14</f>
        <v>7.9840336743957518E-2</v>
      </c>
      <c r="H88" s="663">
        <f>'P&amp;L Drivers'!M14</f>
        <v>3.3340280618997964E-2</v>
      </c>
      <c r="I88" s="663">
        <f>'P&amp;L Drivers'!N14</f>
        <v>2.1038443957038799E-2</v>
      </c>
      <c r="J88" s="663">
        <f>'P&amp;L Drivers'!O14</f>
        <v>2.0647933258028495E-2</v>
      </c>
      <c r="K88" s="664">
        <f>'P&amp;L Drivers'!P14</f>
        <v>2.078527416080056E-2</v>
      </c>
    </row>
    <row r="89" spans="2:14">
      <c r="B89" s="2"/>
      <c r="C89" s="3"/>
      <c r="D89" s="3"/>
      <c r="E89" s="3"/>
      <c r="F89" s="3"/>
      <c r="G89" s="2"/>
      <c r="H89" s="2"/>
      <c r="I89" s="2"/>
      <c r="J89" s="2"/>
    </row>
    <row r="90" spans="2:14">
      <c r="B90" s="2"/>
      <c r="C90" s="3"/>
      <c r="D90" s="3"/>
      <c r="E90" s="3"/>
      <c r="F90" s="3"/>
      <c r="G90" s="2"/>
      <c r="H90" s="2"/>
      <c r="I90" s="2"/>
      <c r="J90" s="2"/>
    </row>
    <row r="91" spans="2:14">
      <c r="B91" s="665" t="s">
        <v>556</v>
      </c>
      <c r="C91" s="666"/>
      <c r="D91" s="666"/>
      <c r="E91" s="666"/>
      <c r="F91" s="667" t="str">
        <f>G65</f>
        <v>2017(A)</v>
      </c>
      <c r="G91" s="666" t="str">
        <f>H65</f>
        <v>2018 (F)</v>
      </c>
      <c r="H91" s="666" t="str">
        <f>I65</f>
        <v>2019 (F)</v>
      </c>
      <c r="I91" s="666" t="str">
        <f>J65</f>
        <v>2020 (F)</v>
      </c>
      <c r="J91" s="668" t="str">
        <f>K65</f>
        <v>2021 (F)</v>
      </c>
      <c r="L91" s="666" t="str">
        <f>L54</f>
        <v>Q1'16(A)</v>
      </c>
      <c r="M91" s="666" t="str">
        <f t="shared" ref="M91:N91" si="57">M54</f>
        <v>Q1'17(A)</v>
      </c>
      <c r="N91" s="666" t="str">
        <f t="shared" si="57"/>
        <v>Q1'18(A)</v>
      </c>
    </row>
    <row r="92" spans="2:14">
      <c r="B92" s="648" t="s">
        <v>512</v>
      </c>
      <c r="C92" s="100"/>
      <c r="D92" s="100"/>
      <c r="E92" s="100"/>
      <c r="F92" s="669">
        <f>F93/G87</f>
        <v>0.92266246724362766</v>
      </c>
      <c r="G92" s="585">
        <f>G93/H87</f>
        <v>0.92300000000000004</v>
      </c>
      <c r="H92" s="585">
        <f>H93/I87</f>
        <v>0.92300000000000004</v>
      </c>
      <c r="I92" s="585">
        <f>I93/J87</f>
        <v>0.91600000000000004</v>
      </c>
      <c r="J92" s="670">
        <f>J93/K87</f>
        <v>0.91600000000000004</v>
      </c>
      <c r="L92" s="585">
        <f>L93/L3</f>
        <v>0.91199224234603582</v>
      </c>
      <c r="M92" s="585">
        <f t="shared" ref="M92:N92" si="58">M93/M3</f>
        <v>0.91074727822293966</v>
      </c>
      <c r="N92" s="957">
        <f t="shared" si="58"/>
        <v>0.92480791800400119</v>
      </c>
    </row>
    <row r="93" spans="2:14">
      <c r="B93" s="641" t="s">
        <v>153</v>
      </c>
      <c r="C93" s="642"/>
      <c r="D93" s="642"/>
      <c r="E93" s="642"/>
      <c r="F93" s="657">
        <f>'P&amp;L Drivers'!J37</f>
        <v>4342728.7390000001</v>
      </c>
      <c r="G93" s="658">
        <f>'P&amp;L Drivers'!M37</f>
        <v>4489158.1783757107</v>
      </c>
      <c r="H93" s="658">
        <f>'P&amp;L Drivers'!N37</f>
        <v>4583603.0811257502</v>
      </c>
      <c r="I93" s="658">
        <f>'P&amp;L Drivers'!O37</f>
        <v>4642765.3636506321</v>
      </c>
      <c r="J93" s="659">
        <f>'P&amp;L Drivers'!P37</f>
        <v>4739266.5145983798</v>
      </c>
      <c r="L93" s="658">
        <f>FS!L5</f>
        <v>873696.97399999993</v>
      </c>
      <c r="M93" s="658">
        <f>FS!M5</f>
        <v>888018.53799999994</v>
      </c>
      <c r="N93" s="658">
        <f>FS!N5</f>
        <v>951252.41200000001</v>
      </c>
    </row>
    <row r="94" spans="2:14">
      <c r="B94" s="641" t="s">
        <v>513</v>
      </c>
      <c r="C94" s="642"/>
      <c r="D94" s="642"/>
      <c r="E94" s="642"/>
      <c r="F94" s="657">
        <f>'P&amp;L Drivers'!J36</f>
        <v>61000.41</v>
      </c>
      <c r="G94" s="658">
        <f>'P&amp;L Drivers'!M36</f>
        <v>58941.769353683791</v>
      </c>
      <c r="H94" s="658">
        <f>'P&amp;L Drivers'!N36</f>
        <v>91126.307772944987</v>
      </c>
      <c r="I94" s="658">
        <f>'P&amp;L Drivers'!O36</f>
        <v>120908.43972953364</v>
      </c>
      <c r="J94" s="659">
        <f>'P&amp;L Drivers'!P36</f>
        <v>131409.81978651523</v>
      </c>
      <c r="L94" s="658">
        <f>FS!L6</f>
        <v>16735.77</v>
      </c>
      <c r="M94" s="658">
        <f>FS!M6</f>
        <v>15300.701999999999</v>
      </c>
      <c r="N94" s="658">
        <f>FS!N6</f>
        <v>13665.433999999999</v>
      </c>
    </row>
    <row r="95" spans="2:14">
      <c r="B95" s="648" t="s">
        <v>514</v>
      </c>
      <c r="C95" s="100"/>
      <c r="D95" s="100"/>
      <c r="E95" s="100"/>
      <c r="F95" s="652">
        <f>F93+F94</f>
        <v>4403729.1490000002</v>
      </c>
      <c r="G95" s="653">
        <f t="shared" ref="G95:J95" si="59">G93+G94</f>
        <v>4548099.9477293948</v>
      </c>
      <c r="H95" s="653">
        <f t="shared" si="59"/>
        <v>4674729.3888986949</v>
      </c>
      <c r="I95" s="653">
        <f t="shared" si="59"/>
        <v>4763673.8033801662</v>
      </c>
      <c r="J95" s="654">
        <f t="shared" si="59"/>
        <v>4870676.3343848949</v>
      </c>
      <c r="L95" s="653">
        <f t="shared" ref="L95:N95" si="60">L93+L94</f>
        <v>890432.74399999995</v>
      </c>
      <c r="M95" s="653">
        <f t="shared" si="60"/>
        <v>903319.24</v>
      </c>
      <c r="N95" s="653">
        <f t="shared" si="60"/>
        <v>964917.84600000002</v>
      </c>
    </row>
    <row r="96" spans="2:14">
      <c r="B96" s="793" t="s">
        <v>613</v>
      </c>
      <c r="C96" s="794"/>
      <c r="D96" s="794"/>
      <c r="E96" s="794"/>
      <c r="F96" s="852">
        <f>F6</f>
        <v>6.437729688254859E-2</v>
      </c>
      <c r="G96" s="184">
        <f t="shared" ref="G96:J96" si="61">G6</f>
        <v>6.4881190425520929E-2</v>
      </c>
      <c r="H96" s="184">
        <f t="shared" si="61"/>
        <v>5.8649898434536676E-2</v>
      </c>
      <c r="I96" s="184">
        <f t="shared" si="61"/>
        <v>6.0145223349135989E-2</v>
      </c>
      <c r="J96" s="853">
        <f t="shared" si="61"/>
        <v>5.8601260647894046E-2</v>
      </c>
      <c r="L96" s="184">
        <f>L6</f>
        <v>7.053843721004617E-2</v>
      </c>
      <c r="M96" s="184">
        <f t="shared" ref="M96:N96" si="62">M6</f>
        <v>7.3560399933436466E-2</v>
      </c>
      <c r="N96" s="958">
        <f t="shared" si="62"/>
        <v>6.1906542420240969E-2</v>
      </c>
    </row>
    <row r="97" spans="2:14">
      <c r="B97" s="641"/>
      <c r="C97" s="642"/>
      <c r="D97" s="642"/>
      <c r="E97" s="642"/>
      <c r="F97" s="643"/>
      <c r="G97" s="644"/>
      <c r="H97" s="644"/>
      <c r="I97" s="644"/>
      <c r="J97" s="645"/>
      <c r="L97" s="644"/>
      <c r="M97" s="644"/>
      <c r="N97" s="644"/>
    </row>
    <row r="98" spans="2:14">
      <c r="B98" s="641" t="s">
        <v>515</v>
      </c>
      <c r="C98" s="642"/>
      <c r="D98" s="642"/>
      <c r="E98" s="642"/>
      <c r="F98" s="671">
        <f>F99/G87</f>
        <v>4.0460419304545601E-2</v>
      </c>
      <c r="G98" s="672">
        <f>G99/H87</f>
        <v>0.04</v>
      </c>
      <c r="H98" s="672">
        <f>H99/I87</f>
        <v>0.04</v>
      </c>
      <c r="I98" s="672">
        <f>I99/J87</f>
        <v>3.6314128128513978E-2</v>
      </c>
      <c r="J98" s="673">
        <f>J99/K87</f>
        <v>3.6314128128513978E-2</v>
      </c>
      <c r="L98" s="672">
        <f>L99/L3</f>
        <v>3.36654475005954E-2</v>
      </c>
      <c r="M98" s="672">
        <f t="shared" ref="M98:N98" si="63">M99/M3</f>
        <v>3.6136723269604397E-2</v>
      </c>
      <c r="N98" s="672">
        <f t="shared" si="63"/>
        <v>3.7932218153434179E-2</v>
      </c>
    </row>
    <row r="99" spans="2:14">
      <c r="B99" s="648" t="s">
        <v>157</v>
      </c>
      <c r="C99" s="100"/>
      <c r="D99" s="100"/>
      <c r="E99" s="100"/>
      <c r="F99" s="652">
        <f>'P&amp;L Drivers'!J45</f>
        <v>190436.516</v>
      </c>
      <c r="G99" s="653">
        <f>'P&amp;L Drivers'!M45</f>
        <v>194546.39992960825</v>
      </c>
      <c r="H99" s="653">
        <f>'P&amp;L Drivers'!N45</f>
        <v>198639.35346157098</v>
      </c>
      <c r="I99" s="653">
        <f>'P&amp;L Drivers'!O45</f>
        <v>184058.9260766767</v>
      </c>
      <c r="J99" s="654">
        <f>'P&amp;L Drivers'!P45</f>
        <v>187884.64131692296</v>
      </c>
      <c r="L99" s="653">
        <f>FS!L10</f>
        <v>32251.809000000001</v>
      </c>
      <c r="M99" s="653">
        <f>FS!M10</f>
        <v>35234.89</v>
      </c>
      <c r="N99" s="653">
        <f>FS!N10</f>
        <v>39016.874000000003</v>
      </c>
    </row>
    <row r="100" spans="2:14" s="795" customFormat="1">
      <c r="B100" s="793" t="s">
        <v>614</v>
      </c>
      <c r="C100" s="91"/>
      <c r="D100" s="91"/>
      <c r="E100" s="91"/>
      <c r="F100" s="852">
        <f>F8</f>
        <v>2.3916877578002982E-2</v>
      </c>
      <c r="G100" s="184">
        <f t="shared" ref="G100:J100" si="64">G8</f>
        <v>2.4881190425520932E-2</v>
      </c>
      <c r="H100" s="184">
        <f t="shared" si="64"/>
        <v>1.8649898434536669E-2</v>
      </c>
      <c r="I100" s="184">
        <f t="shared" si="64"/>
        <v>2.383109522062201E-2</v>
      </c>
      <c r="J100" s="853">
        <f t="shared" si="64"/>
        <v>2.2287132519380064E-2</v>
      </c>
      <c r="L100" s="184">
        <f>L8</f>
        <v>3.6872989709450778E-2</v>
      </c>
      <c r="M100" s="184">
        <f t="shared" ref="M100:N100" si="65">M8</f>
        <v>3.7423676663832069E-2</v>
      </c>
      <c r="N100" s="958">
        <f t="shared" si="65"/>
        <v>2.3974324266806787E-2</v>
      </c>
    </row>
    <row r="101" spans="2:14">
      <c r="B101" s="641"/>
      <c r="C101" s="642"/>
      <c r="D101" s="642"/>
      <c r="E101" s="642"/>
      <c r="F101" s="643"/>
      <c r="G101" s="644"/>
      <c r="H101" s="644"/>
      <c r="I101" s="644"/>
      <c r="J101" s="645"/>
      <c r="L101" s="644"/>
      <c r="M101" s="644"/>
      <c r="N101" s="644"/>
    </row>
    <row r="102" spans="2:14">
      <c r="B102" s="641" t="s">
        <v>516</v>
      </c>
      <c r="C102" s="642"/>
      <c r="D102" s="642"/>
      <c r="E102" s="642"/>
      <c r="F102" s="963">
        <f>CAPEX!P3</f>
        <v>60384.845999999998</v>
      </c>
      <c r="G102" s="658">
        <f>CAPEX!Q5</f>
        <v>42109.726715336408</v>
      </c>
      <c r="H102" s="658">
        <f>CAPEX!R5</f>
        <v>42995.649840883227</v>
      </c>
      <c r="I102" s="658">
        <f>CAPEX!S5</f>
        <v>43883.421149183348</v>
      </c>
      <c r="J102" s="659">
        <f>CAPEX!T5</f>
        <v>44795.550088882999</v>
      </c>
      <c r="L102" s="658"/>
      <c r="M102" s="658"/>
      <c r="N102" s="658"/>
    </row>
    <row r="103" spans="2:14">
      <c r="B103" s="641" t="s">
        <v>612</v>
      </c>
      <c r="C103" s="642"/>
      <c r="D103" s="642"/>
      <c r="E103" s="642"/>
      <c r="F103" s="963"/>
      <c r="G103" s="658">
        <f>CAPEX!Q7</f>
        <v>24283.640337342</v>
      </c>
      <c r="H103" s="658">
        <f>CAPEX!R7</f>
        <v>36425.460506012998</v>
      </c>
      <c r="I103" s="658">
        <f>CAPEX!S7</f>
        <v>42496.370590348495</v>
      </c>
      <c r="J103" s="659">
        <f>CAPEX!T7</f>
        <v>18212.730253006499</v>
      </c>
      <c r="L103" s="658"/>
      <c r="M103" s="658"/>
      <c r="N103" s="658"/>
    </row>
    <row r="104" spans="2:14">
      <c r="B104" s="641" t="s">
        <v>611</v>
      </c>
      <c r="C104" s="642"/>
      <c r="D104" s="642"/>
      <c r="E104" s="642"/>
      <c r="F104" s="657">
        <f>CAPEX!P6</f>
        <v>0</v>
      </c>
      <c r="G104" s="658">
        <f>CAPEX!Q6</f>
        <v>92313</v>
      </c>
      <c r="H104" s="658">
        <f>CAPEX!R6</f>
        <v>123084</v>
      </c>
      <c r="I104" s="658">
        <f>CAPEX!S6</f>
        <v>92313</v>
      </c>
      <c r="J104" s="659">
        <f>CAPEX!T6</f>
        <v>0</v>
      </c>
      <c r="L104" s="658"/>
      <c r="M104" s="658"/>
      <c r="N104" s="658"/>
    </row>
    <row r="105" spans="2:14">
      <c r="B105" s="648" t="s">
        <v>517</v>
      </c>
      <c r="C105" s="100"/>
      <c r="D105" s="100"/>
      <c r="E105" s="100"/>
      <c r="F105" s="674">
        <f>F102+F104</f>
        <v>60384.845999999998</v>
      </c>
      <c r="G105" s="675">
        <f>SUM(G102:G104)</f>
        <v>158706.36705267843</v>
      </c>
      <c r="H105" s="675">
        <f t="shared" ref="H105:J105" si="66">SUM(H102:H104)</f>
        <v>202505.11034689622</v>
      </c>
      <c r="I105" s="675">
        <f t="shared" si="66"/>
        <v>178692.79173953185</v>
      </c>
      <c r="J105" s="676">
        <f t="shared" si="66"/>
        <v>63008.280341889498</v>
      </c>
      <c r="L105" s="675">
        <f>-FS!L50</f>
        <v>9743.5930000000008</v>
      </c>
      <c r="M105" s="675">
        <f>-FS!M50</f>
        <v>10283.597</v>
      </c>
      <c r="N105" s="675">
        <f>-FS!N50</f>
        <v>15643.321</v>
      </c>
    </row>
    <row r="106" spans="2:14">
      <c r="B106" s="641"/>
      <c r="C106" s="642"/>
      <c r="D106" s="642"/>
      <c r="E106" s="642"/>
      <c r="F106" s="643"/>
      <c r="G106" s="644"/>
      <c r="H106" s="644"/>
      <c r="I106" s="644"/>
      <c r="J106" s="645"/>
      <c r="L106" s="644"/>
      <c r="M106" s="644"/>
      <c r="N106" s="644"/>
    </row>
    <row r="107" spans="2:14" hidden="1">
      <c r="B107" s="641" t="s">
        <v>518</v>
      </c>
      <c r="C107" s="642"/>
      <c r="D107" s="642"/>
      <c r="E107" s="642"/>
      <c r="F107" s="671">
        <f>F102/G87</f>
        <v>1.2829452250640907E-2</v>
      </c>
      <c r="G107" s="672">
        <f>G102/H87</f>
        <v>8.6580325784641112E-3</v>
      </c>
      <c r="H107" s="672">
        <f>H102/I87</f>
        <v>8.6580325784641112E-3</v>
      </c>
      <c r="I107" s="672">
        <f>I102/J87</f>
        <v>8.6580325784641112E-3</v>
      </c>
      <c r="J107" s="673">
        <f>J102/K87</f>
        <v>8.6580325784641112E-3</v>
      </c>
      <c r="L107" s="672" t="e">
        <f>L102/M87</f>
        <v>#DIV/0!</v>
      </c>
      <c r="M107" s="672" t="e">
        <f t="shared" ref="M107:N107" si="67">M102/N87</f>
        <v>#DIV/0!</v>
      </c>
      <c r="N107" s="672" t="e">
        <f t="shared" si="67"/>
        <v>#DIV/0!</v>
      </c>
    </row>
    <row r="108" spans="2:14">
      <c r="B108" s="660" t="s">
        <v>519</v>
      </c>
      <c r="C108" s="661"/>
      <c r="D108" s="661"/>
      <c r="E108" s="661"/>
      <c r="F108" s="662">
        <f>F105/G87</f>
        <v>1.2829452250640907E-2</v>
      </c>
      <c r="G108" s="663">
        <f>G105/H87</f>
        <v>3.2631057086659504E-2</v>
      </c>
      <c r="H108" s="663">
        <f>H105/I87</f>
        <v>4.0778447335426536E-2</v>
      </c>
      <c r="I108" s="663">
        <f>I105/J87</f>
        <v>3.5255410173196139E-2</v>
      </c>
      <c r="J108" s="664">
        <f>J105/K87</f>
        <v>1.21781682071243E-2</v>
      </c>
      <c r="L108" s="663">
        <f>L105/L3</f>
        <v>1.0170667282838889E-2</v>
      </c>
      <c r="M108" s="663">
        <f t="shared" ref="M108:N108" si="68">M105/M3</f>
        <v>1.0546804573680632E-2</v>
      </c>
      <c r="N108" s="663">
        <f t="shared" si="68"/>
        <v>1.520844198887379E-2</v>
      </c>
    </row>
    <row r="111" spans="2:14">
      <c r="B111" s="587" t="s">
        <v>570</v>
      </c>
      <c r="F111" s="677">
        <f>FS!J169</f>
        <v>33403</v>
      </c>
      <c r="G111" s="677" t="e">
        <f>FS!#REF!</f>
        <v>#REF!</v>
      </c>
      <c r="H111" s="677">
        <f>FS!O169</f>
        <v>38199.002</v>
      </c>
      <c r="I111" s="677">
        <f>FS!Q169</f>
        <v>38199.002</v>
      </c>
      <c r="J111" s="677">
        <f>FS!R169</f>
        <v>38199.002</v>
      </c>
      <c r="L111" s="677">
        <f>FS!L169</f>
        <v>52406.567000000003</v>
      </c>
      <c r="M111" s="677">
        <f>FS!M169</f>
        <v>52451.743000000002</v>
      </c>
      <c r="N111" s="677">
        <f>FS!N169</f>
        <v>38199.002</v>
      </c>
    </row>
    <row r="123" spans="13:22">
      <c r="M123" s="750" t="s">
        <v>576</v>
      </c>
      <c r="N123" s="750"/>
      <c r="O123" s="750"/>
      <c r="P123" s="750"/>
      <c r="Q123" s="750"/>
      <c r="R123" s="750"/>
      <c r="S123" s="750" t="s">
        <v>577</v>
      </c>
      <c r="T123" s="750"/>
      <c r="V123" s="754" t="s">
        <v>585</v>
      </c>
    </row>
    <row r="124" spans="13:22">
      <c r="M124" s="750" t="s">
        <v>578</v>
      </c>
      <c r="N124" s="750"/>
      <c r="O124" s="750"/>
      <c r="P124" s="750"/>
      <c r="Q124" s="750"/>
      <c r="R124" s="750"/>
      <c r="S124" s="751">
        <v>0.85</v>
      </c>
      <c r="T124" s="750" t="s">
        <v>579</v>
      </c>
    </row>
    <row r="125" spans="13:22">
      <c r="M125" s="750" t="s">
        <v>580</v>
      </c>
      <c r="N125" s="750"/>
      <c r="O125" s="750"/>
      <c r="P125" s="750"/>
      <c r="Q125" s="750"/>
      <c r="R125" s="750"/>
      <c r="S125" s="750"/>
      <c r="T125" s="750"/>
    </row>
    <row r="126" spans="13:22">
      <c r="M126" s="750"/>
      <c r="N126" s="752" t="s">
        <v>581</v>
      </c>
      <c r="O126" s="753">
        <v>93128</v>
      </c>
      <c r="P126" s="750"/>
      <c r="Q126" s="750"/>
      <c r="R126" s="750"/>
      <c r="S126" s="750"/>
      <c r="T126" s="750"/>
      <c r="V126" s="754" t="s">
        <v>590</v>
      </c>
    </row>
    <row r="127" spans="13:22">
      <c r="M127" s="750"/>
      <c r="N127" s="752" t="s">
        <v>582</v>
      </c>
      <c r="O127" s="753">
        <v>63029.7</v>
      </c>
      <c r="P127" s="750"/>
      <c r="Q127" s="750"/>
      <c r="R127" s="750"/>
      <c r="S127" s="750"/>
      <c r="T127" s="750"/>
    </row>
    <row r="128" spans="13:22">
      <c r="M128" s="750"/>
      <c r="N128" s="750"/>
      <c r="O128" s="750"/>
      <c r="P128" s="750"/>
      <c r="Q128" s="750"/>
      <c r="R128" s="750"/>
      <c r="S128" s="750"/>
      <c r="T128" s="750"/>
    </row>
    <row r="129" spans="13:20">
      <c r="M129" s="750">
        <v>4</v>
      </c>
      <c r="N129" s="750" t="s">
        <v>583</v>
      </c>
      <c r="O129" s="750" t="s">
        <v>584</v>
      </c>
      <c r="P129" s="750"/>
      <c r="Q129" s="750"/>
      <c r="R129" s="750"/>
      <c r="S129" s="750"/>
      <c r="T129" s="750"/>
    </row>
  </sheetData>
  <mergeCells count="1">
    <mergeCell ref="F102:F103"/>
  </mergeCells>
  <phoneticPr fontId="49"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7"/>
  </sheetPr>
  <dimension ref="A1:X192"/>
  <sheetViews>
    <sheetView zoomScale="70" zoomScaleNormal="70" workbookViewId="0">
      <selection activeCell="D176" sqref="D176"/>
    </sheetView>
  </sheetViews>
  <sheetFormatPr defaultRowHeight="15.75"/>
  <cols>
    <col min="1" max="1" width="27.625" style="2" customWidth="1"/>
    <col min="2" max="2" width="6.75" style="2" customWidth="1"/>
    <col min="3" max="3" width="6.25" style="2" customWidth="1"/>
    <col min="4" max="8" width="10.25" style="3" customWidth="1"/>
    <col min="9" max="9" width="10.25" style="4" customWidth="1"/>
    <col min="10" max="11" width="20.25" customWidth="1"/>
    <col min="12" max="14" width="13.875" customWidth="1"/>
    <col min="15" max="15" width="19.875" bestFit="1" customWidth="1"/>
    <col min="16" max="18" width="13.125" bestFit="1" customWidth="1"/>
    <col min="19" max="19" width="10.125" bestFit="1" customWidth="1"/>
    <col min="20" max="20" width="9" style="587"/>
  </cols>
  <sheetData>
    <row r="1" spans="1:18">
      <c r="A1" s="1" t="s">
        <v>28</v>
      </c>
      <c r="D1" s="3" t="s">
        <v>29</v>
      </c>
      <c r="E1" s="3" t="s">
        <v>30</v>
      </c>
      <c r="F1" s="3" t="s">
        <v>31</v>
      </c>
      <c r="G1" s="3" t="s">
        <v>32</v>
      </c>
      <c r="H1" s="4" t="s">
        <v>33</v>
      </c>
      <c r="I1" s="91" t="s">
        <v>34</v>
      </c>
      <c r="J1" s="5" t="s">
        <v>152</v>
      </c>
      <c r="K1" s="932" t="s">
        <v>774</v>
      </c>
      <c r="L1" s="932" t="s">
        <v>751</v>
      </c>
      <c r="M1" s="932" t="s">
        <v>735</v>
      </c>
      <c r="N1" s="932" t="s">
        <v>736</v>
      </c>
      <c r="O1" s="6" t="s">
        <v>35</v>
      </c>
      <c r="P1" s="6" t="s">
        <v>36</v>
      </c>
      <c r="Q1" s="6" t="s">
        <v>37</v>
      </c>
      <c r="R1" s="6" t="s">
        <v>185</v>
      </c>
    </row>
    <row r="2" spans="1:18">
      <c r="A2" s="7" t="s">
        <v>38</v>
      </c>
      <c r="H2" s="4"/>
      <c r="J2" s="93"/>
      <c r="K2" s="180"/>
      <c r="L2" s="180"/>
      <c r="M2" s="180"/>
      <c r="N2" s="180"/>
    </row>
    <row r="3" spans="1:18">
      <c r="A3" s="9" t="s">
        <v>39</v>
      </c>
      <c r="D3" s="10">
        <v>3452681</v>
      </c>
      <c r="E3" s="10">
        <v>3905395.3</v>
      </c>
      <c r="F3" s="10">
        <v>3952317.5</v>
      </c>
      <c r="G3" s="10">
        <v>4213172</v>
      </c>
      <c r="H3" s="11">
        <v>4482146</v>
      </c>
      <c r="I3" s="11">
        <v>4358733.3569999998</v>
      </c>
      <c r="J3" s="25">
        <v>4706736.0959999999</v>
      </c>
      <c r="K3" s="24">
        <v>1014122.421</v>
      </c>
      <c r="L3" s="24">
        <v>958009.21699999995</v>
      </c>
      <c r="M3" s="24">
        <v>975043.85600000003</v>
      </c>
      <c r="N3" s="24">
        <v>1028594.58</v>
      </c>
      <c r="O3" s="11">
        <f>'P&amp;L Assumptions'!J24</f>
        <v>4863659.9982402064</v>
      </c>
      <c r="P3" s="11">
        <f>'P&amp;L Assumptions'!K24</f>
        <v>4965983.8365392741</v>
      </c>
      <c r="Q3" s="11">
        <f>'P&amp;L Assumptions'!L24</f>
        <v>5068521.1393565852</v>
      </c>
      <c r="R3" s="11">
        <f>'P&amp;L Assumptions'!M24</f>
        <v>5173871.7408279255</v>
      </c>
    </row>
    <row r="4" spans="1:18">
      <c r="A4" s="13" t="s">
        <v>40</v>
      </c>
      <c r="D4" s="10"/>
      <c r="E4" s="14">
        <f t="shared" ref="E4:F4" si="0">E3/D3-1</f>
        <v>0.13111964296730561</v>
      </c>
      <c r="F4" s="14">
        <f t="shared" si="0"/>
        <v>1.2014712057445198E-2</v>
      </c>
      <c r="G4" s="14">
        <f>G3/F3-1</f>
        <v>6.6000390909890294E-2</v>
      </c>
      <c r="H4" s="15">
        <f t="shared" ref="H4" si="1">H3/G3-1</f>
        <v>6.3841210375460644E-2</v>
      </c>
      <c r="I4" s="15">
        <f>I3/H3-1</f>
        <v>-2.7534275545687326E-2</v>
      </c>
      <c r="J4" s="16">
        <f>J3/I3-1</f>
        <v>7.9840336743957518E-2</v>
      </c>
      <c r="K4" s="15"/>
      <c r="L4" s="15">
        <f>L3/K3-1</f>
        <v>-5.5331785234240538E-2</v>
      </c>
      <c r="M4" s="15">
        <f>M3/L3-1</f>
        <v>1.7781289258723465E-2</v>
      </c>
      <c r="N4" s="15">
        <f>N3/M3-1</f>
        <v>5.4921349096732186E-2</v>
      </c>
      <c r="O4" s="15">
        <f>O3/J3-1</f>
        <v>3.3340280618997964E-2</v>
      </c>
      <c r="P4" s="15">
        <f t="shared" ref="P4:R4" si="2">P3/O3-1</f>
        <v>2.1038443957038799E-2</v>
      </c>
      <c r="Q4" s="15">
        <f t="shared" si="2"/>
        <v>2.0647933258028495E-2</v>
      </c>
      <c r="R4" s="15">
        <f t="shared" si="2"/>
        <v>2.078527416080056E-2</v>
      </c>
    </row>
    <row r="5" spans="1:18">
      <c r="A5" s="2" t="s">
        <v>41</v>
      </c>
      <c r="D5" s="10">
        <v>3147161.7</v>
      </c>
      <c r="E5" s="10">
        <v>3602020</v>
      </c>
      <c r="F5" s="10">
        <v>3639903.4</v>
      </c>
      <c r="G5" s="10">
        <v>3866166</v>
      </c>
      <c r="H5" s="11">
        <v>4090297</v>
      </c>
      <c r="I5" s="11">
        <f>4037148.377-I6</f>
        <v>3973861.3769999999</v>
      </c>
      <c r="J5" s="12">
        <f>4403729.149-J6</f>
        <v>4342728.7390000001</v>
      </c>
      <c r="K5" s="11">
        <f>941699.063-K6</f>
        <v>924077.01500000001</v>
      </c>
      <c r="L5" s="11">
        <f>890432.744-L6</f>
        <v>873696.97399999993</v>
      </c>
      <c r="M5" s="11">
        <f>903319.24-M6</f>
        <v>888018.53799999994</v>
      </c>
      <c r="N5" s="11">
        <f>964917.846-N6</f>
        <v>951252.41200000001</v>
      </c>
      <c r="O5" s="11">
        <f>'P&amp;L Assumptions'!J43</f>
        <v>4489158.1783757107</v>
      </c>
      <c r="P5" s="11">
        <f>'P&amp;L Assumptions'!K43</f>
        <v>4583603.0811257502</v>
      </c>
      <c r="Q5" s="11">
        <f>'P&amp;L Assumptions'!L43</f>
        <v>4642765.3636506321</v>
      </c>
      <c r="R5" s="11">
        <f>'P&amp;L Assumptions'!M43</f>
        <v>4739266.5145983798</v>
      </c>
    </row>
    <row r="6" spans="1:18">
      <c r="A6" s="2" t="s">
        <v>42</v>
      </c>
      <c r="D6" s="10">
        <v>39137</v>
      </c>
      <c r="E6" s="10">
        <v>53125.9</v>
      </c>
      <c r="F6" s="10">
        <v>57719.6</v>
      </c>
      <c r="G6" s="10">
        <v>55062</v>
      </c>
      <c r="H6" s="11">
        <v>71257</v>
      </c>
      <c r="I6" s="11">
        <v>63287</v>
      </c>
      <c r="J6" s="12">
        <v>61000.41</v>
      </c>
      <c r="K6" s="11">
        <f>17395.776+226.272</f>
        <v>17622.048000000003</v>
      </c>
      <c r="L6" s="11">
        <f>16524.33+211.44</f>
        <v>16735.77</v>
      </c>
      <c r="M6" s="11">
        <f>14983.478+317.224</f>
        <v>15300.701999999999</v>
      </c>
      <c r="N6" s="11">
        <f>13327.746+337.688</f>
        <v>13665.433999999999</v>
      </c>
      <c r="O6" s="11">
        <f>'P&amp;L Assumptions'!J46</f>
        <v>58941.769353683791</v>
      </c>
      <c r="P6" s="11">
        <f>'P&amp;L Assumptions'!K46</f>
        <v>91126.307772944987</v>
      </c>
      <c r="Q6" s="11">
        <f>'P&amp;L Assumptions'!L46</f>
        <v>120908.43972953364</v>
      </c>
      <c r="R6" s="11">
        <f>'P&amp;L Assumptions'!M46</f>
        <v>131409.81978651523</v>
      </c>
    </row>
    <row r="7" spans="1:18">
      <c r="A7" s="9" t="s">
        <v>43</v>
      </c>
      <c r="D7" s="17">
        <f>D3-SUM(D5:D6)</f>
        <v>266382.29999999981</v>
      </c>
      <c r="E7" s="17">
        <f t="shared" ref="E7" si="3">E3-SUM(E5:E6)</f>
        <v>250249.39999999991</v>
      </c>
      <c r="F7" s="17">
        <f t="shared" ref="F7:N7" si="4">F3-SUM(F5:F6)</f>
        <v>254694.5</v>
      </c>
      <c r="G7" s="17">
        <f t="shared" si="4"/>
        <v>291944</v>
      </c>
      <c r="H7" s="17">
        <f t="shared" si="4"/>
        <v>320592</v>
      </c>
      <c r="I7" s="17">
        <f t="shared" si="4"/>
        <v>321584.98</v>
      </c>
      <c r="J7" s="18">
        <f>J3-SUM(J5:J6)</f>
        <v>303006.94699999969</v>
      </c>
      <c r="K7" s="17">
        <f>K3-SUM(K5:K6)</f>
        <v>72423.358000000007</v>
      </c>
      <c r="L7" s="17">
        <f>L3-SUM(L5:L6)</f>
        <v>67576.472999999998</v>
      </c>
      <c r="M7" s="17">
        <f>M3-SUM(M5:M6)</f>
        <v>71724.616000000038</v>
      </c>
      <c r="N7" s="17">
        <f t="shared" si="4"/>
        <v>63676.733999999939</v>
      </c>
      <c r="O7" s="17">
        <f>O3-SUM(O5:O6)</f>
        <v>315560.05051081162</v>
      </c>
      <c r="P7" s="17">
        <f t="shared" ref="P7:R7" si="5">P3-SUM(P5:P6)</f>
        <v>291254.44764057919</v>
      </c>
      <c r="Q7" s="17">
        <f t="shared" si="5"/>
        <v>304847.33597641904</v>
      </c>
      <c r="R7" s="17">
        <f t="shared" si="5"/>
        <v>303195.40644303057</v>
      </c>
    </row>
    <row r="8" spans="1:18">
      <c r="A8" s="13" t="s">
        <v>44</v>
      </c>
      <c r="D8" s="14">
        <f>D7/D3</f>
        <v>7.7152305700989993E-2</v>
      </c>
      <c r="E8" s="14">
        <f t="shared" ref="E8:G8" si="6">E7/E3</f>
        <v>6.4077866842314257E-2</v>
      </c>
      <c r="F8" s="14">
        <f t="shared" si="6"/>
        <v>6.4441811671253638E-2</v>
      </c>
      <c r="G8" s="14">
        <f t="shared" si="6"/>
        <v>6.929315964313823E-2</v>
      </c>
      <c r="H8" s="15">
        <f t="shared" ref="H8:O8" si="7">H7/H3</f>
        <v>7.1526451838025806E-2</v>
      </c>
      <c r="I8" s="15">
        <f t="shared" si="7"/>
        <v>7.3779456934098486E-2</v>
      </c>
      <c r="J8" s="16">
        <f t="shared" si="7"/>
        <v>6.437729688254859E-2</v>
      </c>
      <c r="K8" s="15">
        <f t="shared" si="7"/>
        <v>7.1414808015569958E-2</v>
      </c>
      <c r="L8" s="15">
        <f t="shared" si="7"/>
        <v>7.053843721004617E-2</v>
      </c>
      <c r="M8" s="15">
        <f t="shared" si="7"/>
        <v>7.3560399933436466E-2</v>
      </c>
      <c r="N8" s="15">
        <f t="shared" si="7"/>
        <v>6.1906542420240969E-2</v>
      </c>
      <c r="O8" s="184">
        <f t="shared" si="7"/>
        <v>6.4881190425520929E-2</v>
      </c>
      <c r="P8" s="184">
        <f t="shared" ref="P8:R8" si="8">P7/P3</f>
        <v>5.8649898434536676E-2</v>
      </c>
      <c r="Q8" s="184">
        <f t="shared" si="8"/>
        <v>6.0145223349135989E-2</v>
      </c>
      <c r="R8" s="184">
        <f t="shared" si="8"/>
        <v>5.8601260647894046E-2</v>
      </c>
    </row>
    <row r="9" spans="1:18">
      <c r="H9" s="4"/>
      <c r="J9" s="93"/>
      <c r="K9" s="180"/>
      <c r="L9" s="180"/>
      <c r="M9" s="180"/>
      <c r="N9" s="180"/>
    </row>
    <row r="10" spans="1:18">
      <c r="A10" s="2" t="s">
        <v>45</v>
      </c>
      <c r="D10" s="10">
        <v>183537.5</v>
      </c>
      <c r="E10" s="10">
        <v>142350.99</v>
      </c>
      <c r="F10" s="10">
        <v>145380.1</v>
      </c>
      <c r="G10" s="10">
        <v>148752</v>
      </c>
      <c r="H10" s="11">
        <v>156323</v>
      </c>
      <c r="I10" s="11">
        <v>146645.47899999999</v>
      </c>
      <c r="J10" s="25">
        <v>190436.516</v>
      </c>
      <c r="K10" s="24">
        <v>33820.754999999997</v>
      </c>
      <c r="L10" s="24">
        <v>32251.809000000001</v>
      </c>
      <c r="M10" s="24">
        <v>35234.89</v>
      </c>
      <c r="N10" s="24">
        <v>39016.874000000003</v>
      </c>
      <c r="O10" s="11">
        <f>'P&amp;L Assumptions'!J54</f>
        <v>194546.39992960825</v>
      </c>
      <c r="P10" s="11">
        <f>'P&amp;L Assumptions'!K54</f>
        <v>198639.35346157098</v>
      </c>
      <c r="Q10" s="11">
        <f>'P&amp;L Assumptions'!L54</f>
        <v>184058.9260766767</v>
      </c>
      <c r="R10" s="11">
        <f>'P&amp;L Assumptions'!M54</f>
        <v>187884.64131692296</v>
      </c>
    </row>
    <row r="11" spans="1:18">
      <c r="A11" s="13" t="s">
        <v>46</v>
      </c>
      <c r="D11" s="10">
        <f>SUM(D12:D15)</f>
        <v>9764.6</v>
      </c>
      <c r="E11" s="10"/>
      <c r="F11" s="10"/>
      <c r="G11" s="10"/>
      <c r="H11" s="11"/>
      <c r="I11" s="11"/>
      <c r="J11" s="93"/>
      <c r="K11" s="180"/>
      <c r="L11" s="180"/>
      <c r="M11" s="180"/>
      <c r="N11" s="180"/>
    </row>
    <row r="12" spans="1:18">
      <c r="A12" s="13" t="s">
        <v>47</v>
      </c>
      <c r="D12" s="10"/>
      <c r="E12" s="10"/>
      <c r="F12" s="10"/>
      <c r="G12" s="10"/>
      <c r="H12" s="11"/>
      <c r="I12" s="11"/>
      <c r="J12" s="93"/>
      <c r="K12" s="180"/>
      <c r="L12" s="180"/>
      <c r="M12" s="180"/>
      <c r="N12" s="180"/>
    </row>
    <row r="13" spans="1:18">
      <c r="A13" s="13" t="s">
        <v>48</v>
      </c>
      <c r="D13" s="10"/>
      <c r="E13" s="10"/>
      <c r="F13" s="10"/>
      <c r="G13" s="10"/>
      <c r="H13" s="11"/>
      <c r="I13" s="11"/>
      <c r="J13" s="93"/>
      <c r="K13" s="180"/>
      <c r="L13" s="180"/>
      <c r="M13" s="180"/>
      <c r="N13" s="180"/>
    </row>
    <row r="14" spans="1:18">
      <c r="A14" s="13" t="s">
        <v>49</v>
      </c>
      <c r="D14" s="10"/>
      <c r="E14" s="10"/>
      <c r="F14" s="10"/>
      <c r="G14" s="10"/>
      <c r="H14" s="11"/>
      <c r="I14" s="11"/>
      <c r="J14" s="93"/>
      <c r="K14" s="180"/>
      <c r="L14" s="180"/>
      <c r="M14" s="180"/>
      <c r="N14" s="180"/>
    </row>
    <row r="15" spans="1:18">
      <c r="A15" s="13" t="s">
        <v>42</v>
      </c>
      <c r="D15" s="19">
        <v>9764.6</v>
      </c>
      <c r="E15" s="19">
        <v>14757.4</v>
      </c>
      <c r="F15" s="19">
        <v>15893.6</v>
      </c>
      <c r="G15" s="10">
        <v>15170</v>
      </c>
      <c r="H15" s="11">
        <v>0</v>
      </c>
      <c r="I15" s="92">
        <v>0</v>
      </c>
      <c r="J15" s="25">
        <v>0</v>
      </c>
      <c r="K15" s="24"/>
      <c r="L15" s="24"/>
      <c r="M15" s="24"/>
      <c r="N15" s="24"/>
      <c r="O15">
        <f>'P&amp;L Assumptions'!J55</f>
        <v>0</v>
      </c>
      <c r="P15">
        <f>'P&amp;L Assumptions'!K55</f>
        <v>0</v>
      </c>
      <c r="Q15">
        <f>'P&amp;L Assumptions'!L55</f>
        <v>0</v>
      </c>
      <c r="R15">
        <f>'P&amp;L Assumptions'!M55</f>
        <v>0</v>
      </c>
    </row>
    <row r="16" spans="1:18">
      <c r="A16" s="20" t="s">
        <v>50</v>
      </c>
      <c r="D16" s="17">
        <f>D7-D10</f>
        <v>82844.799999999814</v>
      </c>
      <c r="E16" s="17">
        <f t="shared" ref="E16:F16" si="9">E7-E10</f>
        <v>107898.40999999992</v>
      </c>
      <c r="F16" s="17">
        <f t="shared" si="9"/>
        <v>109314.4</v>
      </c>
      <c r="G16" s="17">
        <f t="shared" ref="G16:O16" si="10">G7-G10</f>
        <v>143192</v>
      </c>
      <c r="H16" s="17">
        <f t="shared" si="10"/>
        <v>164269</v>
      </c>
      <c r="I16" s="17">
        <f t="shared" si="10"/>
        <v>174939.50099999999</v>
      </c>
      <c r="J16" s="18">
        <f t="shared" si="10"/>
        <v>112570.43099999969</v>
      </c>
      <c r="K16" s="17">
        <f t="shared" si="10"/>
        <v>38602.60300000001</v>
      </c>
      <c r="L16" s="17">
        <f t="shared" si="10"/>
        <v>35324.663999999997</v>
      </c>
      <c r="M16" s="17">
        <f t="shared" si="10"/>
        <v>36489.726000000039</v>
      </c>
      <c r="N16" s="17">
        <f t="shared" si="10"/>
        <v>24659.859999999935</v>
      </c>
      <c r="O16" s="17">
        <f t="shared" si="10"/>
        <v>121013.65058120337</v>
      </c>
      <c r="P16" s="17">
        <f t="shared" ref="P16:R16" si="11">P7-P10</f>
        <v>92615.094179008214</v>
      </c>
      <c r="Q16" s="17">
        <f t="shared" si="11"/>
        <v>120788.40989974234</v>
      </c>
      <c r="R16" s="17">
        <f t="shared" si="11"/>
        <v>115310.76512610761</v>
      </c>
    </row>
    <row r="17" spans="1:20">
      <c r="A17" s="13" t="s">
        <v>51</v>
      </c>
      <c r="D17" s="14">
        <f>D16/D3</f>
        <v>2.3994339471268795E-2</v>
      </c>
      <c r="E17" s="14">
        <f>E16/E3</f>
        <v>2.7628038063137916E-2</v>
      </c>
      <c r="F17" s="14">
        <f t="shared" ref="F17:H17" si="12">F16/F3</f>
        <v>2.7658304273378845E-2</v>
      </c>
      <c r="G17" s="14">
        <f t="shared" si="12"/>
        <v>3.3986744429137954E-2</v>
      </c>
      <c r="H17" s="15">
        <f t="shared" si="12"/>
        <v>3.6649631671971418E-2</v>
      </c>
      <c r="I17" s="15">
        <f t="shared" ref="I17:O17" si="13">I16/I3</f>
        <v>4.0135398674720997E-2</v>
      </c>
      <c r="J17" s="16">
        <f t="shared" si="13"/>
        <v>2.3916877578002982E-2</v>
      </c>
      <c r="K17" s="15">
        <f t="shared" si="13"/>
        <v>3.8065032584463497E-2</v>
      </c>
      <c r="L17" s="15">
        <f t="shared" si="13"/>
        <v>3.6872989709450778E-2</v>
      </c>
      <c r="M17" s="15">
        <f t="shared" si="13"/>
        <v>3.7423676663832069E-2</v>
      </c>
      <c r="N17" s="15">
        <f t="shared" si="13"/>
        <v>2.3974324266806787E-2</v>
      </c>
      <c r="O17" s="15">
        <f t="shared" si="13"/>
        <v>2.4881190425520932E-2</v>
      </c>
      <c r="P17" s="15">
        <f t="shared" ref="P17:R17" si="14">P16/P3</f>
        <v>1.8649898434536669E-2</v>
      </c>
      <c r="Q17" s="15">
        <f t="shared" si="14"/>
        <v>2.383109522062201E-2</v>
      </c>
      <c r="R17" s="15">
        <f t="shared" si="14"/>
        <v>2.2287132519380064E-2</v>
      </c>
    </row>
    <row r="18" spans="1:20">
      <c r="A18" s="13" t="s">
        <v>52</v>
      </c>
      <c r="D18" s="14">
        <f>D10/D3</f>
        <v>5.3157966229721194E-2</v>
      </c>
      <c r="E18" s="14">
        <f t="shared" ref="E18:H18" si="15">E10/E3</f>
        <v>3.6449828779176338E-2</v>
      </c>
      <c r="F18" s="14">
        <f t="shared" si="15"/>
        <v>3.6783507397874796E-2</v>
      </c>
      <c r="G18" s="14">
        <f>G10/G3</f>
        <v>3.5306415214000283E-2</v>
      </c>
      <c r="H18" s="15">
        <f t="shared" si="15"/>
        <v>3.4876820166054388E-2</v>
      </c>
      <c r="I18" s="15">
        <f t="shared" ref="I18:O18" si="16">I10/I3</f>
        <v>3.3644058259377482E-2</v>
      </c>
      <c r="J18" s="16">
        <f t="shared" si="16"/>
        <v>4.0460419304545601E-2</v>
      </c>
      <c r="K18" s="15">
        <f t="shared" si="16"/>
        <v>3.3349775431106454E-2</v>
      </c>
      <c r="L18" s="15">
        <f t="shared" si="16"/>
        <v>3.36654475005954E-2</v>
      </c>
      <c r="M18" s="15">
        <f t="shared" si="16"/>
        <v>3.6136723269604397E-2</v>
      </c>
      <c r="N18" s="15">
        <f t="shared" si="16"/>
        <v>3.7932218153434179E-2</v>
      </c>
      <c r="O18" s="184">
        <f t="shared" si="16"/>
        <v>0.04</v>
      </c>
      <c r="P18" s="184">
        <f t="shared" ref="P18:R18" si="17">P10/P3</f>
        <v>0.04</v>
      </c>
      <c r="Q18" s="184">
        <f t="shared" si="17"/>
        <v>3.6314128128513978E-2</v>
      </c>
      <c r="R18" s="184">
        <f t="shared" si="17"/>
        <v>3.6314128128513978E-2</v>
      </c>
    </row>
    <row r="19" spans="1:20">
      <c r="H19" s="4"/>
      <c r="J19" s="93"/>
      <c r="K19" s="180"/>
      <c r="L19" s="180"/>
      <c r="M19" s="180"/>
      <c r="N19" s="180"/>
    </row>
    <row r="20" spans="1:20">
      <c r="A20" s="20" t="s">
        <v>53</v>
      </c>
      <c r="D20" s="10">
        <f>D16+D15+D6</f>
        <v>131746.39999999982</v>
      </c>
      <c r="E20" s="10">
        <f t="shared" ref="E20:H20" si="18">E16+E15+E6</f>
        <v>175781.7099999999</v>
      </c>
      <c r="F20" s="10">
        <f t="shared" si="18"/>
        <v>182927.6</v>
      </c>
      <c r="G20" s="10">
        <f t="shared" si="18"/>
        <v>213424</v>
      </c>
      <c r="H20" s="11">
        <f t="shared" si="18"/>
        <v>235526</v>
      </c>
      <c r="I20" s="11">
        <f t="shared" ref="I20:O20" si="19">I16+I15+I6</f>
        <v>238226.50099999999</v>
      </c>
      <c r="J20" s="12">
        <f t="shared" si="19"/>
        <v>173570.84099999969</v>
      </c>
      <c r="K20" s="11">
        <f t="shared" si="19"/>
        <v>56224.651000000013</v>
      </c>
      <c r="L20" s="11">
        <f t="shared" si="19"/>
        <v>52060.433999999994</v>
      </c>
      <c r="M20" s="11">
        <f t="shared" si="19"/>
        <v>51790.428000000036</v>
      </c>
      <c r="N20" s="11">
        <f t="shared" si="19"/>
        <v>38325.293999999936</v>
      </c>
      <c r="O20" s="11">
        <f t="shared" si="19"/>
        <v>179955.41993488715</v>
      </c>
      <c r="P20" s="11">
        <f t="shared" ref="P20:R20" si="20">P16+P15+P6</f>
        <v>183741.40195195319</v>
      </c>
      <c r="Q20" s="11">
        <f t="shared" si="20"/>
        <v>241696.84962927597</v>
      </c>
      <c r="R20" s="11">
        <f t="shared" si="20"/>
        <v>246720.58491262284</v>
      </c>
    </row>
    <row r="21" spans="1:20">
      <c r="A21" s="13" t="s">
        <v>54</v>
      </c>
      <c r="D21" s="14">
        <f>D20/D3</f>
        <v>3.8157709907170635E-2</v>
      </c>
      <c r="E21" s="14">
        <f t="shared" ref="E21:H21" si="21">E20/E3</f>
        <v>4.5009966084611185E-2</v>
      </c>
      <c r="F21" s="14">
        <f t="shared" si="21"/>
        <v>4.6283629794418087E-2</v>
      </c>
      <c r="G21" s="14">
        <f>G20/G3</f>
        <v>5.0656370069866598E-2</v>
      </c>
      <c r="H21" s="15">
        <f t="shared" si="21"/>
        <v>5.2547596620011933E-2</v>
      </c>
      <c r="I21" s="15">
        <f t="shared" ref="I21:O21" si="22">I20/I3</f>
        <v>5.4654983796477277E-2</v>
      </c>
      <c r="J21" s="16">
        <f t="shared" si="22"/>
        <v>3.6877113451826662E-2</v>
      </c>
      <c r="K21" s="15">
        <f t="shared" si="22"/>
        <v>5.54416802505543E-2</v>
      </c>
      <c r="L21" s="15">
        <f t="shared" si="22"/>
        <v>5.4342310153368802E-2</v>
      </c>
      <c r="M21" s="15">
        <f t="shared" si="22"/>
        <v>5.3115998507455887E-2</v>
      </c>
      <c r="N21" s="15">
        <f t="shared" si="22"/>
        <v>3.7259863842564619E-2</v>
      </c>
      <c r="O21" s="15">
        <f t="shared" si="22"/>
        <v>3.6999999999999901E-2</v>
      </c>
      <c r="P21" s="15">
        <f t="shared" ref="P21:R21" si="23">P20/P3</f>
        <v>3.7000000000000012E-2</v>
      </c>
      <c r="Q21" s="15">
        <f t="shared" si="23"/>
        <v>4.7685871871485923E-2</v>
      </c>
      <c r="R21" s="15">
        <f t="shared" si="23"/>
        <v>4.7685871871486034E-2</v>
      </c>
    </row>
    <row r="22" spans="1:20">
      <c r="H22" s="4"/>
      <c r="J22" s="93"/>
      <c r="K22" s="180"/>
      <c r="L22" s="180"/>
      <c r="M22" s="180"/>
      <c r="N22" s="180"/>
    </row>
    <row r="23" spans="1:20">
      <c r="A23" s="21" t="s">
        <v>55</v>
      </c>
      <c r="B23" s="22"/>
      <c r="C23" s="22"/>
      <c r="D23" s="23">
        <v>5704</v>
      </c>
      <c r="E23" s="23">
        <v>9596.76</v>
      </c>
      <c r="F23" s="23">
        <v>9117.5</v>
      </c>
      <c r="G23" s="23">
        <v>15007.075000000001</v>
      </c>
      <c r="H23" s="24">
        <v>18870.539000000001</v>
      </c>
      <c r="I23" s="24">
        <v>26570.545999999998</v>
      </c>
      <c r="J23" s="25">
        <v>38994.404000000002</v>
      </c>
      <c r="K23" s="24">
        <v>4249.0789999999997</v>
      </c>
      <c r="L23" s="24">
        <v>5290.8410000000003</v>
      </c>
      <c r="M23" s="24">
        <v>8501.4429999999993</v>
      </c>
      <c r="N23" s="24">
        <v>10604.115</v>
      </c>
      <c r="O23" s="94">
        <f>'Debt Profile'!B177</f>
        <v>21357.864344613998</v>
      </c>
      <c r="P23" s="94">
        <f>'Debt Profile'!C177</f>
        <v>20720.364404614</v>
      </c>
      <c r="Q23" s="94">
        <f>'Debt Profile'!D177</f>
        <v>20603.204404614</v>
      </c>
      <c r="R23" s="94">
        <f>'Debt Profile'!E177</f>
        <v>20103.273003613998</v>
      </c>
    </row>
    <row r="24" spans="1:20">
      <c r="A24" s="2" t="s">
        <v>56</v>
      </c>
      <c r="B24" s="26"/>
      <c r="D24" s="10">
        <v>8424.7999999999993</v>
      </c>
      <c r="E24" s="10">
        <v>13348.6</v>
      </c>
      <c r="F24" s="10">
        <v>10845.5</v>
      </c>
      <c r="G24" s="23">
        <v>26053</v>
      </c>
      <c r="H24" s="24">
        <v>26025</v>
      </c>
      <c r="I24" s="24">
        <v>36236.934999999998</v>
      </c>
      <c r="J24" s="25">
        <v>46305.756999999998</v>
      </c>
      <c r="K24" s="24"/>
      <c r="L24" s="24">
        <v>6991.8689999999997</v>
      </c>
      <c r="M24" s="24">
        <v>10682.98</v>
      </c>
      <c r="N24" s="24">
        <v>11754.366</v>
      </c>
      <c r="O24" s="11">
        <f>$J$78*O123</f>
        <v>28655.295642800003</v>
      </c>
      <c r="P24" s="11">
        <f>$J$78*P123</f>
        <v>28655.295642800003</v>
      </c>
      <c r="Q24" s="11">
        <f>$J$78*Q123</f>
        <v>28655.295642800003</v>
      </c>
      <c r="R24" s="11">
        <f>$J$78*R123</f>
        <v>28655.295642800003</v>
      </c>
    </row>
    <row r="25" spans="1:20">
      <c r="H25" s="4"/>
      <c r="I25" s="11"/>
      <c r="J25" s="933"/>
      <c r="K25" s="937"/>
      <c r="L25" s="937"/>
      <c r="M25" s="180"/>
      <c r="N25" s="180"/>
    </row>
    <row r="26" spans="1:20">
      <c r="A26" s="267" t="s">
        <v>57</v>
      </c>
      <c r="D26" s="10">
        <f>19691.2-2721</f>
        <v>16970.2</v>
      </c>
      <c r="E26" s="10">
        <f>10273.8-(E24-E23)</f>
        <v>6521.9599999999991</v>
      </c>
      <c r="F26" s="10">
        <f>26981.3-(F24-F23)</f>
        <v>25253.3</v>
      </c>
      <c r="G26" s="23">
        <f>30929-(G24-G23)</f>
        <v>19883.075000000001</v>
      </c>
      <c r="H26" s="24">
        <f>34769.744-(H24-H23)</f>
        <v>27615.282999999999</v>
      </c>
      <c r="I26" s="24">
        <v>13344</v>
      </c>
      <c r="J26" s="25">
        <v>62990.839</v>
      </c>
      <c r="K26" s="24"/>
      <c r="L26" s="755">
        <f>981.284-(L24-L23)</f>
        <v>-719.74399999999935</v>
      </c>
      <c r="M26" s="755">
        <f>-51.47-(M24-M23)</f>
        <v>-2233.0070000000001</v>
      </c>
      <c r="N26" s="755">
        <f>5220.472-(N24-N23)</f>
        <v>4070.2209999999995</v>
      </c>
      <c r="O26" s="755">
        <f>O148</f>
        <v>8681.6534062500014</v>
      </c>
      <c r="P26" s="755">
        <f>P148</f>
        <v>8322.9672951562516</v>
      </c>
      <c r="Q26" s="755">
        <f>Q148</f>
        <v>9825.8267126250012</v>
      </c>
      <c r="R26" s="755">
        <f>R148</f>
        <v>10816.307865000001</v>
      </c>
    </row>
    <row r="27" spans="1:20">
      <c r="H27" s="4"/>
      <c r="J27" s="93"/>
      <c r="K27" s="180"/>
      <c r="L27" s="180"/>
      <c r="M27" s="180"/>
      <c r="N27" s="180"/>
    </row>
    <row r="28" spans="1:20">
      <c r="A28" s="9" t="s">
        <v>58</v>
      </c>
      <c r="D28" s="17">
        <f>D16-D23+D24+D26</f>
        <v>102535.79999999981</v>
      </c>
      <c r="E28" s="17">
        <f>E16-E23+E24+E26</f>
        <v>118172.20999999993</v>
      </c>
      <c r="F28" s="17">
        <f>F16-F23+F24+F26</f>
        <v>136295.69999999998</v>
      </c>
      <c r="G28" s="17">
        <f>G16-G23+G24+G26</f>
        <v>174121</v>
      </c>
      <c r="H28" s="17">
        <f t="shared" ref="H28" si="24">H16-H23+H24+H26</f>
        <v>199038.74400000001</v>
      </c>
      <c r="I28" s="17">
        <f>I16-I23+I24+I26</f>
        <v>197949.88999999998</v>
      </c>
      <c r="J28" s="18">
        <f>J16-J23+J24+J26</f>
        <v>182872.62299999967</v>
      </c>
      <c r="K28" s="17">
        <v>40247.534</v>
      </c>
      <c r="L28" s="17">
        <f>L16-L23+L24+L26</f>
        <v>36305.947999999997</v>
      </c>
      <c r="M28" s="17">
        <f>M16-M23+M24+M26</f>
        <v>36438.256000000038</v>
      </c>
      <c r="N28" s="17">
        <f>N16-N23+N24+N26</f>
        <v>29880.331999999937</v>
      </c>
      <c r="O28" s="17">
        <f>O16-O23+O24+O26</f>
        <v>136992.73528563938</v>
      </c>
      <c r="P28" s="17">
        <f t="shared" ref="P28:R28" si="25">P16-P23+P24+P26</f>
        <v>108872.99271235047</v>
      </c>
      <c r="Q28" s="17">
        <f t="shared" si="25"/>
        <v>138666.32785055335</v>
      </c>
      <c r="R28" s="17">
        <f t="shared" si="25"/>
        <v>134679.09563029362</v>
      </c>
    </row>
    <row r="29" spans="1:20">
      <c r="A29" s="9" t="s">
        <v>59</v>
      </c>
      <c r="D29" s="11"/>
      <c r="E29" s="11"/>
      <c r="F29" s="11"/>
      <c r="G29" s="11">
        <f t="shared" ref="G29:H29" si="26">G28+G23+G6+G15</f>
        <v>259360.07500000001</v>
      </c>
      <c r="H29" s="11">
        <f t="shared" si="26"/>
        <v>289166.283</v>
      </c>
      <c r="I29" s="11">
        <f t="shared" ref="I29:N29" si="27">I28+I23+I6+I15</f>
        <v>287807.43599999999</v>
      </c>
      <c r="J29" s="12">
        <f t="shared" si="27"/>
        <v>282867.43699999969</v>
      </c>
      <c r="K29" s="11">
        <f t="shared" si="27"/>
        <v>62118.661</v>
      </c>
      <c r="L29" s="11">
        <f t="shared" si="27"/>
        <v>58332.558999999994</v>
      </c>
      <c r="M29" s="11">
        <f t="shared" si="27"/>
        <v>60240.401000000034</v>
      </c>
      <c r="N29" s="11">
        <f t="shared" si="27"/>
        <v>54149.880999999936</v>
      </c>
      <c r="O29" s="11">
        <f>O28+O23+O15+O6</f>
        <v>217292.36898393719</v>
      </c>
      <c r="P29" s="11">
        <f t="shared" ref="P29:R29" si="28">P28+P23+P15+P6</f>
        <v>220719.66488990944</v>
      </c>
      <c r="Q29" s="11">
        <f t="shared" si="28"/>
        <v>280177.971984701</v>
      </c>
      <c r="R29" s="11">
        <f t="shared" si="28"/>
        <v>286192.18842042284</v>
      </c>
    </row>
    <row r="30" spans="1:20">
      <c r="D30" s="10"/>
      <c r="E30" s="10"/>
      <c r="F30" s="10"/>
      <c r="G30" s="10"/>
      <c r="H30" s="11"/>
      <c r="I30" s="11"/>
      <c r="J30" s="93"/>
      <c r="K30" s="180"/>
      <c r="L30" s="180"/>
      <c r="M30" s="180"/>
      <c r="N30" s="180"/>
      <c r="O30" s="11"/>
      <c r="P30" s="11"/>
      <c r="Q30" s="11"/>
      <c r="R30" s="11"/>
    </row>
    <row r="31" spans="1:20">
      <c r="A31" s="2" t="s">
        <v>60</v>
      </c>
      <c r="B31" s="27">
        <v>0.17</v>
      </c>
      <c r="D31" s="10">
        <v>20601.599999999999</v>
      </c>
      <c r="E31" s="10">
        <v>26505</v>
      </c>
      <c r="F31" s="10">
        <v>28949.8</v>
      </c>
      <c r="G31" s="10">
        <v>41639</v>
      </c>
      <c r="H31" s="11">
        <v>48837</v>
      </c>
      <c r="I31" s="11">
        <v>46592.580999999998</v>
      </c>
      <c r="J31" s="25">
        <v>47498.095000000001</v>
      </c>
      <c r="K31" s="24"/>
      <c r="L31" s="24">
        <v>8757.0879999999997</v>
      </c>
      <c r="M31" s="24">
        <v>7230.81</v>
      </c>
      <c r="N31" s="24">
        <v>5863.2870000000003</v>
      </c>
      <c r="O31" s="11">
        <f>O28*$B$31</f>
        <v>23288.764998558698</v>
      </c>
      <c r="P31" s="11">
        <f t="shared" ref="P31:R31" si="29">P28*$B$31</f>
        <v>18508.408761099581</v>
      </c>
      <c r="Q31" s="11">
        <f t="shared" si="29"/>
        <v>23573.27573459407</v>
      </c>
      <c r="R31" s="11">
        <f t="shared" si="29"/>
        <v>22895.446257149917</v>
      </c>
    </row>
    <row r="32" spans="1:20">
      <c r="A32" s="2" t="s">
        <v>61</v>
      </c>
      <c r="D32" s="10">
        <v>344</v>
      </c>
      <c r="E32" s="10">
        <v>-2975</v>
      </c>
      <c r="F32" s="10">
        <v>649</v>
      </c>
      <c r="G32" s="10">
        <v>1947</v>
      </c>
      <c r="H32" s="11">
        <v>3334</v>
      </c>
      <c r="I32" s="11">
        <v>2694.181</v>
      </c>
      <c r="J32" s="25">
        <v>-3359.873</v>
      </c>
      <c r="K32" s="24"/>
      <c r="L32" s="24">
        <v>-27.898</v>
      </c>
      <c r="M32" s="24">
        <v>1039.915</v>
      </c>
      <c r="N32" s="24">
        <v>-63.618000000000002</v>
      </c>
      <c r="O32" s="11">
        <f>AVERAGE($G$32:$J$32)+O183</f>
        <v>13357.861400000023</v>
      </c>
      <c r="P32" s="11">
        <f>AVERAGE($G$32:$J$32)+P183</f>
        <v>15261.345369200022</v>
      </c>
      <c r="Q32" s="11">
        <f>AVERAGE($G$32:$J$32)+Q183</f>
        <v>17164.368808800002</v>
      </c>
      <c r="R32" s="11">
        <f>AVERAGE($G$32:$J$32)+R183</f>
        <v>17164.368808800002</v>
      </c>
      <c r="T32" s="588" t="s">
        <v>608</v>
      </c>
    </row>
    <row r="33" spans="1:18" ht="16.5" thickBot="1">
      <c r="A33" s="9" t="s">
        <v>62</v>
      </c>
      <c r="C33" s="28">
        <v>75473</v>
      </c>
      <c r="D33" s="29">
        <f>D28-D31-D32</f>
        <v>81590.199999999808</v>
      </c>
      <c r="E33" s="29">
        <f t="shared" ref="E33:H33" si="30">E28-E31-E32</f>
        <v>94642.209999999934</v>
      </c>
      <c r="F33" s="29">
        <f t="shared" si="30"/>
        <v>106696.89999999998</v>
      </c>
      <c r="G33" s="29">
        <f t="shared" si="30"/>
        <v>130535</v>
      </c>
      <c r="H33" s="29">
        <f t="shared" si="30"/>
        <v>146867.74400000001</v>
      </c>
      <c r="I33" s="29">
        <f>I28-I31-I32</f>
        <v>148663.12799999997</v>
      </c>
      <c r="J33" s="30">
        <f>J28-J31-J32</f>
        <v>138734.40099999966</v>
      </c>
      <c r="K33" s="29"/>
      <c r="L33" s="29">
        <f>L28-L31-L32</f>
        <v>27576.757999999998</v>
      </c>
      <c r="M33" s="29">
        <f>M28-M31-M32</f>
        <v>28167.531000000035</v>
      </c>
      <c r="N33" s="29">
        <f>N28-N31-N32</f>
        <v>24080.662999999935</v>
      </c>
      <c r="O33" s="29">
        <f>O28-SUM(O31:O32)</f>
        <v>100346.10888708066</v>
      </c>
      <c r="P33" s="29">
        <f t="shared" ref="P33:R33" si="31">P28-SUM(P31:P32)</f>
        <v>75103.238582050864</v>
      </c>
      <c r="Q33" s="29">
        <f>Q28-SUM(Q31:Q32)</f>
        <v>97928.683307159285</v>
      </c>
      <c r="R33" s="29">
        <f t="shared" si="31"/>
        <v>94619.280564343702</v>
      </c>
    </row>
    <row r="34" spans="1:18" ht="16.5" thickTop="1">
      <c r="A34" s="13" t="s">
        <v>63</v>
      </c>
      <c r="D34" s="14">
        <f t="shared" ref="D34:F34" si="32">D33/D3</f>
        <v>2.3630969672552956E-2</v>
      </c>
      <c r="E34" s="14">
        <f t="shared" si="32"/>
        <v>2.4233708172896079E-2</v>
      </c>
      <c r="F34" s="14">
        <f t="shared" si="32"/>
        <v>2.6996034605013382E-2</v>
      </c>
      <c r="G34" s="14">
        <f>G33/G3</f>
        <v>3.0982594586691451E-2</v>
      </c>
      <c r="H34" s="15">
        <f t="shared" ref="H34" si="33">H33/H3</f>
        <v>3.2767282458001146E-2</v>
      </c>
      <c r="I34" s="15">
        <f>I33/I3</f>
        <v>3.4106956270048332E-2</v>
      </c>
      <c r="J34" s="16">
        <f>J33/J3</f>
        <v>2.9475712716908544E-2</v>
      </c>
      <c r="K34" s="15"/>
      <c r="L34" s="15">
        <f>L33/L3</f>
        <v>2.8785482968897155E-2</v>
      </c>
      <c r="M34" s="15">
        <f>M33/M3</f>
        <v>2.888847596615186E-2</v>
      </c>
      <c r="N34" s="15">
        <f>N33/N3</f>
        <v>2.3411228746704007E-2</v>
      </c>
      <c r="O34" s="15">
        <f>O33/O3</f>
        <v>2.0631809979190237E-2</v>
      </c>
      <c r="P34" s="15">
        <f t="shared" ref="P34:R34" si="34">P33/P3</f>
        <v>1.5123536655405081E-2</v>
      </c>
      <c r="Q34" s="15">
        <f t="shared" si="34"/>
        <v>1.9320957852331396E-2</v>
      </c>
      <c r="R34" s="15">
        <f t="shared" si="34"/>
        <v>1.8287906098963844E-2</v>
      </c>
    </row>
    <row r="35" spans="1:18">
      <c r="H35" s="4"/>
      <c r="J35" s="93"/>
      <c r="K35" s="180"/>
      <c r="L35" s="180"/>
      <c r="M35" s="180"/>
      <c r="N35" s="180"/>
    </row>
    <row r="36" spans="1:18">
      <c r="H36" s="4"/>
      <c r="J36" s="93"/>
      <c r="K36" s="180"/>
      <c r="L36" s="180"/>
      <c r="M36" s="180"/>
      <c r="N36" s="180"/>
    </row>
    <row r="37" spans="1:18">
      <c r="A37" s="1" t="s">
        <v>64</v>
      </c>
      <c r="D37" s="3" t="str">
        <f t="shared" ref="D37:H37" si="35">D1</f>
        <v>2011 (A)</v>
      </c>
      <c r="E37" s="3" t="str">
        <f t="shared" si="35"/>
        <v>2012 (A)</v>
      </c>
      <c r="F37" s="3" t="str">
        <f t="shared" si="35"/>
        <v>2013 (A)</v>
      </c>
      <c r="G37" s="3" t="str">
        <f t="shared" si="35"/>
        <v>2014 (A)</v>
      </c>
      <c r="H37" s="4" t="str">
        <f t="shared" si="35"/>
        <v>2015 (A)</v>
      </c>
      <c r="I37" s="4" t="str">
        <f>I1</f>
        <v>2016(A)</v>
      </c>
      <c r="J37" s="8" t="str">
        <f>J1</f>
        <v>2017(A)</v>
      </c>
      <c r="K37" s="4"/>
      <c r="L37" s="932" t="s">
        <v>751</v>
      </c>
      <c r="M37" s="932" t="s">
        <v>735</v>
      </c>
      <c r="N37" s="932" t="s">
        <v>736</v>
      </c>
      <c r="O37" s="91" t="str">
        <f>O1</f>
        <v>2018 (F)</v>
      </c>
      <c r="P37" s="91" t="str">
        <f t="shared" ref="P37:R37" si="36">P1</f>
        <v>2019 (F)</v>
      </c>
      <c r="Q37" s="91" t="str">
        <f t="shared" si="36"/>
        <v>2020 (F)</v>
      </c>
      <c r="R37" s="91" t="str">
        <f t="shared" si="36"/>
        <v>2021 (F)</v>
      </c>
    </row>
    <row r="38" spans="1:18">
      <c r="H38" s="4"/>
      <c r="J38" s="93"/>
      <c r="K38" s="180"/>
      <c r="L38" s="180"/>
      <c r="M38" s="180"/>
      <c r="N38" s="180"/>
    </row>
    <row r="39" spans="1:18">
      <c r="A39" s="2" t="s">
        <v>59</v>
      </c>
      <c r="D39" s="10">
        <f>D28</f>
        <v>102535.79999999981</v>
      </c>
      <c r="E39" s="10">
        <f t="shared" ref="E39:F39" si="37">E28</f>
        <v>118172.20999999993</v>
      </c>
      <c r="F39" s="10">
        <f t="shared" si="37"/>
        <v>136295.69999999998</v>
      </c>
      <c r="G39" s="10">
        <f>G28</f>
        <v>174121</v>
      </c>
      <c r="H39" s="11">
        <f>H28</f>
        <v>199038.74400000001</v>
      </c>
      <c r="I39" s="11">
        <f>I29</f>
        <v>287807.43599999999</v>
      </c>
      <c r="J39" s="12">
        <f>J29</f>
        <v>282867.43699999969</v>
      </c>
      <c r="K39" s="11"/>
      <c r="L39" s="11">
        <f>L29</f>
        <v>58332.558999999994</v>
      </c>
      <c r="M39" s="11">
        <f>M29</f>
        <v>60240.401000000034</v>
      </c>
      <c r="N39" s="11">
        <f>N29</f>
        <v>54149.880999999936</v>
      </c>
      <c r="O39" s="11">
        <f>O29</f>
        <v>217292.36898393719</v>
      </c>
      <c r="P39" s="11">
        <f t="shared" ref="P39:R39" si="38">P29</f>
        <v>220719.66488990944</v>
      </c>
      <c r="Q39" s="11">
        <f t="shared" si="38"/>
        <v>280177.971984701</v>
      </c>
      <c r="R39" s="11">
        <f t="shared" si="38"/>
        <v>286192.18842042284</v>
      </c>
    </row>
    <row r="40" spans="1:18">
      <c r="A40" s="22" t="s">
        <v>65</v>
      </c>
      <c r="D40" s="10"/>
      <c r="E40" s="10"/>
      <c r="F40" s="10"/>
      <c r="G40" s="10">
        <f>-G31</f>
        <v>-41639</v>
      </c>
      <c r="H40" s="11">
        <f>-H31</f>
        <v>-48837</v>
      </c>
      <c r="I40" s="11">
        <f>-I31</f>
        <v>-46592.580999999998</v>
      </c>
      <c r="J40" s="12">
        <f>-J31</f>
        <v>-47498.095000000001</v>
      </c>
      <c r="K40" s="11"/>
      <c r="L40" s="11">
        <f>-L31</f>
        <v>-8757.0879999999997</v>
      </c>
      <c r="M40" s="11">
        <f>-M31</f>
        <v>-7230.81</v>
      </c>
      <c r="N40" s="11">
        <f>-N31</f>
        <v>-5863.2870000000003</v>
      </c>
      <c r="O40" s="11">
        <f>-O31</f>
        <v>-23288.764998558698</v>
      </c>
      <c r="P40" s="11">
        <f t="shared" ref="P40:R40" si="39">-P31</f>
        <v>-18508.408761099581</v>
      </c>
      <c r="Q40" s="11">
        <f t="shared" si="39"/>
        <v>-23573.27573459407</v>
      </c>
      <c r="R40" s="11">
        <f t="shared" si="39"/>
        <v>-22895.446257149917</v>
      </c>
    </row>
    <row r="41" spans="1:18">
      <c r="A41" s="22" t="s">
        <v>66</v>
      </c>
      <c r="D41" s="10">
        <f>D24+D23</f>
        <v>14128.8</v>
      </c>
      <c r="E41" s="10">
        <f t="shared" ref="E41:F41" si="40">E24+E23</f>
        <v>22945.360000000001</v>
      </c>
      <c r="F41" s="10">
        <f t="shared" si="40"/>
        <v>19963</v>
      </c>
      <c r="G41" s="10">
        <v>14861</v>
      </c>
      <c r="H41" s="11">
        <f>H23</f>
        <v>18870.539000000001</v>
      </c>
      <c r="I41" s="11">
        <f>-I23</f>
        <v>-26570.545999999998</v>
      </c>
      <c r="J41" s="12">
        <f>-J23</f>
        <v>-38994.404000000002</v>
      </c>
      <c r="K41" s="11"/>
      <c r="L41" s="11">
        <f>-L23</f>
        <v>-5290.8410000000003</v>
      </c>
      <c r="M41" s="11">
        <f>-M23</f>
        <v>-8501.4429999999993</v>
      </c>
      <c r="N41" s="11">
        <f>-N23</f>
        <v>-10604.115</v>
      </c>
      <c r="O41" s="11">
        <f>-O23</f>
        <v>-21357.864344613998</v>
      </c>
      <c r="P41" s="11">
        <f t="shared" ref="P41:R41" si="41">-P23</f>
        <v>-20720.364404614</v>
      </c>
      <c r="Q41" s="11">
        <f t="shared" si="41"/>
        <v>-20603.204404614</v>
      </c>
      <c r="R41" s="11">
        <f t="shared" si="41"/>
        <v>-20103.273003613998</v>
      </c>
    </row>
    <row r="42" spans="1:18">
      <c r="A42" s="2" t="s">
        <v>67</v>
      </c>
      <c r="D42" s="10">
        <f>SUM(D43:D45)</f>
        <v>0</v>
      </c>
      <c r="E42" s="10">
        <f t="shared" ref="E42:G42" si="42">SUM(E43:E45)</f>
        <v>0</v>
      </c>
      <c r="F42" s="10">
        <f t="shared" si="42"/>
        <v>0</v>
      </c>
      <c r="G42" s="10">
        <f t="shared" si="42"/>
        <v>0</v>
      </c>
      <c r="H42" s="11">
        <f>SUM(H43:H45)</f>
        <v>33258</v>
      </c>
      <c r="I42" s="11">
        <f>SUM(I43:I45)</f>
        <v>-37192.526000000071</v>
      </c>
      <c r="J42" s="12">
        <f>SUM(J43:J45)</f>
        <v>-166295.79899999988</v>
      </c>
      <c r="K42" s="11"/>
      <c r="L42" s="11"/>
      <c r="M42" s="11">
        <f>SUM(M43:M45)</f>
        <v>-26272.515999999945</v>
      </c>
      <c r="N42" s="11">
        <f>SUM(N43:N45)</f>
        <v>-213125.49200000003</v>
      </c>
      <c r="O42" s="11">
        <f>SUM(O43:O45)</f>
        <v>-19534.29543836182</v>
      </c>
      <c r="P42" s="11">
        <f t="shared" ref="P42:R42" si="43">SUM(P43:P45)</f>
        <v>-7900.997789223562</v>
      </c>
      <c r="Q42" s="11">
        <f t="shared" si="43"/>
        <v>-13566.518613627879</v>
      </c>
      <c r="R42" s="11">
        <f t="shared" si="43"/>
        <v>-11613.913270066725</v>
      </c>
    </row>
    <row r="43" spans="1:18">
      <c r="A43" s="13" t="s">
        <v>68</v>
      </c>
      <c r="D43" s="10"/>
      <c r="E43" s="10"/>
      <c r="F43" s="10"/>
      <c r="G43" s="10"/>
      <c r="H43" s="11">
        <v>180002</v>
      </c>
      <c r="I43" s="11">
        <f>-(I79-H79)</f>
        <v>-140148.875</v>
      </c>
      <c r="J43" s="12">
        <f>-(J79-I79)</f>
        <v>-499436.58199999994</v>
      </c>
      <c r="K43" s="11"/>
      <c r="L43" s="11"/>
      <c r="M43" s="11">
        <f>-(M79-L79)</f>
        <v>-78472.65399999998</v>
      </c>
      <c r="N43" s="11">
        <f>-(N79-M79)</f>
        <v>-92718.014000000025</v>
      </c>
      <c r="O43" s="11">
        <f>-(O79-J79)</f>
        <v>-41025.030496501364</v>
      </c>
      <c r="P43" s="11">
        <f t="shared" ref="P43:R43" si="44">-(P79-O79)</f>
        <v>-26750.791477977764</v>
      </c>
      <c r="Q43" s="11">
        <f t="shared" si="44"/>
        <v>-26806.598071146989</v>
      </c>
      <c r="R43" s="11">
        <f t="shared" si="44"/>
        <v>-27542.086173530901</v>
      </c>
    </row>
    <row r="44" spans="1:18">
      <c r="A44" s="13" t="s">
        <v>69</v>
      </c>
      <c r="D44" s="10"/>
      <c r="E44" s="10"/>
      <c r="F44" s="10"/>
      <c r="G44" s="10"/>
      <c r="H44" s="11">
        <v>-55428</v>
      </c>
      <c r="I44" s="11">
        <f>-(I81-H81)</f>
        <v>37350.939000000013</v>
      </c>
      <c r="J44" s="12">
        <f>-(J81-I81)</f>
        <v>-173680.79399999999</v>
      </c>
      <c r="K44" s="11"/>
      <c r="L44" s="11"/>
      <c r="M44" s="11">
        <f>-(M81-L81)</f>
        <v>42359.934000000008</v>
      </c>
      <c r="N44" s="11">
        <f>-(N81-M81)</f>
        <v>-219906.92799999996</v>
      </c>
      <c r="O44" s="11">
        <f>-(O81-J81)</f>
        <v>-18390.209235704737</v>
      </c>
      <c r="P44" s="11">
        <f t="shared" ref="P44:R44" si="45">-(P81-O81)</f>
        <v>-16130.283540709061</v>
      </c>
      <c r="Q44" s="11">
        <f t="shared" si="45"/>
        <v>-11329.897784436587</v>
      </c>
      <c r="R44" s="11">
        <f t="shared" si="45"/>
        <v>-13630.172799800988</v>
      </c>
    </row>
    <row r="45" spans="1:18">
      <c r="A45" s="13" t="s">
        <v>70</v>
      </c>
      <c r="D45" s="10"/>
      <c r="E45" s="10"/>
      <c r="F45" s="10"/>
      <c r="G45" s="10"/>
      <c r="H45" s="11">
        <v>-91316</v>
      </c>
      <c r="I45" s="11">
        <f>I95-H95</f>
        <v>65605.409999999916</v>
      </c>
      <c r="J45" s="12">
        <f>J95-I95</f>
        <v>506821.57700000005</v>
      </c>
      <c r="K45" s="11"/>
      <c r="L45" s="11"/>
      <c r="M45" s="11">
        <f>M95-L95</f>
        <v>9840.204000000027</v>
      </c>
      <c r="N45" s="11">
        <f>N95-M95</f>
        <v>99499.449999999953</v>
      </c>
      <c r="O45" s="11">
        <f>O95-J95</f>
        <v>39880.944293844281</v>
      </c>
      <c r="P45" s="11">
        <f t="shared" ref="P45:R45" si="46">P95-O95</f>
        <v>34980.077229463262</v>
      </c>
      <c r="Q45" s="11">
        <f t="shared" si="46"/>
        <v>24569.977241955698</v>
      </c>
      <c r="R45" s="11">
        <f t="shared" si="46"/>
        <v>29558.345703265164</v>
      </c>
    </row>
    <row r="46" spans="1:18" ht="30">
      <c r="A46" s="31" t="s">
        <v>71</v>
      </c>
      <c r="D46" s="10"/>
      <c r="E46" s="10"/>
      <c r="F46" s="10"/>
      <c r="G46" s="10">
        <f>G47-SUM(G39:G42)</f>
        <v>43333</v>
      </c>
      <c r="H46" s="11">
        <f>H47-SUM(H39:H42)</f>
        <v>39992.717000000004</v>
      </c>
      <c r="I46" s="11">
        <f>I47-SUM(I39:I42)</f>
        <v>-3431.0489999999118</v>
      </c>
      <c r="J46" s="12">
        <f>J47-SUM(J39:J42)</f>
        <v>-69420.451999999786</v>
      </c>
      <c r="K46" s="11"/>
      <c r="L46" s="11"/>
      <c r="M46" s="11">
        <f>M47-SUM(M39:M42)</f>
        <v>58707.108999999902</v>
      </c>
      <c r="N46" s="11">
        <f>N47-SUM(N39:N42)</f>
        <v>181897.9360000001</v>
      </c>
      <c r="O46" s="11">
        <f>(J83-O83)+(J99-O99)</f>
        <v>46564</v>
      </c>
      <c r="P46" s="11">
        <f t="shared" ref="P46:R46" si="47">(O83-P83)+(O99-P99)</f>
        <v>46564</v>
      </c>
      <c r="Q46" s="11">
        <f t="shared" si="47"/>
        <v>0</v>
      </c>
      <c r="R46" s="11">
        <f t="shared" si="47"/>
        <v>0</v>
      </c>
    </row>
    <row r="47" spans="1:18">
      <c r="A47" s="20" t="s">
        <v>72</v>
      </c>
      <c r="D47" s="17" t="e">
        <f>D39+#REF!+D41+D42+D46</f>
        <v>#REF!</v>
      </c>
      <c r="E47" s="17"/>
      <c r="F47" s="17">
        <v>172752</v>
      </c>
      <c r="G47" s="17">
        <v>190676</v>
      </c>
      <c r="H47" s="17">
        <v>242323</v>
      </c>
      <c r="I47" s="17">
        <v>174020.734</v>
      </c>
      <c r="J47" s="18">
        <v>-39341.313000000002</v>
      </c>
      <c r="K47" s="17"/>
      <c r="L47" s="17">
        <v>48589.993000000002</v>
      </c>
      <c r="M47" s="17">
        <v>76942.740999999995</v>
      </c>
      <c r="N47" s="17">
        <v>6454.9229999999998</v>
      </c>
      <c r="O47" s="17">
        <f>SUM(O39:O42)+O46</f>
        <v>199675.44420240266</v>
      </c>
      <c r="P47" s="17">
        <f t="shared" ref="P47:R47" si="48">SUM(P39:P42)+P46</f>
        <v>220153.89393497229</v>
      </c>
      <c r="Q47" s="17">
        <f t="shared" si="48"/>
        <v>222434.97323186506</v>
      </c>
      <c r="R47" s="17">
        <f t="shared" si="48"/>
        <v>231579.55588959221</v>
      </c>
    </row>
    <row r="48" spans="1:18">
      <c r="D48" s="10"/>
      <c r="E48" s="10"/>
      <c r="F48" s="10"/>
      <c r="G48" s="10"/>
      <c r="H48" s="11"/>
      <c r="I48" s="11"/>
      <c r="J48" s="93"/>
      <c r="K48" s="180"/>
      <c r="L48" s="180"/>
      <c r="M48" s="180"/>
      <c r="N48" s="180"/>
    </row>
    <row r="49" spans="1:18">
      <c r="D49" s="10"/>
      <c r="E49" s="10"/>
      <c r="F49" s="10"/>
      <c r="G49" s="10"/>
      <c r="H49" s="11"/>
      <c r="I49" s="11"/>
      <c r="J49" s="93"/>
      <c r="K49" s="180"/>
      <c r="L49" s="180"/>
      <c r="M49" s="180"/>
      <c r="N49" s="180"/>
    </row>
    <row r="50" spans="1:18">
      <c r="A50" s="22" t="s">
        <v>73</v>
      </c>
      <c r="D50" s="10"/>
      <c r="E50" s="10"/>
      <c r="F50" s="32">
        <v>57045</v>
      </c>
      <c r="G50" s="23">
        <v>-27565</v>
      </c>
      <c r="H50" s="24">
        <v>-70959</v>
      </c>
      <c r="I50" s="11">
        <v>-53204.353000000003</v>
      </c>
      <c r="J50" s="25">
        <v>-60384.845999999998</v>
      </c>
      <c r="K50" s="24"/>
      <c r="L50" s="24">
        <v>-9743.5930000000008</v>
      </c>
      <c r="M50" s="24">
        <v>-10283.597</v>
      </c>
      <c r="N50" s="24">
        <v>-15643.321</v>
      </c>
      <c r="O50" s="11">
        <f>-CAPEX!Q3</f>
        <v>-158706.3670526784</v>
      </c>
      <c r="P50" s="11">
        <f>-CAPEX!R3</f>
        <v>-202505.11034689622</v>
      </c>
      <c r="Q50" s="11">
        <f>-CAPEX!S3</f>
        <v>-178692.79173953185</v>
      </c>
      <c r="R50" s="11">
        <f>-CAPEX!T3</f>
        <v>-63008.280341889498</v>
      </c>
    </row>
    <row r="51" spans="1:18">
      <c r="A51" s="22" t="s">
        <v>74</v>
      </c>
      <c r="D51" s="10"/>
      <c r="E51" s="10"/>
      <c r="F51" s="10"/>
      <c r="G51" s="10"/>
      <c r="H51" s="11">
        <f>G86-H86</f>
        <v>-14207</v>
      </c>
      <c r="I51" s="11">
        <f>H86-I86</f>
        <v>-18249</v>
      </c>
      <c r="J51" s="12">
        <f>I86-J86</f>
        <v>-30439.021999999997</v>
      </c>
      <c r="K51" s="11"/>
      <c r="L51" s="11"/>
      <c r="M51" s="11">
        <f>L86-M86</f>
        <v>-83071.057000000001</v>
      </c>
      <c r="N51" s="11">
        <f>M86-N86</f>
        <v>29931.111000000004</v>
      </c>
      <c r="O51" s="11">
        <f>J86-O86</f>
        <v>-8681.6534062499995</v>
      </c>
      <c r="P51" s="11">
        <f t="shared" ref="P51:R51" si="49">O86-P86</f>
        <v>-8322.9672951562388</v>
      </c>
      <c r="Q51" s="11">
        <f t="shared" si="49"/>
        <v>-9825.8267126250139</v>
      </c>
      <c r="R51" s="11">
        <f t="shared" si="49"/>
        <v>-10816.30786500001</v>
      </c>
    </row>
    <row r="52" spans="1:18" ht="30">
      <c r="A52" s="33" t="s">
        <v>75</v>
      </c>
      <c r="D52" s="10"/>
      <c r="E52" s="10"/>
      <c r="F52" s="10"/>
      <c r="G52" s="10"/>
      <c r="H52" s="11">
        <f>H53-SUM(H50:H51)</f>
        <v>19426</v>
      </c>
      <c r="I52" s="11">
        <v>-140681</v>
      </c>
      <c r="J52" s="12">
        <f>J53-SUM(J50:J51)</f>
        <v>25833.115999999987</v>
      </c>
      <c r="K52" s="11"/>
      <c r="L52" s="11"/>
      <c r="M52" s="11">
        <f>M53-SUM(M50:M51)</f>
        <v>42529.422999999995</v>
      </c>
      <c r="N52" s="11">
        <f>N53-SUM(N50:N51)</f>
        <v>-28697.837000000007</v>
      </c>
      <c r="O52" s="11">
        <f>(J91-O91)+(J104-O104)</f>
        <v>0</v>
      </c>
      <c r="P52" s="11">
        <f t="shared" ref="P52:R52" si="50">(O91-P91)+(O104-P104)</f>
        <v>0</v>
      </c>
      <c r="Q52" s="11">
        <f t="shared" si="50"/>
        <v>0</v>
      </c>
      <c r="R52" s="11">
        <f t="shared" si="50"/>
        <v>0</v>
      </c>
    </row>
    <row r="53" spans="1:18">
      <c r="A53" s="9" t="s">
        <v>76</v>
      </c>
      <c r="D53" s="17">
        <f>SUM(D50:D52)</f>
        <v>0</v>
      </c>
      <c r="E53" s="17"/>
      <c r="F53" s="17"/>
      <c r="G53" s="17"/>
      <c r="H53" s="17">
        <v>-65740</v>
      </c>
      <c r="I53" s="17">
        <f>SUM(I50:I52)</f>
        <v>-212134.353</v>
      </c>
      <c r="J53" s="18">
        <v>-64990.752</v>
      </c>
      <c r="K53" s="17"/>
      <c r="L53" s="17">
        <v>-60168.625</v>
      </c>
      <c r="M53" s="17">
        <v>-50825.231</v>
      </c>
      <c r="N53" s="17">
        <v>-14410.047</v>
      </c>
      <c r="O53" s="17">
        <f>SUM(O50:O52)</f>
        <v>-167388.0204589284</v>
      </c>
      <c r="P53" s="17">
        <f t="shared" ref="P53:R53" si="51">SUM(P50:P52)</f>
        <v>-210828.07764205246</v>
      </c>
      <c r="Q53" s="17">
        <f t="shared" si="51"/>
        <v>-188518.61845215686</v>
      </c>
      <c r="R53" s="17">
        <f t="shared" si="51"/>
        <v>-73824.588206889515</v>
      </c>
    </row>
    <row r="54" spans="1:18">
      <c r="D54" s="10"/>
      <c r="E54" s="10"/>
      <c r="F54" s="10"/>
      <c r="G54" s="10"/>
      <c r="H54" s="11"/>
      <c r="I54" s="11"/>
      <c r="J54" s="93"/>
      <c r="K54" s="180"/>
      <c r="L54" s="180"/>
      <c r="M54" s="180"/>
      <c r="N54" s="180"/>
    </row>
    <row r="55" spans="1:18">
      <c r="D55" s="10"/>
      <c r="E55" s="10"/>
      <c r="F55" s="10"/>
      <c r="G55" s="10"/>
      <c r="H55" s="11"/>
      <c r="I55" s="11"/>
      <c r="J55" s="93"/>
      <c r="K55" s="180"/>
      <c r="L55" s="180"/>
      <c r="M55" s="180"/>
      <c r="N55" s="180"/>
    </row>
    <row r="56" spans="1:18">
      <c r="A56" s="22" t="s">
        <v>77</v>
      </c>
      <c r="D56" s="10"/>
      <c r="E56" s="10"/>
      <c r="F56" s="10"/>
      <c r="G56" s="10"/>
      <c r="H56" s="11">
        <f>-[5]Debt!E122</f>
        <v>0</v>
      </c>
      <c r="I56" s="11">
        <v>21541.743999999999</v>
      </c>
      <c r="J56" s="12">
        <v>-650.779</v>
      </c>
      <c r="K56" s="11"/>
      <c r="L56" s="11"/>
      <c r="M56" s="11"/>
      <c r="N56" s="11"/>
      <c r="O56" s="24">
        <f>(O98-J98)+(O102-J102)+(O103-J103)</f>
        <v>-46232.866000000016</v>
      </c>
      <c r="P56" s="24">
        <f t="shared" ref="P56:R56" si="52">(P98-O98)+(P102-O102)+(P103-O103)</f>
        <v>-11673.31558965471</v>
      </c>
      <c r="Q56" s="24">
        <f t="shared" si="52"/>
        <v>-69467.095589654695</v>
      </c>
      <c r="R56" s="24">
        <f t="shared" si="52"/>
        <v>-42635.915589654709</v>
      </c>
    </row>
    <row r="57" spans="1:18">
      <c r="A57" s="22" t="s">
        <v>78</v>
      </c>
      <c r="B57" s="22"/>
      <c r="C57" s="22"/>
      <c r="D57" s="23"/>
      <c r="E57" s="23"/>
      <c r="F57" s="23"/>
      <c r="G57" s="23"/>
      <c r="H57" s="24">
        <f>H134</f>
        <v>-149268</v>
      </c>
      <c r="I57" s="24">
        <f>101239+9000</f>
        <v>110239</v>
      </c>
      <c r="J57" s="25">
        <v>242333.003</v>
      </c>
      <c r="K57" s="24"/>
      <c r="L57" s="24"/>
      <c r="M57" s="24"/>
      <c r="N57" s="24"/>
      <c r="O57" s="24">
        <f>O134</f>
        <v>0</v>
      </c>
      <c r="P57" s="24">
        <f t="shared" ref="P57:R57" si="53">P134</f>
        <v>0</v>
      </c>
      <c r="Q57" s="24">
        <f t="shared" si="53"/>
        <v>0</v>
      </c>
      <c r="R57" s="24">
        <f t="shared" si="53"/>
        <v>0</v>
      </c>
    </row>
    <row r="58" spans="1:18">
      <c r="A58" s="2" t="s">
        <v>79</v>
      </c>
      <c r="D58" s="10"/>
      <c r="E58" s="10"/>
      <c r="F58" s="10"/>
      <c r="G58" s="10"/>
      <c r="H58" s="11">
        <v>0</v>
      </c>
      <c r="I58" s="11">
        <v>0</v>
      </c>
      <c r="J58" s="25">
        <v>0</v>
      </c>
      <c r="K58" s="24"/>
      <c r="L58" s="24"/>
      <c r="M58" s="24"/>
      <c r="N58" s="24"/>
      <c r="O58" s="24">
        <f>(O108+O109-O59)-(J108+J109-J59)+O131</f>
        <v>121418.20168671</v>
      </c>
      <c r="P58" s="24">
        <f>(P108+P109)-(O108+O109)+P131</f>
        <v>0</v>
      </c>
      <c r="Q58" s="24">
        <f>(Q108+Q109)-(P108+P109)+Q131</f>
        <v>0</v>
      </c>
      <c r="R58" s="24">
        <f>(R108+R109)-(Q108+Q109)+R131</f>
        <v>0</v>
      </c>
    </row>
    <row r="59" spans="1:18">
      <c r="A59" s="2" t="s">
        <v>737</v>
      </c>
      <c r="D59" s="10"/>
      <c r="E59" s="10"/>
      <c r="F59" s="10"/>
      <c r="G59" s="10"/>
      <c r="H59" s="11"/>
      <c r="I59" s="11"/>
      <c r="J59" s="25"/>
      <c r="K59" s="24"/>
      <c r="L59" s="24"/>
      <c r="M59" s="24"/>
      <c r="N59" s="24"/>
      <c r="O59" s="24">
        <v>-34657.47653</v>
      </c>
      <c r="P59" s="24"/>
      <c r="Q59" s="24"/>
      <c r="R59" s="24"/>
    </row>
    <row r="60" spans="1:18">
      <c r="A60" s="2" t="s">
        <v>80</v>
      </c>
      <c r="D60" s="10"/>
      <c r="E60" s="10"/>
      <c r="F60" s="10"/>
      <c r="G60" s="10"/>
      <c r="H60" s="11">
        <f t="shared" ref="H60" si="54">G60</f>
        <v>0</v>
      </c>
      <c r="I60" s="11">
        <f>H60</f>
        <v>0</v>
      </c>
      <c r="J60" s="25">
        <v>0</v>
      </c>
      <c r="K60" s="24"/>
      <c r="L60" s="24"/>
      <c r="M60" s="24"/>
      <c r="N60" s="24"/>
      <c r="O60" s="24">
        <f>J60</f>
        <v>0</v>
      </c>
      <c r="P60" s="24">
        <f t="shared" ref="P60:R60" si="55">O60</f>
        <v>0</v>
      </c>
      <c r="Q60" s="24">
        <f t="shared" si="55"/>
        <v>0</v>
      </c>
      <c r="R60" s="24">
        <f t="shared" si="55"/>
        <v>0</v>
      </c>
    </row>
    <row r="61" spans="1:18">
      <c r="A61" s="22" t="s">
        <v>81</v>
      </c>
      <c r="D61" s="10"/>
      <c r="E61" s="10"/>
      <c r="F61" s="10"/>
      <c r="G61" s="10"/>
      <c r="H61" s="11">
        <v>56215</v>
      </c>
      <c r="I61" s="11">
        <v>62553</v>
      </c>
      <c r="J61" s="25">
        <v>77979.322</v>
      </c>
      <c r="K61" s="24"/>
      <c r="L61" s="24"/>
      <c r="M61" s="24"/>
      <c r="N61" s="24"/>
      <c r="O61" s="24">
        <v>34657.476523999998</v>
      </c>
      <c r="P61" s="24">
        <f>P129*O33</f>
        <v>47687.02374938265</v>
      </c>
      <c r="Q61" s="24">
        <f>Q129*P33</f>
        <v>35690.969601502053</v>
      </c>
      <c r="R61" s="24">
        <f>R129*Q33</f>
        <v>46538.201614467587</v>
      </c>
    </row>
    <row r="62" spans="1:18">
      <c r="A62" s="34" t="s">
        <v>82</v>
      </c>
      <c r="B62" s="34"/>
      <c r="C62" s="34"/>
      <c r="D62" s="35"/>
      <c r="E62" s="35"/>
      <c r="F62" s="35"/>
      <c r="G62" s="35"/>
      <c r="H62" s="36"/>
      <c r="I62" s="36">
        <f>[5]Debt!F15</f>
        <v>0</v>
      </c>
      <c r="J62" s="187">
        <v>0</v>
      </c>
      <c r="K62" s="228"/>
      <c r="L62" s="228"/>
      <c r="M62" s="228"/>
      <c r="N62" s="228"/>
    </row>
    <row r="63" spans="1:18">
      <c r="A63" s="34" t="s">
        <v>83</v>
      </c>
      <c r="B63" s="34"/>
      <c r="C63" s="34"/>
      <c r="D63" s="35"/>
      <c r="E63" s="35"/>
      <c r="F63" s="35"/>
      <c r="G63" s="35"/>
      <c r="H63" s="36"/>
      <c r="I63" s="36">
        <v>0</v>
      </c>
      <c r="J63" s="187">
        <v>0</v>
      </c>
      <c r="K63" s="228"/>
      <c r="L63" s="228"/>
      <c r="M63" s="228"/>
      <c r="N63" s="228"/>
    </row>
    <row r="64" spans="1:18">
      <c r="A64" s="9" t="s">
        <v>84</v>
      </c>
      <c r="D64" s="17"/>
      <c r="E64" s="17"/>
      <c r="F64" s="17">
        <v>31695.725999999999</v>
      </c>
      <c r="G64" s="17">
        <v>-158218.48199999999</v>
      </c>
      <c r="H64" s="17">
        <v>-191178</v>
      </c>
      <c r="I64" s="17">
        <v>51945</v>
      </c>
      <c r="J64" s="186">
        <v>146239.899</v>
      </c>
      <c r="K64" s="931"/>
      <c r="L64" s="931">
        <v>-2040.6489999999999</v>
      </c>
      <c r="M64" s="931">
        <v>-85808.255999999994</v>
      </c>
      <c r="N64" s="931">
        <v>-61621.105000000003</v>
      </c>
      <c r="O64" s="17">
        <f>SUM(O56:O60)-O61+O62+O63</f>
        <v>5870.382632709996</v>
      </c>
      <c r="P64" s="17">
        <f t="shared" ref="P64:Q64" si="56">SUM(P56:P60)-P61+P62+P63</f>
        <v>-59360.33933903736</v>
      </c>
      <c r="Q64" s="17">
        <f t="shared" si="56"/>
        <v>-105158.06519115675</v>
      </c>
      <c r="R64" s="17">
        <f>SUM(R56:R60)-R61+R62+R63</f>
        <v>-89174.117204122304</v>
      </c>
    </row>
    <row r="65" spans="1:18">
      <c r="D65" s="10"/>
      <c r="E65" s="10"/>
      <c r="F65" s="10"/>
      <c r="G65" s="10"/>
      <c r="H65" s="11"/>
      <c r="I65" s="11"/>
      <c r="J65" s="93"/>
      <c r="K65" s="180"/>
      <c r="L65" s="180"/>
      <c r="M65" s="180"/>
      <c r="N65" s="180"/>
    </row>
    <row r="66" spans="1:18">
      <c r="A66" s="2" t="s">
        <v>85</v>
      </c>
      <c r="D66" s="10" t="e">
        <f>D47-D53+D64</f>
        <v>#REF!</v>
      </c>
      <c r="E66" s="10"/>
      <c r="F66" s="10"/>
      <c r="G66" s="10">
        <f>G47+G53+G64</f>
        <v>32457.518000000011</v>
      </c>
      <c r="H66" s="11">
        <f>H47+H53+H64</f>
        <v>-14595</v>
      </c>
      <c r="I66" s="11">
        <f>I47+I53+I64</f>
        <v>13831.380999999994</v>
      </c>
      <c r="J66" s="12">
        <f>J47+J53+J64</f>
        <v>41907.834000000003</v>
      </c>
      <c r="K66" s="11"/>
      <c r="L66" s="11">
        <f>L47+L53+L64</f>
        <v>-13619.280999999997</v>
      </c>
      <c r="M66" s="11">
        <f>M47+M53+M64</f>
        <v>-59690.745999999999</v>
      </c>
      <c r="N66" s="11">
        <f>N47+N53+N64</f>
        <v>-69576.229000000007</v>
      </c>
      <c r="O66" s="24">
        <f>O64+O53+O47</f>
        <v>38157.806376184279</v>
      </c>
      <c r="P66" s="24">
        <f t="shared" ref="P66:R66" si="57">P64+P53+P47</f>
        <v>-50034.523046117509</v>
      </c>
      <c r="Q66" s="24">
        <f t="shared" si="57"/>
        <v>-71241.710411448526</v>
      </c>
      <c r="R66" s="24">
        <f t="shared" si="57"/>
        <v>68580.850478580396</v>
      </c>
    </row>
    <row r="67" spans="1:18">
      <c r="A67" s="22" t="s">
        <v>86</v>
      </c>
      <c r="D67" s="10"/>
      <c r="E67" s="10"/>
      <c r="F67" s="10"/>
      <c r="G67" s="10"/>
      <c r="H67" s="11"/>
      <c r="I67" s="11">
        <v>-37814.720999999998</v>
      </c>
      <c r="J67" s="12">
        <v>-32567.076000000001</v>
      </c>
      <c r="K67" s="11"/>
      <c r="L67" s="11">
        <v>-2734.4209999999998</v>
      </c>
      <c r="M67" s="11">
        <v>-38514.239999999998</v>
      </c>
      <c r="N67" s="11">
        <v>3844.86</v>
      </c>
      <c r="O67" s="24"/>
      <c r="P67" s="24"/>
      <c r="Q67" s="24"/>
      <c r="R67" s="24"/>
    </row>
    <row r="68" spans="1:18">
      <c r="A68" s="9" t="s">
        <v>87</v>
      </c>
      <c r="D68" s="10"/>
      <c r="E68" s="10"/>
      <c r="F68" s="10">
        <v>188500.08900000001</v>
      </c>
      <c r="G68" s="10">
        <v>-14989.744000000001</v>
      </c>
      <c r="H68" s="11">
        <f>H66+H67</f>
        <v>-14595</v>
      </c>
      <c r="I68" s="11">
        <f>I66+I67</f>
        <v>-23983.340000000004</v>
      </c>
      <c r="J68" s="12">
        <f>J66+J67</f>
        <v>9340.7580000000016</v>
      </c>
      <c r="K68" s="11"/>
      <c r="L68" s="11">
        <f>L66+L67</f>
        <v>-16353.701999999997</v>
      </c>
      <c r="M68" s="11">
        <f>M66+M67</f>
        <v>-98204.986000000004</v>
      </c>
      <c r="N68" s="11">
        <f>N66+N67</f>
        <v>-65731.369000000006</v>
      </c>
      <c r="O68" s="24">
        <f>O66+O67</f>
        <v>38157.806376184279</v>
      </c>
      <c r="P68" s="24">
        <f t="shared" ref="P68:R68" si="58">P66+P67</f>
        <v>-50034.523046117509</v>
      </c>
      <c r="Q68" s="24">
        <f t="shared" si="58"/>
        <v>-71241.710411448526</v>
      </c>
      <c r="R68" s="24">
        <f t="shared" si="58"/>
        <v>68580.850478580396</v>
      </c>
    </row>
    <row r="69" spans="1:18">
      <c r="D69" s="10"/>
      <c r="E69" s="10"/>
      <c r="F69" s="10"/>
      <c r="G69" s="10"/>
      <c r="H69" s="11"/>
      <c r="I69" s="11"/>
      <c r="J69" s="93"/>
      <c r="K69" s="180"/>
      <c r="L69" s="180"/>
      <c r="M69" s="180"/>
      <c r="N69" s="180"/>
      <c r="O69" s="24"/>
      <c r="P69" s="24"/>
      <c r="Q69" s="24"/>
      <c r="R69" s="24"/>
    </row>
    <row r="70" spans="1:18">
      <c r="A70" s="2" t="s">
        <v>88</v>
      </c>
      <c r="D70" s="10"/>
      <c r="E70" s="10"/>
      <c r="F70" s="10"/>
      <c r="G70" s="10"/>
      <c r="H70" s="11">
        <f>G78</f>
        <v>679037</v>
      </c>
      <c r="I70" s="11">
        <f>H78</f>
        <v>657138</v>
      </c>
      <c r="J70" s="12">
        <f>I78</f>
        <v>633154.66</v>
      </c>
      <c r="K70" s="11"/>
      <c r="L70" s="11">
        <f>H72</f>
        <v>657138</v>
      </c>
      <c r="M70" s="11">
        <f>I72</f>
        <v>633154.66</v>
      </c>
      <c r="N70" s="11">
        <f>J72</f>
        <v>642495.41800000006</v>
      </c>
      <c r="O70" s="24">
        <f>J78</f>
        <v>642495.41800000006</v>
      </c>
      <c r="P70" s="24">
        <f t="shared" ref="P70:R70" si="59">O78</f>
        <v>680653.2243761844</v>
      </c>
      <c r="Q70" s="24">
        <f t="shared" si="59"/>
        <v>630618.70133006689</v>
      </c>
      <c r="R70" s="24">
        <f t="shared" si="59"/>
        <v>559376.99091861839</v>
      </c>
    </row>
    <row r="71" spans="1:18">
      <c r="D71" s="10"/>
      <c r="E71" s="10"/>
      <c r="F71" s="10"/>
      <c r="G71" s="10"/>
      <c r="H71" s="11"/>
      <c r="I71" s="11"/>
      <c r="J71" s="93"/>
      <c r="K71" s="180"/>
      <c r="L71" s="180"/>
      <c r="M71" s="180"/>
      <c r="N71" s="180"/>
      <c r="O71" s="24"/>
      <c r="P71" s="24"/>
      <c r="Q71" s="24"/>
      <c r="R71" s="24"/>
    </row>
    <row r="72" spans="1:18">
      <c r="A72" s="9" t="s">
        <v>89</v>
      </c>
      <c r="D72" s="10"/>
      <c r="E72" s="10"/>
      <c r="F72" s="10"/>
      <c r="G72" s="23">
        <v>679037</v>
      </c>
      <c r="H72" s="24">
        <v>657138</v>
      </c>
      <c r="I72" s="24">
        <f>I70+I68</f>
        <v>633154.66</v>
      </c>
      <c r="J72" s="25">
        <f>J70+J68</f>
        <v>642495.41800000006</v>
      </c>
      <c r="K72" s="24"/>
      <c r="L72" s="24">
        <f>L70+L68</f>
        <v>640784.29799999995</v>
      </c>
      <c r="M72" s="24">
        <f>M70+M68</f>
        <v>534949.674</v>
      </c>
      <c r="N72" s="24">
        <f>N70+N68</f>
        <v>576764.04900000012</v>
      </c>
      <c r="O72" s="24">
        <f>O70+O68</f>
        <v>680653.2243761844</v>
      </c>
      <c r="P72" s="24">
        <f t="shared" ref="P72:R72" si="60">P70+P68</f>
        <v>630618.70133006689</v>
      </c>
      <c r="Q72" s="24">
        <f t="shared" si="60"/>
        <v>559376.99091861839</v>
      </c>
      <c r="R72" s="24">
        <f t="shared" si="60"/>
        <v>627957.84139719885</v>
      </c>
    </row>
    <row r="73" spans="1:18">
      <c r="H73" s="4"/>
      <c r="J73" s="93"/>
      <c r="K73" s="180"/>
      <c r="L73" s="180"/>
      <c r="M73" s="180"/>
      <c r="N73" s="180"/>
    </row>
    <row r="74" spans="1:18">
      <c r="H74" s="4"/>
      <c r="J74" s="93"/>
      <c r="K74" s="180"/>
      <c r="L74" s="180"/>
      <c r="M74" s="180"/>
      <c r="N74" s="180"/>
    </row>
    <row r="75" spans="1:18">
      <c r="A75" s="1" t="s">
        <v>90</v>
      </c>
      <c r="D75" s="3" t="str">
        <f t="shared" ref="D75:H75" si="61">D1</f>
        <v>2011 (A)</v>
      </c>
      <c r="E75" s="3" t="str">
        <f t="shared" si="61"/>
        <v>2012 (A)</v>
      </c>
      <c r="F75" s="3" t="str">
        <f t="shared" si="61"/>
        <v>2013 (A)</v>
      </c>
      <c r="G75" s="37" t="str">
        <f t="shared" si="61"/>
        <v>2014 (A)</v>
      </c>
      <c r="H75" s="38" t="str">
        <f t="shared" si="61"/>
        <v>2015 (A)</v>
      </c>
      <c r="I75" s="38" t="str">
        <f>I1</f>
        <v>2016(A)</v>
      </c>
      <c r="J75" s="39" t="str">
        <f>J1</f>
        <v>2017(A)</v>
      </c>
      <c r="K75" s="38"/>
      <c r="L75" s="932" t="s">
        <v>751</v>
      </c>
      <c r="M75" s="932" t="s">
        <v>735</v>
      </c>
      <c r="N75" s="932" t="s">
        <v>736</v>
      </c>
      <c r="O75" s="38" t="str">
        <f>O1</f>
        <v>2018 (F)</v>
      </c>
      <c r="P75" s="38" t="str">
        <f t="shared" ref="P75:R75" si="62">P1</f>
        <v>2019 (F)</v>
      </c>
      <c r="Q75" s="38" t="str">
        <f t="shared" si="62"/>
        <v>2020 (F)</v>
      </c>
      <c r="R75" s="38" t="str">
        <f t="shared" si="62"/>
        <v>2021 (F)</v>
      </c>
    </row>
    <row r="76" spans="1:18">
      <c r="H76" s="4"/>
      <c r="J76" s="93"/>
      <c r="K76" s="180"/>
      <c r="L76" s="180"/>
      <c r="M76" s="180"/>
      <c r="N76" s="180"/>
    </row>
    <row r="77" spans="1:18">
      <c r="A77" s="20" t="s">
        <v>91</v>
      </c>
      <c r="H77" s="4"/>
      <c r="J77" s="93"/>
      <c r="K77" s="180"/>
      <c r="L77" s="180"/>
      <c r="M77" s="180"/>
      <c r="N77" s="180"/>
    </row>
    <row r="78" spans="1:18">
      <c r="A78" s="40" t="s">
        <v>92</v>
      </c>
      <c r="D78" s="41">
        <v>330468</v>
      </c>
      <c r="E78" s="42">
        <v>506304.36000000004</v>
      </c>
      <c r="F78" s="42">
        <v>696312</v>
      </c>
      <c r="G78" s="43">
        <v>679037</v>
      </c>
      <c r="H78" s="44">
        <f>H72</f>
        <v>657138</v>
      </c>
      <c r="I78" s="44">
        <f>I72</f>
        <v>633154.66</v>
      </c>
      <c r="J78" s="45">
        <f>J72</f>
        <v>642495.41800000006</v>
      </c>
      <c r="K78" s="44"/>
      <c r="L78" s="44">
        <v>640784.01899999997</v>
      </c>
      <c r="M78" s="44">
        <v>534950.31499999994</v>
      </c>
      <c r="N78" s="44">
        <v>576764.68999999994</v>
      </c>
      <c r="O78" s="24">
        <f>O72</f>
        <v>680653.2243761844</v>
      </c>
      <c r="P78" s="24">
        <f t="shared" ref="P78:R78" si="63">P72</f>
        <v>630618.70133006689</v>
      </c>
      <c r="Q78" s="24">
        <f t="shared" si="63"/>
        <v>559376.99091861839</v>
      </c>
      <c r="R78" s="24">
        <f t="shared" si="63"/>
        <v>627957.84139719885</v>
      </c>
    </row>
    <row r="79" spans="1:18">
      <c r="A79" s="40" t="s">
        <v>93</v>
      </c>
      <c r="D79" s="41">
        <v>476049.8</v>
      </c>
      <c r="E79" s="41">
        <v>633048.6</v>
      </c>
      <c r="F79" s="42">
        <v>747710</v>
      </c>
      <c r="G79" s="41">
        <v>772381</v>
      </c>
      <c r="H79" s="46">
        <v>590909</v>
      </c>
      <c r="I79" s="46">
        <v>731057.875</v>
      </c>
      <c r="J79" s="45">
        <v>1230494.4569999999</v>
      </c>
      <c r="K79" s="44"/>
      <c r="L79" s="44">
        <v>425413.95699999999</v>
      </c>
      <c r="M79" s="44">
        <v>503886.61099999998</v>
      </c>
      <c r="N79" s="44">
        <v>596604.625</v>
      </c>
      <c r="O79" s="24">
        <f>O3/(365/O80)</f>
        <v>1271519.4874965013</v>
      </c>
      <c r="P79" s="24">
        <f t="shared" ref="P79:R79" si="64">P3/(365/P80)</f>
        <v>1298270.2789744791</v>
      </c>
      <c r="Q79" s="24">
        <f t="shared" si="64"/>
        <v>1325076.8770456261</v>
      </c>
      <c r="R79" s="24">
        <f t="shared" si="64"/>
        <v>1352618.963219157</v>
      </c>
    </row>
    <row r="80" spans="1:18">
      <c r="A80" s="13" t="s">
        <v>94</v>
      </c>
      <c r="D80" s="48">
        <f t="shared" ref="D80:E80" si="65">D125</f>
        <v>50.325580903651392</v>
      </c>
      <c r="E80" s="48">
        <f t="shared" si="65"/>
        <v>59.165006676788906</v>
      </c>
      <c r="F80" s="48">
        <f>F125</f>
        <v>69.051676642881048</v>
      </c>
      <c r="G80" s="48">
        <f>G125</f>
        <v>66.913732693561997</v>
      </c>
      <c r="H80" s="49">
        <f t="shared" ref="H80" si="66">H125</f>
        <v>48.120205142804366</v>
      </c>
      <c r="I80" s="49">
        <f>I125</f>
        <v>61.218730883473043</v>
      </c>
      <c r="J80" s="50">
        <f>J125</f>
        <v>95.42291465771612</v>
      </c>
      <c r="K80" s="49"/>
      <c r="L80" s="49">
        <f>L125</f>
        <v>35.082454527975891</v>
      </c>
      <c r="M80" s="49">
        <f>M125</f>
        <v>42.031161885896296</v>
      </c>
      <c r="N80" s="49">
        <f>N125</f>
        <v>45.745287281870127</v>
      </c>
      <c r="O80" s="49">
        <f>O125</f>
        <v>95.42291465771612</v>
      </c>
      <c r="P80" s="49">
        <f t="shared" ref="P80:R80" si="67">P125</f>
        <v>95.42291465771612</v>
      </c>
      <c r="Q80" s="49">
        <f t="shared" si="67"/>
        <v>95.42291465771612</v>
      </c>
      <c r="R80" s="49">
        <f t="shared" si="67"/>
        <v>95.42291465771612</v>
      </c>
    </row>
    <row r="81" spans="1:24">
      <c r="A81" s="40" t="s">
        <v>69</v>
      </c>
      <c r="D81" s="42">
        <v>380521.8</v>
      </c>
      <c r="E81" s="42">
        <v>349882.6</v>
      </c>
      <c r="F81" s="42">
        <v>312785</v>
      </c>
      <c r="G81" s="42">
        <v>369197</v>
      </c>
      <c r="H81" s="51">
        <v>424625</v>
      </c>
      <c r="I81" s="51">
        <v>387274.06099999999</v>
      </c>
      <c r="J81" s="52">
        <v>560954.85499999998</v>
      </c>
      <c r="K81" s="51"/>
      <c r="L81" s="51">
        <v>393413.46100000001</v>
      </c>
      <c r="M81" s="51">
        <v>351053.527</v>
      </c>
      <c r="N81" s="51">
        <v>570960.45499999996</v>
      </c>
      <c r="O81" s="24">
        <f>(O5+O6)/(365/O82)</f>
        <v>579345.06423570472</v>
      </c>
      <c r="P81" s="24">
        <f t="shared" ref="P81:R81" si="68">(P5+P6)/(365/P82)</f>
        <v>595475.34777641378</v>
      </c>
      <c r="Q81" s="24">
        <f t="shared" si="68"/>
        <v>606805.24556085037</v>
      </c>
      <c r="R81" s="24">
        <f t="shared" si="68"/>
        <v>620435.41836065135</v>
      </c>
    </row>
    <row r="82" spans="1:24">
      <c r="A82" s="13" t="s">
        <v>95</v>
      </c>
      <c r="D82" s="48">
        <f t="shared" ref="D82:E82" si="69">D126</f>
        <v>43.589904800827362</v>
      </c>
      <c r="E82" s="48">
        <f t="shared" si="69"/>
        <v>34.939001750928739</v>
      </c>
      <c r="F82" s="48">
        <f>F126</f>
        <v>30.875653088484142</v>
      </c>
      <c r="G82" s="48">
        <f>G126</f>
        <v>34.365995805395656</v>
      </c>
      <c r="H82" s="49">
        <f t="shared" ref="H82" si="70">H126</f>
        <v>37.242848464780224</v>
      </c>
      <c r="I82" s="49">
        <f>I126</f>
        <v>35.013583615185517</v>
      </c>
      <c r="J82" s="50">
        <f>J126</f>
        <v>46.494349481392227</v>
      </c>
      <c r="K82" s="49"/>
      <c r="L82" s="49">
        <f>L126</f>
        <v>34.935733070164154</v>
      </c>
      <c r="M82" s="49">
        <f>M126</f>
        <v>31.637884949885962</v>
      </c>
      <c r="N82" s="49">
        <f>N126</f>
        <v>46.670833029366271</v>
      </c>
      <c r="O82" s="49">
        <f>O126</f>
        <v>46.494349481392227</v>
      </c>
      <c r="P82" s="49">
        <f t="shared" ref="P82:R82" si="71">P126</f>
        <v>46.494349481392227</v>
      </c>
      <c r="Q82" s="49">
        <f t="shared" si="71"/>
        <v>46.494349481392227</v>
      </c>
      <c r="R82" s="49">
        <f t="shared" si="71"/>
        <v>46.494349481392227</v>
      </c>
    </row>
    <row r="83" spans="1:24">
      <c r="A83" s="40" t="s">
        <v>96</v>
      </c>
      <c r="D83" s="41">
        <f>1236926.1-D78-D79-D81</f>
        <v>49886.500000000116</v>
      </c>
      <c r="E83" s="41">
        <f>1536206-E78-E79-E81</f>
        <v>46970.439999999944</v>
      </c>
      <c r="F83" s="41">
        <f>1808581-F78-F79-F81</f>
        <v>51774</v>
      </c>
      <c r="G83" s="41">
        <f>1932421-G78-G79-G81</f>
        <v>111806</v>
      </c>
      <c r="H83" s="46">
        <f>H84-H78-H79-H81</f>
        <v>115547</v>
      </c>
      <c r="I83" s="46">
        <f>I84-I78-I79-I81</f>
        <v>179714.78300000005</v>
      </c>
      <c r="J83" s="47">
        <f>J84-J78-J79-J81</f>
        <v>312191.3870000001</v>
      </c>
      <c r="K83" s="46"/>
      <c r="L83" s="46">
        <f>L84-L78-L79-L81</f>
        <v>129379.55699999997</v>
      </c>
      <c r="M83" s="46">
        <f>M84-M78-M79-M81</f>
        <v>213680.76900000009</v>
      </c>
      <c r="N83" s="46">
        <f>N84-N78-N79-N81</f>
        <v>305599.15600000008</v>
      </c>
      <c r="O83" s="94">
        <f>J83-O175</f>
        <v>265627.3870000001</v>
      </c>
      <c r="P83" s="94">
        <f>O83-P176</f>
        <v>219063.3870000001</v>
      </c>
      <c r="Q83" s="94">
        <f t="shared" ref="Q83:R83" si="72">P83</f>
        <v>219063.3870000001</v>
      </c>
      <c r="R83" s="94">
        <f t="shared" si="72"/>
        <v>219063.3870000001</v>
      </c>
    </row>
    <row r="84" spans="1:24">
      <c r="A84" s="20" t="s">
        <v>97</v>
      </c>
      <c r="D84" s="53">
        <f>D78+D79+D81+D83</f>
        <v>1236926.1000000001</v>
      </c>
      <c r="E84" s="53">
        <f t="shared" ref="E84:F84" si="73">E78+E79+E81+E83</f>
        <v>1536206</v>
      </c>
      <c r="F84" s="53">
        <f t="shared" si="73"/>
        <v>1808581</v>
      </c>
      <c r="G84" s="53">
        <f>G78+G79+G81+G83</f>
        <v>1932421</v>
      </c>
      <c r="H84" s="53">
        <v>1788219</v>
      </c>
      <c r="I84" s="53">
        <v>1931201.379</v>
      </c>
      <c r="J84" s="54">
        <v>2746136.1170000001</v>
      </c>
      <c r="K84" s="53"/>
      <c r="L84" s="53">
        <v>1588990.9939999999</v>
      </c>
      <c r="M84" s="53">
        <v>1603571.2220000001</v>
      </c>
      <c r="N84" s="53">
        <v>2049928.926</v>
      </c>
      <c r="O84" s="53">
        <f>O78+O79+O81+O83</f>
        <v>2797145.1631083908</v>
      </c>
      <c r="P84" s="53">
        <f t="shared" ref="P84:R84" si="74">P78+P79+P81+P83</f>
        <v>2743427.7150809597</v>
      </c>
      <c r="Q84" s="53">
        <f t="shared" si="74"/>
        <v>2710322.500525095</v>
      </c>
      <c r="R84" s="53">
        <f t="shared" si="74"/>
        <v>2820075.6099770074</v>
      </c>
    </row>
    <row r="85" spans="1:24">
      <c r="D85" s="41"/>
      <c r="E85" s="41"/>
      <c r="F85" s="41"/>
      <c r="G85" s="41"/>
      <c r="H85" s="46"/>
      <c r="I85" s="46"/>
      <c r="J85" s="93"/>
      <c r="K85" s="180"/>
      <c r="L85" s="180"/>
      <c r="M85" s="180"/>
      <c r="N85" s="180"/>
    </row>
    <row r="86" spans="1:24">
      <c r="A86" s="40" t="s">
        <v>98</v>
      </c>
      <c r="D86" s="41">
        <f>40261.2+46765.9+4790+4046.8</f>
        <v>95863.900000000009</v>
      </c>
      <c r="E86" s="41">
        <f>41958.9+12498.7+179+8591.98</f>
        <v>63228.58</v>
      </c>
      <c r="F86" s="41">
        <f>11854.7+10843.4+46282.999</f>
        <v>68981.099000000002</v>
      </c>
      <c r="G86" s="41">
        <v>142538</v>
      </c>
      <c r="H86" s="46">
        <f>H92-H84-SUM(H89:H91)</f>
        <v>156745</v>
      </c>
      <c r="I86" s="46">
        <v>174994</v>
      </c>
      <c r="J86" s="45">
        <v>205433.022</v>
      </c>
      <c r="K86" s="44"/>
      <c r="L86" s="44">
        <v>98265.543000000005</v>
      </c>
      <c r="M86" s="44">
        <v>181336.6</v>
      </c>
      <c r="N86" s="44">
        <v>151405.489</v>
      </c>
      <c r="O86" s="11">
        <f>J86+O142+O148</f>
        <v>214114.67540625</v>
      </c>
      <c r="P86" s="11">
        <f>O86+P142+P148</f>
        <v>222437.64270140624</v>
      </c>
      <c r="Q86" s="11">
        <f>P86+Q142+Q148</f>
        <v>232263.46941403125</v>
      </c>
      <c r="R86" s="11">
        <f>Q86+R142+R148</f>
        <v>243079.77727903126</v>
      </c>
      <c r="X86" s="185" t="s">
        <v>204</v>
      </c>
    </row>
    <row r="87" spans="1:24">
      <c r="A87" s="40" t="s">
        <v>99</v>
      </c>
      <c r="D87" s="41"/>
      <c r="E87" s="41"/>
      <c r="F87" s="41">
        <v>627693.848</v>
      </c>
      <c r="G87" s="41">
        <v>653182</v>
      </c>
      <c r="H87" s="46">
        <v>668572</v>
      </c>
      <c r="I87" s="46">
        <v>650448</v>
      </c>
      <c r="J87" s="45">
        <v>615086.60900000005</v>
      </c>
      <c r="K87" s="44"/>
      <c r="L87" s="44">
        <v>665170.66599999997</v>
      </c>
      <c r="M87" s="44">
        <v>624779.09299999999</v>
      </c>
      <c r="N87" s="44">
        <v>624971.37800000003</v>
      </c>
      <c r="O87" s="11">
        <f>J87+CAPEX!Q3</f>
        <v>773792.97605267842</v>
      </c>
      <c r="P87" s="11">
        <f>O87+CAPEX!R3</f>
        <v>976298.08639957465</v>
      </c>
      <c r="Q87" s="11">
        <f>P87+CAPEX!S3</f>
        <v>1154990.8781391066</v>
      </c>
      <c r="R87" s="11">
        <f>Q87+CAPEX!T3</f>
        <v>1217999.158480996</v>
      </c>
    </row>
    <row r="88" spans="1:24">
      <c r="A88" s="13" t="s">
        <v>100</v>
      </c>
      <c r="D88" s="41"/>
      <c r="E88" s="41"/>
      <c r="F88" s="41">
        <f>247676.72+455.187</f>
        <v>248131.90700000001</v>
      </c>
      <c r="G88" s="41">
        <v>294313</v>
      </c>
      <c r="H88" s="46">
        <v>331833</v>
      </c>
      <c r="I88" s="46">
        <v>341246</v>
      </c>
      <c r="J88" s="45">
        <v>336882.60399999999</v>
      </c>
      <c r="K88" s="44"/>
      <c r="L88" s="44">
        <v>338596.20799999998</v>
      </c>
      <c r="M88" s="44">
        <v>334702.24200000003</v>
      </c>
      <c r="N88" s="44">
        <v>346528.90500000003</v>
      </c>
      <c r="O88" s="11">
        <f>J88+CAPEX!Q46</f>
        <v>394955.96935368376</v>
      </c>
      <c r="P88" s="11">
        <f>O88+CAPEX!R46</f>
        <v>485213.87312662875</v>
      </c>
      <c r="Q88" s="11">
        <f>P88+CAPEX!S46</f>
        <v>605253.90885616234</v>
      </c>
      <c r="R88" s="11">
        <f>Q88+CAPEX!T46</f>
        <v>735795.32464267756</v>
      </c>
    </row>
    <row r="89" spans="1:24">
      <c r="A89" s="40" t="s">
        <v>101</v>
      </c>
      <c r="D89" s="41">
        <v>355373.5</v>
      </c>
      <c r="E89" s="41">
        <v>405155.1</v>
      </c>
      <c r="F89" s="41">
        <f>F87-F88</f>
        <v>379561.94099999999</v>
      </c>
      <c r="G89" s="41">
        <f>G87-G88</f>
        <v>358869</v>
      </c>
      <c r="H89" s="46">
        <v>336739</v>
      </c>
      <c r="I89" s="46">
        <f>I87-I88</f>
        <v>309202</v>
      </c>
      <c r="J89" s="47">
        <f>J87-J88</f>
        <v>278204.00500000006</v>
      </c>
      <c r="K89" s="46"/>
      <c r="L89" s="46">
        <f>L87-L88</f>
        <v>326574.45799999998</v>
      </c>
      <c r="M89" s="46">
        <f>M87-M88</f>
        <v>290076.85099999997</v>
      </c>
      <c r="N89" s="46">
        <f>N87-N88</f>
        <v>278442.473</v>
      </c>
      <c r="O89" s="11">
        <f>O87-O88</f>
        <v>378837.00669899466</v>
      </c>
      <c r="P89" s="11">
        <f t="shared" ref="P89:R89" si="75">P87-P88</f>
        <v>491084.2132729459</v>
      </c>
      <c r="Q89" s="11">
        <f t="shared" si="75"/>
        <v>549736.96928294422</v>
      </c>
      <c r="R89" s="11">
        <f t="shared" si="75"/>
        <v>482203.83383831847</v>
      </c>
      <c r="X89" s="185" t="s">
        <v>205</v>
      </c>
    </row>
    <row r="90" spans="1:24">
      <c r="A90" s="40" t="s">
        <v>102</v>
      </c>
      <c r="D90" s="41">
        <v>695</v>
      </c>
      <c r="E90" s="41">
        <v>3954</v>
      </c>
      <c r="F90" s="41">
        <v>12815.28</v>
      </c>
      <c r="G90" s="41">
        <v>4440</v>
      </c>
      <c r="H90" s="46">
        <v>3254</v>
      </c>
      <c r="I90" s="46">
        <v>10532.956</v>
      </c>
      <c r="J90" s="45">
        <v>9552.4439999999995</v>
      </c>
      <c r="K90" s="44"/>
      <c r="L90" s="44">
        <v>3090.4450000000002</v>
      </c>
      <c r="M90" s="44">
        <v>10401.034</v>
      </c>
      <c r="N90" s="44">
        <v>9200.9349999999995</v>
      </c>
      <c r="O90" s="11">
        <f>J90-CAPEX!Q48</f>
        <v>8684.0399999999991</v>
      </c>
      <c r="P90" s="11">
        <f>O90-CAPEX!R48</f>
        <v>7815.6359999999986</v>
      </c>
      <c r="Q90" s="11">
        <f>P90-CAPEX!S48</f>
        <v>6947.2319999999982</v>
      </c>
      <c r="R90" s="11">
        <f>Q90-CAPEX!T48</f>
        <v>6078.8279999999977</v>
      </c>
      <c r="X90" s="185" t="s">
        <v>206</v>
      </c>
    </row>
    <row r="91" spans="1:24">
      <c r="A91" s="40" t="s">
        <v>103</v>
      </c>
      <c r="D91" s="41">
        <f>1730311.4-1688859</f>
        <v>41452.399999999907</v>
      </c>
      <c r="E91" s="41">
        <f>2050238-2008544</f>
        <v>41694</v>
      </c>
      <c r="F91" s="41">
        <f>2312461.2-2269940</f>
        <v>42521.200000000186</v>
      </c>
      <c r="G91" s="41">
        <v>24447</v>
      </c>
      <c r="H91" s="46">
        <v>23343</v>
      </c>
      <c r="I91" s="46">
        <v>166113</v>
      </c>
      <c r="J91" s="45">
        <v>167890.755</v>
      </c>
      <c r="K91" s="44"/>
      <c r="L91" s="44">
        <v>111829.204</v>
      </c>
      <c r="M91" s="44">
        <v>246956.416</v>
      </c>
      <c r="N91" s="44">
        <v>233256.18900000001</v>
      </c>
      <c r="O91" s="11">
        <f>J91</f>
        <v>167890.755</v>
      </c>
      <c r="P91" s="11">
        <f>O91</f>
        <v>167890.755</v>
      </c>
      <c r="Q91" s="11">
        <f t="shared" ref="Q91:R91" si="76">P91</f>
        <v>167890.755</v>
      </c>
      <c r="R91" s="11">
        <f t="shared" si="76"/>
        <v>167890.755</v>
      </c>
    </row>
    <row r="92" spans="1:24" ht="16.5" thickBot="1">
      <c r="A92" s="55" t="s">
        <v>104</v>
      </c>
      <c r="B92" s="22"/>
      <c r="C92" s="22"/>
      <c r="D92" s="56">
        <f t="shared" ref="D92:E92" si="77">D86+D84+D89+D90+D91</f>
        <v>1730310.9</v>
      </c>
      <c r="E92" s="56">
        <f t="shared" si="77"/>
        <v>2050237.6800000002</v>
      </c>
      <c r="F92" s="56">
        <f>F86+F84+F89+F90+F91</f>
        <v>2312460.52</v>
      </c>
      <c r="G92" s="56">
        <f>G86+G84+G89+G90+G91</f>
        <v>2462715</v>
      </c>
      <c r="H92" s="56">
        <v>2308300</v>
      </c>
      <c r="I92" s="56">
        <f>I86+I84+I89+I90+I91</f>
        <v>2592043.3349999995</v>
      </c>
      <c r="J92" s="57">
        <f>J86+J84+J89+J90+J91</f>
        <v>3407216.3429999999</v>
      </c>
      <c r="K92" s="56"/>
      <c r="L92" s="56">
        <f>L86+L84+L89+L90+L91</f>
        <v>2128750.6440000003</v>
      </c>
      <c r="M92" s="56">
        <f>M86+M84+M89+M90+M91</f>
        <v>2332342.1230000001</v>
      </c>
      <c r="N92" s="56">
        <f>N86+N84+N89+N90+N91</f>
        <v>2722234.0120000001</v>
      </c>
      <c r="O92" s="190">
        <f>O84+O86+SUM(O89:O91)</f>
        <v>3566671.6402136358</v>
      </c>
      <c r="P92" s="190">
        <f t="shared" ref="P92:R92" si="78">P84+P86+SUM(P89:P91)</f>
        <v>3632655.9620553115</v>
      </c>
      <c r="Q92" s="190">
        <f t="shared" si="78"/>
        <v>3667160.9262220701</v>
      </c>
      <c r="R92" s="190">
        <f t="shared" si="78"/>
        <v>3719328.8040943574</v>
      </c>
    </row>
    <row r="93" spans="1:24" ht="16.5" thickTop="1">
      <c r="A93" s="40"/>
      <c r="D93" s="41"/>
      <c r="E93" s="41"/>
      <c r="F93" s="41"/>
      <c r="G93" s="41"/>
      <c r="H93" s="46"/>
      <c r="I93" s="46"/>
      <c r="J93" s="93"/>
      <c r="K93" s="180"/>
      <c r="L93" s="180"/>
      <c r="M93" s="180"/>
      <c r="N93" s="180"/>
    </row>
    <row r="94" spans="1:24">
      <c r="A94" s="20" t="s">
        <v>105</v>
      </c>
      <c r="D94" s="41" t="str">
        <f>D1</f>
        <v>2011 (A)</v>
      </c>
      <c r="E94" s="41" t="str">
        <f t="shared" ref="E94:H94" si="79">E1</f>
        <v>2012 (A)</v>
      </c>
      <c r="F94" s="41" t="str">
        <f t="shared" si="79"/>
        <v>2013 (A)</v>
      </c>
      <c r="G94" s="58" t="str">
        <f t="shared" si="79"/>
        <v>2014 (A)</v>
      </c>
      <c r="H94" s="59" t="str">
        <f t="shared" si="79"/>
        <v>2015 (A)</v>
      </c>
      <c r="I94" s="59" t="str">
        <f>I1</f>
        <v>2016(A)</v>
      </c>
      <c r="J94" s="60" t="str">
        <f>J1</f>
        <v>2017(A)</v>
      </c>
      <c r="K94" s="59"/>
      <c r="L94" s="932" t="s">
        <v>751</v>
      </c>
      <c r="M94" s="932" t="s">
        <v>735</v>
      </c>
      <c r="N94" s="932" t="s">
        <v>736</v>
      </c>
      <c r="O94" s="59" t="str">
        <f>O1</f>
        <v>2018 (F)</v>
      </c>
      <c r="P94" s="59" t="str">
        <f t="shared" ref="P94:R94" si="80">P1</f>
        <v>2019 (F)</v>
      </c>
      <c r="Q94" s="59" t="str">
        <f t="shared" si="80"/>
        <v>2020 (F)</v>
      </c>
      <c r="R94" s="59" t="str">
        <f t="shared" si="80"/>
        <v>2021 (F)</v>
      </c>
    </row>
    <row r="95" spans="1:24">
      <c r="A95" s="40" t="s">
        <v>106</v>
      </c>
      <c r="D95" s="10">
        <f>519725+28769</f>
        <v>548494</v>
      </c>
      <c r="E95" s="10">
        <f>602756+35615</f>
        <v>638371</v>
      </c>
      <c r="F95" s="10">
        <f>682942+29762</f>
        <v>712704</v>
      </c>
      <c r="G95" s="10">
        <f>694315+41015</f>
        <v>735330</v>
      </c>
      <c r="H95" s="11">
        <f>613195.241+30862.535</f>
        <v>644057.77600000007</v>
      </c>
      <c r="I95" s="11">
        <v>709663.18599999999</v>
      </c>
      <c r="J95" s="12">
        <v>1216484.763</v>
      </c>
      <c r="K95" s="11"/>
      <c r="L95" s="11">
        <v>481409.05099999998</v>
      </c>
      <c r="M95" s="11">
        <v>491249.255</v>
      </c>
      <c r="N95" s="11">
        <v>590748.70499999996</v>
      </c>
      <c r="O95" s="11">
        <f>(O5+O6)/(365/O96)</f>
        <v>1256365.7072938443</v>
      </c>
      <c r="P95" s="11">
        <f t="shared" ref="P95:R95" si="81">(P5+P6)/(365/P96)</f>
        <v>1291345.7845233076</v>
      </c>
      <c r="Q95" s="11">
        <f t="shared" si="81"/>
        <v>1315915.7617652633</v>
      </c>
      <c r="R95" s="11">
        <f t="shared" si="81"/>
        <v>1345474.1074685284</v>
      </c>
      <c r="S95" s="95"/>
    </row>
    <row r="96" spans="1:24">
      <c r="A96" s="13" t="s">
        <v>107</v>
      </c>
      <c r="D96" s="61">
        <f>D127</f>
        <v>62.831620274646561</v>
      </c>
      <c r="E96" s="61">
        <f t="shared" ref="E96:F96" si="82">E127</f>
        <v>63.747226889082597</v>
      </c>
      <c r="F96" s="61">
        <f t="shared" si="82"/>
        <v>70.352483203398506</v>
      </c>
      <c r="G96" s="61">
        <f>G127</f>
        <v>68.446785037748384</v>
      </c>
      <c r="H96" s="62">
        <f t="shared" ref="H96" si="83">H127</f>
        <v>56.488775164277584</v>
      </c>
      <c r="I96" s="62">
        <f>I127</f>
        <v>64.160897420986714</v>
      </c>
      <c r="J96" s="63">
        <f>J127</f>
        <v>100.82748585839514</v>
      </c>
      <c r="K96" s="62"/>
      <c r="L96" s="62">
        <f>L127</f>
        <v>42.749879631843712</v>
      </c>
      <c r="M96" s="62">
        <f>M127</f>
        <v>44.272699790898812</v>
      </c>
      <c r="N96" s="62">
        <f>N127</f>
        <v>48.288342794895229</v>
      </c>
      <c r="O96" s="62">
        <f>O127</f>
        <v>100.82748585839514</v>
      </c>
      <c r="P96" s="62">
        <f t="shared" ref="P96:R96" si="84">P127</f>
        <v>100.82748585839514</v>
      </c>
      <c r="Q96" s="62">
        <f t="shared" si="84"/>
        <v>100.82748585839514</v>
      </c>
      <c r="R96" s="62">
        <f t="shared" si="84"/>
        <v>100.82748585839514</v>
      </c>
    </row>
    <row r="97" spans="1:24">
      <c r="A97" s="64" t="s">
        <v>108</v>
      </c>
      <c r="B97" s="22"/>
      <c r="C97" s="22"/>
      <c r="D97" s="23">
        <f>260523+7989</f>
        <v>268512</v>
      </c>
      <c r="E97" s="23">
        <f>297572+7992</f>
        <v>305564</v>
      </c>
      <c r="F97" s="23">
        <f>366234+19983</f>
        <v>386217</v>
      </c>
      <c r="G97" s="23">
        <v>226501</v>
      </c>
      <c r="H97" s="24">
        <f>70233.209+7000</f>
        <v>77233.209000000003</v>
      </c>
      <c r="I97" s="24">
        <v>187462.98699999999</v>
      </c>
      <c r="J97" s="12">
        <f>418835.146+10960.269</f>
        <v>429795.41500000004</v>
      </c>
      <c r="K97" s="11"/>
      <c r="L97" s="11">
        <f>78832.251+13979.375</f>
        <v>92811.626000000004</v>
      </c>
      <c r="M97" s="11">
        <f>121126.122+4198.604</f>
        <v>125324.72600000001</v>
      </c>
      <c r="N97" s="11">
        <f>392196.767+7313.452</f>
        <v>399510.21899999998</v>
      </c>
      <c r="O97" s="24">
        <f>O135</f>
        <v>429795.20600000001</v>
      </c>
      <c r="P97" s="24">
        <f t="shared" ref="P97:R97" si="85">P135</f>
        <v>429795.20600000001</v>
      </c>
      <c r="Q97" s="24">
        <f t="shared" si="85"/>
        <v>429795.20600000001</v>
      </c>
      <c r="R97" s="24">
        <f t="shared" si="85"/>
        <v>429795.20600000001</v>
      </c>
    </row>
    <row r="98" spans="1:24">
      <c r="A98" s="268" t="s">
        <v>546</v>
      </c>
      <c r="D98" s="10">
        <v>3000</v>
      </c>
      <c r="E98" s="10">
        <v>50227</v>
      </c>
      <c r="F98" s="10">
        <v>14225.887999999999</v>
      </c>
      <c r="G98" s="10">
        <v>28273</v>
      </c>
      <c r="H98" s="11">
        <v>45670.13</v>
      </c>
      <c r="I98" s="11">
        <v>60762.957999999999</v>
      </c>
      <c r="J98" s="25">
        <f>36992.288+7830.55</f>
        <v>44822.838000000003</v>
      </c>
      <c r="K98" s="24"/>
      <c r="L98" s="24">
        <f>28950+16245.885</f>
        <v>45195.885000000002</v>
      </c>
      <c r="M98" s="24">
        <f>66280.084+143</f>
        <v>66423.084000000003</v>
      </c>
      <c r="N98" s="24">
        <f>19000+4053.954</f>
        <v>23053.954000000002</v>
      </c>
      <c r="O98" s="11">
        <f>'Debt Profile'!B165+'Debt Profile'!B168</f>
        <v>11673.315589654701</v>
      </c>
      <c r="P98" s="11">
        <f>'Debt Profile'!C165+'Debt Profile'!C168</f>
        <v>69467.095589654695</v>
      </c>
      <c r="Q98" s="11">
        <f>'Debt Profile'!D165+'Debt Profile'!D168</f>
        <v>42635.915589654709</v>
      </c>
      <c r="R98" s="11">
        <f>'Debt Profile'!E165+'Debt Profile'!E168</f>
        <v>23841.347565280103</v>
      </c>
    </row>
    <row r="99" spans="1:24">
      <c r="A99" s="40" t="s">
        <v>109</v>
      </c>
      <c r="D99" s="10">
        <f>991716-548494-268512-3000</f>
        <v>171710</v>
      </c>
      <c r="E99" s="10">
        <f>1252368-638371-305564-50227</f>
        <v>258206</v>
      </c>
      <c r="F99" s="10">
        <f>1358961-712704-386217-14226</f>
        <v>245814</v>
      </c>
      <c r="G99" s="10">
        <f>1302602-735330-226501-28273</f>
        <v>312498</v>
      </c>
      <c r="H99" s="11">
        <f>H100-H95-H97-H98</f>
        <v>289161.08599999978</v>
      </c>
      <c r="I99" s="11">
        <f>I100-I95-I97-I98</f>
        <v>294756.09999999998</v>
      </c>
      <c r="J99" s="12">
        <f>J100-J95-J97-J98</f>
        <v>334399.25099999993</v>
      </c>
      <c r="K99" s="11"/>
      <c r="L99" s="11">
        <f>L100-L95-L97-L98</f>
        <v>251281.09300000005</v>
      </c>
      <c r="M99" s="11">
        <f>M100-M95-M97-M98</f>
        <v>274175.245</v>
      </c>
      <c r="N99" s="11">
        <f>N100-N95-N97-N98</f>
        <v>291228.77799999999</v>
      </c>
      <c r="O99" s="11">
        <f>J99</f>
        <v>334399.25099999993</v>
      </c>
      <c r="P99" s="11">
        <f t="shared" ref="P99:R99" si="86">O99</f>
        <v>334399.25099999993</v>
      </c>
      <c r="Q99" s="11">
        <f t="shared" si="86"/>
        <v>334399.25099999993</v>
      </c>
      <c r="R99" s="11">
        <f t="shared" si="86"/>
        <v>334399.25099999993</v>
      </c>
    </row>
    <row r="100" spans="1:24">
      <c r="A100" s="20" t="s">
        <v>110</v>
      </c>
      <c r="D100" s="17">
        <f t="shared" ref="D100:E100" si="87">D95+D97+D98+D99</f>
        <v>991716</v>
      </c>
      <c r="E100" s="17">
        <f t="shared" si="87"/>
        <v>1252368</v>
      </c>
      <c r="F100" s="17">
        <f>F95+F97+F98+F99</f>
        <v>1358960.888</v>
      </c>
      <c r="G100" s="17">
        <f>G95+G97+G98+G99</f>
        <v>1302602</v>
      </c>
      <c r="H100" s="17">
        <v>1056122.2009999999</v>
      </c>
      <c r="I100" s="17">
        <v>1252645.2309999999</v>
      </c>
      <c r="J100" s="186">
        <v>2025502.267</v>
      </c>
      <c r="K100" s="931"/>
      <c r="L100" s="931">
        <v>870697.65500000003</v>
      </c>
      <c r="M100" s="931">
        <v>957172.31</v>
      </c>
      <c r="N100" s="931">
        <v>1304541.656</v>
      </c>
      <c r="O100" s="17">
        <f>O95+SUM(O97:O99)</f>
        <v>2032233.479883499</v>
      </c>
      <c r="P100" s="17">
        <f t="shared" ref="P100:R100" si="88">P95+SUM(P97:P99)</f>
        <v>2125007.3371129623</v>
      </c>
      <c r="Q100" s="17">
        <f t="shared" si="88"/>
        <v>2122746.1343549178</v>
      </c>
      <c r="R100" s="17">
        <f t="shared" si="88"/>
        <v>2133509.9120338084</v>
      </c>
    </row>
    <row r="101" spans="1:24">
      <c r="A101" s="40"/>
      <c r="D101" s="41"/>
      <c r="E101" s="41"/>
      <c r="F101" s="41"/>
      <c r="G101" s="41"/>
      <c r="H101" s="46"/>
      <c r="I101" s="46"/>
      <c r="J101" s="93"/>
      <c r="K101" s="180"/>
      <c r="L101" s="180"/>
      <c r="M101" s="180"/>
      <c r="N101" s="180"/>
    </row>
    <row r="102" spans="1:24">
      <c r="A102" s="268" t="s">
        <v>111</v>
      </c>
      <c r="D102" s="41">
        <v>53600</v>
      </c>
      <c r="E102" s="41">
        <v>30708</v>
      </c>
      <c r="F102" s="41">
        <v>35108.699999999997</v>
      </c>
      <c r="G102" s="41">
        <v>24198</v>
      </c>
      <c r="H102" s="46">
        <v>10221</v>
      </c>
      <c r="I102" s="46">
        <v>24929.793000000001</v>
      </c>
      <c r="J102" s="25">
        <v>19984.817999999999</v>
      </c>
      <c r="K102" s="24"/>
      <c r="L102" s="24">
        <v>8420.4110000000001</v>
      </c>
      <c r="M102" s="24">
        <v>19127.251</v>
      </c>
      <c r="N102" s="24">
        <v>20321.583999999999</v>
      </c>
      <c r="O102" s="94">
        <f>'Debt Profile'!B164</f>
        <v>19728.163410345296</v>
      </c>
      <c r="P102" s="94">
        <f>'Debt Profile'!C164</f>
        <v>4262.8178206905941</v>
      </c>
      <c r="Q102" s="94">
        <f>'Debt Profile'!D164</f>
        <v>3589.5022310358927</v>
      </c>
      <c r="R102" s="94">
        <f>'Debt Profile'!E164</f>
        <v>2963.1546657557901</v>
      </c>
    </row>
    <row r="103" spans="1:24">
      <c r="A103" s="268" t="s">
        <v>112</v>
      </c>
      <c r="D103" s="41">
        <v>62379</v>
      </c>
      <c r="E103" s="41">
        <v>74980</v>
      </c>
      <c r="F103" s="41">
        <v>97054.8</v>
      </c>
      <c r="G103" s="41">
        <v>134644</v>
      </c>
      <c r="H103" s="46">
        <v>161789</v>
      </c>
      <c r="I103" s="46">
        <v>153302.845</v>
      </c>
      <c r="J103" s="25">
        <v>168495.18900000001</v>
      </c>
      <c r="K103" s="24"/>
      <c r="L103" s="24">
        <v>150942.23300000001</v>
      </c>
      <c r="M103" s="24">
        <v>132714.375</v>
      </c>
      <c r="N103" s="24">
        <v>168600.17600000001</v>
      </c>
      <c r="O103" s="94">
        <f>'Debt Profile'!B167</f>
        <v>155668.5</v>
      </c>
      <c r="P103" s="94">
        <f>'Debt Profile'!C167</f>
        <v>101666.75</v>
      </c>
      <c r="Q103" s="94">
        <f>'Debt Profile'!D167</f>
        <v>59704.149999999994</v>
      </c>
      <c r="R103" s="94">
        <f>'Debt Profile'!E167</f>
        <v>36489.149999999994</v>
      </c>
    </row>
    <row r="104" spans="1:24">
      <c r="A104" s="40" t="s">
        <v>113</v>
      </c>
      <c r="D104" s="41">
        <f>123576-D102-D103</f>
        <v>7597</v>
      </c>
      <c r="E104" s="41">
        <f>116956-E102-E103</f>
        <v>11268</v>
      </c>
      <c r="F104" s="41">
        <f>147576-F102-F103</f>
        <v>15412.5</v>
      </c>
      <c r="G104" s="41">
        <v>16593</v>
      </c>
      <c r="H104" s="46">
        <f>9581+10196</f>
        <v>19777</v>
      </c>
      <c r="I104" s="46">
        <f>18607.586+8768.887</f>
        <v>27376.472999999998</v>
      </c>
      <c r="J104" s="25">
        <v>21441.883999999998</v>
      </c>
      <c r="K104" s="24"/>
      <c r="L104" s="24">
        <f>9242.132+10217.734</f>
        <v>19459.866000000002</v>
      </c>
      <c r="M104" s="24">
        <f>31268.938+8553.919</f>
        <v>39822.856999999996</v>
      </c>
      <c r="N104" s="24">
        <f>393.308+14393.226+9670.244</f>
        <v>24456.777999999998</v>
      </c>
      <c r="O104" s="11">
        <f>J104</f>
        <v>21441.883999999998</v>
      </c>
      <c r="P104" s="11">
        <f t="shared" ref="P104:R104" si="89">O104</f>
        <v>21441.883999999998</v>
      </c>
      <c r="Q104" s="11">
        <f t="shared" si="89"/>
        <v>21441.883999999998</v>
      </c>
      <c r="R104" s="11">
        <f t="shared" si="89"/>
        <v>21441.883999999998</v>
      </c>
    </row>
    <row r="105" spans="1:24">
      <c r="A105" s="20" t="s">
        <v>114</v>
      </c>
      <c r="D105" s="53">
        <f>D100+SUM(D102:D104)</f>
        <v>1115292</v>
      </c>
      <c r="E105" s="53">
        <f t="shared" ref="E105:G105" si="90">E100+SUM(E102:E104)</f>
        <v>1369324</v>
      </c>
      <c r="F105" s="53">
        <f t="shared" si="90"/>
        <v>1506536.888</v>
      </c>
      <c r="G105" s="53">
        <f t="shared" si="90"/>
        <v>1478037</v>
      </c>
      <c r="H105" s="53">
        <f>H100+SUM(H102:H104)</f>
        <v>1247909.2009999999</v>
      </c>
      <c r="I105" s="53">
        <f>I100+SUM(I102:I104)</f>
        <v>1458254.3419999999</v>
      </c>
      <c r="J105" s="54">
        <f>J100+SUM(J102:J104)</f>
        <v>2235424.1579999998</v>
      </c>
      <c r="K105" s="53"/>
      <c r="L105" s="53">
        <f>L100+SUM(L102:L104)</f>
        <v>1049520.165</v>
      </c>
      <c r="M105" s="53">
        <f>M100+SUM(M102:M104)</f>
        <v>1148836.7930000001</v>
      </c>
      <c r="N105" s="53">
        <f>N100+SUM(N102:N104)</f>
        <v>1517920.1939999999</v>
      </c>
      <c r="O105" s="17">
        <f>O100+SUM(O102:O104)</f>
        <v>2229072.0272938441</v>
      </c>
      <c r="P105" s="17">
        <f t="shared" ref="P105:R105" si="91">P100+SUM(P102:P104)</f>
        <v>2252378.7889336529</v>
      </c>
      <c r="Q105" s="17">
        <f t="shared" si="91"/>
        <v>2207481.6705859536</v>
      </c>
      <c r="R105" s="17">
        <f t="shared" si="91"/>
        <v>2194404.100699564</v>
      </c>
    </row>
    <row r="106" spans="1:24">
      <c r="A106" s="40"/>
      <c r="D106" s="41"/>
      <c r="E106" s="41"/>
      <c r="F106" s="41"/>
      <c r="G106" s="41"/>
      <c r="H106" s="46"/>
      <c r="I106" s="46"/>
      <c r="J106" s="93"/>
      <c r="K106" s="180"/>
      <c r="L106" s="180"/>
      <c r="M106" s="180"/>
      <c r="N106" s="180"/>
    </row>
    <row r="107" spans="1:24">
      <c r="A107" s="20" t="s">
        <v>115</v>
      </c>
      <c r="D107" s="41"/>
      <c r="E107" s="41"/>
      <c r="F107" s="41"/>
      <c r="G107" s="41"/>
      <c r="H107" s="46"/>
      <c r="I107" s="46"/>
      <c r="J107" s="93"/>
      <c r="K107" s="180"/>
      <c r="L107" s="180"/>
      <c r="M107" s="180"/>
      <c r="N107" s="180"/>
    </row>
    <row r="108" spans="1:24">
      <c r="A108" s="40" t="s">
        <v>116</v>
      </c>
      <c r="D108" s="41">
        <v>106891</v>
      </c>
      <c r="E108" s="41">
        <v>118359</v>
      </c>
      <c r="F108" s="41">
        <v>131287</v>
      </c>
      <c r="G108" s="41">
        <v>147934</v>
      </c>
      <c r="H108" s="46">
        <v>156382.88099999999</v>
      </c>
      <c r="I108" s="46">
        <v>173287.383</v>
      </c>
      <c r="J108" s="47">
        <v>173287.383</v>
      </c>
      <c r="K108" s="46"/>
      <c r="L108" s="46">
        <v>156382.88099999999</v>
      </c>
      <c r="M108" s="46">
        <v>173287.383</v>
      </c>
      <c r="N108" s="46">
        <v>173287.383</v>
      </c>
      <c r="O108" s="46">
        <f>J108+O190*10%+O59</f>
        <v>150771.72663867101</v>
      </c>
      <c r="P108" s="46">
        <f t="shared" ref="P108:R108" si="92">O108</f>
        <v>150771.72663867101</v>
      </c>
      <c r="Q108" s="46">
        <f t="shared" si="92"/>
        <v>150771.72663867101</v>
      </c>
      <c r="R108" s="46">
        <f t="shared" si="92"/>
        <v>150771.72663867101</v>
      </c>
      <c r="X108" s="94"/>
    </row>
    <row r="109" spans="1:24">
      <c r="A109" s="40" t="s">
        <v>117</v>
      </c>
      <c r="D109" s="41">
        <f>34724+18482+15452+2034+51823</f>
        <v>122515</v>
      </c>
      <c r="E109" s="41">
        <f>58932+59981</f>
        <v>118913</v>
      </c>
      <c r="F109" s="41">
        <f>64792.8+69456.6</f>
        <v>134249.40000000002</v>
      </c>
      <c r="G109" s="41">
        <f>71660+80127</f>
        <v>151787</v>
      </c>
      <c r="H109" s="46">
        <f>81737+93180</f>
        <v>174917</v>
      </c>
      <c r="I109" s="46">
        <f>93046.611+107866.626</f>
        <v>200913.23700000002</v>
      </c>
      <c r="J109" s="47">
        <f>97872.884+122732.924</f>
        <v>220605.80800000002</v>
      </c>
      <c r="K109" s="46"/>
      <c r="L109" s="46">
        <f>83005.622+93179.928</f>
        <v>176185.55</v>
      </c>
      <c r="M109" s="46">
        <f>92693.334+107866.626</f>
        <v>200559.96000000002</v>
      </c>
      <c r="N109" s="46">
        <f>98176.084+122732.924</f>
        <v>220909.008</v>
      </c>
      <c r="O109" s="46">
        <f>J109+O190*90%</f>
        <v>329882.189518039</v>
      </c>
      <c r="P109" s="46">
        <f t="shared" ref="P109:R109" si="93">O109</f>
        <v>329882.189518039</v>
      </c>
      <c r="Q109" s="46">
        <f t="shared" si="93"/>
        <v>329882.189518039</v>
      </c>
      <c r="R109" s="46">
        <f t="shared" si="93"/>
        <v>329882.189518039</v>
      </c>
      <c r="X109" s="94"/>
    </row>
    <row r="110" spans="1:24">
      <c r="A110" s="40" t="s">
        <v>118</v>
      </c>
      <c r="D110" s="41">
        <v>325500</v>
      </c>
      <c r="E110" s="41">
        <v>399791</v>
      </c>
      <c r="F110" s="41">
        <v>467423</v>
      </c>
      <c r="G110" s="41">
        <v>546933</v>
      </c>
      <c r="H110" s="46">
        <v>616228</v>
      </c>
      <c r="I110" s="46">
        <v>672059.40800000005</v>
      </c>
      <c r="J110" s="45">
        <v>717885.83499999996</v>
      </c>
      <c r="K110" s="44"/>
      <c r="L110" s="44">
        <v>643804.46900000004</v>
      </c>
      <c r="M110" s="44">
        <v>700226.93900000001</v>
      </c>
      <c r="N110" s="44">
        <v>749276.16399999999</v>
      </c>
      <c r="O110" s="46">
        <f>J110+(O33-O61)</f>
        <v>783574.46736308059</v>
      </c>
      <c r="P110" s="46">
        <f>O110+(P33-P61)</f>
        <v>810990.68219574878</v>
      </c>
      <c r="Q110" s="46">
        <f>P110+(Q33-Q61)</f>
        <v>873228.39590140607</v>
      </c>
      <c r="R110" s="46">
        <f>Q110+(R33-R61)</f>
        <v>921309.4748512822</v>
      </c>
      <c r="X110" s="94"/>
    </row>
    <row r="111" spans="1:24">
      <c r="A111" s="64" t="s">
        <v>119</v>
      </c>
      <c r="D111" s="41">
        <f>21141+1803-19</f>
        <v>22925</v>
      </c>
      <c r="E111" s="41">
        <f>7806-19</f>
        <v>7787</v>
      </c>
      <c r="F111" s="41">
        <f>31729-19.5</f>
        <v>31709.5</v>
      </c>
      <c r="G111" s="65">
        <v>83578</v>
      </c>
      <c r="H111" s="66">
        <f>60122-20</f>
        <v>60102</v>
      </c>
      <c r="I111" s="46">
        <f>32508.267-18.901</f>
        <v>32489.365999999998</v>
      </c>
      <c r="J111" s="45">
        <f>-27539.31-18.901</f>
        <v>-27558.211000000003</v>
      </c>
      <c r="K111" s="44"/>
      <c r="L111" s="44">
        <f>49901.86-18.901</f>
        <v>49882.959000000003</v>
      </c>
      <c r="M111" s="44">
        <f>38135.557-18.901</f>
        <v>38116.656000000003</v>
      </c>
      <c r="N111" s="44">
        <f>-26616.834-18.901</f>
        <v>-26635.735000000001</v>
      </c>
      <c r="O111" s="46">
        <f>J111</f>
        <v>-27558.211000000003</v>
      </c>
      <c r="P111" s="46">
        <f t="shared" ref="P111:Q111" si="94">O111</f>
        <v>-27558.211000000003</v>
      </c>
      <c r="Q111" s="46">
        <f t="shared" si="94"/>
        <v>-27558.211000000003</v>
      </c>
      <c r="R111" s="46">
        <f>Q111</f>
        <v>-27558.211000000003</v>
      </c>
      <c r="X111" s="94"/>
    </row>
    <row r="112" spans="1:24">
      <c r="A112" s="40" t="s">
        <v>120</v>
      </c>
      <c r="D112" s="41">
        <v>37188</v>
      </c>
      <c r="E112" s="41">
        <v>36064</v>
      </c>
      <c r="F112" s="41">
        <v>41255</v>
      </c>
      <c r="G112" s="41">
        <v>54446</v>
      </c>
      <c r="H112" s="46">
        <v>52761</v>
      </c>
      <c r="I112" s="46">
        <v>55039.203999999998</v>
      </c>
      <c r="J112" s="45">
        <v>87571.64</v>
      </c>
      <c r="K112" s="44"/>
      <c r="L112" s="44">
        <v>52974.63</v>
      </c>
      <c r="M112" s="44">
        <v>71314.392000000007</v>
      </c>
      <c r="N112" s="44">
        <v>87476.987999999998</v>
      </c>
      <c r="O112" s="46">
        <f>J112+O32</f>
        <v>100929.50140000002</v>
      </c>
      <c r="P112" s="46">
        <f>O112+P32</f>
        <v>116190.84676920004</v>
      </c>
      <c r="Q112" s="46">
        <f>P112+Q32</f>
        <v>133355.21557800003</v>
      </c>
      <c r="R112" s="46">
        <f>Q112+R32</f>
        <v>150519.58438680004</v>
      </c>
      <c r="X112" s="94"/>
    </row>
    <row r="113" spans="1:24">
      <c r="A113" s="55" t="s">
        <v>121</v>
      </c>
      <c r="D113" s="53">
        <f t="shared" ref="D113:J113" si="95">SUM(D108:D112)</f>
        <v>615019</v>
      </c>
      <c r="E113" s="53">
        <f t="shared" si="95"/>
        <v>680914</v>
      </c>
      <c r="F113" s="53">
        <f t="shared" si="95"/>
        <v>805923.9</v>
      </c>
      <c r="G113" s="53">
        <f t="shared" si="95"/>
        <v>984678</v>
      </c>
      <c r="H113" s="53">
        <f t="shared" si="95"/>
        <v>1060390.8810000001</v>
      </c>
      <c r="I113" s="53">
        <f t="shared" si="95"/>
        <v>1133788.598</v>
      </c>
      <c r="J113" s="54">
        <f t="shared" si="95"/>
        <v>1171792.4550000001</v>
      </c>
      <c r="K113" s="53"/>
      <c r="L113" s="53">
        <f t="shared" ref="L113:R113" si="96">SUM(L108:L112)</f>
        <v>1079230.4890000001</v>
      </c>
      <c r="M113" s="53">
        <f t="shared" si="96"/>
        <v>1183505.33</v>
      </c>
      <c r="N113" s="53">
        <f t="shared" si="96"/>
        <v>1204313.8079999997</v>
      </c>
      <c r="O113" s="53">
        <f t="shared" si="96"/>
        <v>1337599.6739197907</v>
      </c>
      <c r="P113" s="53">
        <f t="shared" si="96"/>
        <v>1380277.2341216588</v>
      </c>
      <c r="Q113" s="53">
        <f t="shared" si="96"/>
        <v>1459679.3166361162</v>
      </c>
      <c r="R113" s="53">
        <f t="shared" si="96"/>
        <v>1524924.7643947923</v>
      </c>
      <c r="S113" s="94"/>
      <c r="X113" s="94"/>
    </row>
    <row r="114" spans="1:24">
      <c r="D114" s="41"/>
      <c r="E114" s="41"/>
      <c r="F114" s="41"/>
      <c r="G114" s="41"/>
      <c r="H114" s="46"/>
      <c r="I114" s="46"/>
      <c r="J114" s="93"/>
      <c r="K114" s="180"/>
      <c r="L114" s="180"/>
      <c r="M114" s="180"/>
      <c r="N114" s="180"/>
    </row>
    <row r="115" spans="1:24" ht="16.5" thickBot="1">
      <c r="A115" s="55" t="s">
        <v>122</v>
      </c>
      <c r="B115" s="22"/>
      <c r="C115" s="22"/>
      <c r="D115" s="43">
        <f t="shared" ref="D115:J115" si="97">D105+D113</f>
        <v>1730311</v>
      </c>
      <c r="E115" s="43">
        <f t="shared" si="97"/>
        <v>2050238</v>
      </c>
      <c r="F115" s="43">
        <f t="shared" si="97"/>
        <v>2312460.7880000002</v>
      </c>
      <c r="G115" s="56">
        <f t="shared" si="97"/>
        <v>2462715</v>
      </c>
      <c r="H115" s="56">
        <f t="shared" si="97"/>
        <v>2308300.0819999999</v>
      </c>
      <c r="I115" s="56">
        <f t="shared" si="97"/>
        <v>2592042.94</v>
      </c>
      <c r="J115" s="57">
        <f t="shared" si="97"/>
        <v>3407216.6129999999</v>
      </c>
      <c r="K115" s="56"/>
      <c r="L115" s="56">
        <f t="shared" ref="L115:R115" si="98">L105+L113</f>
        <v>2128750.6540000001</v>
      </c>
      <c r="M115" s="56">
        <f t="shared" si="98"/>
        <v>2332342.1230000001</v>
      </c>
      <c r="N115" s="56">
        <f t="shared" si="98"/>
        <v>2722234.0019999994</v>
      </c>
      <c r="O115" s="56">
        <f t="shared" si="98"/>
        <v>3566671.7012136346</v>
      </c>
      <c r="P115" s="56">
        <f t="shared" si="98"/>
        <v>3632656.0230553118</v>
      </c>
      <c r="Q115" s="56">
        <f t="shared" si="98"/>
        <v>3667160.9872220699</v>
      </c>
      <c r="R115" s="56">
        <f t="shared" si="98"/>
        <v>3719328.8650943562</v>
      </c>
    </row>
    <row r="116" spans="1:24" ht="16.5" thickTop="1">
      <c r="D116" s="41"/>
      <c r="E116" s="41"/>
      <c r="F116" s="41"/>
      <c r="G116" s="41"/>
      <c r="H116" s="46"/>
      <c r="I116" s="46"/>
      <c r="J116" s="93"/>
      <c r="K116" s="180"/>
      <c r="L116" s="180"/>
      <c r="M116" s="180"/>
      <c r="N116" s="180"/>
    </row>
    <row r="117" spans="1:24">
      <c r="A117" s="67" t="s">
        <v>123</v>
      </c>
      <c r="B117" s="68"/>
      <c r="C117" s="68"/>
      <c r="D117" s="69">
        <f t="shared" ref="D117:J117" si="99">D92-D115</f>
        <v>-0.10000000009313226</v>
      </c>
      <c r="E117" s="69">
        <f t="shared" si="99"/>
        <v>-0.31999999983236194</v>
      </c>
      <c r="F117" s="69">
        <f t="shared" si="99"/>
        <v>-0.26800000015646219</v>
      </c>
      <c r="G117" s="69">
        <f t="shared" si="99"/>
        <v>0</v>
      </c>
      <c r="H117" s="70">
        <f t="shared" si="99"/>
        <v>-8.1999999936670065E-2</v>
      </c>
      <c r="I117" s="70">
        <f t="shared" si="99"/>
        <v>0.39499999955296516</v>
      </c>
      <c r="J117" s="71">
        <f t="shared" si="99"/>
        <v>-0.27000000001862645</v>
      </c>
      <c r="K117" s="70"/>
      <c r="L117" s="70">
        <f t="shared" ref="L117:R117" si="100">L92-L115</f>
        <v>-9.9999997764825821E-3</v>
      </c>
      <c r="M117" s="70">
        <f t="shared" si="100"/>
        <v>0</v>
      </c>
      <c r="N117" s="70">
        <f t="shared" si="100"/>
        <v>1.0000000707805157E-2</v>
      </c>
      <c r="O117" s="70">
        <f t="shared" si="100"/>
        <v>-6.0999998822808266E-2</v>
      </c>
      <c r="P117" s="70">
        <f t="shared" si="100"/>
        <v>-6.1000000219792128E-2</v>
      </c>
      <c r="Q117" s="70">
        <f t="shared" si="100"/>
        <v>-6.099999975413084E-2</v>
      </c>
      <c r="R117" s="70">
        <f t="shared" si="100"/>
        <v>-6.0999998822808266E-2</v>
      </c>
    </row>
    <row r="118" spans="1:24">
      <c r="H118" s="4"/>
      <c r="J118" s="93"/>
      <c r="K118" s="180"/>
      <c r="L118" s="180"/>
      <c r="M118" s="180"/>
      <c r="N118" s="180"/>
    </row>
    <row r="119" spans="1:24">
      <c r="H119" s="4"/>
      <c r="J119" s="93"/>
      <c r="K119" s="180"/>
      <c r="L119" s="180"/>
      <c r="M119" s="180"/>
      <c r="N119" s="180"/>
    </row>
    <row r="120" spans="1:24">
      <c r="A120" s="1" t="s">
        <v>124</v>
      </c>
      <c r="D120" s="3" t="str">
        <f t="shared" ref="D120:J120" si="101">D1</f>
        <v>2011 (A)</v>
      </c>
      <c r="E120" s="3" t="str">
        <f t="shared" si="101"/>
        <v>2012 (A)</v>
      </c>
      <c r="F120" s="3" t="str">
        <f t="shared" si="101"/>
        <v>2013 (A)</v>
      </c>
      <c r="G120" s="3" t="str">
        <f t="shared" si="101"/>
        <v>2014 (A)</v>
      </c>
      <c r="H120" s="4" t="str">
        <f t="shared" si="101"/>
        <v>2015 (A)</v>
      </c>
      <c r="I120" s="4" t="str">
        <f t="shared" si="101"/>
        <v>2016(A)</v>
      </c>
      <c r="J120" s="8" t="str">
        <f t="shared" si="101"/>
        <v>2017(A)</v>
      </c>
      <c r="K120" s="4"/>
      <c r="L120" s="932" t="s">
        <v>751</v>
      </c>
      <c r="M120" s="932" t="s">
        <v>735</v>
      </c>
      <c r="N120" s="932" t="s">
        <v>736</v>
      </c>
      <c r="O120" s="4" t="str">
        <f>O1</f>
        <v>2018 (F)</v>
      </c>
      <c r="P120" s="4" t="str">
        <f>P1</f>
        <v>2019 (F)</v>
      </c>
      <c r="Q120" s="4" t="str">
        <f>Q1</f>
        <v>2020 (F)</v>
      </c>
      <c r="R120" s="4" t="str">
        <f>R1</f>
        <v>2021 (F)</v>
      </c>
    </row>
    <row r="121" spans="1:24">
      <c r="H121" s="4"/>
      <c r="J121" s="93"/>
      <c r="K121" s="180"/>
      <c r="L121" s="180"/>
      <c r="M121" s="180"/>
      <c r="N121" s="180"/>
    </row>
    <row r="122" spans="1:24">
      <c r="A122" s="2" t="s">
        <v>125</v>
      </c>
      <c r="B122" s="72">
        <v>4.2000000000000003E-2</v>
      </c>
      <c r="H122" s="4"/>
      <c r="J122" s="93"/>
      <c r="K122" s="180"/>
      <c r="L122" s="180"/>
      <c r="M122" s="180"/>
      <c r="N122" s="180"/>
    </row>
    <row r="123" spans="1:24">
      <c r="A123" s="2" t="s">
        <v>126</v>
      </c>
      <c r="B123" s="72">
        <v>4.4600000000000001E-2</v>
      </c>
      <c r="D123" s="73">
        <f>D24/D78</f>
        <v>2.5493542491254826E-2</v>
      </c>
      <c r="E123" s="73">
        <f>E24/E78</f>
        <v>2.6364773947433515E-2</v>
      </c>
      <c r="F123" s="73">
        <f>F24/F78</f>
        <v>1.5575632762324935E-2</v>
      </c>
      <c r="G123" s="74"/>
      <c r="H123" s="75"/>
      <c r="I123" s="75"/>
      <c r="J123" s="93"/>
      <c r="K123" s="180"/>
      <c r="L123" s="180"/>
      <c r="M123" s="180"/>
      <c r="N123" s="180"/>
      <c r="O123" s="75">
        <f>B123</f>
        <v>4.4600000000000001E-2</v>
      </c>
      <c r="P123" s="75">
        <f t="shared" ref="P123:R123" si="102">O123</f>
        <v>4.4600000000000001E-2</v>
      </c>
      <c r="Q123" s="75">
        <f t="shared" si="102"/>
        <v>4.4600000000000001E-2</v>
      </c>
      <c r="R123" s="75">
        <f t="shared" si="102"/>
        <v>4.4600000000000001E-2</v>
      </c>
    </row>
    <row r="124" spans="1:24">
      <c r="H124" s="4"/>
      <c r="J124" s="93"/>
      <c r="K124" s="180"/>
      <c r="L124" s="180"/>
      <c r="M124" s="180"/>
      <c r="N124" s="180"/>
    </row>
    <row r="125" spans="1:24">
      <c r="A125" s="2" t="s">
        <v>127</v>
      </c>
      <c r="D125" s="76">
        <f t="shared" ref="D125:J125" si="103">D79/D3*365</f>
        <v>50.325580903651392</v>
      </c>
      <c r="E125" s="76">
        <f t="shared" si="103"/>
        <v>59.165006676788906</v>
      </c>
      <c r="F125" s="76">
        <f t="shared" si="103"/>
        <v>69.051676642881048</v>
      </c>
      <c r="G125" s="76">
        <f t="shared" si="103"/>
        <v>66.913732693561997</v>
      </c>
      <c r="H125" s="77">
        <f t="shared" si="103"/>
        <v>48.120205142804366</v>
      </c>
      <c r="I125" s="79">
        <f t="shared" si="103"/>
        <v>61.218730883473043</v>
      </c>
      <c r="J125" s="78">
        <f t="shared" si="103"/>
        <v>95.42291465771612</v>
      </c>
      <c r="K125" s="79"/>
      <c r="L125" s="935">
        <f>L79/(L3+H3-K3)*365</f>
        <v>35.082454527975891</v>
      </c>
      <c r="M125" s="935">
        <f>M79/(M3+I3-L3)*365</f>
        <v>42.031161885896296</v>
      </c>
      <c r="N125" s="935">
        <f>N79/(N3+J3-M3)*365</f>
        <v>45.745287281870127</v>
      </c>
      <c r="O125" s="189">
        <f>J125</f>
        <v>95.42291465771612</v>
      </c>
      <c r="P125" s="189">
        <f t="shared" ref="P125:R125" si="104">O125</f>
        <v>95.42291465771612</v>
      </c>
      <c r="Q125" s="189">
        <f t="shared" si="104"/>
        <v>95.42291465771612</v>
      </c>
      <c r="R125" s="189">
        <f t="shared" si="104"/>
        <v>95.42291465771612</v>
      </c>
    </row>
    <row r="126" spans="1:24">
      <c r="A126" s="2" t="s">
        <v>128</v>
      </c>
      <c r="D126" s="76">
        <f t="shared" ref="D126:J126" si="105">D81/(D5+D6)*365</f>
        <v>43.589904800827362</v>
      </c>
      <c r="E126" s="76">
        <f t="shared" si="105"/>
        <v>34.939001750928739</v>
      </c>
      <c r="F126" s="76">
        <f t="shared" si="105"/>
        <v>30.875653088484142</v>
      </c>
      <c r="G126" s="76">
        <f t="shared" si="105"/>
        <v>34.365995805395656</v>
      </c>
      <c r="H126" s="77">
        <f t="shared" si="105"/>
        <v>37.242848464780224</v>
      </c>
      <c r="I126" s="79">
        <f t="shared" si="105"/>
        <v>35.013583615185517</v>
      </c>
      <c r="J126" s="78">
        <f t="shared" si="105"/>
        <v>46.494349481392227</v>
      </c>
      <c r="K126" s="79"/>
      <c r="L126" s="935">
        <f>L81/((L5+H5-K5)+(L6+H6-K6))*365</f>
        <v>34.935733070164154</v>
      </c>
      <c r="M126" s="935">
        <f>M81/((M5+I5-L5)+(M6+I6-L6))*365</f>
        <v>31.637884949885962</v>
      </c>
      <c r="N126" s="935">
        <f>N81/((N5+J5-M5)+(N6+J6-M6))*365</f>
        <v>46.670833029366271</v>
      </c>
      <c r="O126" s="189">
        <f>J126</f>
        <v>46.494349481392227</v>
      </c>
      <c r="P126" s="189">
        <f t="shared" ref="P126:R126" si="106">O126</f>
        <v>46.494349481392227</v>
      </c>
      <c r="Q126" s="189">
        <f t="shared" si="106"/>
        <v>46.494349481392227</v>
      </c>
      <c r="R126" s="189">
        <f t="shared" si="106"/>
        <v>46.494349481392227</v>
      </c>
    </row>
    <row r="127" spans="1:24">
      <c r="A127" s="2" t="s">
        <v>129</v>
      </c>
      <c r="D127" s="76">
        <f t="shared" ref="D127:J127" si="107">D95/(D5+D6)*365</f>
        <v>62.831620274646561</v>
      </c>
      <c r="E127" s="76">
        <f t="shared" si="107"/>
        <v>63.747226889082597</v>
      </c>
      <c r="F127" s="76">
        <f t="shared" si="107"/>
        <v>70.352483203398506</v>
      </c>
      <c r="G127" s="76">
        <f t="shared" si="107"/>
        <v>68.446785037748384</v>
      </c>
      <c r="H127" s="77">
        <f t="shared" si="107"/>
        <v>56.488775164277584</v>
      </c>
      <c r="I127" s="79">
        <f t="shared" si="107"/>
        <v>64.160897420986714</v>
      </c>
      <c r="J127" s="78">
        <f t="shared" si="107"/>
        <v>100.82748585839514</v>
      </c>
      <c r="K127" s="79"/>
      <c r="L127" s="935">
        <f>L95/((L5+H5-K5)+(L6+H6-K6))*365</f>
        <v>42.749879631843712</v>
      </c>
      <c r="M127" s="935">
        <f>M95/((M5+I5-L5)+(M6+I6-L6))*365</f>
        <v>44.272699790898812</v>
      </c>
      <c r="N127" s="935">
        <f>N95/((N5+J5-M5)+(N6+J6-M6))*365</f>
        <v>48.288342794895229</v>
      </c>
      <c r="O127" s="189">
        <f>J127</f>
        <v>100.82748585839514</v>
      </c>
      <c r="P127" s="189">
        <f t="shared" ref="P127:R127" si="108">O127</f>
        <v>100.82748585839514</v>
      </c>
      <c r="Q127" s="189">
        <f t="shared" si="108"/>
        <v>100.82748585839514</v>
      </c>
      <c r="R127" s="189">
        <f t="shared" si="108"/>
        <v>100.82748585839514</v>
      </c>
    </row>
    <row r="128" spans="1:24">
      <c r="A128" s="2" t="s">
        <v>130</v>
      </c>
      <c r="D128" s="76">
        <f>D125+D126-D127</f>
        <v>31.083865429832194</v>
      </c>
      <c r="E128" s="76">
        <f t="shared" ref="E128:H128" si="109">E125+E126-E127</f>
        <v>30.356781538635047</v>
      </c>
      <c r="F128" s="76">
        <f t="shared" si="109"/>
        <v>29.574846527966685</v>
      </c>
      <c r="G128" s="76">
        <f t="shared" si="109"/>
        <v>32.832943461209268</v>
      </c>
      <c r="H128" s="77">
        <f t="shared" si="109"/>
        <v>28.874278443307006</v>
      </c>
      <c r="I128" s="77">
        <f>I125+I126-I127</f>
        <v>32.071417077671839</v>
      </c>
      <c r="J128" s="80">
        <f>J125+J126-J127</f>
        <v>41.089778280713205</v>
      </c>
      <c r="K128" s="77"/>
      <c r="L128" s="936">
        <f>L125+L126-L127</f>
        <v>27.268307966296334</v>
      </c>
      <c r="M128" s="936">
        <f>M125+M126-M127</f>
        <v>29.396347044883441</v>
      </c>
      <c r="N128" s="936">
        <f>N125+N126-N127</f>
        <v>44.127777516341169</v>
      </c>
      <c r="O128" s="189">
        <f>O125+O126-O127</f>
        <v>41.089778280713205</v>
      </c>
      <c r="P128" s="189">
        <f>P125+P126-P127</f>
        <v>41.089778280713205</v>
      </c>
      <c r="Q128" s="189">
        <f t="shared" ref="Q128:R128" si="110">Q125+Q126-Q127</f>
        <v>41.089778280713205</v>
      </c>
      <c r="R128" s="189">
        <f t="shared" si="110"/>
        <v>41.089778280713205</v>
      </c>
    </row>
    <row r="129" spans="1:20">
      <c r="A129" s="22" t="s">
        <v>131</v>
      </c>
      <c r="D129" s="81">
        <v>0.125</v>
      </c>
      <c r="E129" s="81">
        <v>0.19600000000000001</v>
      </c>
      <c r="F129" s="81">
        <v>0.187</v>
      </c>
      <c r="G129" s="81">
        <v>0.221</v>
      </c>
      <c r="H129" s="82">
        <f>H61/G33</f>
        <v>0.43065078331481976</v>
      </c>
      <c r="I129" s="82">
        <f>I61/H33</f>
        <v>0.42591380718696131</v>
      </c>
      <c r="J129" s="83">
        <f>J61/I33</f>
        <v>0.52453707283759032</v>
      </c>
      <c r="K129" s="82"/>
      <c r="L129" s="82"/>
      <c r="M129" s="82"/>
      <c r="N129" s="82"/>
      <c r="O129" s="82">
        <f>O61/J33</f>
        <v>0.24981169972399334</v>
      </c>
      <c r="P129" s="188">
        <f>AVERAGE(I129:J129)</f>
        <v>0.47522544001227585</v>
      </c>
      <c r="Q129" s="188">
        <f t="shared" ref="Q129:R129" si="111">P129</f>
        <v>0.47522544001227585</v>
      </c>
      <c r="R129" s="188">
        <f t="shared" si="111"/>
        <v>0.47522544001227585</v>
      </c>
      <c r="T129" s="588" t="s">
        <v>750</v>
      </c>
    </row>
    <row r="130" spans="1:20">
      <c r="A130" s="22" t="s">
        <v>132</v>
      </c>
      <c r="H130" s="84"/>
      <c r="I130" s="84"/>
      <c r="J130" s="93"/>
      <c r="K130" s="180"/>
      <c r="L130" s="180"/>
      <c r="M130" s="180"/>
      <c r="N130" s="180"/>
    </row>
    <row r="131" spans="1:20">
      <c r="A131" s="22" t="s">
        <v>133</v>
      </c>
      <c r="H131" s="85">
        <f>G108*(H130/10)</f>
        <v>0</v>
      </c>
      <c r="I131" s="85">
        <f>H108*(I130/10)</f>
        <v>0</v>
      </c>
      <c r="J131" s="86">
        <f>I108*(J130/10)</f>
        <v>0</v>
      </c>
      <c r="K131" s="85"/>
      <c r="L131" s="85"/>
      <c r="M131" s="85"/>
      <c r="N131" s="85"/>
      <c r="O131" s="85">
        <f>J108*(O130/10)</f>
        <v>0</v>
      </c>
      <c r="P131" s="85">
        <f>O108*(P130/10)</f>
        <v>0</v>
      </c>
      <c r="Q131" s="85">
        <f>P108*(Q130/10)</f>
        <v>0</v>
      </c>
      <c r="R131" s="85">
        <f>Q108*(R130/10)</f>
        <v>0</v>
      </c>
    </row>
    <row r="132" spans="1:20">
      <c r="A132" s="87" t="s">
        <v>134</v>
      </c>
      <c r="H132" s="4"/>
      <c r="J132" s="93"/>
      <c r="K132" s="180"/>
      <c r="L132" s="180"/>
      <c r="M132" s="180"/>
      <c r="N132" s="180"/>
    </row>
    <row r="133" spans="1:20">
      <c r="A133" s="88" t="s">
        <v>135</v>
      </c>
      <c r="G133" s="10">
        <f>F135</f>
        <v>386217</v>
      </c>
      <c r="H133" s="11">
        <f>G135</f>
        <v>226501</v>
      </c>
      <c r="I133" s="11">
        <f>H135</f>
        <v>77233</v>
      </c>
      <c r="J133" s="12">
        <f>I135</f>
        <v>187462.77799999999</v>
      </c>
      <c r="K133" s="11"/>
      <c r="L133" s="11"/>
      <c r="M133" s="11"/>
      <c r="N133" s="11"/>
      <c r="O133" s="95">
        <f>J135</f>
        <v>429795.20600000001</v>
      </c>
      <c r="P133" s="95">
        <f t="shared" ref="P133:R133" si="112">O135</f>
        <v>429795.20600000001</v>
      </c>
      <c r="Q133" s="95">
        <f t="shared" si="112"/>
        <v>429795.20600000001</v>
      </c>
      <c r="R133" s="95">
        <f t="shared" si="112"/>
        <v>429795.20600000001</v>
      </c>
    </row>
    <row r="134" spans="1:20">
      <c r="A134" s="89" t="s">
        <v>136</v>
      </c>
      <c r="B134" s="2" t="s">
        <v>137</v>
      </c>
      <c r="G134" s="90">
        <v>-159716</v>
      </c>
      <c r="H134" s="90">
        <v>-149268</v>
      </c>
      <c r="I134" s="96">
        <f>I97-H97</f>
        <v>110229.77799999999</v>
      </c>
      <c r="J134" s="96">
        <f>J97-I97</f>
        <v>242332.42800000004</v>
      </c>
      <c r="K134" s="11"/>
      <c r="L134" s="11"/>
      <c r="M134" s="11"/>
      <c r="N134" s="11"/>
      <c r="O134" s="85">
        <v>0</v>
      </c>
      <c r="P134" s="85">
        <v>0</v>
      </c>
      <c r="Q134" s="85">
        <v>0</v>
      </c>
      <c r="R134" s="85">
        <v>0</v>
      </c>
    </row>
    <row r="135" spans="1:20">
      <c r="A135" s="64" t="s">
        <v>138</v>
      </c>
      <c r="F135" s="10">
        <f>F97</f>
        <v>386217</v>
      </c>
      <c r="G135" s="10">
        <f>G133+G134</f>
        <v>226501</v>
      </c>
      <c r="H135" s="11">
        <f>H133+H134</f>
        <v>77233</v>
      </c>
      <c r="I135" s="11">
        <f>I133+I134</f>
        <v>187462.77799999999</v>
      </c>
      <c r="J135" s="12">
        <f>J133+J134</f>
        <v>429795.20600000001</v>
      </c>
      <c r="K135" s="11"/>
      <c r="L135" s="11"/>
      <c r="M135" s="11"/>
      <c r="N135" s="11"/>
      <c r="O135" s="95">
        <f>O133+O134</f>
        <v>429795.20600000001</v>
      </c>
      <c r="P135" s="95">
        <f t="shared" ref="P135:R135" si="113">P133+P134</f>
        <v>429795.20600000001</v>
      </c>
      <c r="Q135" s="95">
        <f t="shared" si="113"/>
        <v>429795.20600000001</v>
      </c>
      <c r="R135" s="95">
        <f t="shared" si="113"/>
        <v>429795.20600000001</v>
      </c>
    </row>
    <row r="136" spans="1:20">
      <c r="J136" s="93"/>
      <c r="K136" s="180"/>
      <c r="L136" s="180"/>
      <c r="M136" s="180"/>
      <c r="N136" s="180"/>
    </row>
    <row r="137" spans="1:20">
      <c r="J137" s="93"/>
      <c r="K137" s="180"/>
      <c r="L137" s="180"/>
      <c r="M137" s="180"/>
      <c r="N137" s="180"/>
    </row>
    <row r="138" spans="1:20">
      <c r="J138" s="93"/>
      <c r="K138" s="180"/>
      <c r="L138" s="180"/>
      <c r="M138" s="180"/>
      <c r="N138" s="180"/>
    </row>
    <row r="139" spans="1:20">
      <c r="A139" s="2" t="s">
        <v>139</v>
      </c>
      <c r="G139" s="41">
        <f>G79+G81-G95</f>
        <v>406248</v>
      </c>
      <c r="H139" s="41">
        <f>H79+H81-H95</f>
        <v>371476.22399999993</v>
      </c>
      <c r="I139" s="46">
        <f>I79+I81-I95</f>
        <v>408668.75</v>
      </c>
      <c r="J139" s="47">
        <f>J79+J81-J95</f>
        <v>574964.54899999988</v>
      </c>
      <c r="K139" s="46"/>
      <c r="L139" s="46"/>
      <c r="M139" s="46"/>
      <c r="N139" s="46"/>
      <c r="O139" s="46">
        <f>O79+O81-O95</f>
        <v>594498.8444383617</v>
      </c>
      <c r="P139" s="46">
        <f>P79+P81-P95</f>
        <v>602399.84222758538</v>
      </c>
      <c r="Q139" s="46">
        <f>Q79+Q81-Q95</f>
        <v>615966.36084121303</v>
      </c>
      <c r="R139" s="46">
        <f>R79+R81-R95</f>
        <v>627580.27411127998</v>
      </c>
    </row>
    <row r="141" spans="1:20">
      <c r="A141" s="97"/>
      <c r="B141" s="97"/>
      <c r="C141" s="97"/>
      <c r="D141" s="98"/>
      <c r="E141" s="98"/>
      <c r="F141" s="98"/>
      <c r="G141" s="98"/>
      <c r="H141" s="98"/>
      <c r="I141" s="100"/>
      <c r="J141" s="584"/>
      <c r="K141" s="584"/>
      <c r="L141" s="584"/>
      <c r="M141" s="584"/>
      <c r="N141" s="584"/>
      <c r="O141" s="757" t="s">
        <v>472</v>
      </c>
      <c r="P141" s="757" t="s">
        <v>473</v>
      </c>
      <c r="Q141" s="757" t="s">
        <v>474</v>
      </c>
      <c r="R141" s="757" t="s">
        <v>475</v>
      </c>
    </row>
    <row r="142" spans="1:20">
      <c r="A142" s="97" t="s">
        <v>140</v>
      </c>
      <c r="B142" s="97"/>
      <c r="C142" s="97"/>
      <c r="D142" s="98"/>
      <c r="E142" s="98"/>
      <c r="F142" s="98"/>
      <c r="G142" s="98"/>
      <c r="H142" s="98"/>
      <c r="I142" s="99"/>
      <c r="J142" s="584"/>
      <c r="K142" s="584"/>
      <c r="L142" s="584"/>
      <c r="M142" s="584"/>
      <c r="N142" s="584"/>
      <c r="O142" s="584"/>
      <c r="P142" s="584"/>
      <c r="Q142" s="584"/>
      <c r="R142" s="584"/>
    </row>
    <row r="143" spans="1:20" hidden="1">
      <c r="A143" s="97"/>
      <c r="B143" s="97"/>
      <c r="C143" s="97"/>
      <c r="D143" s="98"/>
      <c r="E143" s="98"/>
      <c r="F143" s="98"/>
      <c r="G143" s="98"/>
      <c r="H143" s="98"/>
      <c r="I143" s="100"/>
      <c r="J143" s="584"/>
      <c r="K143" s="584"/>
      <c r="L143" s="584"/>
      <c r="M143" s="584"/>
      <c r="N143" s="584"/>
      <c r="O143" s="584"/>
      <c r="P143" s="584"/>
      <c r="Q143" s="584"/>
      <c r="R143" s="584"/>
    </row>
    <row r="144" spans="1:20" hidden="1">
      <c r="A144" s="97"/>
      <c r="B144" s="97"/>
      <c r="C144" s="97"/>
      <c r="D144" s="98"/>
      <c r="E144" s="98"/>
      <c r="F144" s="98"/>
      <c r="G144" s="98"/>
      <c r="H144" s="98"/>
      <c r="I144" s="100"/>
      <c r="J144" s="584"/>
      <c r="K144" s="584"/>
      <c r="L144" s="584"/>
      <c r="M144" s="584"/>
      <c r="N144" s="584"/>
      <c r="O144" s="584"/>
      <c r="P144" s="584"/>
      <c r="Q144" s="584"/>
      <c r="R144" s="584"/>
    </row>
    <row r="145" spans="1:19">
      <c r="A145" s="97" t="s">
        <v>141</v>
      </c>
      <c r="B145" s="97"/>
      <c r="C145" s="97"/>
      <c r="D145" s="98"/>
      <c r="E145" s="98"/>
      <c r="F145" s="98"/>
      <c r="G145" s="98"/>
      <c r="H145" s="98"/>
      <c r="I145" s="99"/>
      <c r="J145" s="584"/>
      <c r="K145" s="584"/>
      <c r="L145" s="584"/>
      <c r="M145" s="584"/>
      <c r="N145" s="584"/>
      <c r="O145" s="586">
        <v>70225</v>
      </c>
      <c r="P145" s="586">
        <v>67323.625</v>
      </c>
      <c r="Q145" s="586">
        <v>79480.100000000006</v>
      </c>
      <c r="R145" s="586">
        <v>87492</v>
      </c>
      <c r="S145" s="185" t="s">
        <v>691</v>
      </c>
    </row>
    <row r="146" spans="1:19">
      <c r="A146" s="97" t="s">
        <v>142</v>
      </c>
      <c r="B146" s="97"/>
      <c r="C146" s="97"/>
      <c r="D146" s="98"/>
      <c r="E146" s="98"/>
      <c r="F146" s="98"/>
      <c r="G146" s="98"/>
      <c r="H146" s="98"/>
      <c r="I146" s="100"/>
      <c r="J146" s="100"/>
      <c r="K146" s="100"/>
      <c r="L146" s="100"/>
      <c r="M146" s="100"/>
      <c r="N146" s="100"/>
      <c r="O146" s="585">
        <v>0.44550000000000001</v>
      </c>
      <c r="P146" s="585">
        <v>0.44550000000000001</v>
      </c>
      <c r="Q146" s="585">
        <v>0.44550000000000001</v>
      </c>
      <c r="R146" s="585">
        <v>0.44550000000000001</v>
      </c>
    </row>
    <row r="147" spans="1:19">
      <c r="A147" s="97" t="s">
        <v>609</v>
      </c>
      <c r="B147" s="97"/>
      <c r="C147" s="97"/>
      <c r="D147" s="98"/>
      <c r="E147" s="98"/>
      <c r="F147" s="98"/>
      <c r="G147" s="98"/>
      <c r="H147" s="98"/>
      <c r="I147" s="100"/>
      <c r="J147" s="584"/>
      <c r="K147" s="584"/>
      <c r="L147" s="584"/>
      <c r="M147" s="584"/>
      <c r="N147" s="584"/>
      <c r="O147" s="586">
        <f>O145*O146</f>
        <v>31285.237499999999</v>
      </c>
      <c r="P147" s="586">
        <f t="shared" ref="P147:R147" si="114">P145*P146</f>
        <v>29992.6749375</v>
      </c>
      <c r="Q147" s="586">
        <f t="shared" si="114"/>
        <v>35408.384550000002</v>
      </c>
      <c r="R147" s="586">
        <f t="shared" si="114"/>
        <v>38977.686000000002</v>
      </c>
    </row>
    <row r="148" spans="1:19">
      <c r="A148" s="97" t="s">
        <v>610</v>
      </c>
      <c r="B148" s="97"/>
      <c r="C148" s="97"/>
      <c r="D148" s="98"/>
      <c r="E148" s="98"/>
      <c r="F148" s="98"/>
      <c r="G148" s="98"/>
      <c r="H148" s="98"/>
      <c r="I148" s="101"/>
      <c r="J148" s="586">
        <f>4769+3366</f>
        <v>8135</v>
      </c>
      <c r="K148" s="586"/>
      <c r="L148" s="586"/>
      <c r="M148" s="586"/>
      <c r="N148" s="586"/>
      <c r="O148" s="586">
        <f>O147*$I$165</f>
        <v>8681.6534062500014</v>
      </c>
      <c r="P148" s="586">
        <f>P147*$I$165</f>
        <v>8322.9672951562516</v>
      </c>
      <c r="Q148" s="586">
        <f>Q147*$I$165</f>
        <v>9825.8267126250012</v>
      </c>
      <c r="R148" s="586">
        <f>R147*$I$165</f>
        <v>10816.307865000001</v>
      </c>
    </row>
    <row r="149" spans="1:19" hidden="1">
      <c r="A149" s="97"/>
      <c r="B149" s="97"/>
      <c r="C149" s="97"/>
      <c r="D149" s="98"/>
      <c r="E149" s="98"/>
      <c r="F149" s="98"/>
      <c r="G149" s="98"/>
      <c r="H149" s="98"/>
      <c r="I149" s="100"/>
      <c r="J149" s="584"/>
      <c r="K149" s="584"/>
      <c r="L149" s="584"/>
      <c r="M149" s="584"/>
      <c r="N149" s="584"/>
      <c r="O149" s="584"/>
      <c r="P149" s="584"/>
      <c r="Q149" s="584"/>
      <c r="R149" s="584"/>
    </row>
    <row r="150" spans="1:19" hidden="1">
      <c r="A150" s="97"/>
      <c r="B150" s="97"/>
      <c r="C150" s="97"/>
      <c r="D150" s="98"/>
      <c r="E150" s="98"/>
      <c r="F150" s="98"/>
      <c r="G150" s="98"/>
      <c r="H150" s="98"/>
      <c r="I150" s="100"/>
      <c r="J150" s="584"/>
      <c r="K150" s="584"/>
      <c r="L150" s="584"/>
      <c r="M150" s="584"/>
      <c r="N150" s="584"/>
      <c r="O150" s="584"/>
      <c r="P150" s="584"/>
      <c r="Q150" s="584"/>
      <c r="R150" s="584"/>
    </row>
    <row r="151" spans="1:19" hidden="1">
      <c r="A151" s="97" t="s">
        <v>143</v>
      </c>
      <c r="B151" s="97"/>
      <c r="C151" s="97"/>
      <c r="D151" s="98"/>
      <c r="E151" s="98"/>
      <c r="F151" s="98"/>
      <c r="G151" s="98"/>
      <c r="H151" s="98"/>
      <c r="I151" s="99"/>
      <c r="J151" s="99"/>
      <c r="K151" s="99"/>
      <c r="L151" s="99"/>
      <c r="M151" s="99"/>
      <c r="N151" s="99"/>
      <c r="O151" s="584"/>
      <c r="P151" s="584"/>
      <c r="Q151" s="584"/>
      <c r="R151" s="584"/>
    </row>
    <row r="152" spans="1:19" hidden="1">
      <c r="A152" s="97" t="s">
        <v>144</v>
      </c>
      <c r="B152" s="97"/>
      <c r="C152" s="97"/>
      <c r="D152" s="98"/>
      <c r="E152" s="98"/>
      <c r="F152" s="98"/>
      <c r="G152" s="98"/>
      <c r="H152" s="98"/>
      <c r="I152" s="99"/>
      <c r="J152" s="99"/>
      <c r="K152" s="99"/>
      <c r="L152" s="99"/>
      <c r="M152" s="99"/>
      <c r="N152" s="99"/>
      <c r="O152" s="584"/>
      <c r="P152" s="584"/>
      <c r="Q152" s="584"/>
      <c r="R152" s="584"/>
    </row>
    <row r="153" spans="1:19" hidden="1">
      <c r="A153" s="97"/>
      <c r="B153" s="97"/>
      <c r="C153" s="97"/>
      <c r="D153" s="98"/>
      <c r="E153" s="98"/>
      <c r="F153" s="98"/>
      <c r="G153" s="98"/>
      <c r="H153" s="98"/>
      <c r="I153" s="100"/>
      <c r="J153" s="584"/>
      <c r="K153" s="584"/>
      <c r="L153" s="584"/>
      <c r="M153" s="584"/>
      <c r="N153" s="584"/>
      <c r="O153" s="584"/>
      <c r="P153" s="584"/>
      <c r="Q153" s="584"/>
      <c r="R153" s="584"/>
    </row>
    <row r="154" spans="1:19" hidden="1">
      <c r="A154" s="97"/>
      <c r="B154" s="97"/>
      <c r="C154" s="97"/>
      <c r="D154" s="98"/>
      <c r="E154" s="98"/>
      <c r="F154" s="98"/>
      <c r="G154" s="98"/>
      <c r="H154" s="98"/>
      <c r="I154" s="100"/>
      <c r="J154" s="584"/>
      <c r="K154" s="584"/>
      <c r="L154" s="584"/>
      <c r="M154" s="584"/>
      <c r="N154" s="584"/>
      <c r="O154" s="584"/>
      <c r="P154" s="584"/>
      <c r="Q154" s="584"/>
      <c r="R154" s="584"/>
    </row>
    <row r="155" spans="1:19" hidden="1">
      <c r="A155" s="97"/>
      <c r="B155" s="97"/>
      <c r="C155" s="97"/>
      <c r="D155" s="98"/>
      <c r="E155" s="98"/>
      <c r="F155" s="98"/>
      <c r="G155" s="98"/>
      <c r="H155" s="98"/>
      <c r="I155" s="100"/>
      <c r="J155" s="584"/>
      <c r="K155" s="584"/>
      <c r="L155" s="584"/>
      <c r="M155" s="584"/>
      <c r="N155" s="584"/>
      <c r="O155" s="584"/>
      <c r="P155" s="584"/>
      <c r="Q155" s="584"/>
      <c r="R155" s="584"/>
    </row>
    <row r="156" spans="1:19" hidden="1">
      <c r="A156" s="102" t="s">
        <v>145</v>
      </c>
      <c r="B156" s="97"/>
      <c r="C156" s="97"/>
      <c r="D156" s="98"/>
      <c r="E156" s="98"/>
      <c r="F156" s="98"/>
      <c r="G156" s="98"/>
      <c r="H156" s="98"/>
      <c r="I156" s="99"/>
      <c r="J156" s="584"/>
      <c r="K156" s="584"/>
      <c r="L156" s="584"/>
      <c r="M156" s="584"/>
      <c r="N156" s="584"/>
      <c r="O156" s="584"/>
      <c r="P156" s="584"/>
      <c r="Q156" s="584"/>
      <c r="R156" s="584"/>
    </row>
    <row r="157" spans="1:19" hidden="1">
      <c r="A157" s="97" t="s">
        <v>146</v>
      </c>
      <c r="B157" s="97"/>
      <c r="C157" s="97"/>
      <c r="D157" s="98"/>
      <c r="E157" s="98"/>
      <c r="F157" s="98"/>
      <c r="G157" s="98"/>
      <c r="H157" s="98"/>
      <c r="I157" s="103">
        <v>2050.6</v>
      </c>
      <c r="J157" s="584"/>
      <c r="K157" s="584"/>
      <c r="L157" s="584"/>
      <c r="M157" s="584"/>
      <c r="N157" s="584"/>
      <c r="O157" s="584"/>
      <c r="P157" s="584"/>
      <c r="Q157" s="584"/>
      <c r="R157" s="584"/>
    </row>
    <row r="158" spans="1:19" hidden="1">
      <c r="A158" s="104" t="s">
        <v>147</v>
      </c>
      <c r="B158" s="105"/>
      <c r="C158" s="105"/>
      <c r="D158" s="106"/>
      <c r="E158" s="106"/>
      <c r="F158" s="106"/>
      <c r="G158" s="106"/>
      <c r="H158" s="106"/>
      <c r="I158" s="107"/>
      <c r="J158" s="584"/>
      <c r="K158" s="584"/>
      <c r="L158" s="584"/>
      <c r="M158" s="584"/>
      <c r="N158" s="584"/>
      <c r="O158" s="584"/>
      <c r="P158" s="584"/>
      <c r="Q158" s="584"/>
      <c r="R158" s="584"/>
    </row>
    <row r="159" spans="1:19" hidden="1">
      <c r="A159" s="97"/>
      <c r="B159" s="97"/>
      <c r="C159" s="97"/>
      <c r="D159" s="98"/>
      <c r="E159" s="98"/>
      <c r="F159" s="98"/>
      <c r="G159" s="98"/>
      <c r="H159" s="98"/>
      <c r="I159" s="100"/>
      <c r="J159" s="584"/>
      <c r="K159" s="584"/>
      <c r="L159" s="584"/>
      <c r="M159" s="584"/>
      <c r="N159" s="584"/>
      <c r="O159" s="584"/>
      <c r="P159" s="584"/>
      <c r="Q159" s="584"/>
      <c r="R159" s="584"/>
    </row>
    <row r="160" spans="1:19" hidden="1">
      <c r="A160" s="97" t="s">
        <v>62</v>
      </c>
      <c r="B160" s="97"/>
      <c r="C160" s="97"/>
      <c r="D160" s="98"/>
      <c r="E160" s="98"/>
      <c r="F160" s="98"/>
      <c r="G160" s="98"/>
      <c r="H160" s="98"/>
      <c r="I160" s="100"/>
      <c r="J160" s="584"/>
      <c r="K160" s="584"/>
      <c r="L160" s="584"/>
      <c r="M160" s="584"/>
      <c r="N160" s="584"/>
      <c r="O160" s="584"/>
      <c r="P160" s="584"/>
      <c r="Q160" s="584"/>
      <c r="R160" s="584"/>
    </row>
    <row r="161" spans="1:20" hidden="1">
      <c r="A161" s="97" t="s">
        <v>63</v>
      </c>
      <c r="B161" s="97"/>
      <c r="C161" s="97"/>
      <c r="D161" s="98"/>
      <c r="E161" s="98"/>
      <c r="F161" s="98"/>
      <c r="G161" s="98"/>
      <c r="H161" s="98"/>
      <c r="I161" s="100"/>
      <c r="J161" s="584"/>
      <c r="K161" s="584"/>
      <c r="L161" s="584"/>
      <c r="M161" s="584"/>
      <c r="N161" s="584"/>
      <c r="O161" s="584"/>
      <c r="P161" s="584"/>
      <c r="Q161" s="584"/>
      <c r="R161" s="584"/>
    </row>
    <row r="162" spans="1:20" hidden="1">
      <c r="A162" s="97" t="s">
        <v>148</v>
      </c>
      <c r="B162" s="97"/>
      <c r="C162" s="97"/>
      <c r="D162" s="98"/>
      <c r="E162" s="98"/>
      <c r="F162" s="98"/>
      <c r="G162" s="98"/>
      <c r="H162" s="98"/>
      <c r="I162" s="100"/>
      <c r="J162" s="584"/>
      <c r="K162" s="584"/>
      <c r="L162" s="584"/>
      <c r="M162" s="584"/>
      <c r="N162" s="584"/>
      <c r="O162" s="584"/>
      <c r="P162" s="584"/>
      <c r="Q162" s="584"/>
      <c r="R162" s="584"/>
    </row>
    <row r="163" spans="1:20" hidden="1">
      <c r="A163" s="97"/>
      <c r="B163" s="97"/>
      <c r="C163" s="97"/>
      <c r="D163" s="98"/>
      <c r="E163" s="98"/>
      <c r="F163" s="98"/>
      <c r="G163" s="98"/>
      <c r="H163" s="98"/>
      <c r="I163" s="100"/>
      <c r="J163" s="584"/>
      <c r="K163" s="584"/>
      <c r="L163" s="584"/>
      <c r="M163" s="584"/>
      <c r="N163" s="584"/>
      <c r="O163" s="584"/>
      <c r="P163" s="584"/>
      <c r="Q163" s="584"/>
      <c r="R163" s="584"/>
    </row>
    <row r="164" spans="1:20" hidden="1">
      <c r="A164" s="97" t="s">
        <v>149</v>
      </c>
      <c r="B164" s="97"/>
      <c r="C164" s="97"/>
      <c r="D164" s="98"/>
      <c r="E164" s="98"/>
      <c r="F164" s="98"/>
      <c r="G164" s="98"/>
      <c r="H164" s="98"/>
      <c r="I164" s="108">
        <v>0.44550000000000001</v>
      </c>
      <c r="J164" s="108">
        <v>0.44550000000000001</v>
      </c>
      <c r="K164" s="108"/>
      <c r="L164" s="108"/>
      <c r="M164" s="108"/>
      <c r="N164" s="108"/>
      <c r="O164" s="584"/>
      <c r="P164" s="584"/>
      <c r="Q164" s="584"/>
      <c r="R164" s="584"/>
    </row>
    <row r="165" spans="1:20">
      <c r="A165" s="97" t="s">
        <v>692</v>
      </c>
      <c r="B165" s="97"/>
      <c r="C165" s="97"/>
      <c r="D165" s="98"/>
      <c r="E165" s="98"/>
      <c r="F165" s="98"/>
      <c r="G165" s="98"/>
      <c r="H165" s="98"/>
      <c r="I165" s="100">
        <v>0.27750000000000002</v>
      </c>
      <c r="J165" s="584"/>
      <c r="K165" s="584"/>
      <c r="L165" s="584"/>
      <c r="M165" s="584"/>
      <c r="N165" s="584"/>
      <c r="O165" s="584"/>
      <c r="P165" s="584"/>
      <c r="Q165" s="584"/>
      <c r="R165" s="584"/>
    </row>
    <row r="166" spans="1:20">
      <c r="A166" s="97" t="s">
        <v>150</v>
      </c>
      <c r="B166" s="97"/>
      <c r="C166" s="97"/>
      <c r="D166" s="98"/>
      <c r="E166" s="98"/>
      <c r="F166" s="98"/>
      <c r="G166" s="98"/>
      <c r="H166" s="98"/>
      <c r="I166" s="100" t="s">
        <v>151</v>
      </c>
      <c r="J166" s="584"/>
      <c r="K166" s="584"/>
      <c r="L166" s="584"/>
      <c r="M166" s="584"/>
      <c r="N166" s="584"/>
      <c r="O166" s="584"/>
      <c r="P166" s="584"/>
      <c r="Q166" s="584"/>
      <c r="R166" s="584"/>
    </row>
    <row r="168" spans="1:20">
      <c r="I168" s="109"/>
      <c r="J168" s="180"/>
      <c r="K168" s="180"/>
      <c r="L168" s="180"/>
      <c r="M168" s="180"/>
      <c r="N168" s="180"/>
    </row>
    <row r="169" spans="1:20">
      <c r="A169" s="2" t="s">
        <v>567</v>
      </c>
      <c r="G169" s="46">
        <v>7053</v>
      </c>
      <c r="H169" s="46">
        <v>37384</v>
      </c>
      <c r="I169" s="46">
        <v>54294</v>
      </c>
      <c r="J169" s="46">
        <v>33403</v>
      </c>
      <c r="K169" s="46"/>
      <c r="L169" s="677">
        <v>52406.567000000003</v>
      </c>
      <c r="M169" s="677">
        <v>52451.743000000002</v>
      </c>
      <c r="N169" s="46">
        <v>38199.002</v>
      </c>
      <c r="O169" s="46">
        <f>N169</f>
        <v>38199.002</v>
      </c>
      <c r="P169" s="46">
        <f>N169</f>
        <v>38199.002</v>
      </c>
      <c r="Q169" s="46">
        <f>O169</f>
        <v>38199.002</v>
      </c>
      <c r="R169" s="46">
        <f t="shared" ref="R169" si="115">Q169</f>
        <v>38199.002</v>
      </c>
      <c r="T169" s="588" t="s">
        <v>784</v>
      </c>
    </row>
    <row r="170" spans="1:20">
      <c r="A170" s="2" t="s">
        <v>568</v>
      </c>
      <c r="G170" s="81">
        <f>G169/G83</f>
        <v>6.3082482156592665E-2</v>
      </c>
      <c r="H170" s="81">
        <f>H169/H83</f>
        <v>0.32353933897028914</v>
      </c>
      <c r="I170" s="81">
        <f>I169/I83</f>
        <v>0.30211204161206917</v>
      </c>
      <c r="J170" s="81">
        <f>J169/J83</f>
        <v>0.10699526441451759</v>
      </c>
      <c r="K170" s="81"/>
      <c r="L170" s="81">
        <f t="shared" ref="L170" si="116">L169/L83</f>
        <v>0.40506064648219514</v>
      </c>
      <c r="M170" s="81">
        <f>M169/M83</f>
        <v>0.2454677753429462</v>
      </c>
      <c r="N170" s="81">
        <f>N169/N83</f>
        <v>0.12499707950764102</v>
      </c>
      <c r="O170" s="81"/>
      <c r="P170" s="81"/>
      <c r="Q170" s="81"/>
      <c r="R170" s="81"/>
    </row>
    <row r="173" spans="1:20" s="587" customFormat="1">
      <c r="A173" s="9" t="s">
        <v>586</v>
      </c>
      <c r="B173" s="2"/>
      <c r="C173" s="2"/>
      <c r="D173" s="3"/>
      <c r="E173" s="3"/>
      <c r="F173" s="3"/>
      <c r="G173" s="3"/>
      <c r="H173" s="3"/>
      <c r="I173" s="4"/>
    </row>
    <row r="174" spans="1:20" s="587" customFormat="1">
      <c r="A174" s="2" t="s">
        <v>587</v>
      </c>
      <c r="B174" s="2"/>
      <c r="C174" s="2"/>
      <c r="D174" s="3"/>
      <c r="E174" s="3"/>
      <c r="F174" s="3"/>
      <c r="G174" s="3"/>
      <c r="H174" s="3"/>
      <c r="I174" s="4"/>
      <c r="J174" s="756">
        <v>93128</v>
      </c>
      <c r="K174" s="756"/>
      <c r="L174" s="756"/>
      <c r="M174" s="756"/>
      <c r="N174" s="756"/>
      <c r="O174" s="756"/>
      <c r="P174" s="756"/>
      <c r="Q174" s="756"/>
      <c r="R174" s="756"/>
    </row>
    <row r="175" spans="1:20" s="587" customFormat="1">
      <c r="A175" s="2" t="s">
        <v>588</v>
      </c>
      <c r="B175" s="2"/>
      <c r="C175" s="2"/>
      <c r="D175" s="3"/>
      <c r="E175" s="3"/>
      <c r="F175" s="3"/>
      <c r="G175" s="3"/>
      <c r="H175" s="3"/>
      <c r="I175" s="4"/>
      <c r="J175" s="756"/>
      <c r="K175" s="756"/>
      <c r="L175" s="756"/>
      <c r="M175" s="756"/>
      <c r="N175" s="756"/>
      <c r="O175" s="756">
        <f>J174*50%</f>
        <v>46564</v>
      </c>
      <c r="P175" s="756"/>
      <c r="Q175" s="756"/>
      <c r="R175" s="756"/>
    </row>
    <row r="176" spans="1:20" s="587" customFormat="1">
      <c r="A176" s="2" t="s">
        <v>589</v>
      </c>
      <c r="B176" s="2"/>
      <c r="C176" s="2"/>
      <c r="D176" s="3"/>
      <c r="E176" s="3"/>
      <c r="F176" s="3"/>
      <c r="G176" s="3"/>
      <c r="H176" s="3"/>
      <c r="I176" s="4"/>
      <c r="J176" s="756"/>
      <c r="K176" s="756"/>
      <c r="L176" s="756"/>
      <c r="M176" s="756"/>
      <c r="N176" s="756"/>
      <c r="O176" s="756"/>
      <c r="P176" s="756">
        <f>J174*50%</f>
        <v>46564</v>
      </c>
      <c r="Q176" s="756"/>
      <c r="R176" s="756"/>
    </row>
    <row r="177" spans="1:20" s="587" customFormat="1">
      <c r="A177" s="2"/>
      <c r="B177" s="2"/>
      <c r="C177" s="2"/>
      <c r="D177" s="3"/>
      <c r="E177" s="3"/>
      <c r="F177" s="3"/>
      <c r="G177" s="3"/>
      <c r="H177" s="3"/>
      <c r="I177" s="4"/>
      <c r="J177" s="756"/>
      <c r="K177" s="756"/>
      <c r="L177" s="756"/>
      <c r="M177" s="756"/>
      <c r="N177" s="756"/>
      <c r="O177" s="756"/>
      <c r="P177" s="756"/>
      <c r="Q177" s="756"/>
      <c r="R177" s="756"/>
    </row>
    <row r="178" spans="1:20" s="587" customFormat="1">
      <c r="A178" s="9" t="s">
        <v>591</v>
      </c>
      <c r="B178" s="2"/>
      <c r="C178" s="2"/>
      <c r="D178" s="3"/>
      <c r="E178" s="3"/>
      <c r="F178" s="3"/>
      <c r="G178" s="3"/>
      <c r="H178" s="3"/>
      <c r="I178" s="4"/>
      <c r="J178" s="756"/>
      <c r="K178" s="756"/>
      <c r="L178" s="756"/>
      <c r="M178" s="756"/>
      <c r="N178" s="756"/>
      <c r="O178" s="756"/>
      <c r="P178" s="756"/>
      <c r="Q178" s="756"/>
      <c r="R178" s="756"/>
    </row>
    <row r="179" spans="1:20" s="587" customFormat="1">
      <c r="A179" s="2" t="s">
        <v>592</v>
      </c>
      <c r="B179" s="2"/>
      <c r="C179" s="2"/>
      <c r="D179" s="3"/>
      <c r="E179" s="3"/>
      <c r="F179" s="3"/>
      <c r="G179" s="3"/>
      <c r="H179" s="3"/>
      <c r="I179" s="4"/>
      <c r="J179" s="762">
        <f>1-5.777%</f>
        <v>0.94223000000000001</v>
      </c>
      <c r="K179" s="762"/>
      <c r="L179" s="762"/>
      <c r="M179" s="762"/>
      <c r="N179" s="762"/>
      <c r="O179" s="763">
        <v>0.84799999999999998</v>
      </c>
      <c r="P179" s="763">
        <f>O179</f>
        <v>0.84799999999999998</v>
      </c>
      <c r="Q179" s="763">
        <f t="shared" ref="Q179:R179" si="117">P179</f>
        <v>0.84799999999999998</v>
      </c>
      <c r="R179" s="763">
        <f t="shared" si="117"/>
        <v>0.84799999999999998</v>
      </c>
      <c r="T179" s="588" t="s">
        <v>693</v>
      </c>
    </row>
    <row r="180" spans="1:20" s="587" customFormat="1">
      <c r="A180" s="2" t="s">
        <v>593</v>
      </c>
      <c r="B180" s="2"/>
      <c r="C180" s="2"/>
      <c r="D180" s="3"/>
      <c r="E180" s="3"/>
      <c r="F180" s="3"/>
      <c r="G180" s="3"/>
      <c r="H180" s="756">
        <v>14350</v>
      </c>
      <c r="I180" s="756">
        <v>14390</v>
      </c>
      <c r="J180" s="756">
        <v>16220</v>
      </c>
      <c r="K180" s="756"/>
      <c r="L180" s="756"/>
      <c r="M180" s="756"/>
      <c r="N180" s="756"/>
      <c r="O180" s="46">
        <v>17666.666666666697</v>
      </c>
      <c r="P180" s="46">
        <v>20422.166666666697</v>
      </c>
      <c r="Q180" s="46">
        <v>23177</v>
      </c>
      <c r="R180" s="46">
        <f t="shared" ref="R180" si="118">Q180</f>
        <v>23177</v>
      </c>
      <c r="T180" s="588" t="s">
        <v>691</v>
      </c>
    </row>
    <row r="181" spans="1:20">
      <c r="A181" s="2" t="s">
        <v>594</v>
      </c>
    </row>
    <row r="182" spans="1:20">
      <c r="A182" s="2" t="s">
        <v>595</v>
      </c>
      <c r="O182" s="756">
        <f>O180*$J$191</f>
        <v>80289.700000000128</v>
      </c>
      <c r="P182" s="756">
        <f>P180*$J$191</f>
        <v>92812.620850000138</v>
      </c>
      <c r="Q182" s="756">
        <f>Q180*$J$191</f>
        <v>105332.5119</v>
      </c>
      <c r="R182" s="756">
        <f>R180*$J$191</f>
        <v>105332.5119</v>
      </c>
    </row>
    <row r="183" spans="1:20">
      <c r="A183" s="2" t="s">
        <v>596</v>
      </c>
      <c r="O183" s="756">
        <f>O182*(1-O179)</f>
        <v>12204.034400000022</v>
      </c>
      <c r="P183" s="756">
        <f t="shared" ref="P183:R183" si="119">P182*(1-P179)</f>
        <v>14107.518369200023</v>
      </c>
      <c r="Q183" s="756">
        <f t="shared" si="119"/>
        <v>16010.541808800002</v>
      </c>
      <c r="R183" s="756">
        <f t="shared" si="119"/>
        <v>16010.541808800002</v>
      </c>
    </row>
    <row r="185" spans="1:20" s="160" customFormat="1">
      <c r="A185" s="22" t="s">
        <v>597</v>
      </c>
      <c r="B185" s="22"/>
      <c r="C185" s="22"/>
      <c r="D185" s="938"/>
      <c r="E185" s="938"/>
      <c r="F185" s="938"/>
      <c r="G185" s="938"/>
      <c r="H185" s="938"/>
      <c r="I185" s="91"/>
      <c r="J185" s="795" t="s">
        <v>752</v>
      </c>
      <c r="K185" s="795"/>
      <c r="L185" s="795"/>
      <c r="M185" s="795"/>
      <c r="N185" s="795"/>
      <c r="O185" s="939">
        <v>27120.428400000001</v>
      </c>
      <c r="T185" s="795"/>
    </row>
    <row r="186" spans="1:20" s="160" customFormat="1">
      <c r="A186" s="22"/>
      <c r="B186" s="22"/>
      <c r="C186" s="22"/>
      <c r="D186" s="938"/>
      <c r="E186" s="938"/>
      <c r="F186" s="938"/>
      <c r="J186" s="940" t="s">
        <v>755</v>
      </c>
      <c r="K186" s="940"/>
      <c r="L186" s="940"/>
      <c r="M186" s="940"/>
      <c r="N186" s="940"/>
      <c r="O186" s="941">
        <f>O185-O187</f>
        <v>403.98910000000251</v>
      </c>
      <c r="T186" s="795"/>
    </row>
    <row r="187" spans="1:20" s="160" customFormat="1">
      <c r="A187" s="22"/>
      <c r="B187" s="22"/>
      <c r="C187" s="22"/>
      <c r="D187" s="938"/>
      <c r="E187" s="938"/>
      <c r="F187" s="938"/>
      <c r="J187" s="160" t="s">
        <v>753</v>
      </c>
      <c r="O187" s="939">
        <v>26716.439299999998</v>
      </c>
      <c r="T187" s="795"/>
    </row>
    <row r="188" spans="1:20" s="160" customFormat="1">
      <c r="A188" s="22"/>
      <c r="B188" s="22"/>
      <c r="C188" s="22"/>
      <c r="D188" s="938"/>
      <c r="E188" s="938"/>
      <c r="F188" s="938"/>
      <c r="T188" s="795"/>
    </row>
    <row r="189" spans="1:20" s="160" customFormat="1">
      <c r="A189" s="22"/>
      <c r="B189" s="22"/>
      <c r="C189" s="22"/>
      <c r="D189" s="938"/>
      <c r="E189" s="938"/>
      <c r="F189" s="938"/>
      <c r="T189" s="795"/>
    </row>
    <row r="190" spans="1:20">
      <c r="G190" s="938"/>
      <c r="H190" s="938"/>
      <c r="I190" s="91"/>
      <c r="J190" s="795" t="s">
        <v>754</v>
      </c>
      <c r="K190" s="795"/>
      <c r="L190" s="795"/>
      <c r="M190" s="795"/>
      <c r="N190" s="795"/>
      <c r="O190" s="939">
        <f>O187*$J$191</f>
        <v>121418.20168670999</v>
      </c>
    </row>
    <row r="191" spans="1:20">
      <c r="G191" s="938"/>
      <c r="H191" s="938"/>
      <c r="I191" s="91" t="s">
        <v>767</v>
      </c>
      <c r="J191" s="942">
        <v>4.5446999999999997</v>
      </c>
      <c r="K191" s="942"/>
      <c r="L191" s="942"/>
      <c r="M191" s="942"/>
      <c r="N191" s="942"/>
      <c r="O191" s="939"/>
    </row>
    <row r="192" spans="1:20">
      <c r="I192" s="4" t="s">
        <v>765</v>
      </c>
    </row>
  </sheetData>
  <phoneticPr fontId="49"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54"/>
  <sheetViews>
    <sheetView zoomScale="80" zoomScaleNormal="80" workbookViewId="0">
      <selection activeCell="X43" sqref="X43"/>
    </sheetView>
  </sheetViews>
  <sheetFormatPr defaultColWidth="9" defaultRowHeight="15.75"/>
  <cols>
    <col min="1" max="1" width="9" style="587" customWidth="1"/>
    <col min="2" max="2" width="23.625" style="587" bestFit="1" customWidth="1"/>
    <col min="3" max="7" width="9" style="587" hidden="1" customWidth="1"/>
    <col min="8" max="8" width="8.375" style="587" bestFit="1" customWidth="1"/>
    <col min="9" max="10" width="8.75" style="587" bestFit="1" customWidth="1"/>
    <col min="11" max="11" width="8.75" style="587" hidden="1" customWidth="1"/>
    <col min="12" max="12" width="8.75" style="587" customWidth="1"/>
    <col min="13" max="15" width="8.75" style="587" bestFit="1" customWidth="1"/>
    <col min="16" max="16" width="9.125" style="587" bestFit="1" customWidth="1"/>
    <col min="17" max="17" width="9" style="587"/>
    <col min="18" max="18" width="17" style="587" bestFit="1" customWidth="1"/>
    <col min="19" max="19" width="11.5" style="587" bestFit="1" customWidth="1"/>
    <col min="20" max="20" width="9" style="587"/>
    <col min="21" max="21" width="6.875" style="587" bestFit="1" customWidth="1"/>
    <col min="22" max="24" width="6.25" style="587" bestFit="1" customWidth="1"/>
    <col min="25" max="26" width="6.25" style="587" hidden="1" customWidth="1"/>
    <col min="27" max="27" width="9" style="587"/>
    <col min="28" max="28" width="25" style="587" customWidth="1"/>
    <col min="29" max="30" width="9" style="587"/>
    <col min="31" max="31" width="17.125" style="587" customWidth="1"/>
    <col min="32" max="32" width="17.375" style="587" bestFit="1" customWidth="1"/>
    <col min="33" max="33" width="17.5" style="587" bestFit="1" customWidth="1"/>
    <col min="34" max="34" width="16.5" style="587" customWidth="1"/>
    <col min="35" max="35" width="14.125" style="587" bestFit="1" customWidth="1"/>
    <col min="36" max="38" width="10.625" style="587" bestFit="1" customWidth="1"/>
    <col min="39" max="40" width="10.5" style="587" bestFit="1" customWidth="1"/>
    <col min="41" max="16384" width="9" style="587"/>
  </cols>
  <sheetData>
    <row r="1" spans="1:42" s="701" customFormat="1">
      <c r="A1" s="698"/>
      <c r="B1" s="698"/>
      <c r="C1" s="698"/>
      <c r="D1" s="698"/>
      <c r="E1" s="698"/>
      <c r="F1" s="698"/>
      <c r="G1" s="698"/>
      <c r="H1" s="698"/>
      <c r="I1" s="698"/>
      <c r="J1" s="699"/>
      <c r="K1" s="736"/>
      <c r="L1" s="736"/>
      <c r="M1" s="698"/>
      <c r="N1" s="698"/>
      <c r="O1" s="698"/>
      <c r="P1" s="698"/>
      <c r="Q1" s="698"/>
      <c r="R1" s="698"/>
      <c r="S1" s="698"/>
      <c r="T1" s="698"/>
      <c r="U1" s="698"/>
      <c r="V1" s="698"/>
      <c r="W1" s="698"/>
      <c r="X1" s="698"/>
      <c r="Y1" s="698"/>
      <c r="Z1" s="698"/>
      <c r="AA1" s="700"/>
      <c r="AB1" s="698"/>
      <c r="AC1" s="698"/>
      <c r="AD1" s="698"/>
      <c r="AE1" s="698"/>
      <c r="AF1" s="698"/>
      <c r="AG1" s="698"/>
      <c r="AH1" s="698"/>
      <c r="AI1" s="698"/>
      <c r="AJ1" s="698"/>
      <c r="AK1" s="698"/>
      <c r="AL1" s="698"/>
      <c r="AM1" s="698"/>
      <c r="AN1" s="698"/>
    </row>
    <row r="2" spans="1:42" s="701" customFormat="1">
      <c r="A2" s="698"/>
      <c r="B2" s="698"/>
      <c r="C2" s="698"/>
      <c r="D2" s="698"/>
      <c r="E2" s="698"/>
      <c r="F2" s="698"/>
      <c r="G2" s="698"/>
      <c r="H2" s="702" t="s">
        <v>0</v>
      </c>
      <c r="I2" s="702" t="s">
        <v>1</v>
      </c>
      <c r="J2" s="703" t="s">
        <v>27</v>
      </c>
      <c r="K2" s="923" t="s">
        <v>741</v>
      </c>
      <c r="L2" s="923" t="s">
        <v>734</v>
      </c>
      <c r="M2" s="704">
        <v>2018</v>
      </c>
      <c r="N2" s="704">
        <f t="shared" ref="N2:P2" si="0">M2+1</f>
        <v>2019</v>
      </c>
      <c r="O2" s="704">
        <f t="shared" si="0"/>
        <v>2020</v>
      </c>
      <c r="P2" s="704">
        <f t="shared" si="0"/>
        <v>2021</v>
      </c>
      <c r="Q2" s="698"/>
      <c r="R2" s="705" t="s">
        <v>2</v>
      </c>
      <c r="S2" s="706">
        <v>1</v>
      </c>
      <c r="T2" s="698"/>
      <c r="U2" s="704">
        <f>M2</f>
        <v>2018</v>
      </c>
      <c r="V2" s="704">
        <f>N2</f>
        <v>2019</v>
      </c>
      <c r="W2" s="704">
        <f>O2</f>
        <v>2020</v>
      </c>
      <c r="X2" s="704">
        <f>P2</f>
        <v>2021</v>
      </c>
      <c r="Y2" s="704"/>
      <c r="Z2" s="704"/>
      <c r="AA2" s="707"/>
      <c r="AB2" s="698"/>
      <c r="AC2" s="698"/>
      <c r="AD2" s="698"/>
      <c r="AG2" s="698"/>
      <c r="AH2" s="698"/>
      <c r="AI2" s="698"/>
      <c r="AJ2" s="698"/>
      <c r="AK2" s="698"/>
      <c r="AL2" s="698"/>
      <c r="AM2" s="698"/>
      <c r="AN2" s="698"/>
      <c r="AO2" s="698"/>
      <c r="AP2" s="698"/>
    </row>
    <row r="3" spans="1:42" s="701" customFormat="1">
      <c r="A3" s="698"/>
      <c r="B3" s="708" t="s">
        <v>3</v>
      </c>
      <c r="C3" s="698"/>
      <c r="D3" s="698"/>
      <c r="E3" s="698"/>
      <c r="F3" s="698"/>
      <c r="G3" s="698"/>
      <c r="H3" s="698"/>
      <c r="I3" s="698"/>
      <c r="J3" s="699"/>
      <c r="K3" s="736"/>
      <c r="L3" s="736"/>
      <c r="M3" s="698"/>
      <c r="N3" s="698"/>
      <c r="O3" s="698"/>
      <c r="P3" s="698"/>
      <c r="Q3" s="698"/>
      <c r="R3" s="698" t="s">
        <v>4</v>
      </c>
      <c r="S3" s="698"/>
      <c r="T3" s="698"/>
      <c r="U3" s="698"/>
      <c r="V3" s="698"/>
      <c r="W3" s="698"/>
      <c r="X3" s="698"/>
      <c r="Y3" s="698"/>
      <c r="Z3" s="698"/>
      <c r="AA3" s="700"/>
      <c r="AB3" s="698"/>
      <c r="AC3" s="587"/>
      <c r="AD3" s="698"/>
      <c r="AG3" s="698"/>
      <c r="AH3" s="698"/>
      <c r="AI3" s="698"/>
      <c r="AJ3" s="698"/>
      <c r="AK3" s="698"/>
      <c r="AL3" s="698"/>
      <c r="AM3" s="698"/>
      <c r="AN3" s="698"/>
      <c r="AO3" s="698"/>
      <c r="AP3" s="698"/>
    </row>
    <row r="4" spans="1:42" s="701" customFormat="1">
      <c r="A4" s="698"/>
      <c r="B4" s="709" t="s">
        <v>5</v>
      </c>
      <c r="C4" s="698"/>
      <c r="D4" s="698"/>
      <c r="E4" s="698"/>
      <c r="F4" s="698"/>
      <c r="G4" s="698"/>
      <c r="H4" s="698"/>
      <c r="I4" s="710">
        <f t="shared" ref="I4:I9" si="1">$I$12*I17</f>
        <v>1743493.3428</v>
      </c>
      <c r="J4" s="711">
        <f>$J$12*J17</f>
        <v>1830920.3413440001</v>
      </c>
      <c r="K4" s="710">
        <f>$K$12*J17</f>
        <v>379292.05998400005</v>
      </c>
      <c r="L4" s="710">
        <f>$L$12*J17</f>
        <v>400123.29161999997</v>
      </c>
      <c r="M4" s="712">
        <f>J4*(1+U5)</f>
        <v>1927027.1455357517</v>
      </c>
      <c r="N4" s="712">
        <f t="shared" ref="N4:P5" si="2">M4*(1+V5)</f>
        <v>1989689.6245589503</v>
      </c>
      <c r="O4" s="712">
        <f t="shared" si="2"/>
        <v>2071620.3567383084</v>
      </c>
      <c r="P4" s="712">
        <f t="shared" si="2"/>
        <v>2159659.2841948457</v>
      </c>
      <c r="Q4" s="698"/>
      <c r="R4" s="708" t="s">
        <v>6</v>
      </c>
      <c r="S4" s="698"/>
      <c r="T4" s="698"/>
      <c r="U4" s="698"/>
      <c r="V4" s="698"/>
      <c r="W4" s="698"/>
      <c r="X4" s="698"/>
      <c r="Y4" s="698"/>
      <c r="Z4" s="698"/>
      <c r="AA4" s="700"/>
      <c r="AB4" s="698"/>
      <c r="AC4" s="698"/>
      <c r="AD4" s="698"/>
      <c r="AG4" s="698"/>
      <c r="AH4" s="698"/>
      <c r="AI4" s="698"/>
      <c r="AJ4" s="698"/>
      <c r="AK4" s="698"/>
      <c r="AL4" s="698"/>
      <c r="AM4" s="698"/>
      <c r="AN4" s="698"/>
      <c r="AO4" s="698"/>
      <c r="AP4" s="713">
        <f t="shared" ref="AP4:AP10" si="3">O4/$O$12</f>
        <v>0.40872284040651879</v>
      </c>
    </row>
    <row r="5" spans="1:42" s="701" customFormat="1">
      <c r="A5" s="698"/>
      <c r="B5" s="709" t="s">
        <v>7</v>
      </c>
      <c r="C5" s="698"/>
      <c r="D5" s="698"/>
      <c r="E5" s="698"/>
      <c r="F5" s="698"/>
      <c r="G5" s="698"/>
      <c r="H5" s="698"/>
      <c r="I5" s="710">
        <f t="shared" si="1"/>
        <v>174349.33428000001</v>
      </c>
      <c r="J5" s="711">
        <f t="shared" ref="J5:J10" si="4">$J$12*J18</f>
        <v>367125.41548799997</v>
      </c>
      <c r="K5" s="710">
        <f t="shared" ref="K5:K10" si="5">$K$12*J18</f>
        <v>76053.420767999996</v>
      </c>
      <c r="L5" s="710">
        <f t="shared" ref="L5:L10" si="6">$L$12*J18</f>
        <v>80230.377240000002</v>
      </c>
      <c r="M5" s="712">
        <f>J5*(1+U6)</f>
        <v>371970.3655052284</v>
      </c>
      <c r="N5" s="712">
        <f t="shared" si="2"/>
        <v>371531.63594894181</v>
      </c>
      <c r="O5" s="712">
        <f t="shared" si="2"/>
        <v>381685.93244890071</v>
      </c>
      <c r="P5" s="712">
        <f t="shared" si="2"/>
        <v>394943.67131268134</v>
      </c>
      <c r="Q5" s="698"/>
      <c r="R5" s="698"/>
      <c r="S5" s="698" t="s">
        <v>5</v>
      </c>
      <c r="T5" s="698"/>
      <c r="U5" s="713">
        <f>CHOOSE($S$2,U9,U12)</f>
        <v>5.2490980640481411E-2</v>
      </c>
      <c r="V5" s="713">
        <f t="shared" ref="V5:X5" si="7">CHOOSE($S$2,V9,V12)</f>
        <v>3.2517693987012875E-2</v>
      </c>
      <c r="W5" s="713">
        <f t="shared" si="7"/>
        <v>4.1177644577364392E-2</v>
      </c>
      <c r="X5" s="713">
        <f t="shared" si="7"/>
        <v>4.2497616501100399E-2</v>
      </c>
      <c r="Y5" s="713">
        <f t="shared" ref="Y5:Z5" si="8">CHOOSE($S$2,Y9,Y12)</f>
        <v>4.3818943234332774E-2</v>
      </c>
      <c r="Z5" s="713" t="e">
        <f t="shared" si="8"/>
        <v>#REF!</v>
      </c>
      <c r="AA5" s="714"/>
      <c r="AB5" s="698"/>
      <c r="AC5" s="698"/>
      <c r="AD5" s="698"/>
      <c r="AG5" s="698"/>
      <c r="AH5" s="698"/>
      <c r="AI5" s="698"/>
      <c r="AJ5" s="698"/>
      <c r="AK5" s="698"/>
      <c r="AL5" s="698"/>
      <c r="AM5" s="698"/>
      <c r="AN5" s="698"/>
      <c r="AO5" s="698"/>
      <c r="AP5" s="713">
        <f t="shared" si="3"/>
        <v>7.5305187046601371E-2</v>
      </c>
    </row>
    <row r="6" spans="1:42" s="701" customFormat="1">
      <c r="A6" s="698"/>
      <c r="B6" s="709" t="s">
        <v>8</v>
      </c>
      <c r="C6" s="698"/>
      <c r="D6" s="698"/>
      <c r="E6" s="698"/>
      <c r="F6" s="698"/>
      <c r="G6" s="698"/>
      <c r="H6" s="698"/>
      <c r="I6" s="710">
        <f t="shared" si="1"/>
        <v>566635.33640999999</v>
      </c>
      <c r="J6" s="711">
        <f>$J$12*J19</f>
        <v>574221.80371200002</v>
      </c>
      <c r="K6" s="710">
        <f t="shared" si="5"/>
        <v>118955.35043200001</v>
      </c>
      <c r="L6" s="710">
        <f t="shared" si="6"/>
        <v>125488.53876</v>
      </c>
      <c r="M6" s="712">
        <f>J6*(1+U16)</f>
        <v>590687.03404938674</v>
      </c>
      <c r="N6" s="712">
        <f>M6*(1+V16)</f>
        <v>610852.59518657834</v>
      </c>
      <c r="O6" s="712">
        <f>N6*(1+W16)</f>
        <v>631539.67945662839</v>
      </c>
      <c r="P6" s="712">
        <f>O6*(1+X16)</f>
        <v>661341.00133425149</v>
      </c>
      <c r="Q6" s="698"/>
      <c r="R6" s="698"/>
      <c r="S6" s="698" t="s">
        <v>9</v>
      </c>
      <c r="T6" s="698"/>
      <c r="U6" s="715">
        <f t="shared" ref="U6:X6" si="9">CHOOSE($S$2,U10,U13)</f>
        <v>1.3196988856759795E-2</v>
      </c>
      <c r="V6" s="715">
        <f t="shared" si="9"/>
        <v>-1.1794744876804097E-3</v>
      </c>
      <c r="W6" s="715">
        <f t="shared" si="9"/>
        <v>2.7330906758514573E-2</v>
      </c>
      <c r="X6" s="715">
        <f t="shared" si="9"/>
        <v>3.4734680365919868E-2</v>
      </c>
      <c r="Y6" s="715">
        <f t="shared" ref="Y6:Z6" si="10">CHOOSE($S$2,Y10,Y13)</f>
        <v>3.5898955031570923E-2</v>
      </c>
      <c r="Z6" s="715" t="e">
        <f t="shared" si="10"/>
        <v>#REF!</v>
      </c>
      <c r="AA6" s="716"/>
      <c r="AB6" s="698"/>
      <c r="AC6" s="698"/>
      <c r="AD6" s="698"/>
      <c r="AG6" s="698"/>
      <c r="AH6" s="698"/>
      <c r="AI6" s="698"/>
      <c r="AJ6" s="698"/>
      <c r="AK6" s="698"/>
      <c r="AL6" s="698"/>
      <c r="AM6" s="698"/>
      <c r="AN6" s="698"/>
      <c r="AO6" s="698"/>
      <c r="AP6" s="713">
        <f t="shared" si="3"/>
        <v>0.12460038383835134</v>
      </c>
    </row>
    <row r="7" spans="1:42" s="701" customFormat="1">
      <c r="A7" s="698"/>
      <c r="B7" s="709" t="s">
        <v>10</v>
      </c>
      <c r="C7" s="698"/>
      <c r="D7" s="698"/>
      <c r="E7" s="698"/>
      <c r="F7" s="698"/>
      <c r="G7" s="698"/>
      <c r="H7" s="698"/>
      <c r="I7" s="710">
        <f t="shared" si="1"/>
        <v>828159.33782999997</v>
      </c>
      <c r="J7" s="711">
        <f t="shared" si="4"/>
        <v>861332.70556799998</v>
      </c>
      <c r="K7" s="710">
        <f t="shared" si="5"/>
        <v>178433.02564800001</v>
      </c>
      <c r="L7" s="710">
        <f t="shared" si="6"/>
        <v>188232.80813999998</v>
      </c>
      <c r="M7" s="712">
        <f>J7*(1+U20)</f>
        <v>824402.33326756733</v>
      </c>
      <c r="N7" s="712">
        <f>M7*(1+V20)</f>
        <v>797293.71856469323</v>
      </c>
      <c r="O7" s="712">
        <f>N7*(1+W20)</f>
        <v>763433.1665568602</v>
      </c>
      <c r="P7" s="712">
        <f>O7*(1+X20)</f>
        <v>725859.84814371681</v>
      </c>
      <c r="Q7" s="698"/>
      <c r="R7" s="698"/>
      <c r="S7" s="698"/>
      <c r="T7" s="698"/>
      <c r="U7" s="698"/>
      <c r="V7" s="698"/>
      <c r="W7" s="698"/>
      <c r="X7" s="698"/>
      <c r="Y7" s="698"/>
      <c r="Z7" s="698"/>
      <c r="AA7" s="700"/>
      <c r="AB7" s="698"/>
      <c r="AC7" s="698"/>
      <c r="AD7" s="698"/>
      <c r="AG7" s="698"/>
      <c r="AH7" s="698"/>
      <c r="AI7" s="698"/>
      <c r="AJ7" s="698"/>
      <c r="AK7" s="698"/>
      <c r="AL7" s="698"/>
      <c r="AM7" s="698"/>
      <c r="AN7" s="698"/>
      <c r="AO7" s="698"/>
      <c r="AP7" s="713">
        <f t="shared" si="3"/>
        <v>0.1506224686780675</v>
      </c>
    </row>
    <row r="8" spans="1:42" s="701" customFormat="1">
      <c r="A8" s="698"/>
      <c r="B8" s="709" t="s">
        <v>11</v>
      </c>
      <c r="C8" s="698"/>
      <c r="D8" s="698"/>
      <c r="E8" s="698"/>
      <c r="F8" s="698"/>
      <c r="G8" s="698"/>
      <c r="H8" s="698"/>
      <c r="I8" s="710">
        <f t="shared" si="1"/>
        <v>305111.33499</v>
      </c>
      <c r="J8" s="711">
        <f t="shared" si="4"/>
        <v>296524.37404799997</v>
      </c>
      <c r="K8" s="710">
        <f t="shared" si="5"/>
        <v>61427.762928000004</v>
      </c>
      <c r="L8" s="710">
        <f t="shared" si="6"/>
        <v>64801.45854</v>
      </c>
      <c r="M8" s="712">
        <f>J8*(1+U28)</f>
        <v>308335.74399781122</v>
      </c>
      <c r="N8" s="712">
        <f>M8*(1+V28)</f>
        <v>312182.719562168</v>
      </c>
      <c r="O8" s="712">
        <f>N8*(1+W28)</f>
        <v>310554.29808198521</v>
      </c>
      <c r="P8" s="712">
        <f>O8*(1+X28)</f>
        <v>310363.21995197085</v>
      </c>
      <c r="Q8" s="698"/>
      <c r="R8" s="698"/>
      <c r="S8" s="717" t="s">
        <v>12</v>
      </c>
      <c r="T8" s="698"/>
      <c r="U8" s="698"/>
      <c r="V8" s="698"/>
      <c r="W8" s="698"/>
      <c r="X8" s="698"/>
      <c r="Y8" s="698"/>
      <c r="Z8" s="698"/>
      <c r="AA8" s="700"/>
      <c r="AI8" s="844" t="s">
        <v>615</v>
      </c>
      <c r="AJ8" s="844">
        <v>2018</v>
      </c>
      <c r="AK8" s="844">
        <f>AJ8+1</f>
        <v>2019</v>
      </c>
      <c r="AL8" s="844">
        <f t="shared" ref="AL8:AN8" si="11">AK8+1</f>
        <v>2020</v>
      </c>
      <c r="AM8" s="844">
        <f t="shared" si="11"/>
        <v>2021</v>
      </c>
      <c r="AN8" s="844">
        <f t="shared" si="11"/>
        <v>2022</v>
      </c>
      <c r="AO8" s="698"/>
      <c r="AP8" s="713">
        <f t="shared" si="3"/>
        <v>6.1271185330679712E-2</v>
      </c>
    </row>
    <row r="9" spans="1:42" s="701" customFormat="1">
      <c r="A9" s="698"/>
      <c r="B9" s="709" t="s">
        <v>13</v>
      </c>
      <c r="C9" s="698"/>
      <c r="D9" s="698"/>
      <c r="E9" s="698"/>
      <c r="F9" s="698"/>
      <c r="G9" s="698"/>
      <c r="H9" s="698"/>
      <c r="I9" s="710">
        <f t="shared" si="1"/>
        <v>130762.00070999999</v>
      </c>
      <c r="J9" s="711">
        <f t="shared" si="4"/>
        <v>164735.76336000001</v>
      </c>
      <c r="K9" s="710">
        <f t="shared" si="5"/>
        <v>34126.534960000005</v>
      </c>
      <c r="L9" s="710">
        <f t="shared" si="6"/>
        <v>36000.810300000005</v>
      </c>
      <c r="M9" s="712">
        <f>J9*(1+U32)</f>
        <v>183277.92369857914</v>
      </c>
      <c r="N9" s="712">
        <f>M9*(1+V32)</f>
        <v>189666.75891550671</v>
      </c>
      <c r="O9" s="712">
        <f>N9*(1+W32)</f>
        <v>197508.3702916535</v>
      </c>
      <c r="P9" s="712">
        <f>O9*(1+X32)</f>
        <v>205902.62823992112</v>
      </c>
      <c r="Q9" s="698"/>
      <c r="R9" s="698"/>
      <c r="S9" s="705" t="s">
        <v>5</v>
      </c>
      <c r="T9" s="698"/>
      <c r="U9" s="713">
        <f t="shared" ref="U9:Y10" si="12">AJ9</f>
        <v>5.2490980640481411E-2</v>
      </c>
      <c r="V9" s="713">
        <f t="shared" si="12"/>
        <v>3.2517693987012875E-2</v>
      </c>
      <c r="W9" s="713">
        <f t="shared" si="12"/>
        <v>4.1177644577364392E-2</v>
      </c>
      <c r="X9" s="713">
        <f t="shared" si="12"/>
        <v>4.2497616501100399E-2</v>
      </c>
      <c r="Y9" s="713">
        <f t="shared" si="12"/>
        <v>4.3818943234332774E-2</v>
      </c>
      <c r="Z9" s="713" t="e">
        <f>#REF!</f>
        <v>#REF!</v>
      </c>
      <c r="AA9" s="714"/>
      <c r="AB9" s="723" t="s">
        <v>698</v>
      </c>
      <c r="AI9" s="698" t="s">
        <v>616</v>
      </c>
      <c r="AJ9" s="713">
        <f>Smartphones!F36</f>
        <v>5.2490980640481411E-2</v>
      </c>
      <c r="AK9" s="713">
        <f>Smartphones!G36</f>
        <v>3.2517693987012875E-2</v>
      </c>
      <c r="AL9" s="713">
        <f>Smartphones!H36</f>
        <v>4.1177644577364392E-2</v>
      </c>
      <c r="AM9" s="713">
        <f>Smartphones!I36</f>
        <v>4.2497616501100399E-2</v>
      </c>
      <c r="AN9" s="713">
        <f>Smartphones!J36</f>
        <v>4.3818943234332774E-2</v>
      </c>
      <c r="AO9" s="698"/>
      <c r="AP9" s="713">
        <f t="shared" si="3"/>
        <v>3.8967652469281376E-2</v>
      </c>
    </row>
    <row r="10" spans="1:42" s="701" customFormat="1" ht="19.899999999999999" customHeight="1">
      <c r="A10" s="698"/>
      <c r="B10" s="709" t="s">
        <v>14</v>
      </c>
      <c r="C10" s="698"/>
      <c r="D10" s="698"/>
      <c r="E10" s="698"/>
      <c r="F10" s="698"/>
      <c r="G10" s="698"/>
      <c r="H10" s="698"/>
      <c r="I10" s="710">
        <f>$I$12*I23</f>
        <v>610222.66998000001</v>
      </c>
      <c r="J10" s="711">
        <f t="shared" si="4"/>
        <v>611875.69247999997</v>
      </c>
      <c r="K10" s="710">
        <f t="shared" si="5"/>
        <v>126755.70128000001</v>
      </c>
      <c r="L10" s="710">
        <f t="shared" si="6"/>
        <v>133717.2954</v>
      </c>
      <c r="M10" s="712">
        <f>J10*(1+U24)</f>
        <v>657959.4521858826</v>
      </c>
      <c r="N10" s="712">
        <f>M10*(1+V24)</f>
        <v>694766.78380243643</v>
      </c>
      <c r="O10" s="712">
        <f>N10*(1+W24)</f>
        <v>712179.33578224841</v>
      </c>
      <c r="P10" s="712">
        <f>O10*(1+X24)</f>
        <v>715802.08765053807</v>
      </c>
      <c r="Q10" s="698"/>
      <c r="R10" s="698"/>
      <c r="S10" s="705" t="s">
        <v>9</v>
      </c>
      <c r="T10" s="698"/>
      <c r="U10" s="713">
        <f t="shared" si="12"/>
        <v>1.3196988856759795E-2</v>
      </c>
      <c r="V10" s="713">
        <f t="shared" si="12"/>
        <v>-1.1794744876804097E-3</v>
      </c>
      <c r="W10" s="713">
        <f t="shared" si="12"/>
        <v>2.7330906758514573E-2</v>
      </c>
      <c r="X10" s="713">
        <f t="shared" si="12"/>
        <v>3.4734680365919868E-2</v>
      </c>
      <c r="Y10" s="713">
        <f t="shared" si="12"/>
        <v>3.5898955031570923E-2</v>
      </c>
      <c r="Z10" s="713" t="e">
        <f>#REF!</f>
        <v>#REF!</v>
      </c>
      <c r="AA10" s="714"/>
      <c r="AI10" s="701" t="s">
        <v>617</v>
      </c>
      <c r="AJ10" s="713">
        <f>Smartphones!F35</f>
        <v>1.3196988856759795E-2</v>
      </c>
      <c r="AK10" s="713">
        <f>Smartphones!G35</f>
        <v>-1.1794744876804097E-3</v>
      </c>
      <c r="AL10" s="713">
        <f>Smartphones!H35</f>
        <v>2.7330906758514573E-2</v>
      </c>
      <c r="AM10" s="713">
        <f>Smartphones!I35</f>
        <v>3.4734680365919868E-2</v>
      </c>
      <c r="AN10" s="713">
        <f>Smartphones!J35</f>
        <v>3.5898955031570923E-2</v>
      </c>
      <c r="AO10" s="698"/>
      <c r="AP10" s="713">
        <f t="shared" si="3"/>
        <v>0.14051028223049986</v>
      </c>
    </row>
    <row r="11" spans="1:42" s="701" customFormat="1">
      <c r="A11" s="698"/>
      <c r="B11" s="698"/>
      <c r="C11" s="698"/>
      <c r="D11" s="698"/>
      <c r="E11" s="698"/>
      <c r="F11" s="698"/>
      <c r="G11" s="698"/>
      <c r="H11" s="698"/>
      <c r="I11" s="710"/>
      <c r="J11" s="711"/>
      <c r="K11" s="922"/>
      <c r="L11" s="922"/>
      <c r="M11" s="710"/>
      <c r="N11" s="710"/>
      <c r="O11" s="710"/>
      <c r="P11" s="698"/>
      <c r="Q11" s="698"/>
      <c r="R11" s="698"/>
      <c r="S11" s="717" t="s">
        <v>632</v>
      </c>
      <c r="T11" s="698"/>
      <c r="AA11" s="700"/>
      <c r="AB11" s="698"/>
      <c r="AC11" s="698"/>
      <c r="AD11" s="698"/>
      <c r="AG11" s="698"/>
      <c r="AH11" s="698"/>
      <c r="AI11" s="698"/>
      <c r="AJ11" s="698"/>
      <c r="AK11" s="698"/>
      <c r="AL11" s="698"/>
      <c r="AM11" s="698"/>
      <c r="AN11" s="698"/>
      <c r="AO11" s="698"/>
      <c r="AP11" s="698"/>
    </row>
    <row r="12" spans="1:42" s="701" customFormat="1">
      <c r="A12" s="698"/>
      <c r="B12" s="708" t="s">
        <v>15</v>
      </c>
      <c r="C12" s="698"/>
      <c r="D12" s="698"/>
      <c r="E12" s="698"/>
      <c r="F12" s="698">
        <f>FS!F3</f>
        <v>3952317.5</v>
      </c>
      <c r="G12" s="698">
        <f>FS!G3</f>
        <v>4213172</v>
      </c>
      <c r="H12" s="718">
        <f>[5]FS!H3</f>
        <v>4482146</v>
      </c>
      <c r="I12" s="719">
        <f>FS!I3</f>
        <v>4358733.3569999998</v>
      </c>
      <c r="J12" s="720">
        <f>FS!J3</f>
        <v>4706736.0959999999</v>
      </c>
      <c r="K12" s="719">
        <f>FS!M3</f>
        <v>975043.85600000003</v>
      </c>
      <c r="L12" s="719">
        <f>FS!N3</f>
        <v>1028594.58</v>
      </c>
      <c r="M12" s="719">
        <f t="shared" ref="M12:P12" si="13">SUM(M4:M10)</f>
        <v>4863659.9982402064</v>
      </c>
      <c r="N12" s="719">
        <f t="shared" si="13"/>
        <v>4965983.8365392741</v>
      </c>
      <c r="O12" s="719">
        <f t="shared" si="13"/>
        <v>5068521.1393565852</v>
      </c>
      <c r="P12" s="719">
        <f t="shared" si="13"/>
        <v>5173871.7408279255</v>
      </c>
      <c r="Q12" s="698"/>
      <c r="R12" s="698"/>
      <c r="S12" s="705" t="s">
        <v>5</v>
      </c>
      <c r="T12" s="698"/>
      <c r="U12" s="758">
        <v>-0.2</v>
      </c>
      <c r="V12" s="758">
        <f>U12</f>
        <v>-0.2</v>
      </c>
      <c r="W12" s="758">
        <v>-0.2</v>
      </c>
      <c r="X12" s="758">
        <f t="shared" ref="X12" si="14">W12</f>
        <v>-0.2</v>
      </c>
      <c r="Y12" s="758">
        <f t="shared" ref="Y12" si="15">X12</f>
        <v>-0.2</v>
      </c>
      <c r="Z12" s="758">
        <f t="shared" ref="Z12" si="16">Y12</f>
        <v>-0.2</v>
      </c>
      <c r="AA12" s="722"/>
      <c r="AB12" s="723" t="s">
        <v>731</v>
      </c>
      <c r="AC12" s="698"/>
      <c r="AD12" s="698"/>
      <c r="AG12" s="698"/>
      <c r="AH12" s="698"/>
      <c r="AO12" s="698"/>
      <c r="AP12" s="698"/>
    </row>
    <row r="13" spans="1:42" s="701" customFormat="1">
      <c r="A13" s="698"/>
      <c r="B13" s="698"/>
      <c r="C13" s="698"/>
      <c r="D13" s="698"/>
      <c r="E13" s="698"/>
      <c r="F13" s="698"/>
      <c r="G13" s="698"/>
      <c r="H13" s="698"/>
      <c r="I13" s="698"/>
      <c r="J13" s="699"/>
      <c r="K13" s="736"/>
      <c r="L13" s="736"/>
      <c r="M13" s="698"/>
      <c r="N13" s="698"/>
      <c r="O13" s="698"/>
      <c r="P13" s="698"/>
      <c r="Q13" s="698"/>
      <c r="R13" s="698"/>
      <c r="S13" s="705" t="s">
        <v>9</v>
      </c>
      <c r="T13" s="698"/>
      <c r="U13" s="721">
        <v>0</v>
      </c>
      <c r="V13" s="721">
        <v>0</v>
      </c>
      <c r="W13" s="721">
        <f>0.5*AL10</f>
        <v>1.3665453379257286E-2</v>
      </c>
      <c r="X13" s="721">
        <f>0.5*AM10</f>
        <v>1.7367340182959934E-2</v>
      </c>
      <c r="Y13" s="721">
        <f>0.5*AN10</f>
        <v>1.7949477515785461E-2</v>
      </c>
      <c r="Z13" s="721" t="e">
        <f>0.5*#REF!</f>
        <v>#REF!</v>
      </c>
      <c r="AA13" s="722"/>
      <c r="AB13" s="723" t="s">
        <v>730</v>
      </c>
      <c r="AC13" s="698"/>
      <c r="AD13" s="698"/>
      <c r="AG13" s="698"/>
      <c r="AH13" s="698"/>
      <c r="AO13" s="698"/>
      <c r="AP13" s="698"/>
    </row>
    <row r="14" spans="1:42" s="701" customFormat="1">
      <c r="A14" s="698"/>
      <c r="B14" s="724" t="s">
        <v>16</v>
      </c>
      <c r="C14" s="725"/>
      <c r="D14" s="725"/>
      <c r="E14" s="725"/>
      <c r="F14" s="725"/>
      <c r="G14" s="725"/>
      <c r="H14" s="725"/>
      <c r="I14" s="726">
        <f>I12/H12-1</f>
        <v>-2.7534275545687326E-2</v>
      </c>
      <c r="J14" s="727">
        <f>J12/I12-1</f>
        <v>7.9840336743957518E-2</v>
      </c>
      <c r="K14" s="924"/>
      <c r="L14" s="924">
        <f>L12/K12-1</f>
        <v>5.4921349096732186E-2</v>
      </c>
      <c r="M14" s="726">
        <f>M12/J12-1</f>
        <v>3.3340280618997964E-2</v>
      </c>
      <c r="N14" s="726">
        <f t="shared" ref="N14:P14" si="17">N12/M12-1</f>
        <v>2.1038443957038799E-2</v>
      </c>
      <c r="O14" s="726">
        <f t="shared" si="17"/>
        <v>2.0647933258028495E-2</v>
      </c>
      <c r="P14" s="726">
        <f t="shared" si="17"/>
        <v>2.078527416080056E-2</v>
      </c>
      <c r="Q14" s="698"/>
      <c r="R14" s="698"/>
      <c r="S14" s="698"/>
      <c r="T14" s="698"/>
      <c r="U14" s="698"/>
      <c r="V14" s="698"/>
      <c r="W14" s="698"/>
      <c r="X14" s="698"/>
      <c r="Y14" s="698"/>
      <c r="Z14" s="698"/>
      <c r="AA14" s="700"/>
      <c r="AB14" s="698"/>
      <c r="AC14" s="698"/>
      <c r="AD14" s="698"/>
      <c r="AG14" s="698"/>
      <c r="AH14" s="698"/>
      <c r="AO14" s="698"/>
      <c r="AP14" s="698"/>
    </row>
    <row r="15" spans="1:42" s="701" customFormat="1">
      <c r="A15" s="698"/>
      <c r="B15" s="698"/>
      <c r="C15" s="698"/>
      <c r="D15" s="698"/>
      <c r="E15" s="698"/>
      <c r="F15" s="698"/>
      <c r="G15" s="698"/>
      <c r="H15" s="698"/>
      <c r="I15" s="698"/>
      <c r="J15" s="699"/>
      <c r="K15" s="736"/>
      <c r="L15" s="736"/>
      <c r="M15" s="698"/>
      <c r="N15" s="698"/>
      <c r="O15" s="698"/>
      <c r="P15" s="698"/>
      <c r="Q15" s="698"/>
      <c r="R15" s="698"/>
      <c r="S15" s="698"/>
      <c r="T15" s="698"/>
      <c r="U15" s="698"/>
      <c r="V15" s="698"/>
      <c r="W15" s="698"/>
      <c r="X15" s="698"/>
      <c r="Y15" s="698"/>
      <c r="Z15" s="698"/>
      <c r="AA15" s="700"/>
      <c r="AB15" s="698"/>
      <c r="AC15" s="698"/>
      <c r="AD15" s="698"/>
      <c r="AG15" s="698"/>
      <c r="AH15" s="717" t="s">
        <v>748</v>
      </c>
      <c r="AI15" s="698"/>
      <c r="AJ15" s="698"/>
      <c r="AK15" s="698"/>
      <c r="AL15" s="698"/>
      <c r="AM15" s="698"/>
      <c r="AO15" s="698"/>
      <c r="AP15" s="698"/>
    </row>
    <row r="16" spans="1:42" s="701" customFormat="1">
      <c r="A16" s="698"/>
      <c r="B16" s="698" t="s">
        <v>17</v>
      </c>
      <c r="C16" s="698"/>
      <c r="D16" s="698"/>
      <c r="E16" s="698"/>
      <c r="F16" s="698"/>
      <c r="G16" s="698"/>
      <c r="H16" s="698"/>
      <c r="I16" s="698"/>
      <c r="J16" s="699"/>
      <c r="K16" s="736"/>
      <c r="L16" s="736"/>
      <c r="M16" s="698"/>
      <c r="N16" s="698"/>
      <c r="O16" s="698"/>
      <c r="P16" s="698"/>
      <c r="Q16" s="698"/>
      <c r="R16" s="948" t="s">
        <v>8</v>
      </c>
      <c r="S16" s="698"/>
      <c r="T16" s="698"/>
      <c r="U16" s="715">
        <f>CHOOSE($S$2,U17,U18)</f>
        <v>2.8673990139261196E-2</v>
      </c>
      <c r="V16" s="715">
        <f>CHOOSE($S$2,V17,V18)</f>
        <v>3.413916333823841E-2</v>
      </c>
      <c r="W16" s="715">
        <f>CHOOSE($S$2,W17,W18)</f>
        <v>3.3865918607960399E-2</v>
      </c>
      <c r="X16" s="715">
        <f>CHOOSE($S$2,X17,X18)</f>
        <v>4.7188360204482915E-2</v>
      </c>
      <c r="Y16" s="715">
        <f t="shared" ref="Y16:Z16" si="18">CHOOSE($S$2,Y17,Y18)</f>
        <v>1.04718836020448</v>
      </c>
      <c r="Z16" s="715">
        <f t="shared" si="18"/>
        <v>2.0471883602044798</v>
      </c>
      <c r="AA16" s="716"/>
      <c r="AG16" s="705"/>
      <c r="AH16" s="698" t="s">
        <v>468</v>
      </c>
      <c r="AI16" s="698">
        <v>2017</v>
      </c>
      <c r="AJ16" s="698">
        <v>2018</v>
      </c>
      <c r="AK16" s="698">
        <v>2019</v>
      </c>
      <c r="AL16" s="698">
        <v>2020</v>
      </c>
      <c r="AM16" s="698">
        <v>2021</v>
      </c>
      <c r="AO16" s="698"/>
      <c r="AP16" s="698"/>
    </row>
    <row r="17" spans="1:42" s="701" customFormat="1">
      <c r="A17" s="698"/>
      <c r="B17" s="709" t="s">
        <v>5</v>
      </c>
      <c r="C17" s="698"/>
      <c r="D17" s="698"/>
      <c r="E17" s="698"/>
      <c r="F17" s="698"/>
      <c r="G17" s="698"/>
      <c r="H17" s="698"/>
      <c r="I17" s="728">
        <v>0.4</v>
      </c>
      <c r="J17" s="729">
        <v>0.38900000000000001</v>
      </c>
      <c r="K17" s="925"/>
      <c r="L17" s="925"/>
      <c r="M17" s="698"/>
      <c r="N17" s="698"/>
      <c r="O17" s="698"/>
      <c r="P17" s="698"/>
      <c r="Q17" s="698"/>
      <c r="R17" s="698"/>
      <c r="S17" s="698" t="s">
        <v>18</v>
      </c>
      <c r="T17" s="698"/>
      <c r="U17" s="713">
        <v>2.8673990139261196E-2</v>
      </c>
      <c r="V17" s="713">
        <v>3.413916333823841E-2</v>
      </c>
      <c r="W17" s="713">
        <v>3.3865918607960399E-2</v>
      </c>
      <c r="X17" s="713">
        <v>4.7188360204482915E-2</v>
      </c>
      <c r="Y17" s="713">
        <v>1.04718836020448</v>
      </c>
      <c r="Z17" s="713">
        <v>2.0471883602044798</v>
      </c>
      <c r="AA17" s="730"/>
      <c r="AB17" s="737" t="s">
        <v>758</v>
      </c>
      <c r="AC17" s="698"/>
      <c r="AG17" s="698"/>
      <c r="AH17" s="698" t="s">
        <v>469</v>
      </c>
      <c r="AI17" s="698">
        <v>231.22</v>
      </c>
      <c r="AJ17" s="698">
        <v>237.85</v>
      </c>
      <c r="AK17" s="698">
        <v>245.97</v>
      </c>
      <c r="AL17" s="698">
        <v>254.3</v>
      </c>
      <c r="AM17" s="698">
        <v>266.3</v>
      </c>
      <c r="AO17" s="698"/>
      <c r="AP17" s="698"/>
    </row>
    <row r="18" spans="1:42" s="701" customFormat="1">
      <c r="A18" s="698"/>
      <c r="B18" s="709" t="s">
        <v>7</v>
      </c>
      <c r="C18" s="698"/>
      <c r="D18" s="698"/>
      <c r="E18" s="698"/>
      <c r="F18" s="698"/>
      <c r="G18" s="698"/>
      <c r="H18" s="698"/>
      <c r="I18" s="728">
        <v>0.04</v>
      </c>
      <c r="J18" s="729">
        <v>7.8E-2</v>
      </c>
      <c r="K18" s="925"/>
      <c r="L18" s="925"/>
      <c r="M18" s="698"/>
      <c r="N18" s="698"/>
      <c r="O18" s="698"/>
      <c r="P18" s="698"/>
      <c r="Q18" s="698"/>
      <c r="R18" s="698"/>
      <c r="S18" s="698" t="s">
        <v>633</v>
      </c>
      <c r="T18" s="698"/>
      <c r="U18" s="713">
        <f>U17*50%</f>
        <v>1.4336995069630598E-2</v>
      </c>
      <c r="V18" s="713">
        <f t="shared" ref="V18:X18" si="19">V17*50%</f>
        <v>1.7069581669119205E-2</v>
      </c>
      <c r="W18" s="713">
        <f t="shared" si="19"/>
        <v>1.69329593039802E-2</v>
      </c>
      <c r="X18" s="713">
        <f t="shared" si="19"/>
        <v>2.3594180102241458E-2</v>
      </c>
      <c r="Y18" s="713">
        <f t="shared" ref="Y18:Z18" si="20">Y17*50%</f>
        <v>0.52359418010224001</v>
      </c>
      <c r="Z18" s="713">
        <f t="shared" si="20"/>
        <v>1.0235941801022399</v>
      </c>
      <c r="AA18" s="731"/>
      <c r="AB18" s="737" t="s">
        <v>733</v>
      </c>
      <c r="AC18" s="698"/>
      <c r="AG18" s="698"/>
      <c r="AH18" s="698" t="s">
        <v>16</v>
      </c>
      <c r="AI18" s="698"/>
      <c r="AJ18" s="713">
        <f>AJ17/AI17-1</f>
        <v>2.8673990139261196E-2</v>
      </c>
      <c r="AK18" s="713">
        <f t="shared" ref="AK18:AM18" si="21">AK17/AJ17-1</f>
        <v>3.413916333823841E-2</v>
      </c>
      <c r="AL18" s="713">
        <f t="shared" si="21"/>
        <v>3.3865918607960399E-2</v>
      </c>
      <c r="AM18" s="713">
        <f t="shared" si="21"/>
        <v>4.7188360204482915E-2</v>
      </c>
      <c r="AO18" s="698"/>
      <c r="AP18" s="698"/>
    </row>
    <row r="19" spans="1:42" s="701" customFormat="1">
      <c r="A19" s="698"/>
      <c r="B19" s="709" t="s">
        <v>8</v>
      </c>
      <c r="C19" s="698"/>
      <c r="D19" s="698"/>
      <c r="E19" s="698"/>
      <c r="F19" s="698"/>
      <c r="G19" s="698"/>
      <c r="H19" s="698"/>
      <c r="I19" s="728">
        <v>0.13</v>
      </c>
      <c r="J19" s="729">
        <v>0.122</v>
      </c>
      <c r="K19" s="925"/>
      <c r="L19" s="925"/>
      <c r="M19" s="698"/>
      <c r="N19" s="698"/>
      <c r="O19" s="698"/>
      <c r="P19" s="698"/>
      <c r="Q19" s="698"/>
      <c r="R19" s="698"/>
      <c r="S19" s="698"/>
      <c r="T19" s="698"/>
      <c r="U19" s="698"/>
      <c r="V19" s="698"/>
      <c r="W19" s="698"/>
      <c r="X19" s="698"/>
      <c r="Y19" s="698"/>
      <c r="Z19" s="698"/>
      <c r="AA19" s="700"/>
      <c r="AB19" s="698"/>
      <c r="AC19" s="698"/>
      <c r="AD19" s="698"/>
      <c r="AG19" s="698"/>
      <c r="AH19" s="698"/>
      <c r="AI19" s="698"/>
      <c r="AJ19" s="698"/>
      <c r="AK19" s="698"/>
      <c r="AL19" s="698"/>
      <c r="AM19" s="698"/>
      <c r="AN19" s="698"/>
      <c r="AO19" s="698"/>
      <c r="AP19" s="698"/>
    </row>
    <row r="20" spans="1:42" s="701" customFormat="1">
      <c r="A20" s="698"/>
      <c r="B20" s="709" t="s">
        <v>10</v>
      </c>
      <c r="C20" s="698"/>
      <c r="D20" s="698"/>
      <c r="E20" s="698"/>
      <c r="F20" s="698"/>
      <c r="G20" s="698"/>
      <c r="H20" s="698"/>
      <c r="I20" s="728">
        <v>0.19</v>
      </c>
      <c r="J20" s="729">
        <v>0.183</v>
      </c>
      <c r="K20" s="925"/>
      <c r="L20" s="925"/>
      <c r="M20" s="698"/>
      <c r="N20" s="698"/>
      <c r="O20" s="698"/>
      <c r="P20" s="698"/>
      <c r="Q20" s="698"/>
      <c r="R20" s="708" t="s">
        <v>697</v>
      </c>
      <c r="S20" s="698"/>
      <c r="T20" s="698"/>
      <c r="U20" s="715">
        <f>CHOOSE($S$2,U21,U22)</f>
        <v>-4.2875850483442557E-2</v>
      </c>
      <c r="V20" s="715">
        <f>CHOOSE($S$2,V21,V22)</f>
        <v>-3.2882748639766035E-2</v>
      </c>
      <c r="W20" s="715">
        <f>CHOOSE($S$2,W21,W22)</f>
        <v>-4.2469357552182396E-2</v>
      </c>
      <c r="X20" s="715">
        <f>CHOOSE($S$2,X21,X22)</f>
        <v>-4.9216251086656171E-2</v>
      </c>
      <c r="Y20" s="715">
        <f t="shared" ref="Y20:Z20" si="22">CHOOSE($S$2,Y21,Y22)</f>
        <v>0.95176463525684896</v>
      </c>
      <c r="Z20" s="715">
        <f t="shared" si="22"/>
        <v>1.9517646352568501</v>
      </c>
      <c r="AA20" s="700"/>
      <c r="AB20" s="698"/>
      <c r="AC20" s="698"/>
      <c r="AG20" s="698" t="s">
        <v>287</v>
      </c>
      <c r="AH20" s="698" t="s">
        <v>20</v>
      </c>
      <c r="AI20" s="698" t="s">
        <v>21</v>
      </c>
      <c r="AJ20" s="698" t="s">
        <v>22</v>
      </c>
      <c r="AK20" s="698" t="s">
        <v>23</v>
      </c>
      <c r="AL20" s="698" t="s">
        <v>24</v>
      </c>
      <c r="AM20" s="698" t="s">
        <v>25</v>
      </c>
      <c r="AN20" s="698" t="s">
        <v>619</v>
      </c>
      <c r="AO20" s="698"/>
      <c r="AP20" s="698"/>
    </row>
    <row r="21" spans="1:42" s="701" customFormat="1">
      <c r="A21" s="698"/>
      <c r="B21" s="709" t="s">
        <v>11</v>
      </c>
      <c r="C21" s="698"/>
      <c r="D21" s="698"/>
      <c r="E21" s="698"/>
      <c r="F21" s="698"/>
      <c r="G21" s="698"/>
      <c r="H21" s="698"/>
      <c r="I21" s="728">
        <v>7.0000000000000007E-2</v>
      </c>
      <c r="J21" s="729">
        <v>6.3E-2</v>
      </c>
      <c r="K21" s="925"/>
      <c r="L21" s="925"/>
      <c r="M21" s="698"/>
      <c r="N21" s="698"/>
      <c r="O21" s="698"/>
      <c r="P21" s="698"/>
      <c r="Q21" s="698"/>
      <c r="R21" s="698"/>
      <c r="S21" s="698" t="s">
        <v>18</v>
      </c>
      <c r="T21" s="698"/>
      <c r="U21" s="713">
        <v>-4.2875850483442557E-2</v>
      </c>
      <c r="V21" s="713">
        <v>-3.2882748639766035E-2</v>
      </c>
      <c r="W21" s="713">
        <v>-4.2469357552182396E-2</v>
      </c>
      <c r="X21" s="713">
        <v>-4.9216251086656171E-2</v>
      </c>
      <c r="Y21" s="713">
        <v>0.95176463525684896</v>
      </c>
      <c r="Z21" s="713">
        <v>1.9517646352568501</v>
      </c>
      <c r="AA21" s="700"/>
      <c r="AB21" s="723" t="s">
        <v>727</v>
      </c>
      <c r="AC21" s="698"/>
      <c r="AF21" s="698" t="s">
        <v>725</v>
      </c>
      <c r="AG21" s="921">
        <v>243415.29902081584</v>
      </c>
      <c r="AH21" s="921">
        <v>219919.65802065955</v>
      </c>
      <c r="AI21" s="921">
        <v>204454.20523433859</v>
      </c>
      <c r="AJ21" s="921">
        <v>195688.05730000001</v>
      </c>
      <c r="AK21" s="921">
        <v>189253.29609999998</v>
      </c>
      <c r="AL21" s="921">
        <v>181215.83020000003</v>
      </c>
      <c r="AM21" s="921">
        <v>172297.06639999998</v>
      </c>
      <c r="AN21" s="921">
        <v>165022.62549999997</v>
      </c>
      <c r="AO21" s="698"/>
      <c r="AP21" s="698"/>
    </row>
    <row r="22" spans="1:42" s="701" customFormat="1">
      <c r="A22" s="698"/>
      <c r="B22" s="709" t="s">
        <v>13</v>
      </c>
      <c r="C22" s="698"/>
      <c r="D22" s="698"/>
      <c r="E22" s="698"/>
      <c r="F22" s="698"/>
      <c r="G22" s="698"/>
      <c r="H22" s="698"/>
      <c r="I22" s="728">
        <v>0.03</v>
      </c>
      <c r="J22" s="729">
        <v>3.5000000000000003E-2</v>
      </c>
      <c r="K22" s="925"/>
      <c r="L22" s="925"/>
      <c r="M22" s="698"/>
      <c r="N22" s="698"/>
      <c r="O22" s="698"/>
      <c r="P22" s="698"/>
      <c r="Q22" s="698"/>
      <c r="R22" s="698"/>
      <c r="S22" s="698" t="s">
        <v>633</v>
      </c>
      <c r="T22" s="698"/>
      <c r="U22" s="713">
        <f>1.5*U21</f>
        <v>-6.4313775725163835E-2</v>
      </c>
      <c r="V22" s="713">
        <f t="shared" ref="V22:X22" si="23">1.5*V21</f>
        <v>-4.9324122959649053E-2</v>
      </c>
      <c r="W22" s="713">
        <f t="shared" si="23"/>
        <v>-6.3704036328273594E-2</v>
      </c>
      <c r="X22" s="713">
        <f t="shared" si="23"/>
        <v>-7.3824376629984256E-2</v>
      </c>
      <c r="Y22" s="713">
        <f t="shared" ref="Y22:Z22" si="24">1.5*Y21</f>
        <v>1.4276469528852735</v>
      </c>
      <c r="Z22" s="713">
        <f t="shared" si="24"/>
        <v>2.9276469528852749</v>
      </c>
      <c r="AA22" s="700"/>
      <c r="AB22" s="723" t="s">
        <v>732</v>
      </c>
      <c r="AC22" s="698"/>
      <c r="AF22" s="698" t="s">
        <v>726</v>
      </c>
      <c r="AG22" s="698"/>
      <c r="AH22" s="698"/>
      <c r="AI22" s="698"/>
      <c r="AJ22" s="713">
        <v>-4.2875850483442557E-2</v>
      </c>
      <c r="AK22" s="713">
        <v>-3.2882748639766035E-2</v>
      </c>
      <c r="AL22" s="713">
        <v>-4.2469357552182396E-2</v>
      </c>
      <c r="AM22" s="713">
        <v>-4.9216251086656171E-2</v>
      </c>
      <c r="AN22" s="713">
        <v>-4.2220341019108654E-2</v>
      </c>
      <c r="AO22" s="698"/>
      <c r="AP22" s="698"/>
    </row>
    <row r="23" spans="1:42" s="701" customFormat="1">
      <c r="A23" s="698"/>
      <c r="B23" s="709" t="s">
        <v>14</v>
      </c>
      <c r="C23" s="698"/>
      <c r="D23" s="698"/>
      <c r="E23" s="698"/>
      <c r="F23" s="698"/>
      <c r="G23" s="698"/>
      <c r="H23" s="698"/>
      <c r="I23" s="728">
        <v>0.14000000000000001</v>
      </c>
      <c r="J23" s="729">
        <v>0.13</v>
      </c>
      <c r="K23" s="925"/>
      <c r="L23" s="925"/>
      <c r="M23" s="698"/>
      <c r="N23" s="698"/>
      <c r="O23" s="698"/>
      <c r="P23" s="698"/>
      <c r="Q23" s="698"/>
      <c r="R23" s="698"/>
      <c r="S23" s="698"/>
      <c r="T23" s="698"/>
      <c r="U23" s="698"/>
      <c r="V23" s="698"/>
      <c r="W23" s="698"/>
      <c r="X23" s="698"/>
      <c r="Y23" s="698"/>
      <c r="Z23" s="698"/>
      <c r="AA23" s="700"/>
      <c r="AB23" s="698"/>
      <c r="AC23" s="698"/>
      <c r="AD23" s="698"/>
      <c r="AO23" s="698"/>
      <c r="AP23" s="698"/>
    </row>
    <row r="24" spans="1:42" s="701" customFormat="1">
      <c r="A24" s="698"/>
      <c r="B24" s="698"/>
      <c r="C24" s="698"/>
      <c r="D24" s="698"/>
      <c r="E24" s="698"/>
      <c r="F24" s="698"/>
      <c r="G24" s="698"/>
      <c r="H24" s="698"/>
      <c r="I24" s="698"/>
      <c r="J24" s="732"/>
      <c r="K24" s="926"/>
      <c r="L24" s="926"/>
      <c r="M24" s="698"/>
      <c r="N24" s="698"/>
      <c r="O24" s="698"/>
      <c r="P24" s="698"/>
      <c r="Q24" s="698"/>
      <c r="R24" s="948" t="s">
        <v>19</v>
      </c>
      <c r="S24" s="698"/>
      <c r="T24" s="698"/>
      <c r="U24" s="715">
        <f>CHOOSE($S$2,U25,U26)</f>
        <v>7.5315558817347528E-2</v>
      </c>
      <c r="V24" s="715">
        <f>CHOOSE($S$2,V25,V26)</f>
        <v>5.5941641227695627E-2</v>
      </c>
      <c r="W24" s="715">
        <f>CHOOSE($S$2,W25,W26)</f>
        <v>2.5062441650583356E-2</v>
      </c>
      <c r="X24" s="715">
        <f>CHOOSE($S$2,X25,X26)</f>
        <v>5.0868533896879509E-3</v>
      </c>
      <c r="Y24" s="715">
        <f t="shared" ref="Y24:Z24" si="25">CHOOSE($S$2,Y25,Y26)</f>
        <v>0.97183055102317095</v>
      </c>
      <c r="Z24" s="715">
        <f t="shared" si="25"/>
        <v>1.97183055102317</v>
      </c>
      <c r="AA24" s="700"/>
      <c r="AB24" s="698"/>
      <c r="AC24" s="698"/>
      <c r="AD24" s="698"/>
      <c r="AG24" s="698" t="s">
        <v>324</v>
      </c>
      <c r="AH24" s="698" t="s">
        <v>325</v>
      </c>
      <c r="AI24" s="698" t="s">
        <v>326</v>
      </c>
      <c r="AJ24" s="698" t="s">
        <v>327</v>
      </c>
      <c r="AK24" s="698" t="s">
        <v>328</v>
      </c>
      <c r="AL24" s="698" t="s">
        <v>329</v>
      </c>
      <c r="AM24" s="698" t="s">
        <v>330</v>
      </c>
      <c r="AN24" s="698" t="s">
        <v>776</v>
      </c>
      <c r="AO24" s="698"/>
      <c r="AP24" s="698"/>
    </row>
    <row r="25" spans="1:42" s="701" customFormat="1">
      <c r="A25" s="698"/>
      <c r="B25" s="698"/>
      <c r="C25" s="698"/>
      <c r="D25" s="698"/>
      <c r="E25" s="698"/>
      <c r="F25" s="698"/>
      <c r="G25" s="698"/>
      <c r="H25" s="698"/>
      <c r="I25" s="698"/>
      <c r="J25" s="699"/>
      <c r="K25" s="736"/>
      <c r="L25" s="736"/>
      <c r="M25" s="698"/>
      <c r="N25" s="698"/>
      <c r="O25" s="698"/>
      <c r="P25" s="698"/>
      <c r="Q25" s="698"/>
      <c r="R25" s="698"/>
      <c r="S25" s="698" t="s">
        <v>18</v>
      </c>
      <c r="T25" s="698"/>
      <c r="U25" s="713">
        <v>7.5315558817347528E-2</v>
      </c>
      <c r="V25" s="713">
        <v>5.5941641227695627E-2</v>
      </c>
      <c r="W25" s="713">
        <v>2.5062441650583356E-2</v>
      </c>
      <c r="X25" s="713">
        <v>5.0868533896879509E-3</v>
      </c>
      <c r="Y25" s="713">
        <v>0.97183055102317095</v>
      </c>
      <c r="Z25" s="713">
        <v>1.97183055102317</v>
      </c>
      <c r="AA25" s="700"/>
      <c r="AB25" s="723" t="s">
        <v>783</v>
      </c>
      <c r="AC25" s="698"/>
      <c r="AD25" s="698"/>
      <c r="AF25" s="701" t="s">
        <v>781</v>
      </c>
      <c r="AG25" s="921">
        <v>467196.73360340728</v>
      </c>
      <c r="AH25" s="921">
        <v>504407.09831540834</v>
      </c>
      <c r="AI25" s="921">
        <v>623273.9812722333</v>
      </c>
      <c r="AJ25" s="921">
        <v>670216.2094680646</v>
      </c>
      <c r="AK25" s="921">
        <v>707709.20420311322</v>
      </c>
      <c r="AL25" s="921">
        <v>725446.12483903451</v>
      </c>
      <c r="AM25" s="921">
        <v>729136.362918208</v>
      </c>
      <c r="AN25" s="921">
        <v>718860.55479035561</v>
      </c>
      <c r="AP25" s="701" t="s">
        <v>782</v>
      </c>
    </row>
    <row r="26" spans="1:42" s="701" customFormat="1">
      <c r="A26" s="698"/>
      <c r="B26" s="698"/>
      <c r="C26" s="698"/>
      <c r="D26" s="698"/>
      <c r="E26" s="698"/>
      <c r="F26" s="698"/>
      <c r="G26" s="698"/>
      <c r="H26" s="698"/>
      <c r="I26" s="698"/>
      <c r="J26" s="699"/>
      <c r="K26" s="736"/>
      <c r="L26" s="736"/>
      <c r="M26" s="698"/>
      <c r="N26" s="698"/>
      <c r="O26" s="698"/>
      <c r="P26" s="698"/>
      <c r="Q26" s="698"/>
      <c r="R26" s="698"/>
      <c r="S26" s="698" t="s">
        <v>633</v>
      </c>
      <c r="T26" s="698"/>
      <c r="U26" s="713">
        <v>0</v>
      </c>
      <c r="V26" s="713">
        <f>0.5*V25</f>
        <v>2.7970820613847813E-2</v>
      </c>
      <c r="W26" s="713">
        <f t="shared" ref="W26:X26" si="26">0.5*W25</f>
        <v>1.2531220825291678E-2</v>
      </c>
      <c r="X26" s="713">
        <f t="shared" si="26"/>
        <v>2.5434266948439754E-3</v>
      </c>
      <c r="Y26" s="713">
        <f t="shared" ref="Y26:Z26" si="27">2*Y25</f>
        <v>1.9436611020463419</v>
      </c>
      <c r="Z26" s="713">
        <f t="shared" si="27"/>
        <v>3.9436611020463399</v>
      </c>
      <c r="AA26" s="700"/>
      <c r="AB26" s="723" t="s">
        <v>785</v>
      </c>
      <c r="AC26" s="698"/>
      <c r="AD26" s="698"/>
      <c r="AF26" s="701" t="s">
        <v>780</v>
      </c>
      <c r="AG26" s="698"/>
      <c r="AH26" s="713">
        <v>7.9646029254108797E-2</v>
      </c>
      <c r="AI26" s="713">
        <v>0.23565664193428315</v>
      </c>
      <c r="AJ26" s="713">
        <v>7.5315558817347528E-2</v>
      </c>
      <c r="AK26" s="713">
        <v>5.5941641227695627E-2</v>
      </c>
      <c r="AL26" s="713">
        <v>2.5062441650583356E-2</v>
      </c>
      <c r="AM26" s="713">
        <v>5.0868533896879509E-3</v>
      </c>
      <c r="AN26" s="713">
        <v>-1.4093122563145433E-2</v>
      </c>
      <c r="AO26" s="698"/>
      <c r="AP26" s="698"/>
    </row>
    <row r="27" spans="1:42" s="701" customFormat="1">
      <c r="A27" s="698"/>
      <c r="B27" s="698"/>
      <c r="C27" s="698"/>
      <c r="D27" s="698"/>
      <c r="E27" s="698"/>
      <c r="F27" s="698"/>
      <c r="G27" s="698"/>
      <c r="H27" s="698"/>
      <c r="I27" s="698"/>
      <c r="J27" s="699"/>
      <c r="K27" s="736"/>
      <c r="L27" s="736"/>
      <c r="M27" s="698"/>
      <c r="N27" s="698"/>
      <c r="O27" s="698"/>
      <c r="P27" s="698"/>
      <c r="Q27" s="698"/>
      <c r="R27" s="698"/>
      <c r="S27" s="698"/>
      <c r="T27" s="698"/>
      <c r="U27" s="698"/>
      <c r="V27" s="698"/>
      <c r="W27" s="698"/>
      <c r="X27" s="698"/>
      <c r="Y27" s="698"/>
      <c r="Z27" s="698"/>
      <c r="AA27" s="700"/>
      <c r="AB27" s="733"/>
      <c r="AC27" s="698"/>
      <c r="AD27" s="698"/>
      <c r="AG27" s="698"/>
      <c r="AH27" s="698"/>
      <c r="AI27" s="698"/>
      <c r="AJ27" s="698"/>
      <c r="AK27" s="698"/>
      <c r="AL27" s="698"/>
      <c r="AM27" s="698"/>
      <c r="AN27" s="698"/>
      <c r="AO27" s="698"/>
      <c r="AP27" s="698"/>
    </row>
    <row r="28" spans="1:42" s="701" customFormat="1">
      <c r="A28" s="698"/>
      <c r="B28" s="698"/>
      <c r="C28" s="698"/>
      <c r="D28" s="698"/>
      <c r="E28" s="698"/>
      <c r="F28" s="698"/>
      <c r="G28" s="698"/>
      <c r="H28" s="698"/>
      <c r="I28" s="698"/>
      <c r="J28" s="699"/>
      <c r="K28" s="736"/>
      <c r="L28" s="736"/>
      <c r="M28" s="698"/>
      <c r="N28" s="698"/>
      <c r="O28" s="698"/>
      <c r="P28" s="698"/>
      <c r="Q28" s="698"/>
      <c r="R28" s="708" t="s">
        <v>11</v>
      </c>
      <c r="S28" s="698"/>
      <c r="T28" s="698"/>
      <c r="U28" s="715">
        <f>CHOOSE($S$2,U29,U30)</f>
        <v>3.983271185625803E-2</v>
      </c>
      <c r="V28" s="715">
        <f>CHOOSE($S$2,V29,V30)</f>
        <v>1.2476579959487477E-2</v>
      </c>
      <c r="W28" s="715">
        <f>CHOOSE($S$2,W29,W30)</f>
        <v>-5.2162447763497433E-3</v>
      </c>
      <c r="X28" s="715">
        <f>CHOOSE($S$2,X29,X30)</f>
        <v>-6.1528090641305155E-4</v>
      </c>
      <c r="Y28" s="715">
        <f t="shared" ref="Y28:Z28" si="28">CHOOSE($S$2,Y29,Y30)</f>
        <v>5.7346869852639148E-3</v>
      </c>
      <c r="Z28" s="715">
        <f t="shared" si="28"/>
        <v>2.9727334706741715E-3</v>
      </c>
      <c r="AA28" s="700"/>
      <c r="AB28" s="698"/>
      <c r="AC28" s="698"/>
      <c r="AD28" s="698"/>
      <c r="AG28" s="698"/>
      <c r="AH28" s="698"/>
      <c r="AI28" s="698"/>
      <c r="AJ28" s="698" t="s">
        <v>22</v>
      </c>
      <c r="AK28" s="698" t="s">
        <v>23</v>
      </c>
      <c r="AL28" s="698" t="s">
        <v>24</v>
      </c>
      <c r="AM28" s="698" t="s">
        <v>25</v>
      </c>
      <c r="AN28" s="698" t="s">
        <v>619</v>
      </c>
      <c r="AO28" s="698"/>
      <c r="AP28" s="698"/>
    </row>
    <row r="29" spans="1:42" s="701" customFormat="1">
      <c r="A29" s="698"/>
      <c r="B29" s="698"/>
      <c r="C29" s="698"/>
      <c r="D29" s="698"/>
      <c r="E29" s="698"/>
      <c r="F29" s="698"/>
      <c r="G29" s="698"/>
      <c r="H29" s="698"/>
      <c r="I29" s="698"/>
      <c r="J29" s="699"/>
      <c r="K29" s="736"/>
      <c r="L29" s="736"/>
      <c r="M29" s="698"/>
      <c r="N29" s="698"/>
      <c r="O29" s="698"/>
      <c r="P29" s="698"/>
      <c r="Q29" s="698"/>
      <c r="R29" s="698"/>
      <c r="S29" s="698" t="s">
        <v>18</v>
      </c>
      <c r="T29" s="698"/>
      <c r="U29" s="713">
        <v>3.983271185625803E-2</v>
      </c>
      <c r="V29" s="713">
        <v>1.2476579959487477E-2</v>
      </c>
      <c r="W29" s="713">
        <v>-5.2162447763497433E-3</v>
      </c>
      <c r="X29" s="713">
        <v>-6.1528090641305155E-4</v>
      </c>
      <c r="Y29" s="713">
        <v>5.7346869852639148E-3</v>
      </c>
      <c r="Z29" s="713">
        <v>2.9727334706741715E-3</v>
      </c>
      <c r="AA29" s="700"/>
      <c r="AB29" s="723" t="s">
        <v>704</v>
      </c>
      <c r="AC29" s="698"/>
      <c r="AD29" s="698"/>
      <c r="AG29" s="698"/>
      <c r="AH29" s="698"/>
      <c r="AI29" s="698" t="s">
        <v>11</v>
      </c>
      <c r="AJ29" s="713">
        <v>3.983271185625803E-2</v>
      </c>
      <c r="AK29" s="713">
        <v>1.2476579959487477E-2</v>
      </c>
      <c r="AL29" s="713">
        <v>-5.2162447763497433E-3</v>
      </c>
      <c r="AM29" s="713">
        <v>-6.1528090641305155E-4</v>
      </c>
      <c r="AN29" s="713">
        <v>5.7346869852639148E-3</v>
      </c>
      <c r="AO29" s="698"/>
      <c r="AP29" s="698"/>
    </row>
    <row r="30" spans="1:42" s="701" customFormat="1">
      <c r="A30" s="698"/>
      <c r="B30" s="698"/>
      <c r="C30" s="698"/>
      <c r="D30" s="698"/>
      <c r="E30" s="698"/>
      <c r="F30" s="698"/>
      <c r="G30" s="698"/>
      <c r="H30" s="698"/>
      <c r="I30" s="698"/>
      <c r="J30" s="699"/>
      <c r="K30" s="736"/>
      <c r="L30" s="736"/>
      <c r="M30" s="698"/>
      <c r="N30" s="698"/>
      <c r="O30" s="698"/>
      <c r="P30" s="698"/>
      <c r="Q30" s="698"/>
      <c r="R30" s="698"/>
      <c r="S30" s="698" t="s">
        <v>633</v>
      </c>
      <c r="T30" s="698"/>
      <c r="U30" s="721">
        <v>0</v>
      </c>
      <c r="V30" s="721">
        <v>0</v>
      </c>
      <c r="W30" s="721">
        <f t="shared" ref="W30:X30" si="29">W29</f>
        <v>-5.2162447763497433E-3</v>
      </c>
      <c r="X30" s="721">
        <f t="shared" si="29"/>
        <v>-6.1528090641305155E-4</v>
      </c>
      <c r="Y30" s="721">
        <v>0</v>
      </c>
      <c r="Z30" s="721">
        <v>0</v>
      </c>
      <c r="AA30" s="700"/>
      <c r="AB30" s="723" t="s">
        <v>705</v>
      </c>
      <c r="AC30" s="698"/>
      <c r="AD30" s="698"/>
      <c r="AG30" s="698"/>
      <c r="AH30" s="698"/>
      <c r="AI30" s="693" t="s">
        <v>703</v>
      </c>
      <c r="AJ30" s="713">
        <v>4.8506065311002322E-2</v>
      </c>
      <c r="AK30" s="713">
        <v>4.0540777318288201E-2</v>
      </c>
      <c r="AL30" s="713">
        <v>2.4201217304965494E-2</v>
      </c>
      <c r="AM30" s="713">
        <v>1.584208992475955E-2</v>
      </c>
      <c r="AN30" s="713">
        <v>1.7326527974627304E-2</v>
      </c>
      <c r="AO30" s="698"/>
      <c r="AP30" s="698"/>
    </row>
    <row r="31" spans="1:42" s="701" customFormat="1">
      <c r="A31" s="698"/>
      <c r="B31" s="698"/>
      <c r="C31" s="698"/>
      <c r="D31" s="698"/>
      <c r="E31" s="698"/>
      <c r="F31" s="698"/>
      <c r="G31" s="698"/>
      <c r="H31" s="698"/>
      <c r="I31" s="698"/>
      <c r="J31" s="699"/>
      <c r="K31" s="736"/>
      <c r="L31" s="736"/>
      <c r="M31" s="698"/>
      <c r="N31" s="698"/>
      <c r="O31" s="698"/>
      <c r="P31" s="698"/>
      <c r="Q31" s="698"/>
      <c r="R31" s="698"/>
      <c r="S31" s="698"/>
      <c r="T31" s="698"/>
      <c r="U31" s="698"/>
      <c r="V31" s="698"/>
      <c r="W31" s="698"/>
      <c r="X31" s="698"/>
      <c r="Y31" s="698"/>
      <c r="Z31" s="698"/>
      <c r="AA31" s="700"/>
      <c r="AB31" s="698"/>
      <c r="AC31" s="698"/>
      <c r="AD31" s="698"/>
      <c r="AG31" s="698"/>
      <c r="AH31" s="698"/>
      <c r="AI31" s="693" t="s">
        <v>702</v>
      </c>
      <c r="AJ31" s="713">
        <v>1.1068121304173451E-2</v>
      </c>
      <c r="AK31" s="713">
        <v>-1.3676089754138698E-2</v>
      </c>
      <c r="AL31" s="713">
        <v>-1.1656483153255959E-2</v>
      </c>
      <c r="AM31" s="713">
        <v>-1.5277682710561069E-2</v>
      </c>
      <c r="AN31" s="713">
        <v>-5.4362042291746793E-3</v>
      </c>
      <c r="AO31" s="698"/>
      <c r="AP31" s="698"/>
    </row>
    <row r="32" spans="1:42" s="701" customFormat="1">
      <c r="A32" s="698"/>
      <c r="B32" s="698"/>
      <c r="C32" s="698"/>
      <c r="D32" s="698"/>
      <c r="E32" s="698"/>
      <c r="F32" s="698"/>
      <c r="G32" s="698"/>
      <c r="H32" s="734"/>
      <c r="I32" s="734"/>
      <c r="J32" s="735"/>
      <c r="K32" s="734"/>
      <c r="L32" s="734"/>
      <c r="M32" s="698"/>
      <c r="N32" s="698"/>
      <c r="O32" s="698"/>
      <c r="P32" s="698"/>
      <c r="Q32" s="698"/>
      <c r="R32" s="708" t="s">
        <v>26</v>
      </c>
      <c r="S32" s="698"/>
      <c r="T32" s="698"/>
      <c r="U32" s="715">
        <f>CHOOSE($S$2,U33,U34)</f>
        <v>0.11255698192297578</v>
      </c>
      <c r="V32" s="715">
        <f t="shared" ref="V32:X32" si="30">CHOOSE($S$2,V33,V34)</f>
        <v>3.4858727597955046E-2</v>
      </c>
      <c r="W32" s="715">
        <f t="shared" si="30"/>
        <v>4.1344152349015888E-2</v>
      </c>
      <c r="X32" s="715">
        <f t="shared" si="30"/>
        <v>4.2500770655300071E-2</v>
      </c>
      <c r="Y32" s="715" t="e">
        <f t="shared" ref="Y32:Z32" si="31">CHOOSE($S$2,Y33,Y34)</f>
        <v>#REF!</v>
      </c>
      <c r="Z32" s="715" t="e">
        <f t="shared" si="31"/>
        <v>#REF!</v>
      </c>
      <c r="AA32" s="700"/>
      <c r="AB32" s="698"/>
      <c r="AC32" s="698"/>
      <c r="AD32" s="698"/>
      <c r="AG32" s="698"/>
      <c r="AH32" s="698"/>
      <c r="AI32" s="698"/>
      <c r="AJ32" s="698"/>
      <c r="AK32" s="698"/>
      <c r="AL32" s="698"/>
      <c r="AM32" s="698"/>
      <c r="AN32" s="698"/>
      <c r="AO32" s="698"/>
      <c r="AP32" s="698"/>
    </row>
    <row r="33" spans="1:43" s="701" customFormat="1">
      <c r="A33" s="698"/>
      <c r="B33" s="698"/>
      <c r="C33" s="698"/>
      <c r="D33" s="698"/>
      <c r="E33" s="698"/>
      <c r="F33" s="698"/>
      <c r="G33" s="698"/>
      <c r="H33" s="736"/>
      <c r="I33" s="736"/>
      <c r="J33" s="699"/>
      <c r="K33" s="736"/>
      <c r="L33" s="736"/>
      <c r="M33" s="698"/>
      <c r="N33" s="698"/>
      <c r="O33" s="698"/>
      <c r="P33" s="698"/>
      <c r="Q33" s="698"/>
      <c r="R33" s="698"/>
      <c r="S33" s="698" t="s">
        <v>18</v>
      </c>
      <c r="T33" s="698"/>
      <c r="U33" s="713">
        <f>1.5*U34</f>
        <v>0.11255698192297578</v>
      </c>
      <c r="V33" s="713">
        <f t="shared" ref="V33:X33" si="32">1.5*V34</f>
        <v>3.4858727597955046E-2</v>
      </c>
      <c r="W33" s="713">
        <f t="shared" si="32"/>
        <v>4.1344152349015888E-2</v>
      </c>
      <c r="X33" s="713">
        <f t="shared" si="32"/>
        <v>4.2500770655300071E-2</v>
      </c>
      <c r="Y33" s="713" t="e">
        <f t="shared" ref="Y33:Z33" si="33">1.5*Y34</f>
        <v>#REF!</v>
      </c>
      <c r="Z33" s="713" t="e">
        <f t="shared" si="33"/>
        <v>#REF!</v>
      </c>
      <c r="AB33" s="737" t="s">
        <v>728</v>
      </c>
      <c r="AG33" s="698" t="s">
        <v>287</v>
      </c>
      <c r="AH33" s="698" t="s">
        <v>20</v>
      </c>
      <c r="AI33" s="698" t="s">
        <v>21</v>
      </c>
      <c r="AJ33" s="698" t="s">
        <v>22</v>
      </c>
      <c r="AK33" s="698" t="s">
        <v>23</v>
      </c>
      <c r="AL33" s="698" t="s">
        <v>24</v>
      </c>
      <c r="AM33" s="698" t="s">
        <v>25</v>
      </c>
      <c r="AN33" s="698" t="s">
        <v>619</v>
      </c>
    </row>
    <row r="34" spans="1:43" s="701" customFormat="1">
      <c r="A34" s="698"/>
      <c r="B34" s="698"/>
      <c r="C34" s="698"/>
      <c r="D34" s="698"/>
      <c r="E34" s="698"/>
      <c r="F34" s="702">
        <v>2013</v>
      </c>
      <c r="G34" s="702">
        <v>2014</v>
      </c>
      <c r="H34" s="702" t="str">
        <f>H2</f>
        <v>2015 A</v>
      </c>
      <c r="I34" s="702" t="str">
        <f t="shared" ref="I34:J34" si="34">I2</f>
        <v>2016 A</v>
      </c>
      <c r="J34" s="703" t="str">
        <f t="shared" si="34"/>
        <v>2017 A</v>
      </c>
      <c r="K34" s="923" t="s">
        <v>741</v>
      </c>
      <c r="L34" s="923" t="s">
        <v>734</v>
      </c>
      <c r="M34" s="704">
        <f>M2</f>
        <v>2018</v>
      </c>
      <c r="N34" s="704">
        <f t="shared" ref="N34:P34" si="35">N2</f>
        <v>2019</v>
      </c>
      <c r="O34" s="704">
        <f t="shared" si="35"/>
        <v>2020</v>
      </c>
      <c r="P34" s="704">
        <f t="shared" si="35"/>
        <v>2021</v>
      </c>
      <c r="Q34" s="698"/>
      <c r="R34" s="698"/>
      <c r="S34" s="698" t="s">
        <v>633</v>
      </c>
      <c r="T34" s="698"/>
      <c r="U34" s="721">
        <v>7.503798794865052E-2</v>
      </c>
      <c r="V34" s="721">
        <v>2.3239151731970029E-2</v>
      </c>
      <c r="W34" s="721">
        <v>2.7562768232677257E-2</v>
      </c>
      <c r="X34" s="721">
        <v>2.8333847103533379E-2</v>
      </c>
      <c r="Y34" s="713" t="e">
        <f>#REF!</f>
        <v>#REF!</v>
      </c>
      <c r="Z34" s="713" t="e">
        <f>Y34</f>
        <v>#REF!</v>
      </c>
      <c r="AB34" s="737" t="s">
        <v>729</v>
      </c>
      <c r="AF34" s="698" t="s">
        <v>725</v>
      </c>
      <c r="AG34" s="921">
        <v>11090.430000000015</v>
      </c>
      <c r="AH34" s="921">
        <v>11103.880000000019</v>
      </c>
      <c r="AI34" s="921">
        <v>11451.000000000018</v>
      </c>
      <c r="AJ34" s="921">
        <v>12310.260000000017</v>
      </c>
      <c r="AK34" s="921">
        <v>12596.340000000018</v>
      </c>
      <c r="AL34" s="921">
        <v>12943.530000000021</v>
      </c>
      <c r="AM34" s="921">
        <v>13310.270000000019</v>
      </c>
      <c r="AN34" s="921">
        <v>13219.290000000017</v>
      </c>
    </row>
    <row r="35" spans="1:43">
      <c r="A35" s="693"/>
      <c r="B35" s="693" t="s">
        <v>41</v>
      </c>
      <c r="C35" s="693"/>
      <c r="D35" s="693"/>
      <c r="E35" s="693"/>
      <c r="F35" s="693"/>
      <c r="G35" s="693"/>
      <c r="H35" s="693"/>
      <c r="I35" s="693"/>
      <c r="J35" s="738"/>
      <c r="K35" s="927"/>
      <c r="L35" s="927"/>
      <c r="M35" s="693"/>
      <c r="N35" s="693"/>
      <c r="O35" s="693"/>
      <c r="P35" s="693"/>
      <c r="Q35" s="693"/>
      <c r="R35" s="693"/>
      <c r="S35" s="693"/>
      <c r="T35" s="693"/>
      <c r="U35" s="693"/>
      <c r="V35" s="693"/>
      <c r="W35" s="693"/>
      <c r="X35" s="693"/>
      <c r="Y35" s="693"/>
      <c r="Z35" s="693"/>
      <c r="AA35" s="739"/>
      <c r="AB35" s="693"/>
      <c r="AC35" s="693"/>
      <c r="AD35" s="693"/>
      <c r="AF35" s="698" t="s">
        <v>726</v>
      </c>
      <c r="AG35" s="698"/>
      <c r="AH35" s="713">
        <v>1.2127573051725089E-3</v>
      </c>
      <c r="AI35" s="713">
        <v>3.1261144753005107E-2</v>
      </c>
      <c r="AJ35" s="713">
        <v>7.503798794865052E-2</v>
      </c>
      <c r="AK35" s="713">
        <v>2.3239151731970029E-2</v>
      </c>
      <c r="AL35" s="713">
        <v>2.7562768232677257E-2</v>
      </c>
      <c r="AM35" s="713">
        <v>2.8333847103533379E-2</v>
      </c>
      <c r="AN35" s="713">
        <v>-6.8353234006523723E-3</v>
      </c>
    </row>
    <row r="36" spans="1:43">
      <c r="A36" s="693"/>
      <c r="B36" s="740" t="s">
        <v>42</v>
      </c>
      <c r="C36" s="693"/>
      <c r="D36" s="693"/>
      <c r="E36" s="693"/>
      <c r="F36" s="693"/>
      <c r="G36" s="693"/>
      <c r="H36" s="712">
        <f>FS!H6</f>
        <v>71257</v>
      </c>
      <c r="I36" s="712">
        <f>FS!I6</f>
        <v>63287</v>
      </c>
      <c r="J36" s="741">
        <f>FS!J6</f>
        <v>61000.41</v>
      </c>
      <c r="K36" s="712">
        <f>FS!M6</f>
        <v>15300.701999999999</v>
      </c>
      <c r="L36" s="712">
        <f>FS!N6</f>
        <v>13665.433999999999</v>
      </c>
      <c r="M36" s="712">
        <f>CAPEX!Q49</f>
        <v>58941.769353683791</v>
      </c>
      <c r="N36" s="712">
        <f>CAPEX!R49</f>
        <v>91126.307772944987</v>
      </c>
      <c r="O36" s="712">
        <f>CAPEX!S49</f>
        <v>120908.43972953364</v>
      </c>
      <c r="P36" s="712">
        <f>CAPEX!T49</f>
        <v>131409.81978651523</v>
      </c>
      <c r="Q36" s="693"/>
      <c r="R36" s="693"/>
      <c r="S36" s="693"/>
      <c r="T36" s="693"/>
      <c r="U36" s="693"/>
      <c r="V36" s="693"/>
      <c r="W36" s="693"/>
      <c r="X36" s="693"/>
      <c r="Y36" s="693"/>
      <c r="Z36" s="693"/>
      <c r="AA36" s="739"/>
      <c r="AB36" s="693"/>
      <c r="AC36" s="693"/>
      <c r="AD36" s="693"/>
      <c r="AE36" s="693"/>
      <c r="AF36" s="693"/>
      <c r="AJ36" s="745"/>
      <c r="AK36" s="745"/>
      <c r="AL36" s="745"/>
      <c r="AM36" s="745"/>
      <c r="AN36" s="745"/>
    </row>
    <row r="37" spans="1:43">
      <c r="A37" s="693"/>
      <c r="B37" s="740" t="s">
        <v>153</v>
      </c>
      <c r="C37" s="693"/>
      <c r="D37" s="693"/>
      <c r="E37" s="693"/>
      <c r="F37" s="693">
        <f>FS!F5</f>
        <v>3639903.4</v>
      </c>
      <c r="G37" s="693">
        <f>FS!G5</f>
        <v>3866166</v>
      </c>
      <c r="H37" s="712">
        <f>FS!H5</f>
        <v>4090297</v>
      </c>
      <c r="I37" s="712">
        <f>FS!I5</f>
        <v>3973861.3769999999</v>
      </c>
      <c r="J37" s="741">
        <f>FS!J5</f>
        <v>4342728.7390000001</v>
      </c>
      <c r="K37" s="712">
        <f>FS!M5</f>
        <v>888018.53799999994</v>
      </c>
      <c r="L37" s="712">
        <f>FS!N5</f>
        <v>951252.41200000001</v>
      </c>
      <c r="M37" s="712">
        <f>U37*M12</f>
        <v>4489158.1783757107</v>
      </c>
      <c r="N37" s="712">
        <f>V37*N12</f>
        <v>4583603.0811257502</v>
      </c>
      <c r="O37" s="712">
        <f>W37*O12</f>
        <v>4642765.3636506321</v>
      </c>
      <c r="P37" s="712">
        <f>X37*P12</f>
        <v>4739266.5145983798</v>
      </c>
      <c r="Q37" s="693"/>
      <c r="R37" s="742" t="s">
        <v>154</v>
      </c>
      <c r="S37" s="693"/>
      <c r="T37" s="693"/>
      <c r="U37" s="743">
        <f>CHOOSE($S$2,U38,U39)</f>
        <v>0.92300000000000004</v>
      </c>
      <c r="V37" s="743">
        <f t="shared" ref="V37:Z37" si="36">CHOOSE($S$2,V38,V39)</f>
        <v>0.92300000000000004</v>
      </c>
      <c r="W37" s="743">
        <f t="shared" si="36"/>
        <v>0.91600000000000004</v>
      </c>
      <c r="X37" s="743">
        <f t="shared" si="36"/>
        <v>0.91600000000000004</v>
      </c>
      <c r="Y37" s="743">
        <f t="shared" si="36"/>
        <v>0.91600000000000004</v>
      </c>
      <c r="Z37" s="743">
        <f t="shared" si="36"/>
        <v>0.91600000000000004</v>
      </c>
      <c r="AA37" s="739"/>
      <c r="AB37" s="693"/>
      <c r="AC37" s="693"/>
      <c r="AF37" s="693"/>
      <c r="AG37" s="693"/>
      <c r="AH37" s="693"/>
      <c r="AI37" s="739"/>
      <c r="AJ37" s="739"/>
      <c r="AK37" s="795"/>
      <c r="AL37" s="795"/>
    </row>
    <row r="38" spans="1:43">
      <c r="A38" s="693"/>
      <c r="B38" s="693"/>
      <c r="C38" s="693"/>
      <c r="D38" s="693"/>
      <c r="E38" s="693"/>
      <c r="F38" s="693"/>
      <c r="G38" s="693"/>
      <c r="H38" s="693"/>
      <c r="I38" s="693"/>
      <c r="J38" s="738"/>
      <c r="K38" s="927"/>
      <c r="L38" s="927"/>
      <c r="M38" s="693"/>
      <c r="N38" s="693"/>
      <c r="O38" s="693"/>
      <c r="P38" s="693"/>
      <c r="Q38" s="693"/>
      <c r="R38" s="693"/>
      <c r="S38" s="693" t="s">
        <v>18</v>
      </c>
      <c r="T38" s="693"/>
      <c r="U38" s="696">
        <v>0.92300000000000004</v>
      </c>
      <c r="V38" s="696">
        <f>U38</f>
        <v>0.92300000000000004</v>
      </c>
      <c r="W38" s="696">
        <v>0.91600000000000004</v>
      </c>
      <c r="X38" s="696">
        <f>W38</f>
        <v>0.91600000000000004</v>
      </c>
      <c r="Y38" s="696">
        <v>0.91600000000000004</v>
      </c>
      <c r="Z38" s="696">
        <f t="shared" ref="Z38:Z39" si="37">Y38</f>
        <v>0.91600000000000004</v>
      </c>
      <c r="AA38" s="739"/>
      <c r="AB38" s="739" t="s">
        <v>635</v>
      </c>
      <c r="AC38" s="693"/>
      <c r="AF38" s="693"/>
      <c r="AG38" s="693"/>
      <c r="AH38" s="693"/>
      <c r="AI38" s="739"/>
      <c r="AJ38" s="739"/>
      <c r="AK38" s="795"/>
      <c r="AL38" s="795"/>
    </row>
    <row r="39" spans="1:43">
      <c r="A39" s="693"/>
      <c r="B39" s="693" t="s">
        <v>154</v>
      </c>
      <c r="C39" s="693"/>
      <c r="D39" s="693"/>
      <c r="E39" s="693"/>
      <c r="F39" s="693"/>
      <c r="G39" s="693"/>
      <c r="H39" s="696">
        <f>H37/H12</f>
        <v>0.91257558321393373</v>
      </c>
      <c r="I39" s="696">
        <f>I37/I12</f>
        <v>0.9117009579441453</v>
      </c>
      <c r="J39" s="744">
        <f>J37/J12</f>
        <v>0.92266246724362766</v>
      </c>
      <c r="K39" s="696">
        <f>K37/K12</f>
        <v>0.91074727822293966</v>
      </c>
      <c r="L39" s="696">
        <f>L37/L12</f>
        <v>0.92480791800400119</v>
      </c>
      <c r="M39" s="693"/>
      <c r="N39" s="693"/>
      <c r="O39" s="693"/>
      <c r="P39" s="693"/>
      <c r="Q39" s="693"/>
      <c r="R39" s="693"/>
      <c r="S39" s="698" t="s">
        <v>633</v>
      </c>
      <c r="T39" s="693"/>
      <c r="U39" s="759">
        <v>0.93400000000000005</v>
      </c>
      <c r="V39" s="759">
        <f>U39</f>
        <v>0.93400000000000005</v>
      </c>
      <c r="W39" s="759">
        <f t="shared" ref="W39:X39" si="38">V39</f>
        <v>0.93400000000000005</v>
      </c>
      <c r="X39" s="759">
        <f t="shared" si="38"/>
        <v>0.93400000000000005</v>
      </c>
      <c r="Y39" s="759">
        <f t="shared" ref="Y39" si="39">X39</f>
        <v>0.93400000000000005</v>
      </c>
      <c r="Z39" s="759">
        <f t="shared" si="37"/>
        <v>0.93400000000000005</v>
      </c>
      <c r="AA39" s="739"/>
      <c r="AB39" s="693" t="s">
        <v>629</v>
      </c>
      <c r="AC39" s="693"/>
      <c r="AF39" s="693"/>
      <c r="AG39" s="693"/>
      <c r="AH39" s="693"/>
      <c r="AI39" s="739"/>
      <c r="AJ39" s="739"/>
      <c r="AK39" s="850"/>
      <c r="AL39" s="850"/>
      <c r="AP39" s="761" t="s">
        <v>634</v>
      </c>
      <c r="AQ39" s="760">
        <v>5.6752050378548732E-2</v>
      </c>
    </row>
    <row r="40" spans="1:43">
      <c r="A40" s="693"/>
      <c r="B40" s="693" t="s">
        <v>155</v>
      </c>
      <c r="C40" s="693"/>
      <c r="D40" s="693"/>
      <c r="E40" s="693"/>
      <c r="F40" s="693"/>
      <c r="G40" s="693"/>
      <c r="H40" s="712">
        <f>FS!H89</f>
        <v>336739</v>
      </c>
      <c r="I40" s="712">
        <f>FS!I89</f>
        <v>309202</v>
      </c>
      <c r="J40" s="741">
        <f>FS!J89</f>
        <v>278204.00500000006</v>
      </c>
      <c r="K40" s="928"/>
      <c r="L40" s="928"/>
      <c r="M40" s="712"/>
      <c r="N40" s="712"/>
      <c r="O40" s="712"/>
      <c r="P40" s="693"/>
      <c r="Q40" s="693"/>
      <c r="R40" s="693"/>
      <c r="S40" s="693"/>
      <c r="T40" s="693"/>
      <c r="U40" s="693"/>
      <c r="V40" s="693"/>
      <c r="W40" s="693"/>
      <c r="X40" s="693"/>
      <c r="Y40" s="693"/>
      <c r="Z40" s="693"/>
      <c r="AA40" s="739"/>
      <c r="AB40" s="693"/>
      <c r="AC40" s="693"/>
      <c r="AF40" s="693"/>
      <c r="AG40" s="693"/>
      <c r="AH40" s="693"/>
      <c r="AI40" s="739"/>
      <c r="AJ40" s="739"/>
      <c r="AK40" s="850"/>
      <c r="AL40" s="850"/>
    </row>
    <row r="41" spans="1:43">
      <c r="A41" s="693"/>
      <c r="B41" s="693"/>
      <c r="C41" s="693"/>
      <c r="D41" s="693"/>
      <c r="E41" s="693"/>
      <c r="F41" s="693"/>
      <c r="G41" s="693"/>
      <c r="H41" s="695">
        <f>H36/H40</f>
        <v>0.21160899093957042</v>
      </c>
      <c r="I41" s="695">
        <f>I36/I40</f>
        <v>0.20467849496445689</v>
      </c>
      <c r="J41" s="746">
        <f>J36/J40</f>
        <v>0.21926503178845319</v>
      </c>
      <c r="K41" s="929"/>
      <c r="L41" s="929"/>
      <c r="M41" s="693"/>
      <c r="N41" s="693"/>
      <c r="O41" s="693"/>
      <c r="P41" s="693"/>
      <c r="Q41" s="693"/>
      <c r="R41" s="693"/>
      <c r="S41" s="693"/>
      <c r="T41" s="693"/>
      <c r="U41" s="693"/>
      <c r="V41" s="693"/>
      <c r="W41" s="693"/>
      <c r="X41" s="693"/>
      <c r="Y41" s="693"/>
      <c r="Z41" s="693"/>
      <c r="AA41" s="739"/>
      <c r="AB41" s="693"/>
      <c r="AC41" s="693"/>
      <c r="AF41" s="693"/>
      <c r="AG41" s="693"/>
      <c r="AH41" s="693"/>
      <c r="AI41" s="739"/>
      <c r="AJ41" s="739"/>
      <c r="AK41" s="850"/>
      <c r="AL41" s="850"/>
    </row>
    <row r="42" spans="1:43">
      <c r="A42" s="693"/>
      <c r="B42" s="693" t="s">
        <v>43</v>
      </c>
      <c r="C42" s="693"/>
      <c r="D42" s="693"/>
      <c r="E42" s="693"/>
      <c r="F42" s="693"/>
      <c r="G42" s="693"/>
      <c r="H42" s="693"/>
      <c r="I42" s="693"/>
      <c r="J42" s="741"/>
      <c r="K42" s="928"/>
      <c r="L42" s="928"/>
      <c r="M42" s="712">
        <f t="shared" ref="M42:O42" si="40">M12-M36-M37</f>
        <v>315560.05051081162</v>
      </c>
      <c r="N42" s="712">
        <f t="shared" si="40"/>
        <v>291254.44764057919</v>
      </c>
      <c r="O42" s="712">
        <f t="shared" si="40"/>
        <v>304847.33597641904</v>
      </c>
      <c r="P42" s="712">
        <f t="shared" ref="P42" si="41">P12-P36-P37</f>
        <v>303195.40644303057</v>
      </c>
      <c r="Q42" s="693"/>
      <c r="R42" s="693"/>
      <c r="S42" s="693"/>
      <c r="T42" s="693"/>
      <c r="U42" s="693"/>
      <c r="V42" s="693"/>
      <c r="W42" s="693"/>
      <c r="X42" s="693"/>
      <c r="Y42" s="693"/>
      <c r="Z42" s="693"/>
      <c r="AA42" s="739"/>
      <c r="AB42" s="693"/>
      <c r="AC42" s="693"/>
      <c r="AF42" s="693"/>
      <c r="AG42" s="693"/>
      <c r="AH42" s="693"/>
      <c r="AI42" s="739"/>
      <c r="AJ42" s="739"/>
      <c r="AK42" s="850"/>
      <c r="AL42" s="850"/>
    </row>
    <row r="43" spans="1:43">
      <c r="A43" s="693"/>
      <c r="B43" s="747" t="s">
        <v>156</v>
      </c>
      <c r="C43" s="693"/>
      <c r="D43" s="693"/>
      <c r="E43" s="693"/>
      <c r="F43" s="693"/>
      <c r="G43" s="693"/>
      <c r="H43" s="748">
        <f>FS!H8</f>
        <v>7.1526451838025806E-2</v>
      </c>
      <c r="I43" s="748">
        <f>FS!I8</f>
        <v>7.3779456934098486E-2</v>
      </c>
      <c r="J43" s="749">
        <f>FS!J8</f>
        <v>6.437729688254859E-2</v>
      </c>
      <c r="K43" s="748">
        <f>FS!M8</f>
        <v>7.3560399933436466E-2</v>
      </c>
      <c r="L43" s="748">
        <f>FS!N8</f>
        <v>6.1906542420240969E-2</v>
      </c>
      <c r="M43" s="748">
        <f t="shared" ref="M43:O43" si="42">M42/M12</f>
        <v>6.4881190425520929E-2</v>
      </c>
      <c r="N43" s="748">
        <f t="shared" si="42"/>
        <v>5.8649898434536676E-2</v>
      </c>
      <c r="O43" s="748">
        <f t="shared" si="42"/>
        <v>6.0145223349135989E-2</v>
      </c>
      <c r="P43" s="748">
        <f t="shared" ref="P43" si="43">P42/P12</f>
        <v>5.8601260647894046E-2</v>
      </c>
      <c r="Q43" s="693"/>
      <c r="R43" s="693"/>
      <c r="S43" s="693"/>
      <c r="T43" s="693"/>
      <c r="U43" s="693"/>
      <c r="V43" s="693"/>
      <c r="W43" s="693"/>
      <c r="X43" s="693"/>
      <c r="Y43" s="693"/>
      <c r="Z43" s="693"/>
      <c r="AA43" s="739"/>
      <c r="AB43" s="693"/>
      <c r="AC43" s="693"/>
      <c r="AF43" s="693"/>
      <c r="AG43" s="693"/>
      <c r="AH43" s="693"/>
      <c r="AI43" s="739"/>
      <c r="AJ43" s="739"/>
      <c r="AK43" s="850"/>
      <c r="AL43" s="850"/>
    </row>
    <row r="44" spans="1:43">
      <c r="A44" s="693"/>
      <c r="B44" s="693"/>
      <c r="C44" s="693"/>
      <c r="D44" s="693"/>
      <c r="E44" s="693"/>
      <c r="F44" s="693"/>
      <c r="G44" s="693"/>
      <c r="H44" s="693"/>
      <c r="I44" s="693"/>
      <c r="J44" s="738"/>
      <c r="K44" s="927"/>
      <c r="L44" s="927"/>
      <c r="M44" s="693"/>
      <c r="N44" s="693"/>
      <c r="O44" s="693"/>
      <c r="P44" s="693"/>
      <c r="Q44" s="693"/>
      <c r="R44" s="693"/>
      <c r="S44" s="693"/>
      <c r="T44" s="693"/>
      <c r="U44" s="693"/>
      <c r="V44" s="693"/>
      <c r="W44" s="693"/>
      <c r="X44" s="693"/>
      <c r="Y44" s="693"/>
      <c r="Z44" s="693"/>
      <c r="AA44" s="739"/>
      <c r="AB44" s="693"/>
      <c r="AC44" s="693"/>
      <c r="AF44" s="693"/>
      <c r="AG44" s="693"/>
      <c r="AH44" s="693"/>
      <c r="AI44" s="739"/>
      <c r="AJ44" s="739"/>
      <c r="AK44" s="850"/>
      <c r="AL44" s="850"/>
    </row>
    <row r="45" spans="1:43">
      <c r="A45" s="693"/>
      <c r="B45" s="693" t="s">
        <v>157</v>
      </c>
      <c r="C45" s="693"/>
      <c r="D45" s="693"/>
      <c r="E45" s="693"/>
      <c r="F45" s="693"/>
      <c r="G45" s="693"/>
      <c r="H45" s="693">
        <f>FS!H10</f>
        <v>156323</v>
      </c>
      <c r="I45" s="693">
        <f>FS!I10</f>
        <v>146645.47899999999</v>
      </c>
      <c r="J45" s="738">
        <f>FS!J10</f>
        <v>190436.516</v>
      </c>
      <c r="K45" s="693">
        <f>FS!M10</f>
        <v>35234.89</v>
      </c>
      <c r="L45" s="693">
        <f>FS!N10</f>
        <v>39016.874000000003</v>
      </c>
      <c r="M45" s="693">
        <f>M12*U45</f>
        <v>194546.39992960825</v>
      </c>
      <c r="N45" s="693">
        <f>N12*V45</f>
        <v>198639.35346157098</v>
      </c>
      <c r="O45" s="693">
        <f>O12*W45</f>
        <v>184058.9260766767</v>
      </c>
      <c r="P45" s="693">
        <f>P12*X45</f>
        <v>187884.64131692296</v>
      </c>
      <c r="Q45" s="693"/>
      <c r="R45" s="947" t="s">
        <v>158</v>
      </c>
      <c r="S45" s="693"/>
      <c r="T45" s="693"/>
      <c r="U45" s="743">
        <f>CHOOSE($S$2,U46,U47)</f>
        <v>0.04</v>
      </c>
      <c r="V45" s="743">
        <f t="shared" ref="V45:Z45" si="44">CHOOSE($S$2,V46,V47)</f>
        <v>0.04</v>
      </c>
      <c r="W45" s="743">
        <f>CHOOSE($S$2,W46,W47)</f>
        <v>3.6314128128513978E-2</v>
      </c>
      <c r="X45" s="743">
        <f t="shared" si="44"/>
        <v>3.6314128128513978E-2</v>
      </c>
      <c r="Y45" s="743">
        <f t="shared" si="44"/>
        <v>3.6314128128513978E-2</v>
      </c>
      <c r="Z45" s="743">
        <f t="shared" si="44"/>
        <v>3.6314128128513978E-2</v>
      </c>
      <c r="AA45" s="739"/>
      <c r="AB45" s="693"/>
      <c r="AC45" s="693"/>
      <c r="AF45" s="693"/>
      <c r="AG45" s="693"/>
      <c r="AH45" s="693"/>
      <c r="AI45" s="739"/>
      <c r="AJ45" s="739"/>
      <c r="AK45" s="850"/>
      <c r="AL45" s="850"/>
    </row>
    <row r="46" spans="1:43">
      <c r="A46" s="693"/>
      <c r="B46" s="693"/>
      <c r="C46" s="693"/>
      <c r="D46" s="693"/>
      <c r="E46" s="693"/>
      <c r="F46" s="693"/>
      <c r="G46" s="693"/>
      <c r="H46" s="797">
        <f>H45/H12</f>
        <v>3.4876820166054388E-2</v>
      </c>
      <c r="I46" s="797">
        <f t="shared" ref="I46:L46" si="45">I45/I12</f>
        <v>3.3644058259377482E-2</v>
      </c>
      <c r="J46" s="798">
        <f t="shared" si="45"/>
        <v>4.0460419304545601E-2</v>
      </c>
      <c r="K46" s="797">
        <f t="shared" si="45"/>
        <v>3.6136723269604397E-2</v>
      </c>
      <c r="L46" s="797">
        <f t="shared" si="45"/>
        <v>3.7932218153434179E-2</v>
      </c>
      <c r="M46" s="693"/>
      <c r="N46" s="693"/>
      <c r="O46" s="693"/>
      <c r="P46" s="693"/>
      <c r="Q46" s="693"/>
      <c r="R46" s="693"/>
      <c r="S46" s="693" t="s">
        <v>18</v>
      </c>
      <c r="T46" s="693"/>
      <c r="U46" s="696">
        <f>4%</f>
        <v>0.04</v>
      </c>
      <c r="V46" s="696">
        <f>4%</f>
        <v>0.04</v>
      </c>
      <c r="W46" s="696">
        <v>3.6314128128513978E-2</v>
      </c>
      <c r="X46" s="696">
        <f>W46</f>
        <v>3.6314128128513978E-2</v>
      </c>
      <c r="Y46" s="696">
        <f t="shared" ref="Y46:Z47" si="46">X46</f>
        <v>3.6314128128513978E-2</v>
      </c>
      <c r="Z46" s="696">
        <f t="shared" si="46"/>
        <v>3.6314128128513978E-2</v>
      </c>
      <c r="AA46" s="739"/>
      <c r="AB46" s="739" t="s">
        <v>630</v>
      </c>
      <c r="AC46" s="693"/>
      <c r="AD46" s="693"/>
      <c r="AE46" s="693"/>
      <c r="AF46" s="693"/>
      <c r="AG46" s="696"/>
      <c r="AH46" s="696"/>
      <c r="AI46" s="745"/>
      <c r="AJ46" s="745"/>
      <c r="AK46" s="745"/>
      <c r="AL46" s="745"/>
    </row>
    <row r="47" spans="1:43">
      <c r="A47" s="693"/>
      <c r="B47" s="693" t="s">
        <v>50</v>
      </c>
      <c r="C47" s="693"/>
      <c r="D47" s="693"/>
      <c r="E47" s="693"/>
      <c r="F47" s="693"/>
      <c r="G47" s="693"/>
      <c r="H47" s="693"/>
      <c r="I47" s="693"/>
      <c r="J47" s="741"/>
      <c r="K47" s="928"/>
      <c r="L47" s="928"/>
      <c r="M47" s="712">
        <f>M42-M45</f>
        <v>121013.65058120337</v>
      </c>
      <c r="N47" s="712">
        <f t="shared" ref="N47:O47" si="47">N42-N45</f>
        <v>92615.094179008214</v>
      </c>
      <c r="O47" s="712">
        <f t="shared" si="47"/>
        <v>120788.40989974234</v>
      </c>
      <c r="P47" s="712">
        <f t="shared" ref="P47" si="48">P42-P45</f>
        <v>115310.76512610761</v>
      </c>
      <c r="Q47" s="693"/>
      <c r="R47" s="693"/>
      <c r="S47" s="698" t="s">
        <v>633</v>
      </c>
      <c r="T47" s="693"/>
      <c r="U47" s="696">
        <v>4.3999999999999997E-2</v>
      </c>
      <c r="V47" s="696">
        <f>U47</f>
        <v>4.3999999999999997E-2</v>
      </c>
      <c r="W47" s="696">
        <f t="shared" ref="W47:X47" si="49">V47</f>
        <v>4.3999999999999997E-2</v>
      </c>
      <c r="X47" s="696">
        <f t="shared" si="49"/>
        <v>4.3999999999999997E-2</v>
      </c>
      <c r="Y47" s="696">
        <f t="shared" si="46"/>
        <v>4.3999999999999997E-2</v>
      </c>
      <c r="Z47" s="696">
        <f t="shared" si="46"/>
        <v>4.3999999999999997E-2</v>
      </c>
      <c r="AA47" s="739"/>
      <c r="AB47" s="693" t="s">
        <v>631</v>
      </c>
      <c r="AC47" s="693"/>
      <c r="AD47" s="693"/>
      <c r="AE47" s="693"/>
      <c r="AF47" s="693"/>
      <c r="AG47" s="696"/>
      <c r="AH47" s="696"/>
      <c r="AI47" s="745"/>
      <c r="AJ47" s="745"/>
      <c r="AK47" s="745"/>
      <c r="AL47" s="745"/>
    </row>
    <row r="48" spans="1:43">
      <c r="A48" s="693"/>
      <c r="B48" s="747" t="s">
        <v>159</v>
      </c>
      <c r="C48" s="693"/>
      <c r="D48" s="693"/>
      <c r="E48" s="693"/>
      <c r="F48" s="693"/>
      <c r="G48" s="693"/>
      <c r="H48" s="930">
        <f>FS!H17</f>
        <v>3.6649631671971418E-2</v>
      </c>
      <c r="I48" s="930">
        <f>FS!I17</f>
        <v>4.0135398674720997E-2</v>
      </c>
      <c r="J48" s="749">
        <f>FS!J17</f>
        <v>2.3916877578002982E-2</v>
      </c>
      <c r="K48" s="930">
        <f>FS!M17</f>
        <v>3.7423676663832069E-2</v>
      </c>
      <c r="L48" s="930">
        <f>FS!N17</f>
        <v>2.3974324266806787E-2</v>
      </c>
      <c r="M48" s="748">
        <f t="shared" ref="M48:O48" si="50">M47/M12</f>
        <v>2.4881190425520932E-2</v>
      </c>
      <c r="N48" s="748">
        <f t="shared" si="50"/>
        <v>1.8649898434536669E-2</v>
      </c>
      <c r="O48" s="748">
        <f t="shared" si="50"/>
        <v>2.383109522062201E-2</v>
      </c>
      <c r="P48" s="748">
        <f t="shared" ref="P48" si="51">P47/P12</f>
        <v>2.2287132519380064E-2</v>
      </c>
      <c r="Q48" s="693"/>
      <c r="R48" s="693"/>
      <c r="S48" s="693"/>
      <c r="T48" s="693"/>
      <c r="U48" s="693"/>
      <c r="V48" s="693"/>
      <c r="W48" s="693"/>
      <c r="X48" s="693"/>
      <c r="Y48" s="693"/>
      <c r="Z48" s="693"/>
      <c r="AA48" s="739"/>
      <c r="AB48" s="693"/>
      <c r="AC48" s="693"/>
      <c r="AD48" s="693"/>
      <c r="AE48" s="693"/>
      <c r="AF48" s="693"/>
      <c r="AG48" s="696"/>
      <c r="AH48" s="696"/>
      <c r="AI48" s="745"/>
      <c r="AJ48" s="745"/>
      <c r="AK48" s="745"/>
      <c r="AL48" s="745"/>
    </row>
    <row r="49" spans="1:38">
      <c r="A49" s="693"/>
      <c r="B49" s="693"/>
      <c r="C49" s="693"/>
      <c r="D49" s="693"/>
      <c r="E49" s="693"/>
      <c r="F49" s="693"/>
      <c r="G49" s="693"/>
      <c r="H49" s="693"/>
      <c r="I49" s="693"/>
      <c r="J49" s="693"/>
      <c r="K49" s="693"/>
      <c r="L49" s="693"/>
      <c r="M49" s="693"/>
      <c r="N49" s="693"/>
      <c r="O49" s="693"/>
      <c r="P49" s="693"/>
      <c r="Q49" s="693"/>
      <c r="R49" s="693"/>
      <c r="S49" s="693"/>
      <c r="T49" s="693"/>
      <c r="U49" s="693"/>
      <c r="V49" s="693"/>
      <c r="W49" s="693"/>
      <c r="X49" s="693"/>
      <c r="Y49" s="693"/>
      <c r="Z49" s="693"/>
      <c r="AA49" s="739"/>
      <c r="AB49" s="693"/>
      <c r="AC49" s="693"/>
      <c r="AD49" s="693"/>
      <c r="AE49" s="693"/>
      <c r="AF49" s="693"/>
      <c r="AG49" s="696"/>
      <c r="AH49" s="696"/>
      <c r="AI49" s="745"/>
      <c r="AJ49" s="745"/>
      <c r="AK49" s="745"/>
      <c r="AL49" s="745"/>
    </row>
    <row r="50" spans="1:38">
      <c r="A50" s="693"/>
      <c r="B50" s="693"/>
      <c r="C50" s="693"/>
      <c r="D50" s="693"/>
      <c r="E50" s="693"/>
      <c r="F50" s="693"/>
      <c r="G50" s="693"/>
      <c r="H50" s="693"/>
      <c r="I50" s="693"/>
      <c r="J50" s="693"/>
      <c r="K50" s="693"/>
      <c r="L50" s="693"/>
      <c r="M50" s="693"/>
      <c r="N50" s="693"/>
      <c r="O50" s="693"/>
      <c r="P50" s="693"/>
      <c r="Q50" s="693"/>
      <c r="R50" s="693"/>
      <c r="S50" s="693"/>
      <c r="T50" s="693"/>
      <c r="U50" s="693"/>
      <c r="V50" s="693"/>
      <c r="W50" s="693"/>
      <c r="X50" s="693"/>
      <c r="Y50" s="693"/>
      <c r="Z50" s="693"/>
      <c r="AA50" s="739"/>
      <c r="AB50" s="693"/>
      <c r="AC50" s="693"/>
      <c r="AD50" s="693"/>
      <c r="AE50" s="693"/>
      <c r="AF50" s="693"/>
      <c r="AG50" s="696"/>
      <c r="AH50" s="696"/>
      <c r="AI50" s="745"/>
      <c r="AJ50" s="745"/>
      <c r="AK50" s="745"/>
      <c r="AL50" s="696"/>
    </row>
    <row r="51" spans="1:38">
      <c r="A51" s="693"/>
      <c r="B51" s="693" t="s">
        <v>573</v>
      </c>
      <c r="C51" s="693"/>
      <c r="D51" s="693"/>
      <c r="E51" s="693"/>
      <c r="F51" s="694">
        <v>278200.5</v>
      </c>
      <c r="G51" s="694">
        <v>323731</v>
      </c>
      <c r="H51" s="694">
        <v>335682</v>
      </c>
      <c r="I51" s="694">
        <v>312691</v>
      </c>
      <c r="J51" s="694">
        <v>339238.6</v>
      </c>
      <c r="K51" s="694"/>
      <c r="L51" s="694"/>
      <c r="M51" s="694"/>
      <c r="N51" s="694"/>
      <c r="O51" s="694"/>
      <c r="P51" s="694"/>
      <c r="Q51" s="693"/>
      <c r="R51" s="693"/>
      <c r="S51" s="693"/>
      <c r="T51" s="693"/>
      <c r="U51" s="693"/>
      <c r="V51" s="693"/>
      <c r="W51" s="693"/>
      <c r="X51" s="693"/>
      <c r="Y51" s="693"/>
      <c r="Z51" s="693"/>
      <c r="AA51" s="739"/>
      <c r="AB51" s="693"/>
      <c r="AC51" s="693"/>
      <c r="AD51" s="693"/>
      <c r="AE51" s="693"/>
      <c r="AF51" s="693"/>
      <c r="AG51" s="693"/>
      <c r="AH51" s="693"/>
    </row>
    <row r="52" spans="1:38">
      <c r="A52" s="693"/>
      <c r="B52" s="693" t="s">
        <v>574</v>
      </c>
      <c r="C52" s="693"/>
      <c r="D52" s="693"/>
      <c r="E52" s="693"/>
      <c r="F52" s="697">
        <f>F51/F12</f>
        <v>7.0389208356869098E-2</v>
      </c>
      <c r="G52" s="697">
        <f t="shared" ref="G52:J52" si="52">G51/G12</f>
        <v>7.683783144860927E-2</v>
      </c>
      <c r="H52" s="697">
        <f t="shared" si="52"/>
        <v>7.4893142704409901E-2</v>
      </c>
      <c r="I52" s="697">
        <f t="shared" si="52"/>
        <v>7.1738960470666843E-2</v>
      </c>
      <c r="J52" s="697">
        <f t="shared" si="52"/>
        <v>7.2075126601701858E-2</v>
      </c>
      <c r="K52" s="697"/>
      <c r="L52" s="697"/>
      <c r="M52" s="693"/>
      <c r="N52" s="693"/>
      <c r="O52" s="693"/>
      <c r="P52" s="693"/>
      <c r="Q52" s="693"/>
      <c r="R52" s="693"/>
      <c r="S52" s="693"/>
      <c r="T52" s="693"/>
      <c r="U52" s="693"/>
      <c r="V52" s="693"/>
      <c r="W52" s="693"/>
      <c r="X52" s="693"/>
      <c r="Y52" s="693"/>
      <c r="Z52" s="693"/>
      <c r="AA52" s="739"/>
      <c r="AB52" s="693"/>
      <c r="AC52" s="693"/>
      <c r="AD52" s="693"/>
      <c r="AE52" s="693"/>
      <c r="AF52" s="693"/>
      <c r="AG52" s="693"/>
      <c r="AH52" s="693"/>
    </row>
    <row r="53" spans="1:38">
      <c r="A53" s="693"/>
      <c r="B53" s="693" t="s">
        <v>575</v>
      </c>
      <c r="C53" s="693"/>
      <c r="D53" s="693"/>
      <c r="E53" s="693"/>
      <c r="F53" s="697">
        <f>F51/F37</f>
        <v>7.6430737145386882E-2</v>
      </c>
      <c r="G53" s="697">
        <f t="shared" ref="G53:J53" si="53">G51/G37</f>
        <v>8.3734376640837466E-2</v>
      </c>
      <c r="H53" s="697">
        <f t="shared" si="53"/>
        <v>8.2067879178455747E-2</v>
      </c>
      <c r="I53" s="697">
        <f t="shared" si="53"/>
        <v>7.8686942078503214E-2</v>
      </c>
      <c r="J53" s="697">
        <f t="shared" si="53"/>
        <v>7.8116460960008391E-2</v>
      </c>
      <c r="K53" s="697"/>
      <c r="L53" s="697"/>
      <c r="M53" s="693"/>
      <c r="N53" s="693"/>
      <c r="O53" s="693"/>
      <c r="P53" s="693"/>
      <c r="Q53" s="693"/>
      <c r="R53" s="693"/>
      <c r="S53" s="693"/>
      <c r="T53" s="693"/>
      <c r="U53" s="693"/>
      <c r="V53" s="693"/>
      <c r="W53" s="693"/>
      <c r="X53" s="693"/>
      <c r="Y53" s="693"/>
      <c r="Z53" s="693"/>
      <c r="AA53" s="739"/>
      <c r="AB53" s="693"/>
      <c r="AC53" s="693"/>
      <c r="AD53" s="693"/>
      <c r="AE53" s="693"/>
      <c r="AF53" s="693"/>
      <c r="AG53" s="693"/>
      <c r="AH53" s="693"/>
    </row>
    <row r="54" spans="1:38">
      <c r="A54" s="693"/>
      <c r="B54" s="693"/>
      <c r="C54" s="693"/>
      <c r="D54" s="693"/>
      <c r="E54" s="693"/>
      <c r="F54" s="693"/>
      <c r="G54" s="693"/>
      <c r="H54" s="693"/>
      <c r="I54" s="693"/>
      <c r="J54" s="693"/>
      <c r="K54" s="693"/>
      <c r="L54" s="693"/>
      <c r="M54" s="693"/>
      <c r="N54" s="693"/>
      <c r="O54" s="693"/>
      <c r="P54" s="693"/>
      <c r="Q54" s="693"/>
      <c r="R54" s="693"/>
      <c r="S54" s="693"/>
      <c r="T54" s="693"/>
      <c r="U54" s="693"/>
      <c r="V54" s="693"/>
      <c r="W54" s="693"/>
      <c r="X54" s="693"/>
      <c r="Y54" s="693"/>
      <c r="Z54" s="693"/>
      <c r="AA54" s="739"/>
      <c r="AB54" s="693"/>
      <c r="AC54" s="693"/>
      <c r="AD54" s="693"/>
      <c r="AE54" s="693"/>
      <c r="AF54" s="693"/>
      <c r="AG54" s="693"/>
      <c r="AH54" s="693"/>
    </row>
  </sheetData>
  <phoneticPr fontId="49" type="noConversion"/>
  <pageMargins left="0.7" right="0.7" top="0.75" bottom="0.75" header="0.3" footer="0.3"/>
  <pageSetup paperSize="9" orientation="portrait" horizontalDpi="4294967293" verticalDpi="4294967293"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8"/>
  <sheetViews>
    <sheetView zoomScale="70" zoomScaleNormal="70" workbookViewId="0">
      <selection activeCell="Q55" sqref="Q55"/>
    </sheetView>
  </sheetViews>
  <sheetFormatPr defaultRowHeight="15.75"/>
  <cols>
    <col min="1" max="1" width="18.125" customWidth="1"/>
    <col min="2" max="9" width="9" hidden="1" customWidth="1"/>
    <col min="10" max="10" width="10.625" customWidth="1"/>
    <col min="11" max="11" width="19.75" bestFit="1" customWidth="1"/>
    <col min="14" max="14" width="9.75" bestFit="1" customWidth="1"/>
    <col min="15" max="15" width="8.125" bestFit="1" customWidth="1"/>
    <col min="16" max="16" width="9.75" bestFit="1" customWidth="1"/>
    <col min="17" max="17" width="10.625" style="587" bestFit="1" customWidth="1"/>
    <col min="18" max="18" width="9.75" style="587" bestFit="1" customWidth="1"/>
    <col min="19" max="20" width="11.5" style="587" bestFit="1" customWidth="1"/>
    <col min="21" max="31" width="0" hidden="1" customWidth="1"/>
  </cols>
  <sheetData>
    <row r="1" spans="1:37">
      <c r="A1" s="109"/>
      <c r="B1" s="964" t="s">
        <v>160</v>
      </c>
      <c r="C1" s="964"/>
      <c r="D1" s="964"/>
      <c r="E1" s="964"/>
      <c r="F1" s="964"/>
      <c r="G1" s="110"/>
      <c r="H1" s="110"/>
      <c r="I1" s="110"/>
      <c r="J1" s="110"/>
      <c r="K1" s="109"/>
      <c r="L1" s="111"/>
      <c r="M1" s="112"/>
      <c r="N1" s="109"/>
      <c r="O1" s="109"/>
      <c r="Q1" s="773"/>
      <c r="R1" s="773"/>
      <c r="S1" s="773"/>
      <c r="T1" s="773"/>
      <c r="U1" s="157"/>
      <c r="V1" s="109"/>
      <c r="W1" s="109"/>
      <c r="X1" s="109"/>
      <c r="Y1" s="109"/>
      <c r="Z1" s="109"/>
      <c r="AA1" s="109"/>
      <c r="AB1" s="109"/>
      <c r="AC1" s="109"/>
      <c r="AD1" s="109"/>
      <c r="AE1" s="109"/>
      <c r="AF1" s="109"/>
      <c r="AG1" s="109"/>
      <c r="AH1" s="109"/>
      <c r="AI1" s="109"/>
      <c r="AJ1" s="109"/>
      <c r="AK1" s="109"/>
    </row>
    <row r="2" spans="1:37">
      <c r="A2" s="109"/>
      <c r="B2" s="113">
        <v>2009</v>
      </c>
      <c r="C2" s="113">
        <v>2010</v>
      </c>
      <c r="D2" s="113">
        <v>2011</v>
      </c>
      <c r="E2" s="113">
        <v>2012</v>
      </c>
      <c r="F2" s="113">
        <v>2013</v>
      </c>
      <c r="G2" s="113">
        <v>2014</v>
      </c>
      <c r="H2" s="113">
        <v>2015</v>
      </c>
      <c r="I2" s="113">
        <v>2016</v>
      </c>
      <c r="J2" s="158">
        <v>2017</v>
      </c>
      <c r="K2" s="109" t="s">
        <v>2</v>
      </c>
      <c r="L2" s="114">
        <v>2</v>
      </c>
      <c r="M2" s="112"/>
      <c r="N2" s="115"/>
      <c r="O2" s="116" t="s">
        <v>1</v>
      </c>
      <c r="P2" s="116" t="s">
        <v>27</v>
      </c>
      <c r="Q2" s="774">
        <f>2018</f>
        <v>2018</v>
      </c>
      <c r="R2" s="774">
        <f t="shared" ref="R2:U2" si="0">Q2+1</f>
        <v>2019</v>
      </c>
      <c r="S2" s="774">
        <f t="shared" si="0"/>
        <v>2020</v>
      </c>
      <c r="T2" s="774">
        <f t="shared" si="0"/>
        <v>2021</v>
      </c>
      <c r="U2" s="117">
        <f t="shared" si="0"/>
        <v>2022</v>
      </c>
      <c r="V2" s="115">
        <v>2022</v>
      </c>
      <c r="W2" s="115">
        <v>2023</v>
      </c>
      <c r="X2" s="118">
        <v>2024</v>
      </c>
      <c r="Y2" s="115">
        <v>2025</v>
      </c>
      <c r="Z2" s="118">
        <v>2026</v>
      </c>
      <c r="AA2" s="109"/>
      <c r="AB2" s="109"/>
      <c r="AC2" s="109"/>
      <c r="AD2" s="109"/>
      <c r="AE2" s="109"/>
      <c r="AF2" s="109"/>
      <c r="AG2" s="109"/>
      <c r="AH2" s="109"/>
      <c r="AI2" s="109"/>
      <c r="AJ2" s="109"/>
      <c r="AK2" s="109"/>
    </row>
    <row r="3" spans="1:37">
      <c r="A3" s="119" t="s">
        <v>73</v>
      </c>
      <c r="B3" s="120">
        <v>26975</v>
      </c>
      <c r="C3" s="120">
        <v>72716</v>
      </c>
      <c r="D3" s="120">
        <v>91666</v>
      </c>
      <c r="E3" s="120">
        <v>92815.16</v>
      </c>
      <c r="F3" s="120">
        <v>57044.599999999991</v>
      </c>
      <c r="G3" s="120">
        <f>-FS!G50</f>
        <v>27565</v>
      </c>
      <c r="H3" s="120">
        <f>-FS!H50</f>
        <v>70959</v>
      </c>
      <c r="I3" s="120">
        <f>-FS!I50</f>
        <v>53204.353000000003</v>
      </c>
      <c r="J3" s="120">
        <f>-FS!J50</f>
        <v>60384.845999999998</v>
      </c>
      <c r="K3" s="109"/>
      <c r="L3" s="121">
        <f>L2</f>
        <v>2</v>
      </c>
      <c r="M3" s="112"/>
      <c r="N3" s="122"/>
      <c r="O3" s="122">
        <f>I3</f>
        <v>53204.353000000003</v>
      </c>
      <c r="P3" s="122">
        <f>J3</f>
        <v>60384.845999999998</v>
      </c>
      <c r="Q3" s="775">
        <f>CHOOSE($L3,Q4,Q5)+Q6+Q7</f>
        <v>158706.3670526784</v>
      </c>
      <c r="R3" s="775">
        <f t="shared" ref="R3:T3" si="1">CHOOSE($L3,R4,R5)+R6+R7</f>
        <v>202505.11034689622</v>
      </c>
      <c r="S3" s="775">
        <f t="shared" si="1"/>
        <v>178692.79173953185</v>
      </c>
      <c r="T3" s="775">
        <f t="shared" si="1"/>
        <v>63008.280341889498</v>
      </c>
      <c r="U3" s="122"/>
      <c r="V3" s="122" t="e">
        <f>CHOOSE($L3,V4,V5)+V6</f>
        <v>#REF!</v>
      </c>
      <c r="W3" s="122" t="e">
        <f>CHOOSE($L3,W4,W5)+W6</f>
        <v>#REF!</v>
      </c>
      <c r="X3" s="122" t="e">
        <f>CHOOSE($L3,X4,X5)+X6</f>
        <v>#REF!</v>
      </c>
      <c r="Y3" s="122" t="e">
        <f>CHOOSE($L3,Y4,Y5)+Y6</f>
        <v>#REF!</v>
      </c>
      <c r="Z3" s="122" t="e">
        <f>CHOOSE($L3,Z4,Z5)+Z6</f>
        <v>#REF!</v>
      </c>
      <c r="AA3" s="109"/>
      <c r="AB3" s="109"/>
      <c r="AC3" s="109"/>
      <c r="AD3" s="109"/>
      <c r="AE3" s="109"/>
      <c r="AF3" s="109"/>
      <c r="AG3" s="109"/>
      <c r="AH3" s="109"/>
      <c r="AI3" s="109"/>
      <c r="AJ3" s="109"/>
      <c r="AK3" s="109"/>
    </row>
    <row r="4" spans="1:37">
      <c r="A4" s="119"/>
      <c r="B4" s="120"/>
      <c r="C4" s="120"/>
      <c r="D4" s="120"/>
      <c r="E4" s="120"/>
      <c r="F4" s="120"/>
      <c r="G4" s="120"/>
      <c r="H4" s="120"/>
      <c r="I4" s="120"/>
      <c r="K4" s="109" t="s">
        <v>161</v>
      </c>
      <c r="L4" s="123">
        <v>1</v>
      </c>
      <c r="M4" s="112"/>
      <c r="N4" s="124"/>
      <c r="O4" s="124"/>
      <c r="P4" s="124"/>
      <c r="Q4" s="776"/>
      <c r="R4" s="776"/>
      <c r="S4" s="776"/>
      <c r="T4" s="776"/>
      <c r="U4" s="124"/>
      <c r="V4" s="109"/>
      <c r="W4" s="109"/>
      <c r="X4" s="109"/>
      <c r="Y4" s="109"/>
      <c r="Z4" s="109"/>
      <c r="AA4" s="109"/>
      <c r="AB4" s="109"/>
      <c r="AC4" s="109"/>
      <c r="AD4" s="109"/>
      <c r="AE4" s="109"/>
      <c r="AF4" s="109"/>
      <c r="AG4" s="109"/>
      <c r="AH4" s="109"/>
      <c r="AI4" s="109"/>
      <c r="AJ4" s="109"/>
      <c r="AK4" s="109"/>
    </row>
    <row r="5" spans="1:37">
      <c r="A5" s="119"/>
      <c r="B5" s="120"/>
      <c r="C5" s="120"/>
      <c r="D5" s="120"/>
      <c r="E5" s="120"/>
      <c r="F5" s="120"/>
      <c r="G5" s="120"/>
      <c r="H5" s="120"/>
      <c r="I5" s="120"/>
      <c r="K5" s="109" t="s">
        <v>162</v>
      </c>
      <c r="L5" s="123">
        <v>2</v>
      </c>
      <c r="M5" s="112"/>
      <c r="N5" s="125"/>
      <c r="O5" s="125"/>
      <c r="P5" s="125"/>
      <c r="Q5" s="777">
        <f>$K$52*'P&amp;L Drivers'!M12*$AI$5</f>
        <v>42109.726715336408</v>
      </c>
      <c r="R5" s="777">
        <f>$K$52*'P&amp;L Drivers'!N12*$AI$5</f>
        <v>42995.649840883227</v>
      </c>
      <c r="S5" s="777">
        <f>$K$52*'P&amp;L Drivers'!O12*$AI$5</f>
        <v>43883.421149183348</v>
      </c>
      <c r="T5" s="777">
        <f>$K$52*'P&amp;L Drivers'!P12*$AI$5</f>
        <v>44795.550088882999</v>
      </c>
      <c r="U5" s="125"/>
      <c r="V5" s="125" t="e">
        <f>$K$52*'[5]P&amp;L Assumptions'!#REF!</f>
        <v>#REF!</v>
      </c>
      <c r="W5" s="125" t="e">
        <f>$K$52*'[5]P&amp;L Assumptions'!#REF!</f>
        <v>#REF!</v>
      </c>
      <c r="X5" s="125" t="e">
        <f>$K$52*'[5]P&amp;L Assumptions'!#REF!</f>
        <v>#REF!</v>
      </c>
      <c r="Y5" s="125" t="e">
        <f>$K$52*'[5]P&amp;L Assumptions'!#REF!</f>
        <v>#REF!</v>
      </c>
      <c r="Z5" s="125" t="e">
        <f>$K$52*'[5]P&amp;L Assumptions'!#REF!</f>
        <v>#REF!</v>
      </c>
      <c r="AA5" s="109"/>
      <c r="AB5" s="109"/>
      <c r="AC5" s="109"/>
      <c r="AD5" s="109"/>
      <c r="AE5" s="109"/>
      <c r="AF5" s="772" t="s">
        <v>605</v>
      </c>
      <c r="AG5" s="109"/>
      <c r="AH5" s="109"/>
      <c r="AI5" s="792">
        <v>0.7</v>
      </c>
      <c r="AJ5" s="109"/>
      <c r="AK5" s="109"/>
    </row>
    <row r="6" spans="1:37">
      <c r="A6" s="119"/>
      <c r="B6" s="113"/>
      <c r="C6" s="113"/>
      <c r="D6" s="113"/>
      <c r="E6" s="113"/>
      <c r="F6" s="113"/>
      <c r="G6" s="113"/>
      <c r="H6" s="113"/>
      <c r="I6" s="113"/>
      <c r="K6" s="126" t="s">
        <v>163</v>
      </c>
      <c r="L6" s="112"/>
      <c r="M6" s="112"/>
      <c r="N6" s="127"/>
      <c r="O6" s="128"/>
      <c r="P6" s="128"/>
      <c r="Q6" s="778">
        <f>Q18</f>
        <v>92313</v>
      </c>
      <c r="R6" s="778">
        <f t="shared" ref="R6:S6" si="2">R18</f>
        <v>123084</v>
      </c>
      <c r="S6" s="778">
        <f t="shared" si="2"/>
        <v>92313</v>
      </c>
      <c r="T6" s="779"/>
      <c r="U6" s="127"/>
      <c r="V6" s="109"/>
      <c r="W6" s="109"/>
      <c r="X6" s="109"/>
      <c r="Y6" s="109"/>
      <c r="Z6" s="109"/>
      <c r="AA6" s="130" t="s">
        <v>164</v>
      </c>
      <c r="AB6" s="109"/>
      <c r="AC6" s="109"/>
      <c r="AD6" s="109"/>
      <c r="AE6" s="109"/>
      <c r="AF6" s="131" t="s">
        <v>165</v>
      </c>
      <c r="AG6" s="109"/>
      <c r="AH6" s="109"/>
      <c r="AI6" s="109"/>
      <c r="AJ6" s="109"/>
      <c r="AK6" s="109"/>
    </row>
    <row r="7" spans="1:37">
      <c r="A7" s="119"/>
      <c r="B7" s="113"/>
      <c r="C7" s="113"/>
      <c r="D7" s="113"/>
      <c r="E7" s="113"/>
      <c r="F7" s="113"/>
      <c r="G7" s="113"/>
      <c r="H7" s="113"/>
      <c r="I7" s="113"/>
      <c r="K7" s="126" t="s">
        <v>606</v>
      </c>
      <c r="L7" s="112"/>
      <c r="M7" s="112"/>
      <c r="N7" s="127"/>
      <c r="O7" s="128"/>
      <c r="P7" s="796">
        <f>4936*K57</f>
        <v>22432.639199999998</v>
      </c>
      <c r="Q7" s="778">
        <f>Q34</f>
        <v>24283.640337342</v>
      </c>
      <c r="R7" s="778">
        <f t="shared" ref="R7:T7" si="3">R34</f>
        <v>36425.460506012998</v>
      </c>
      <c r="S7" s="778">
        <f t="shared" si="3"/>
        <v>42496.370590348495</v>
      </c>
      <c r="T7" s="778">
        <f t="shared" si="3"/>
        <v>18212.730253006499</v>
      </c>
      <c r="U7" s="127"/>
      <c r="V7" s="109"/>
      <c r="W7" s="109"/>
      <c r="X7" s="109"/>
      <c r="Y7" s="109"/>
      <c r="Z7" s="109"/>
      <c r="AA7" s="130"/>
      <c r="AB7" s="109"/>
      <c r="AC7" s="109"/>
      <c r="AD7" s="109"/>
      <c r="AE7" s="109"/>
      <c r="AF7" s="131" t="s">
        <v>607</v>
      </c>
      <c r="AG7" s="109"/>
      <c r="AH7" s="109"/>
      <c r="AI7" s="109"/>
      <c r="AJ7" s="109"/>
      <c r="AK7" s="109"/>
    </row>
    <row r="8" spans="1:37">
      <c r="A8" s="132" t="s">
        <v>166</v>
      </c>
      <c r="B8" s="113"/>
      <c r="C8" s="113"/>
      <c r="D8" s="113"/>
      <c r="E8" s="113"/>
      <c r="F8" s="113"/>
      <c r="G8" s="113"/>
      <c r="H8" s="113"/>
      <c r="I8" s="113"/>
      <c r="K8" s="115"/>
      <c r="L8" s="112"/>
      <c r="M8" s="112" t="s">
        <v>167</v>
      </c>
      <c r="N8" s="115"/>
      <c r="O8" s="115"/>
      <c r="P8" s="115"/>
      <c r="Q8" s="780"/>
      <c r="R8" s="780"/>
      <c r="S8" s="780"/>
      <c r="T8" s="780"/>
      <c r="U8" s="115"/>
      <c r="V8" s="109"/>
      <c r="W8" s="109"/>
      <c r="X8" s="109"/>
      <c r="Y8" s="109"/>
      <c r="Z8" s="109"/>
      <c r="AA8" s="109"/>
      <c r="AB8" s="109"/>
      <c r="AC8" s="109"/>
      <c r="AD8" s="109"/>
      <c r="AE8" s="109"/>
      <c r="AF8" s="109"/>
      <c r="AG8" s="109"/>
      <c r="AH8" s="109"/>
      <c r="AI8" s="109"/>
      <c r="AJ8" s="109"/>
      <c r="AK8" s="109"/>
    </row>
    <row r="9" spans="1:37">
      <c r="A9" s="132"/>
      <c r="B9" s="113"/>
      <c r="C9" s="113"/>
      <c r="D9" s="113"/>
      <c r="E9" s="113"/>
      <c r="F9" s="113"/>
      <c r="G9" s="113"/>
      <c r="H9" s="113"/>
      <c r="I9" s="113"/>
      <c r="K9" s="115"/>
      <c r="L9" s="112"/>
      <c r="M9" s="112">
        <v>6</v>
      </c>
      <c r="N9" s="115"/>
      <c r="O9" s="115"/>
      <c r="P9" s="115"/>
      <c r="Q9" s="780"/>
      <c r="R9" s="780"/>
      <c r="S9" s="780"/>
      <c r="T9" s="780"/>
      <c r="U9" s="115"/>
      <c r="V9" s="109"/>
      <c r="W9" s="109"/>
      <c r="X9" s="109"/>
      <c r="Y9" s="109"/>
      <c r="Z9" s="109"/>
      <c r="AA9" s="109"/>
      <c r="AB9" s="109"/>
      <c r="AC9" s="109"/>
      <c r="AD9" s="109"/>
      <c r="AE9" s="109"/>
      <c r="AF9" s="109"/>
      <c r="AG9" s="109"/>
      <c r="AH9" s="109"/>
      <c r="AI9" s="109"/>
      <c r="AJ9" s="109"/>
      <c r="AK9" s="109"/>
    </row>
    <row r="10" spans="1:37">
      <c r="A10" s="133" t="s">
        <v>168</v>
      </c>
      <c r="B10" s="133"/>
      <c r="C10" s="133"/>
      <c r="D10" s="133"/>
      <c r="E10" s="133"/>
      <c r="F10" s="133"/>
      <c r="G10" s="133"/>
      <c r="H10" s="133"/>
      <c r="I10" s="133"/>
      <c r="J10" s="133"/>
      <c r="K10" s="133"/>
      <c r="L10" s="134"/>
      <c r="M10" s="135"/>
      <c r="N10" s="136">
        <f>SUM(N11:N11)</f>
        <v>0</v>
      </c>
      <c r="O10" s="136"/>
      <c r="P10" s="136">
        <f t="shared" ref="P10:U10" si="4">SUM(P11:P14)</f>
        <v>0</v>
      </c>
      <c r="Q10" s="781">
        <f>SUM(Q11:Q14)</f>
        <v>7018.2877858894017</v>
      </c>
      <c r="R10" s="781">
        <f>SUM(R11:R14)</f>
        <v>14184.229426036607</v>
      </c>
      <c r="S10" s="781">
        <f t="shared" si="4"/>
        <v>21498.132950900497</v>
      </c>
      <c r="T10" s="781">
        <f t="shared" si="4"/>
        <v>28964.057965714332</v>
      </c>
      <c r="U10" s="136">
        <f t="shared" si="4"/>
        <v>28964.057965714332</v>
      </c>
      <c r="V10" s="136">
        <f>SUM(V11:V43)</f>
        <v>28964.057965714332</v>
      </c>
      <c r="W10" s="136">
        <f>SUM(W11:W43)</f>
        <v>21945.770179824929</v>
      </c>
      <c r="X10" s="136">
        <f>SUM(X11:X43)</f>
        <v>14779.828539677725</v>
      </c>
      <c r="Y10" s="136" t="e">
        <f>SUM(Y11:Y43)</f>
        <v>#REF!</v>
      </c>
      <c r="Z10" s="136" t="e">
        <f>SUM(Z11:Z43)</f>
        <v>#REF!</v>
      </c>
      <c r="AA10" s="109"/>
      <c r="AB10" s="109"/>
      <c r="AC10" s="109"/>
      <c r="AD10" s="109"/>
      <c r="AE10" s="109"/>
      <c r="AF10" s="109"/>
      <c r="AG10" s="109"/>
      <c r="AH10" s="109"/>
      <c r="AI10" s="109"/>
      <c r="AJ10" s="109"/>
      <c r="AK10" s="109"/>
    </row>
    <row r="11" spans="1:37">
      <c r="A11" s="951" t="s">
        <v>768</v>
      </c>
      <c r="B11" s="137"/>
      <c r="C11" s="137"/>
      <c r="D11" s="137"/>
      <c r="E11" s="137"/>
      <c r="F11" s="137"/>
      <c r="G11" s="137"/>
      <c r="H11" s="137"/>
      <c r="I11" s="137"/>
      <c r="K11" s="137"/>
      <c r="L11" s="123"/>
      <c r="M11" s="112"/>
      <c r="N11" s="138"/>
      <c r="O11" s="138"/>
      <c r="P11" s="138"/>
      <c r="Q11" s="782">
        <f>Q5/M9</f>
        <v>7018.2877858894017</v>
      </c>
      <c r="R11" s="782">
        <f>Q11</f>
        <v>7018.2877858894017</v>
      </c>
      <c r="S11" s="782">
        <f>R11</f>
        <v>7018.2877858894017</v>
      </c>
      <c r="T11" s="782">
        <f t="shared" ref="T11:Y14" si="5">S11</f>
        <v>7018.2877858894017</v>
      </c>
      <c r="U11" s="138">
        <f t="shared" si="5"/>
        <v>7018.2877858894017</v>
      </c>
      <c r="V11" s="138">
        <f t="shared" si="5"/>
        <v>7018.2877858894017</v>
      </c>
      <c r="W11" s="109"/>
      <c r="X11" s="109"/>
      <c r="Y11" s="109"/>
      <c r="Z11" s="109"/>
      <c r="AA11" s="109"/>
      <c r="AB11" s="109"/>
      <c r="AC11" s="109"/>
      <c r="AD11" s="109"/>
      <c r="AE11" s="109"/>
      <c r="AF11" s="109"/>
      <c r="AG11" s="109"/>
      <c r="AH11" s="109"/>
      <c r="AI11" s="109"/>
      <c r="AJ11" s="109"/>
      <c r="AK11" s="109"/>
    </row>
    <row r="12" spans="1:37">
      <c r="A12" s="951" t="s">
        <v>169</v>
      </c>
      <c r="B12" s="137"/>
      <c r="C12" s="137"/>
      <c r="D12" s="137"/>
      <c r="E12" s="137"/>
      <c r="F12" s="137"/>
      <c r="G12" s="137"/>
      <c r="H12" s="137"/>
      <c r="I12" s="137"/>
      <c r="K12" s="115"/>
      <c r="L12" s="123"/>
      <c r="M12" s="112"/>
      <c r="N12" s="138"/>
      <c r="O12" s="138"/>
      <c r="P12" s="138"/>
      <c r="Q12" s="782"/>
      <c r="R12" s="782">
        <f>R5/M9</f>
        <v>7165.9416401472045</v>
      </c>
      <c r="S12" s="782">
        <f>R12</f>
        <v>7165.9416401472045</v>
      </c>
      <c r="T12" s="782">
        <f t="shared" si="5"/>
        <v>7165.9416401472045</v>
      </c>
      <c r="U12" s="138">
        <f t="shared" si="5"/>
        <v>7165.9416401472045</v>
      </c>
      <c r="V12" s="138">
        <f t="shared" si="5"/>
        <v>7165.9416401472045</v>
      </c>
      <c r="W12" s="138">
        <f t="shared" si="5"/>
        <v>7165.9416401472045</v>
      </c>
      <c r="X12" s="109"/>
      <c r="Y12" s="109"/>
      <c r="Z12" s="109"/>
      <c r="AA12" s="109"/>
      <c r="AB12" s="109"/>
      <c r="AC12" s="109"/>
      <c r="AD12" s="109"/>
      <c r="AE12" s="109"/>
      <c r="AF12" s="109"/>
      <c r="AG12" s="109"/>
      <c r="AH12" s="109"/>
      <c r="AI12" s="109"/>
      <c r="AJ12" s="109"/>
      <c r="AK12" s="109"/>
    </row>
    <row r="13" spans="1:37">
      <c r="A13" s="137" t="s">
        <v>170</v>
      </c>
      <c r="B13" s="137"/>
      <c r="C13" s="137"/>
      <c r="D13" s="137"/>
      <c r="E13" s="137"/>
      <c r="F13" s="137"/>
      <c r="G13" s="137"/>
      <c r="H13" s="137"/>
      <c r="I13" s="137"/>
      <c r="K13" s="115"/>
      <c r="L13" s="123"/>
      <c r="M13" s="112"/>
      <c r="N13" s="138"/>
      <c r="O13" s="138"/>
      <c r="P13" s="138"/>
      <c r="Q13" s="782"/>
      <c r="R13" s="782"/>
      <c r="S13" s="782">
        <f>S5/M9</f>
        <v>7313.9035248638911</v>
      </c>
      <c r="T13" s="782">
        <f>S13</f>
        <v>7313.9035248638911</v>
      </c>
      <c r="U13" s="138">
        <f>T13</f>
        <v>7313.9035248638911</v>
      </c>
      <c r="V13" s="138">
        <f t="shared" si="5"/>
        <v>7313.9035248638911</v>
      </c>
      <c r="W13" s="138">
        <f t="shared" si="5"/>
        <v>7313.9035248638911</v>
      </c>
      <c r="X13" s="138">
        <f t="shared" si="5"/>
        <v>7313.9035248638911</v>
      </c>
      <c r="Y13" s="109"/>
      <c r="Z13" s="109"/>
      <c r="AA13" s="109"/>
      <c r="AB13" s="109"/>
      <c r="AC13" s="109"/>
      <c r="AD13" s="109"/>
      <c r="AE13" s="109"/>
      <c r="AF13" s="109"/>
      <c r="AG13" s="109"/>
      <c r="AH13" s="109"/>
      <c r="AI13" s="109"/>
      <c r="AJ13" s="109"/>
      <c r="AK13" s="109"/>
    </row>
    <row r="14" spans="1:37">
      <c r="A14" s="951" t="s">
        <v>769</v>
      </c>
      <c r="B14" s="137"/>
      <c r="C14" s="137"/>
      <c r="D14" s="137"/>
      <c r="E14" s="137"/>
      <c r="F14" s="137"/>
      <c r="G14" s="137"/>
      <c r="H14" s="137"/>
      <c r="I14" s="137"/>
      <c r="K14" s="115"/>
      <c r="L14" s="123"/>
      <c r="M14" s="112"/>
      <c r="N14" s="138"/>
      <c r="O14" s="138"/>
      <c r="P14" s="138"/>
      <c r="Q14" s="782"/>
      <c r="R14" s="782"/>
      <c r="S14" s="782"/>
      <c r="T14" s="782">
        <f>T5/M9</f>
        <v>7465.9250148138335</v>
      </c>
      <c r="U14" s="138">
        <f>T14</f>
        <v>7465.9250148138335</v>
      </c>
      <c r="V14" s="138">
        <f>U14</f>
        <v>7465.9250148138335</v>
      </c>
      <c r="W14" s="138">
        <f t="shared" si="5"/>
        <v>7465.9250148138335</v>
      </c>
      <c r="X14" s="138">
        <f t="shared" si="5"/>
        <v>7465.9250148138335</v>
      </c>
      <c r="Y14" s="138">
        <f t="shared" si="5"/>
        <v>7465.9250148138335</v>
      </c>
      <c r="Z14" s="109"/>
      <c r="AA14" s="109"/>
      <c r="AB14" s="109"/>
      <c r="AC14" s="109"/>
      <c r="AD14" s="109"/>
      <c r="AE14" s="109"/>
      <c r="AF14" s="109"/>
      <c r="AG14" s="109"/>
      <c r="AH14" s="109"/>
      <c r="AI14" s="109"/>
      <c r="AJ14" s="109"/>
      <c r="AK14" s="109"/>
    </row>
    <row r="15" spans="1:37">
      <c r="A15" s="139"/>
      <c r="B15" s="137"/>
      <c r="C15" s="137"/>
      <c r="D15" s="137"/>
      <c r="E15" s="137"/>
      <c r="F15" s="137"/>
      <c r="G15" s="137"/>
      <c r="H15" s="137"/>
      <c r="I15" s="137"/>
      <c r="K15" s="115"/>
      <c r="L15" s="123"/>
      <c r="M15" s="112"/>
      <c r="N15" s="138"/>
      <c r="O15" s="138"/>
      <c r="P15" s="138"/>
      <c r="Q15" s="782"/>
      <c r="R15" s="782"/>
      <c r="S15" s="782"/>
      <c r="T15" s="782"/>
      <c r="U15" s="138"/>
      <c r="V15" s="138"/>
      <c r="W15" s="138"/>
      <c r="X15" s="138"/>
      <c r="Y15" s="138"/>
      <c r="Z15" s="109"/>
      <c r="AA15" s="109"/>
      <c r="AB15" s="109"/>
      <c r="AC15" s="109"/>
      <c r="AD15" s="109"/>
      <c r="AE15" s="109"/>
      <c r="AF15" s="109"/>
      <c r="AG15" s="109"/>
      <c r="AH15" s="109"/>
      <c r="AI15" s="109"/>
      <c r="AJ15" s="109"/>
      <c r="AK15" s="109"/>
    </row>
    <row r="16" spans="1:37">
      <c r="A16" s="435" t="s">
        <v>171</v>
      </c>
      <c r="B16" s="157"/>
      <c r="C16" s="157"/>
      <c r="D16" s="157"/>
      <c r="E16" s="157"/>
      <c r="F16" s="157"/>
      <c r="G16" s="157"/>
      <c r="H16" s="157"/>
      <c r="I16" s="157"/>
      <c r="J16" s="160"/>
      <c r="K16" s="157"/>
      <c r="L16" s="436"/>
      <c r="M16" s="437"/>
      <c r="N16" s="157"/>
      <c r="O16" s="157"/>
      <c r="P16" s="157"/>
      <c r="Q16" s="22"/>
      <c r="R16" s="22"/>
      <c r="S16" s="22"/>
      <c r="T16" s="22"/>
      <c r="U16" s="157"/>
      <c r="V16" s="157"/>
      <c r="W16" s="157"/>
      <c r="X16" s="157"/>
      <c r="Y16" s="157"/>
      <c r="Z16" s="157"/>
      <c r="AA16" s="157"/>
      <c r="AB16" s="157"/>
      <c r="AC16" s="157"/>
      <c r="AD16" s="157"/>
      <c r="AE16" s="157"/>
      <c r="AF16" s="157"/>
      <c r="AG16" s="157"/>
      <c r="AH16" s="157"/>
      <c r="AI16" s="157"/>
      <c r="AJ16" s="157"/>
      <c r="AK16" s="157"/>
    </row>
    <row r="17" spans="1:37">
      <c r="A17" s="438" t="s">
        <v>172</v>
      </c>
      <c r="B17" s="157"/>
      <c r="C17" s="157"/>
      <c r="D17" s="157"/>
      <c r="E17" s="157"/>
      <c r="F17" s="157"/>
      <c r="G17" s="157"/>
      <c r="H17" s="157"/>
      <c r="I17" s="157"/>
      <c r="J17" s="160"/>
      <c r="K17" s="439">
        <v>10000</v>
      </c>
      <c r="L17" s="436"/>
      <c r="M17" s="437"/>
      <c r="N17" s="157"/>
      <c r="O17" s="157"/>
      <c r="P17" s="157"/>
      <c r="Q17" s="22"/>
      <c r="R17" s="22"/>
      <c r="S17" s="22"/>
      <c r="T17" s="22"/>
      <c r="U17" s="157"/>
      <c r="V17" s="157"/>
      <c r="W17" s="157"/>
      <c r="X17" s="157"/>
      <c r="Y17" s="157"/>
      <c r="Z17" s="157"/>
      <c r="AA17" s="157"/>
      <c r="AB17" s="157"/>
      <c r="AC17" s="157"/>
      <c r="AD17" s="157"/>
      <c r="AE17" s="157"/>
      <c r="AF17" s="157"/>
      <c r="AG17" s="157"/>
      <c r="AH17" s="157"/>
      <c r="AI17" s="157"/>
      <c r="AJ17" s="157"/>
      <c r="AK17" s="157"/>
    </row>
    <row r="18" spans="1:37">
      <c r="A18" s="438" t="s">
        <v>137</v>
      </c>
      <c r="B18" s="157"/>
      <c r="C18" s="157"/>
      <c r="D18" s="157"/>
      <c r="E18" s="157"/>
      <c r="F18" s="157"/>
      <c r="G18" s="157"/>
      <c r="H18" s="157"/>
      <c r="I18" s="157"/>
      <c r="J18" s="160"/>
      <c r="K18" s="439">
        <f>K17*K55</f>
        <v>307710</v>
      </c>
      <c r="L18" s="436"/>
      <c r="M18" s="437"/>
      <c r="N18" s="157"/>
      <c r="O18" s="157"/>
      <c r="P18" s="157"/>
      <c r="Q18" s="783">
        <f>$K$18*AI18</f>
        <v>92313</v>
      </c>
      <c r="R18" s="783">
        <f>$K$18*AJ18</f>
        <v>123084</v>
      </c>
      <c r="S18" s="783">
        <f>$K$18*AK18</f>
        <v>92313</v>
      </c>
      <c r="T18" s="22"/>
      <c r="U18" s="157"/>
      <c r="V18" s="157"/>
      <c r="W18" s="157"/>
      <c r="X18" s="157"/>
      <c r="Y18" s="157"/>
      <c r="Z18" s="157"/>
      <c r="AA18" s="157"/>
      <c r="AB18" s="157"/>
      <c r="AC18" s="157"/>
      <c r="AD18" s="157"/>
      <c r="AE18" s="157"/>
      <c r="AF18" s="157" t="s">
        <v>173</v>
      </c>
      <c r="AG18" s="157"/>
      <c r="AH18" s="157"/>
      <c r="AI18" s="440">
        <v>0.3</v>
      </c>
      <c r="AJ18" s="440">
        <v>0.4</v>
      </c>
      <c r="AK18" s="440">
        <v>0.3</v>
      </c>
    </row>
    <row r="19" spans="1:37">
      <c r="A19" s="157"/>
      <c r="B19" s="157"/>
      <c r="C19" s="157"/>
      <c r="D19" s="157"/>
      <c r="E19" s="157"/>
      <c r="F19" s="157"/>
      <c r="G19" s="157"/>
      <c r="H19" s="157"/>
      <c r="I19" s="157"/>
      <c r="J19" s="160"/>
      <c r="K19" s="157"/>
      <c r="L19" s="436"/>
      <c r="M19" s="441">
        <v>0.1</v>
      </c>
      <c r="N19" s="438" t="s">
        <v>174</v>
      </c>
      <c r="O19" s="157"/>
      <c r="P19" s="157"/>
      <c r="Q19" s="783">
        <f>$K$18*M19</f>
        <v>30771</v>
      </c>
      <c r="R19" s="22"/>
      <c r="S19" s="22"/>
      <c r="T19" s="22"/>
      <c r="U19" s="157"/>
      <c r="V19" s="157"/>
      <c r="W19" s="157"/>
      <c r="X19" s="157"/>
      <c r="Y19" s="157"/>
      <c r="Z19" s="157"/>
      <c r="AA19" s="157"/>
      <c r="AB19" s="157"/>
      <c r="AC19" s="157"/>
      <c r="AD19" s="157"/>
      <c r="AE19" s="157"/>
      <c r="AF19" s="157"/>
      <c r="AG19" s="157"/>
      <c r="AH19" s="157"/>
      <c r="AI19" s="157"/>
      <c r="AJ19" s="157"/>
      <c r="AK19" s="157"/>
    </row>
    <row r="20" spans="1:37">
      <c r="A20" s="157"/>
      <c r="B20" s="157"/>
      <c r="C20" s="157"/>
      <c r="D20" s="157"/>
      <c r="E20" s="157"/>
      <c r="F20" s="157"/>
      <c r="G20" s="157"/>
      <c r="H20" s="157"/>
      <c r="I20" s="157"/>
      <c r="J20" s="160"/>
      <c r="K20" s="157"/>
      <c r="L20" s="436"/>
      <c r="M20" s="441">
        <v>0.25</v>
      </c>
      <c r="N20" s="438" t="s">
        <v>175</v>
      </c>
      <c r="O20" s="157"/>
      <c r="P20" s="157"/>
      <c r="Q20" s="783">
        <f>K18*15%</f>
        <v>46156.5</v>
      </c>
      <c r="R20" s="783">
        <f>K18*10%</f>
        <v>30771</v>
      </c>
      <c r="S20" s="22"/>
      <c r="T20" s="22"/>
      <c r="U20" s="157"/>
      <c r="V20" s="157"/>
      <c r="W20" s="157"/>
      <c r="X20" s="157"/>
      <c r="Y20" s="157"/>
      <c r="Z20" s="157"/>
      <c r="AA20" s="157"/>
      <c r="AB20" s="157"/>
      <c r="AC20" s="157"/>
      <c r="AD20" s="157"/>
      <c r="AE20" s="157"/>
      <c r="AF20" s="157"/>
      <c r="AG20" s="157"/>
      <c r="AH20" s="157"/>
      <c r="AI20" s="157"/>
      <c r="AJ20" s="157"/>
      <c r="AK20" s="157"/>
    </row>
    <row r="21" spans="1:37">
      <c r="A21" s="157"/>
      <c r="B21" s="157"/>
      <c r="C21" s="157"/>
      <c r="D21" s="157"/>
      <c r="E21" s="157"/>
      <c r="F21" s="157"/>
      <c r="G21" s="157"/>
      <c r="H21" s="157"/>
      <c r="I21" s="157"/>
      <c r="J21" s="160"/>
      <c r="K21" s="157"/>
      <c r="L21" s="436"/>
      <c r="M21" s="441">
        <v>0.65</v>
      </c>
      <c r="N21" s="438" t="s">
        <v>176</v>
      </c>
      <c r="O21" s="157"/>
      <c r="P21" s="157"/>
      <c r="Q21" s="783">
        <f>K18*5%</f>
        <v>15385.5</v>
      </c>
      <c r="R21" s="783">
        <f>K18*30%</f>
        <v>92313</v>
      </c>
      <c r="S21" s="783">
        <f>K18*30%</f>
        <v>92313</v>
      </c>
      <c r="T21" s="22"/>
      <c r="U21" s="157"/>
      <c r="V21" s="157"/>
      <c r="W21" s="157"/>
      <c r="X21" s="157"/>
      <c r="Y21" s="157"/>
      <c r="Z21" s="157"/>
      <c r="AA21" s="157"/>
      <c r="AB21" s="157"/>
      <c r="AC21" s="157"/>
      <c r="AD21" s="157"/>
      <c r="AE21" s="157"/>
      <c r="AF21" s="157"/>
      <c r="AG21" s="157"/>
      <c r="AH21" s="157"/>
      <c r="AI21" s="157"/>
      <c r="AJ21" s="157"/>
      <c r="AK21" s="157"/>
    </row>
    <row r="22" spans="1:37">
      <c r="A22" s="142" t="s">
        <v>177</v>
      </c>
      <c r="B22" s="109"/>
      <c r="C22" s="109"/>
      <c r="D22" s="109"/>
      <c r="E22" s="109"/>
      <c r="F22" s="109"/>
      <c r="G22" s="109"/>
      <c r="H22" s="109"/>
      <c r="I22" s="109"/>
      <c r="K22" s="109"/>
      <c r="L22" s="111"/>
      <c r="M22" s="112"/>
      <c r="N22" s="109"/>
      <c r="O22" s="109"/>
      <c r="P22" s="109"/>
      <c r="Q22" s="2"/>
      <c r="R22" s="2"/>
      <c r="S22" s="2"/>
      <c r="T22" s="2"/>
      <c r="U22" s="109"/>
      <c r="V22" s="109"/>
      <c r="W22" s="109"/>
      <c r="X22" s="109"/>
      <c r="Y22" s="109"/>
      <c r="Z22" s="109"/>
      <c r="AA22" s="109"/>
      <c r="AB22" s="109"/>
      <c r="AC22" s="109"/>
      <c r="AD22" s="109"/>
      <c r="AE22" s="109"/>
      <c r="AF22" s="109"/>
      <c r="AG22" s="109"/>
      <c r="AH22" s="109"/>
      <c r="AI22" s="109"/>
      <c r="AJ22" s="109"/>
      <c r="AK22" s="109"/>
    </row>
    <row r="23" spans="1:37">
      <c r="A23" s="109"/>
      <c r="B23" s="109"/>
      <c r="C23" s="109"/>
      <c r="D23" s="109"/>
      <c r="E23" s="109"/>
      <c r="F23" s="109"/>
      <c r="G23" s="109"/>
      <c r="H23" s="109"/>
      <c r="I23" s="109"/>
      <c r="K23" s="109"/>
      <c r="L23" s="111"/>
      <c r="M23" s="112" t="s">
        <v>167</v>
      </c>
      <c r="N23" s="109"/>
      <c r="O23" s="109"/>
      <c r="P23" s="109"/>
      <c r="Q23" s="2"/>
      <c r="R23" s="2"/>
      <c r="S23" s="2"/>
      <c r="T23" s="2"/>
      <c r="U23" s="109"/>
      <c r="V23" s="109"/>
      <c r="W23" s="109"/>
      <c r="X23" s="109"/>
      <c r="Y23" s="109"/>
      <c r="Z23" s="109"/>
      <c r="AA23" s="109"/>
      <c r="AB23" s="109"/>
      <c r="AC23" s="109"/>
      <c r="AD23" s="109"/>
      <c r="AE23" s="109"/>
      <c r="AF23" s="109"/>
      <c r="AG23" s="109"/>
      <c r="AH23" s="109"/>
      <c r="AI23" s="109"/>
      <c r="AJ23" s="109"/>
      <c r="AK23" s="109"/>
    </row>
    <row r="24" spans="1:37">
      <c r="A24" s="109"/>
      <c r="B24" s="109"/>
      <c r="C24" s="109"/>
      <c r="D24" s="109"/>
      <c r="E24" s="109"/>
      <c r="F24" s="109"/>
      <c r="G24" s="109"/>
      <c r="H24" s="109"/>
      <c r="I24" s="109"/>
      <c r="K24" s="109"/>
      <c r="L24" s="111"/>
      <c r="M24" s="112">
        <v>20</v>
      </c>
      <c r="N24" s="140" t="s">
        <v>175</v>
      </c>
      <c r="O24" s="109"/>
      <c r="P24" s="109"/>
      <c r="Q24" s="2"/>
      <c r="R24" s="2"/>
      <c r="S24" s="2"/>
      <c r="T24" s="2"/>
      <c r="U24" s="109"/>
      <c r="V24" s="109"/>
      <c r="W24" s="109"/>
      <c r="X24" s="109"/>
      <c r="Y24" s="109"/>
      <c r="Z24" s="109"/>
      <c r="AA24" s="109"/>
      <c r="AB24" s="109"/>
      <c r="AC24" s="109"/>
      <c r="AD24" s="109"/>
      <c r="AE24" s="109"/>
      <c r="AF24" s="109"/>
      <c r="AG24" s="109"/>
      <c r="AH24" s="109"/>
      <c r="AI24" s="109"/>
      <c r="AJ24" s="109"/>
      <c r="AK24" s="109"/>
    </row>
    <row r="25" spans="1:37">
      <c r="A25" s="109"/>
      <c r="B25" s="109"/>
      <c r="C25" s="109"/>
      <c r="D25" s="109"/>
      <c r="E25" s="109"/>
      <c r="F25" s="109"/>
      <c r="G25" s="109"/>
      <c r="H25" s="109"/>
      <c r="I25" s="109"/>
      <c r="K25" s="109"/>
      <c r="L25" s="111"/>
      <c r="M25" s="112">
        <v>6</v>
      </c>
      <c r="N25" s="140" t="s">
        <v>176</v>
      </c>
      <c r="O25" s="109"/>
      <c r="P25" s="109"/>
      <c r="Q25" s="2"/>
      <c r="R25" s="2"/>
      <c r="S25" s="2"/>
      <c r="T25" s="2"/>
      <c r="U25" s="109"/>
      <c r="V25" s="109"/>
      <c r="W25" s="109"/>
      <c r="X25" s="109"/>
      <c r="Y25" s="109"/>
      <c r="Z25" s="109"/>
      <c r="AA25" s="109"/>
      <c r="AB25" s="109"/>
      <c r="AC25" s="109"/>
      <c r="AD25" s="109"/>
      <c r="AE25" s="109"/>
      <c r="AF25" s="109"/>
      <c r="AG25" s="109"/>
      <c r="AH25" s="109"/>
      <c r="AI25" s="109"/>
      <c r="AJ25" s="109"/>
      <c r="AK25" s="109"/>
    </row>
    <row r="26" spans="1:37">
      <c r="A26" s="133" t="s">
        <v>178</v>
      </c>
      <c r="B26" s="133"/>
      <c r="C26" s="133"/>
      <c r="D26" s="133"/>
      <c r="E26" s="133"/>
      <c r="F26" s="133"/>
      <c r="G26" s="133"/>
      <c r="H26" s="133"/>
      <c r="I26" s="133"/>
      <c r="J26" s="133"/>
      <c r="K26" s="133"/>
      <c r="L26" s="134"/>
      <c r="M26" s="135"/>
      <c r="N26" s="143"/>
      <c r="O26" s="133"/>
      <c r="P26" s="133"/>
      <c r="Q26" s="784">
        <f t="shared" ref="Q26:T26" si="6">SUM(Q27:Q30)</f>
        <v>4872.0749999999998</v>
      </c>
      <c r="R26" s="784">
        <f t="shared" si="6"/>
        <v>21796.125</v>
      </c>
      <c r="S26" s="784">
        <f t="shared" si="6"/>
        <v>37181.625</v>
      </c>
      <c r="T26" s="784">
        <f t="shared" si="6"/>
        <v>37181.625</v>
      </c>
      <c r="U26" s="109"/>
      <c r="V26" s="109"/>
      <c r="W26" s="109"/>
      <c r="X26" s="109"/>
      <c r="Y26" s="109"/>
      <c r="Z26" s="109"/>
      <c r="AA26" s="109"/>
      <c r="AB26" s="109"/>
      <c r="AC26" s="109"/>
      <c r="AD26" s="109"/>
      <c r="AE26" s="109"/>
      <c r="AF26" s="109"/>
      <c r="AG26" s="109"/>
      <c r="AH26" s="109"/>
      <c r="AI26" s="109"/>
      <c r="AJ26" s="109"/>
      <c r="AK26" s="109"/>
    </row>
    <row r="27" spans="1:37">
      <c r="A27" s="951" t="s">
        <v>768</v>
      </c>
      <c r="B27" s="109"/>
      <c r="C27" s="109"/>
      <c r="D27" s="109"/>
      <c r="E27" s="109"/>
      <c r="F27" s="109"/>
      <c r="G27" s="109"/>
      <c r="H27" s="109"/>
      <c r="I27" s="109"/>
      <c r="K27" s="109"/>
      <c r="L27" s="111"/>
      <c r="M27" s="112"/>
      <c r="N27" s="109"/>
      <c r="O27" s="109"/>
      <c r="P27" s="109"/>
      <c r="Q27" s="692">
        <f>$Q$20/$M$24+$Q$21/$M$25</f>
        <v>4872.0749999999998</v>
      </c>
      <c r="R27" s="692">
        <f>Q27</f>
        <v>4872.0749999999998</v>
      </c>
      <c r="S27" s="692">
        <f t="shared" ref="S27:T27" si="7">R27</f>
        <v>4872.0749999999998</v>
      </c>
      <c r="T27" s="692">
        <f t="shared" si="7"/>
        <v>4872.0749999999998</v>
      </c>
      <c r="U27" s="109"/>
      <c r="V27" s="109"/>
      <c r="W27" s="109"/>
      <c r="X27" s="109"/>
      <c r="Y27" s="109"/>
      <c r="Z27" s="109"/>
      <c r="AA27" s="109"/>
      <c r="AB27" s="109"/>
      <c r="AC27" s="109"/>
      <c r="AD27" s="109"/>
      <c r="AE27" s="109"/>
      <c r="AF27" s="109"/>
      <c r="AG27" s="109"/>
      <c r="AH27" s="109"/>
      <c r="AI27" s="109"/>
      <c r="AJ27" s="109"/>
      <c r="AK27" s="109"/>
    </row>
    <row r="28" spans="1:37">
      <c r="A28" s="951" t="s">
        <v>169</v>
      </c>
      <c r="B28" s="109"/>
      <c r="C28" s="109"/>
      <c r="D28" s="109"/>
      <c r="E28" s="109"/>
      <c r="F28" s="109"/>
      <c r="G28" s="109"/>
      <c r="H28" s="109"/>
      <c r="I28" s="109"/>
      <c r="K28" s="109"/>
      <c r="L28" s="111"/>
      <c r="M28" s="112"/>
      <c r="N28" s="109"/>
      <c r="O28" s="109"/>
      <c r="P28" s="109"/>
      <c r="Q28" s="2"/>
      <c r="R28" s="692">
        <f>R20/M24+R21/M25</f>
        <v>16924.05</v>
      </c>
      <c r="S28" s="692">
        <f>R28</f>
        <v>16924.05</v>
      </c>
      <c r="T28" s="692">
        <f>S28</f>
        <v>16924.05</v>
      </c>
      <c r="U28" s="109"/>
      <c r="V28" s="109"/>
      <c r="W28" s="109"/>
      <c r="X28" s="109"/>
      <c r="Y28" s="109"/>
      <c r="Z28" s="109"/>
      <c r="AA28" s="109"/>
      <c r="AB28" s="109"/>
      <c r="AC28" s="109"/>
      <c r="AD28" s="109"/>
      <c r="AE28" s="109"/>
      <c r="AF28" s="109"/>
      <c r="AG28" s="109"/>
      <c r="AH28" s="109"/>
      <c r="AI28" s="109"/>
      <c r="AJ28" s="109"/>
      <c r="AK28" s="109"/>
    </row>
    <row r="29" spans="1:37">
      <c r="A29" s="137" t="s">
        <v>170</v>
      </c>
      <c r="B29" s="109"/>
      <c r="C29" s="109"/>
      <c r="D29" s="109"/>
      <c r="E29" s="109"/>
      <c r="F29" s="109"/>
      <c r="G29" s="109"/>
      <c r="H29" s="109"/>
      <c r="I29" s="109"/>
      <c r="K29" s="109"/>
      <c r="L29" s="111"/>
      <c r="M29" s="112"/>
      <c r="N29" s="109"/>
      <c r="O29" s="109"/>
      <c r="P29" s="109"/>
      <c r="Q29" s="2"/>
      <c r="R29" s="2"/>
      <c r="S29" s="692">
        <f>S21/M25</f>
        <v>15385.5</v>
      </c>
      <c r="T29" s="785">
        <f>S29</f>
        <v>15385.5</v>
      </c>
      <c r="U29" s="109"/>
      <c r="V29" s="109"/>
      <c r="W29" s="109"/>
      <c r="X29" s="109"/>
      <c r="Y29" s="109"/>
      <c r="Z29" s="109"/>
      <c r="AA29" s="109"/>
      <c r="AB29" s="109"/>
      <c r="AC29" s="109"/>
      <c r="AD29" s="109"/>
      <c r="AE29" s="109"/>
      <c r="AF29" s="109"/>
      <c r="AG29" s="109"/>
      <c r="AH29" s="109"/>
      <c r="AI29" s="109"/>
      <c r="AJ29" s="109"/>
      <c r="AK29" s="109"/>
    </row>
    <row r="30" spans="1:37">
      <c r="A30" s="951" t="s">
        <v>769</v>
      </c>
      <c r="B30" s="109"/>
      <c r="C30" s="109"/>
      <c r="D30" s="109"/>
      <c r="E30" s="109"/>
      <c r="F30" s="109"/>
      <c r="G30" s="109"/>
      <c r="H30" s="109"/>
      <c r="I30" s="109"/>
      <c r="K30" s="109"/>
      <c r="L30" s="111"/>
      <c r="M30" s="112"/>
      <c r="N30" s="109"/>
      <c r="O30" s="109"/>
      <c r="P30" s="109"/>
      <c r="Q30" s="2"/>
      <c r="R30" s="2"/>
      <c r="S30" s="2"/>
      <c r="T30" s="2"/>
      <c r="U30" s="109"/>
      <c r="V30" s="109"/>
      <c r="W30" s="109"/>
      <c r="X30" s="109"/>
      <c r="Y30" s="109"/>
      <c r="Z30" s="109"/>
      <c r="AA30" s="109"/>
      <c r="AB30" s="109"/>
      <c r="AC30" s="109"/>
      <c r="AD30" s="109"/>
      <c r="AE30" s="109"/>
      <c r="AF30" s="109"/>
      <c r="AG30" s="109"/>
      <c r="AH30" s="109"/>
      <c r="AI30" s="109"/>
      <c r="AJ30" s="109"/>
      <c r="AK30" s="109"/>
    </row>
    <row r="31" spans="1:37">
      <c r="A31" s="139"/>
      <c r="B31" s="109"/>
      <c r="C31" s="109"/>
      <c r="D31" s="109"/>
      <c r="E31" s="109"/>
      <c r="F31" s="109"/>
      <c r="G31" s="109"/>
      <c r="H31" s="109"/>
      <c r="I31" s="109"/>
      <c r="K31" s="109"/>
      <c r="L31" s="111"/>
      <c r="M31" s="112"/>
      <c r="N31" s="109"/>
      <c r="O31" s="109"/>
      <c r="P31" s="109"/>
      <c r="Q31" s="2"/>
      <c r="R31" s="2"/>
      <c r="S31" s="2"/>
      <c r="T31" s="2"/>
      <c r="U31" s="109"/>
      <c r="V31" s="109"/>
      <c r="W31" s="109"/>
      <c r="X31" s="109"/>
      <c r="Y31" s="109"/>
      <c r="Z31" s="109"/>
      <c r="AA31" s="109"/>
      <c r="AB31" s="109"/>
      <c r="AC31" s="109"/>
      <c r="AD31" s="109"/>
      <c r="AE31" s="109"/>
      <c r="AF31" s="109"/>
      <c r="AG31" s="109"/>
      <c r="AH31" s="109"/>
      <c r="AI31" s="109"/>
      <c r="AJ31" s="109"/>
      <c r="AK31" s="109"/>
    </row>
    <row r="32" spans="1:37">
      <c r="A32" s="764" t="s">
        <v>598</v>
      </c>
      <c r="B32" s="109"/>
      <c r="C32" s="109"/>
      <c r="D32" s="109"/>
      <c r="E32" s="109"/>
      <c r="F32" s="109"/>
      <c r="G32" s="109"/>
      <c r="H32" s="109"/>
      <c r="I32" s="109"/>
      <c r="K32" s="109"/>
      <c r="L32" s="111"/>
      <c r="M32" s="112"/>
      <c r="N32" s="109"/>
      <c r="O32" s="109"/>
      <c r="P32" s="109"/>
      <c r="Q32" s="2"/>
      <c r="R32" s="2"/>
      <c r="S32" s="2"/>
      <c r="T32" s="2"/>
      <c r="U32" s="109"/>
      <c r="V32" s="109"/>
      <c r="W32" s="109"/>
      <c r="X32" s="109"/>
      <c r="Y32" s="109"/>
      <c r="Z32" s="109"/>
      <c r="AA32" s="109"/>
      <c r="AB32" s="109"/>
      <c r="AC32" s="109"/>
      <c r="AD32" s="109"/>
      <c r="AE32" s="109"/>
      <c r="AF32" s="109"/>
      <c r="AG32" s="109"/>
      <c r="AH32" s="109"/>
      <c r="AI32" s="109"/>
      <c r="AJ32" s="109"/>
      <c r="AK32" s="109"/>
    </row>
    <row r="33" spans="1:38">
      <c r="A33" s="765" t="s">
        <v>599</v>
      </c>
      <c r="B33" s="109"/>
      <c r="C33" s="109"/>
      <c r="D33" s="109"/>
      <c r="E33" s="109"/>
      <c r="F33" s="109"/>
      <c r="G33" s="109"/>
      <c r="H33" s="109"/>
      <c r="I33" s="109"/>
      <c r="K33" s="768">
        <f>FS!O187</f>
        <v>26716.439299999998</v>
      </c>
      <c r="L33" s="111"/>
      <c r="M33" s="112"/>
      <c r="N33" s="109"/>
      <c r="O33" s="109"/>
      <c r="P33" s="109"/>
      <c r="Q33" s="786"/>
      <c r="R33" s="786"/>
      <c r="S33" s="786"/>
      <c r="T33" s="786"/>
      <c r="U33" s="109"/>
      <c r="V33" s="109"/>
      <c r="W33" s="109"/>
      <c r="X33" s="109"/>
      <c r="Y33" s="109"/>
      <c r="Z33" s="109"/>
      <c r="AA33" s="109"/>
      <c r="AB33" s="109"/>
      <c r="AC33" s="109"/>
      <c r="AD33" s="109"/>
      <c r="AE33" s="109"/>
    </row>
    <row r="34" spans="1:38">
      <c r="A34" s="765" t="s">
        <v>600</v>
      </c>
      <c r="B34" s="109"/>
      <c r="C34" s="109"/>
      <c r="D34" s="109"/>
      <c r="E34" s="109"/>
      <c r="F34" s="109"/>
      <c r="G34" s="109"/>
      <c r="H34" s="109"/>
      <c r="I34" s="109"/>
      <c r="K34" s="768">
        <f>K33*K57</f>
        <v>121418.20168670999</v>
      </c>
      <c r="L34" s="111"/>
      <c r="M34" s="112"/>
      <c r="N34" s="109"/>
      <c r="O34" s="109"/>
      <c r="P34" s="109"/>
      <c r="Q34" s="786">
        <f>$K$34*AI34</f>
        <v>24283.640337342</v>
      </c>
      <c r="R34" s="786">
        <f t="shared" ref="R34:T34" si="8">$K$34*AJ34</f>
        <v>36425.460506012998</v>
      </c>
      <c r="S34" s="786">
        <f>$K$34*AK34</f>
        <v>42496.370590348495</v>
      </c>
      <c r="T34" s="786">
        <f t="shared" si="8"/>
        <v>18212.730253006499</v>
      </c>
      <c r="U34" s="109"/>
      <c r="V34" s="109"/>
      <c r="W34" s="109"/>
      <c r="X34" s="109"/>
      <c r="Y34" s="109"/>
      <c r="Z34" s="109"/>
      <c r="AA34" s="109"/>
      <c r="AB34" s="109"/>
      <c r="AC34" s="109"/>
      <c r="AD34" s="109"/>
      <c r="AE34" s="109"/>
      <c r="AF34" s="766" t="s">
        <v>602</v>
      </c>
      <c r="AG34" s="109"/>
      <c r="AH34" s="109"/>
      <c r="AI34" s="769">
        <v>0.2</v>
      </c>
      <c r="AJ34" s="769">
        <v>0.3</v>
      </c>
      <c r="AK34" s="769">
        <v>0.35</v>
      </c>
      <c r="AL34" s="770">
        <v>0.15</v>
      </c>
    </row>
    <row r="35" spans="1:38">
      <c r="A35" s="142" t="s">
        <v>177</v>
      </c>
      <c r="B35" s="109"/>
      <c r="C35" s="109"/>
      <c r="D35" s="109"/>
      <c r="E35" s="109"/>
      <c r="F35" s="109"/>
      <c r="G35" s="109"/>
      <c r="H35" s="109"/>
      <c r="I35" s="109"/>
      <c r="K35" s="109"/>
      <c r="L35" s="111"/>
      <c r="M35" s="112" t="s">
        <v>603</v>
      </c>
      <c r="N35" s="109"/>
      <c r="O35" s="109"/>
      <c r="P35" s="109"/>
      <c r="Q35" s="786"/>
      <c r="R35" s="786"/>
      <c r="S35" s="786"/>
      <c r="T35" s="786"/>
      <c r="U35" s="109"/>
      <c r="V35" s="109"/>
      <c r="W35" s="109"/>
      <c r="X35" s="109"/>
      <c r="Y35" s="109"/>
      <c r="Z35" s="109"/>
      <c r="AA35" s="109"/>
      <c r="AB35" s="109"/>
      <c r="AC35" s="109"/>
      <c r="AD35" s="109"/>
      <c r="AE35" s="109"/>
      <c r="AF35" s="109"/>
      <c r="AG35" s="109"/>
      <c r="AH35" s="109"/>
      <c r="AI35" s="109"/>
      <c r="AJ35" s="109"/>
      <c r="AK35" s="109"/>
    </row>
    <row r="36" spans="1:38">
      <c r="A36" s="139"/>
      <c r="B36" s="109"/>
      <c r="C36" s="109"/>
      <c r="D36" s="109"/>
      <c r="E36" s="109"/>
      <c r="F36" s="109"/>
      <c r="G36" s="109"/>
      <c r="H36" s="109"/>
      <c r="I36" s="109"/>
      <c r="K36" s="109"/>
      <c r="L36" s="111"/>
      <c r="M36" s="112">
        <v>6</v>
      </c>
      <c r="N36" s="109"/>
      <c r="O36" s="109"/>
      <c r="P36" s="109"/>
      <c r="Q36" s="786"/>
      <c r="R36" s="786"/>
      <c r="S36" s="786"/>
      <c r="T36" s="786"/>
      <c r="U36" s="109"/>
      <c r="V36" s="109"/>
      <c r="W36" s="109"/>
      <c r="X36" s="109"/>
      <c r="Y36" s="109"/>
      <c r="Z36" s="109"/>
      <c r="AA36" s="109"/>
      <c r="AB36" s="109"/>
      <c r="AC36" s="109"/>
      <c r="AD36" s="109"/>
      <c r="AE36" s="109"/>
      <c r="AF36" s="109"/>
      <c r="AG36" s="109"/>
      <c r="AH36" s="109"/>
      <c r="AI36" s="109"/>
      <c r="AJ36" s="109"/>
      <c r="AK36" s="109"/>
    </row>
    <row r="37" spans="1:38">
      <c r="A37" s="771" t="s">
        <v>604</v>
      </c>
      <c r="B37" s="133"/>
      <c r="C37" s="133"/>
      <c r="D37" s="133"/>
      <c r="E37" s="133"/>
      <c r="F37" s="133"/>
      <c r="G37" s="133"/>
      <c r="H37" s="133"/>
      <c r="I37" s="133"/>
      <c r="J37" s="168"/>
      <c r="K37" s="133"/>
      <c r="L37" s="134"/>
      <c r="M37" s="135"/>
      <c r="N37" s="133"/>
      <c r="O37" s="133"/>
      <c r="P37" s="133"/>
      <c r="Q37" s="787">
        <f>SUM(Q38:Q41)</f>
        <v>2023.6366947785</v>
      </c>
      <c r="R37" s="787">
        <f>SUM(R38:R41)</f>
        <v>10118.183473892499</v>
      </c>
      <c r="S37" s="787">
        <f>SUM(S38:S41)</f>
        <v>17200.911905617249</v>
      </c>
      <c r="T37" s="787">
        <f>SUM(T38:T41)</f>
        <v>20236.366947784998</v>
      </c>
      <c r="U37" s="109"/>
      <c r="V37" s="109"/>
      <c r="W37" s="109"/>
      <c r="X37" s="109"/>
      <c r="Y37" s="109"/>
      <c r="Z37" s="109"/>
      <c r="AA37" s="109"/>
      <c r="AB37" s="109"/>
      <c r="AC37" s="109"/>
      <c r="AD37" s="109"/>
      <c r="AE37" s="109"/>
      <c r="AF37" s="109"/>
      <c r="AG37" s="109"/>
      <c r="AH37" s="109"/>
      <c r="AI37" s="109"/>
      <c r="AJ37" s="109"/>
      <c r="AK37" s="109"/>
    </row>
    <row r="38" spans="1:38">
      <c r="A38" s="951" t="s">
        <v>768</v>
      </c>
      <c r="B38" s="109"/>
      <c r="C38" s="109"/>
      <c r="D38" s="109"/>
      <c r="E38" s="109"/>
      <c r="F38" s="109"/>
      <c r="G38" s="109"/>
      <c r="H38" s="109"/>
      <c r="I38" s="109"/>
      <c r="K38" s="109"/>
      <c r="L38" s="111"/>
      <c r="M38" s="112"/>
      <c r="N38" s="109"/>
      <c r="O38" s="109"/>
      <c r="P38" s="109"/>
      <c r="Q38" s="786">
        <f>Q34/M36*50%</f>
        <v>2023.6366947785</v>
      </c>
      <c r="R38" s="786">
        <f>Q34/M36</f>
        <v>4047.273389557</v>
      </c>
      <c r="S38" s="786">
        <f>R38</f>
        <v>4047.273389557</v>
      </c>
      <c r="T38" s="786">
        <f>S38</f>
        <v>4047.273389557</v>
      </c>
      <c r="U38" s="109"/>
      <c r="V38" s="109"/>
      <c r="W38" s="109"/>
      <c r="X38" s="109"/>
      <c r="Y38" s="109"/>
      <c r="Z38" s="109"/>
      <c r="AA38" s="109"/>
      <c r="AB38" s="109"/>
      <c r="AC38" s="109"/>
      <c r="AD38" s="109"/>
      <c r="AE38" s="109"/>
      <c r="AF38" s="109"/>
      <c r="AG38" s="109"/>
      <c r="AH38" s="109"/>
      <c r="AI38" s="109"/>
      <c r="AJ38" s="109"/>
      <c r="AK38" s="109"/>
    </row>
    <row r="39" spans="1:38">
      <c r="A39" s="951" t="s">
        <v>169</v>
      </c>
      <c r="B39" s="109"/>
      <c r="C39" s="109"/>
      <c r="D39" s="109"/>
      <c r="E39" s="109"/>
      <c r="F39" s="109"/>
      <c r="G39" s="109"/>
      <c r="H39" s="109"/>
      <c r="I39" s="109"/>
      <c r="K39" s="109"/>
      <c r="L39" s="111"/>
      <c r="M39" s="112"/>
      <c r="N39" s="109"/>
      <c r="O39" s="109"/>
      <c r="P39" s="109"/>
      <c r="Q39" s="786"/>
      <c r="R39" s="786">
        <f>R34/M36</f>
        <v>6070.9100843355</v>
      </c>
      <c r="S39" s="786">
        <f>R39</f>
        <v>6070.9100843355</v>
      </c>
      <c r="T39" s="786">
        <f>S39</f>
        <v>6070.9100843355</v>
      </c>
      <c r="U39" s="109"/>
      <c r="V39" s="109"/>
      <c r="W39" s="109"/>
      <c r="X39" s="109"/>
      <c r="Y39" s="109"/>
      <c r="Z39" s="109"/>
      <c r="AA39" s="109"/>
      <c r="AB39" s="109"/>
      <c r="AC39" s="109"/>
      <c r="AD39" s="109"/>
      <c r="AE39" s="109"/>
      <c r="AF39" s="109"/>
      <c r="AG39" s="109"/>
      <c r="AH39" s="109"/>
      <c r="AI39" s="109"/>
      <c r="AJ39" s="109"/>
      <c r="AK39" s="109"/>
    </row>
    <row r="40" spans="1:38">
      <c r="A40" s="137" t="s">
        <v>170</v>
      </c>
      <c r="B40" s="109"/>
      <c r="C40" s="109"/>
      <c r="D40" s="109"/>
      <c r="E40" s="109"/>
      <c r="F40" s="109"/>
      <c r="G40" s="109"/>
      <c r="H40" s="109"/>
      <c r="I40" s="109"/>
      <c r="K40" s="109"/>
      <c r="L40" s="111"/>
      <c r="M40" s="112"/>
      <c r="N40" s="109"/>
      <c r="O40" s="109"/>
      <c r="P40" s="109"/>
      <c r="Q40" s="786"/>
      <c r="R40" s="786"/>
      <c r="S40" s="786">
        <f>S34/M36</f>
        <v>7082.7284317247495</v>
      </c>
      <c r="T40" s="786">
        <f>S40</f>
        <v>7082.7284317247495</v>
      </c>
      <c r="U40" s="109"/>
      <c r="V40" s="109"/>
      <c r="W40" s="109"/>
      <c r="X40" s="109"/>
      <c r="Y40" s="109"/>
      <c r="Z40" s="109"/>
      <c r="AA40" s="109"/>
      <c r="AB40" s="109"/>
      <c r="AC40" s="109"/>
      <c r="AD40" s="109"/>
      <c r="AE40" s="109"/>
      <c r="AF40" s="109"/>
      <c r="AG40" s="109"/>
      <c r="AH40" s="109"/>
      <c r="AI40" s="109"/>
      <c r="AJ40" s="109"/>
      <c r="AK40" s="109"/>
    </row>
    <row r="41" spans="1:38">
      <c r="A41" s="951" t="s">
        <v>769</v>
      </c>
      <c r="B41" s="109"/>
      <c r="C41" s="109"/>
      <c r="D41" s="109"/>
      <c r="E41" s="109"/>
      <c r="F41" s="109"/>
      <c r="G41" s="109"/>
      <c r="H41" s="109"/>
      <c r="I41" s="109"/>
      <c r="K41" s="109"/>
      <c r="L41" s="111"/>
      <c r="M41" s="112"/>
      <c r="N41" s="109"/>
      <c r="O41" s="109"/>
      <c r="P41" s="109"/>
      <c r="Q41" s="786"/>
      <c r="R41" s="786"/>
      <c r="S41" s="786"/>
      <c r="T41" s="786">
        <f>T34/M36</f>
        <v>3035.45504216775</v>
      </c>
      <c r="U41" s="109"/>
      <c r="V41" s="109"/>
      <c r="W41" s="109"/>
      <c r="X41" s="109"/>
      <c r="Y41" s="109"/>
      <c r="Z41" s="109"/>
      <c r="AA41" s="109"/>
      <c r="AB41" s="109"/>
      <c r="AC41" s="109"/>
      <c r="AD41" s="109"/>
      <c r="AE41" s="109"/>
      <c r="AF41" s="109"/>
      <c r="AG41" s="109"/>
      <c r="AH41" s="109"/>
      <c r="AI41" s="109"/>
      <c r="AJ41" s="109"/>
      <c r="AK41" s="109"/>
    </row>
    <row r="42" spans="1:38">
      <c r="A42" s="137"/>
      <c r="B42" s="137"/>
      <c r="C42" s="137"/>
      <c r="D42" s="137"/>
      <c r="E42" s="137"/>
      <c r="F42" s="137"/>
      <c r="G42" s="137"/>
      <c r="H42" s="137"/>
      <c r="I42" s="137"/>
      <c r="K42" s="115"/>
      <c r="L42" s="123"/>
      <c r="M42" s="112"/>
      <c r="N42" s="138"/>
      <c r="O42" s="138"/>
      <c r="P42" s="138"/>
      <c r="Q42" s="788"/>
      <c r="R42" s="788"/>
      <c r="S42" s="788"/>
      <c r="T42" s="788"/>
      <c r="U42" s="138"/>
      <c r="V42" s="141"/>
      <c r="W42" s="141"/>
      <c r="X42" s="141"/>
      <c r="Y42" s="141" t="e">
        <f>Y5/M9</f>
        <v>#REF!</v>
      </c>
      <c r="Z42" s="141" t="e">
        <f t="shared" ref="Z42:AE43" si="9">Y42</f>
        <v>#REF!</v>
      </c>
      <c r="AA42" s="141" t="e">
        <f t="shared" si="9"/>
        <v>#REF!</v>
      </c>
      <c r="AB42" s="141" t="e">
        <f t="shared" si="9"/>
        <v>#REF!</v>
      </c>
      <c r="AC42" s="141" t="e">
        <f t="shared" si="9"/>
        <v>#REF!</v>
      </c>
      <c r="AD42" s="141" t="e">
        <f t="shared" si="9"/>
        <v>#REF!</v>
      </c>
      <c r="AE42" s="109"/>
      <c r="AF42" s="109"/>
      <c r="AG42" s="109"/>
      <c r="AH42" s="109"/>
      <c r="AI42" s="109"/>
      <c r="AJ42" s="109"/>
      <c r="AK42" s="109"/>
    </row>
    <row r="43" spans="1:38">
      <c r="A43" s="109"/>
      <c r="B43" s="137"/>
      <c r="C43" s="137"/>
      <c r="D43" s="137"/>
      <c r="E43" s="137"/>
      <c r="F43" s="137"/>
      <c r="G43" s="137"/>
      <c r="H43" s="137"/>
      <c r="I43" s="137"/>
      <c r="K43" s="115"/>
      <c r="L43" s="123"/>
      <c r="M43" s="112"/>
      <c r="N43" s="138"/>
      <c r="O43" s="138"/>
      <c r="P43" s="138"/>
      <c r="Q43" s="788"/>
      <c r="R43" s="788"/>
      <c r="S43" s="788"/>
      <c r="T43" s="788"/>
      <c r="U43" s="138"/>
      <c r="V43" s="141"/>
      <c r="W43" s="141"/>
      <c r="X43" s="141"/>
      <c r="Y43" s="141"/>
      <c r="Z43" s="141" t="e">
        <f>Z5/M9</f>
        <v>#REF!</v>
      </c>
      <c r="AA43" s="141" t="e">
        <f t="shared" si="9"/>
        <v>#REF!</v>
      </c>
      <c r="AB43" s="141" t="e">
        <f t="shared" si="9"/>
        <v>#REF!</v>
      </c>
      <c r="AC43" s="141" t="e">
        <f t="shared" si="9"/>
        <v>#REF!</v>
      </c>
      <c r="AD43" s="141" t="e">
        <f t="shared" si="9"/>
        <v>#REF!</v>
      </c>
      <c r="AE43" s="141" t="e">
        <f t="shared" si="9"/>
        <v>#REF!</v>
      </c>
      <c r="AF43" s="109"/>
      <c r="AG43" s="109"/>
      <c r="AH43" s="109"/>
      <c r="AI43" s="109"/>
      <c r="AJ43" s="109"/>
      <c r="AK43" s="109"/>
    </row>
    <row r="44" spans="1:38">
      <c r="A44" s="137" t="s">
        <v>179</v>
      </c>
      <c r="B44" s="137"/>
      <c r="C44" s="137"/>
      <c r="D44" s="137"/>
      <c r="E44" s="137"/>
      <c r="F44" s="137"/>
      <c r="G44" s="137"/>
      <c r="H44" s="137"/>
      <c r="I44" s="137"/>
      <c r="K44" s="144">
        <f>FS!J89</f>
        <v>278204.00500000006</v>
      </c>
      <c r="L44" s="123"/>
      <c r="M44" s="849">
        <v>6.3</v>
      </c>
      <c r="N44" s="138"/>
      <c r="O44" s="109"/>
      <c r="P44" s="145"/>
      <c r="Q44" s="789">
        <f>K44/M44</f>
        <v>44159.365873015886</v>
      </c>
      <c r="R44" s="789">
        <f>Q44</f>
        <v>44159.365873015886</v>
      </c>
      <c r="S44" s="789">
        <f t="shared" ref="S44:U44" si="10">R44</f>
        <v>44159.365873015886</v>
      </c>
      <c r="T44" s="789">
        <f t="shared" si="10"/>
        <v>44159.365873015886</v>
      </c>
      <c r="U44" s="145">
        <f t="shared" si="10"/>
        <v>44159.365873015886</v>
      </c>
      <c r="V44" s="138">
        <f>U44</f>
        <v>44159.365873015886</v>
      </c>
      <c r="W44" s="138">
        <f>V44</f>
        <v>44159.365873015886</v>
      </c>
      <c r="X44" s="138">
        <f t="shared" ref="X44:Z44" si="11">W44</f>
        <v>44159.365873015886</v>
      </c>
      <c r="Y44" s="138">
        <f t="shared" si="11"/>
        <v>44159.365873015886</v>
      </c>
      <c r="Z44" s="138">
        <f t="shared" si="11"/>
        <v>44159.365873015886</v>
      </c>
      <c r="AA44" s="109"/>
      <c r="AB44" s="109"/>
      <c r="AC44" s="109"/>
      <c r="AD44" s="109"/>
      <c r="AE44" s="109"/>
      <c r="AF44" s="109"/>
      <c r="AG44" s="109"/>
      <c r="AH44" s="109"/>
      <c r="AI44" s="109"/>
      <c r="AJ44" s="109"/>
      <c r="AK44" s="109"/>
    </row>
    <row r="45" spans="1:38">
      <c r="A45" s="137"/>
      <c r="B45" s="137"/>
      <c r="C45" s="137"/>
      <c r="D45" s="137"/>
      <c r="E45" s="137"/>
      <c r="F45" s="137"/>
      <c r="G45" s="137"/>
      <c r="H45" s="137"/>
      <c r="I45" s="137"/>
      <c r="K45" s="137"/>
      <c r="L45" s="123"/>
      <c r="M45" s="112"/>
      <c r="N45" s="137"/>
      <c r="O45" s="137"/>
      <c r="P45" s="137"/>
      <c r="Q45" s="26"/>
      <c r="R45" s="26"/>
      <c r="S45" s="26"/>
      <c r="T45" s="26"/>
      <c r="U45" s="137"/>
      <c r="V45" s="109"/>
      <c r="W45" s="109"/>
      <c r="X45" s="109"/>
      <c r="Y45" s="109"/>
      <c r="Z45" s="109"/>
      <c r="AA45" s="109"/>
      <c r="AB45" s="109"/>
      <c r="AC45" s="109"/>
      <c r="AD45" s="109"/>
      <c r="AE45" s="109"/>
      <c r="AF45" s="109"/>
      <c r="AG45" s="109"/>
      <c r="AH45" s="109"/>
      <c r="AI45" s="109"/>
      <c r="AJ45" s="109"/>
      <c r="AK45" s="109"/>
    </row>
    <row r="46" spans="1:38">
      <c r="A46" s="115" t="s">
        <v>180</v>
      </c>
      <c r="B46" s="115"/>
      <c r="C46" s="115"/>
      <c r="D46" s="115"/>
      <c r="E46" s="115"/>
      <c r="F46" s="115"/>
      <c r="G46" s="115"/>
      <c r="H46" s="115"/>
      <c r="I46" s="115"/>
      <c r="K46" s="115"/>
      <c r="L46" s="112"/>
      <c r="M46" s="112"/>
      <c r="N46" s="146"/>
      <c r="O46" s="146"/>
      <c r="P46" s="146"/>
      <c r="Q46" s="790">
        <f>Q10+Q26+Q37+Q44</f>
        <v>58073.365353683788</v>
      </c>
      <c r="R46" s="790">
        <f t="shared" ref="R46:T46" si="12">R10+R26+R37+R44</f>
        <v>90257.903772944992</v>
      </c>
      <c r="S46" s="790">
        <f t="shared" si="12"/>
        <v>120040.03572953364</v>
      </c>
      <c r="T46" s="790">
        <f t="shared" si="12"/>
        <v>130541.41578651522</v>
      </c>
      <c r="U46" s="146">
        <f>U10+U26+U44</f>
        <v>73123.423838730218</v>
      </c>
      <c r="V46" s="146">
        <f>V10+V44</f>
        <v>73123.423838730218</v>
      </c>
      <c r="W46" s="146">
        <f>W10+W44</f>
        <v>66105.136052840811</v>
      </c>
      <c r="X46" s="146">
        <f>X10+X44</f>
        <v>58939.194412693614</v>
      </c>
      <c r="Y46" s="146" t="e">
        <f>Y10+Y44</f>
        <v>#REF!</v>
      </c>
      <c r="Z46" s="146" t="e">
        <f>Z10+Z44</f>
        <v>#REF!</v>
      </c>
      <c r="AA46" s="147"/>
      <c r="AB46" s="147"/>
      <c r="AC46" s="147"/>
      <c r="AD46" s="147"/>
      <c r="AE46" s="147"/>
      <c r="AF46" s="147"/>
      <c r="AG46" s="147"/>
      <c r="AH46" s="147"/>
      <c r="AI46" s="147"/>
      <c r="AJ46" s="147"/>
      <c r="AK46" s="147"/>
    </row>
    <row r="47" spans="1:38">
      <c r="A47" s="115"/>
      <c r="B47" s="115"/>
      <c r="C47" s="115"/>
      <c r="D47" s="115"/>
      <c r="E47" s="115"/>
      <c r="F47" s="115"/>
      <c r="G47" s="115"/>
      <c r="H47" s="115"/>
      <c r="I47" s="115"/>
      <c r="K47" s="115"/>
      <c r="L47" s="112"/>
      <c r="M47" s="112"/>
      <c r="N47" s="146"/>
      <c r="O47" s="146"/>
      <c r="P47" s="146"/>
      <c r="Q47" s="790"/>
      <c r="R47" s="790"/>
      <c r="S47" s="790"/>
      <c r="T47" s="790"/>
      <c r="U47" s="146"/>
      <c r="V47" s="147"/>
      <c r="W47" s="147"/>
      <c r="X47" s="147"/>
      <c r="Y47" s="147"/>
      <c r="Z47" s="147"/>
      <c r="AA47" s="147"/>
      <c r="AB47" s="147"/>
      <c r="AC47" s="147"/>
      <c r="AD47" s="147"/>
      <c r="AE47" s="147"/>
      <c r="AF47" s="147"/>
      <c r="AG47" s="147"/>
      <c r="AH47" s="147"/>
      <c r="AI47" s="147"/>
      <c r="AJ47" s="147"/>
      <c r="AK47" s="147"/>
    </row>
    <row r="48" spans="1:38">
      <c r="A48" s="137" t="s">
        <v>181</v>
      </c>
      <c r="B48" s="115"/>
      <c r="C48" s="115"/>
      <c r="D48" s="115"/>
      <c r="E48" s="115"/>
      <c r="F48" s="115"/>
      <c r="G48" s="115"/>
      <c r="H48" s="115"/>
      <c r="I48" s="115"/>
      <c r="K48" s="144">
        <f>FS!J90</f>
        <v>9552.4439999999995</v>
      </c>
      <c r="L48" s="112"/>
      <c r="M48" s="112">
        <v>11</v>
      </c>
      <c r="N48" s="129"/>
      <c r="O48" s="129"/>
      <c r="P48" s="129"/>
      <c r="Q48" s="778">
        <f>K48/M48</f>
        <v>868.404</v>
      </c>
      <c r="R48" s="778">
        <f t="shared" ref="R48:Z48" si="13">Q48</f>
        <v>868.404</v>
      </c>
      <c r="S48" s="778">
        <f t="shared" si="13"/>
        <v>868.404</v>
      </c>
      <c r="T48" s="778">
        <f t="shared" si="13"/>
        <v>868.404</v>
      </c>
      <c r="U48" s="129">
        <f t="shared" si="13"/>
        <v>868.404</v>
      </c>
      <c r="V48" s="129">
        <f t="shared" si="13"/>
        <v>868.404</v>
      </c>
      <c r="W48" s="129">
        <f t="shared" si="13"/>
        <v>868.404</v>
      </c>
      <c r="X48" s="129">
        <f t="shared" si="13"/>
        <v>868.404</v>
      </c>
      <c r="Y48" s="129">
        <f t="shared" si="13"/>
        <v>868.404</v>
      </c>
      <c r="Z48" s="129">
        <f t="shared" si="13"/>
        <v>868.404</v>
      </c>
      <c r="AA48" s="147"/>
      <c r="AB48" s="147"/>
      <c r="AC48" s="147"/>
      <c r="AD48" s="147"/>
      <c r="AE48" s="147"/>
      <c r="AF48" s="147"/>
      <c r="AG48" s="147"/>
      <c r="AH48" s="147"/>
      <c r="AI48" s="147"/>
      <c r="AJ48" s="147"/>
      <c r="AK48" s="147"/>
    </row>
    <row r="49" spans="1:37">
      <c r="A49" s="148" t="s">
        <v>182</v>
      </c>
      <c r="B49" s="149"/>
      <c r="C49" s="149"/>
      <c r="D49" s="150"/>
      <c r="E49" s="150"/>
      <c r="F49" s="150"/>
      <c r="G49" s="150"/>
      <c r="H49" s="150"/>
      <c r="I49" s="150"/>
      <c r="J49" s="150"/>
      <c r="K49" s="149"/>
      <c r="L49" s="135"/>
      <c r="M49" s="135"/>
      <c r="N49" s="151"/>
      <c r="O49" s="151"/>
      <c r="P49" s="151"/>
      <c r="Q49" s="791">
        <f>Q46+Q48</f>
        <v>58941.769353683791</v>
      </c>
      <c r="R49" s="791">
        <f t="shared" ref="R49:U49" si="14">R46+R48</f>
        <v>91126.307772944987</v>
      </c>
      <c r="S49" s="791">
        <f t="shared" si="14"/>
        <v>120908.43972953364</v>
      </c>
      <c r="T49" s="791">
        <f t="shared" si="14"/>
        <v>131409.81978651523</v>
      </c>
      <c r="U49" s="151">
        <f t="shared" si="14"/>
        <v>73991.827838730213</v>
      </c>
      <c r="V49" s="151">
        <f>V46+V48</f>
        <v>73991.827838730213</v>
      </c>
      <c r="W49" s="151">
        <f t="shared" ref="W49:Z49" si="15">W46+W48</f>
        <v>66973.540052840806</v>
      </c>
      <c r="X49" s="151">
        <f t="shared" si="15"/>
        <v>59807.598412693616</v>
      </c>
      <c r="Y49" s="151" t="e">
        <f t="shared" si="15"/>
        <v>#REF!</v>
      </c>
      <c r="Z49" s="151" t="e">
        <f t="shared" si="15"/>
        <v>#REF!</v>
      </c>
      <c r="AA49" s="147"/>
      <c r="AB49" s="147"/>
      <c r="AC49" s="147"/>
      <c r="AD49" s="147"/>
      <c r="AE49" s="147"/>
      <c r="AF49" s="147"/>
      <c r="AG49" s="147"/>
      <c r="AH49" s="147"/>
      <c r="AI49" s="147"/>
      <c r="AJ49" s="147"/>
      <c r="AK49" s="147"/>
    </row>
    <row r="50" spans="1:37">
      <c r="A50" s="137"/>
      <c r="B50" s="137"/>
      <c r="C50" s="137"/>
      <c r="D50" s="137"/>
      <c r="E50" s="137"/>
      <c r="F50" s="137"/>
      <c r="G50" s="137"/>
      <c r="H50" s="137"/>
      <c r="I50" s="137"/>
      <c r="K50" s="137"/>
      <c r="L50" s="123"/>
      <c r="M50" s="112"/>
      <c r="N50" s="137"/>
      <c r="O50" s="137"/>
      <c r="P50" s="137"/>
      <c r="Q50" s="26"/>
      <c r="R50" s="2"/>
      <c r="S50" s="2"/>
      <c r="T50" s="2"/>
      <c r="U50" s="109"/>
      <c r="V50" s="109"/>
      <c r="W50" s="109"/>
      <c r="X50" s="109"/>
      <c r="Y50" s="109"/>
      <c r="Z50" s="109"/>
      <c r="AA50" s="109"/>
      <c r="AB50" s="109"/>
      <c r="AC50" s="109"/>
      <c r="AD50" s="109"/>
      <c r="AE50" s="109"/>
      <c r="AF50" s="109"/>
      <c r="AG50" s="109"/>
      <c r="AH50" s="109"/>
      <c r="AI50" s="109"/>
      <c r="AJ50" s="109"/>
      <c r="AK50" s="109"/>
    </row>
    <row r="51" spans="1:37">
      <c r="A51" s="109"/>
      <c r="B51" s="152"/>
      <c r="C51" s="152"/>
      <c r="D51" s="152"/>
      <c r="E51" s="152"/>
      <c r="F51" s="152"/>
      <c r="G51" s="152"/>
      <c r="H51" s="152"/>
      <c r="I51" s="152"/>
      <c r="K51" s="952" t="s">
        <v>770</v>
      </c>
      <c r="L51" s="123"/>
      <c r="M51" s="112"/>
      <c r="N51" s="137"/>
      <c r="O51" s="137"/>
      <c r="P51" s="137"/>
      <c r="Q51" s="26"/>
      <c r="R51" s="2"/>
      <c r="S51" s="2"/>
      <c r="T51" s="2"/>
      <c r="U51" s="109"/>
      <c r="V51" s="109"/>
      <c r="W51" s="109"/>
      <c r="X51" s="109"/>
      <c r="Y51" s="109"/>
      <c r="Z51" s="109"/>
      <c r="AA51" s="109"/>
      <c r="AB51" s="109"/>
      <c r="AC51" s="109"/>
      <c r="AD51" s="109"/>
      <c r="AE51" s="109"/>
      <c r="AF51" s="109"/>
      <c r="AG51" s="109"/>
      <c r="AH51" s="109"/>
      <c r="AI51" s="109"/>
      <c r="AJ51" s="109"/>
      <c r="AK51" s="109"/>
    </row>
    <row r="52" spans="1:37">
      <c r="A52" s="109" t="s">
        <v>183</v>
      </c>
      <c r="B52" s="153">
        <f t="shared" ref="B52:J52" si="16">B3/B53</f>
        <v>1.3768501343928232E-2</v>
      </c>
      <c r="C52" s="153">
        <f t="shared" si="16"/>
        <v>2.4261270083294269E-2</v>
      </c>
      <c r="D52" s="153">
        <f t="shared" si="16"/>
        <v>2.6549223632301971E-2</v>
      </c>
      <c r="E52" s="153">
        <f t="shared" si="16"/>
        <v>2.3765881010815986E-2</v>
      </c>
      <c r="F52" s="153">
        <f t="shared" si="16"/>
        <v>1.4433202798105161E-2</v>
      </c>
      <c r="G52" s="153">
        <f t="shared" si="16"/>
        <v>6.542576472073772E-3</v>
      </c>
      <c r="H52" s="153">
        <f t="shared" si="16"/>
        <v>1.5831478938883294E-2</v>
      </c>
      <c r="I52" s="153">
        <f t="shared" si="16"/>
        <v>1.2206379386469087E-2</v>
      </c>
      <c r="J52" s="153">
        <f t="shared" si="16"/>
        <v>1.2829452250640907E-2</v>
      </c>
      <c r="K52" s="154">
        <f>AVERAGE(F52:J52)</f>
        <v>1.2368617969234445E-2</v>
      </c>
      <c r="L52" s="111"/>
      <c r="M52" s="112"/>
      <c r="N52" s="109"/>
      <c r="O52" s="109"/>
      <c r="P52" s="109"/>
      <c r="Q52" s="2"/>
      <c r="R52" s="2"/>
      <c r="S52" s="2"/>
      <c r="T52" s="2"/>
      <c r="U52" s="109"/>
      <c r="V52" s="109"/>
      <c r="W52" s="109"/>
      <c r="X52" s="109"/>
      <c r="Y52" s="109"/>
      <c r="Z52" s="109"/>
      <c r="AA52" s="109"/>
      <c r="AB52" s="109"/>
      <c r="AC52" s="109"/>
      <c r="AD52" s="109"/>
      <c r="AE52" s="109"/>
      <c r="AF52" s="109"/>
      <c r="AG52" s="109"/>
      <c r="AH52" s="109"/>
      <c r="AI52" s="109"/>
      <c r="AJ52" s="109"/>
      <c r="AK52" s="109"/>
    </row>
    <row r="53" spans="1:37">
      <c r="A53" s="109" t="s">
        <v>39</v>
      </c>
      <c r="B53" s="155">
        <v>1959182</v>
      </c>
      <c r="C53" s="155">
        <v>2997205</v>
      </c>
      <c r="D53" s="155">
        <v>3452681</v>
      </c>
      <c r="E53" s="155">
        <v>3905395.3</v>
      </c>
      <c r="F53" s="155">
        <v>3952317.5</v>
      </c>
      <c r="G53" s="155">
        <v>4213172</v>
      </c>
      <c r="H53" s="155">
        <f>FS!H3</f>
        <v>4482146</v>
      </c>
      <c r="I53" s="155">
        <f>FS!I3</f>
        <v>4358733.3569999998</v>
      </c>
      <c r="J53" s="155">
        <f>FS!J3</f>
        <v>4706736.0959999999</v>
      </c>
      <c r="K53" s="109"/>
      <c r="L53" s="111"/>
      <c r="M53" s="156"/>
      <c r="N53" s="109"/>
      <c r="O53" s="109"/>
      <c r="P53" s="109"/>
      <c r="Q53" s="2"/>
      <c r="R53" s="2"/>
      <c r="S53" s="2"/>
      <c r="T53" s="2"/>
      <c r="U53" s="109"/>
      <c r="V53" s="109"/>
      <c r="W53" s="109"/>
      <c r="X53" s="109"/>
      <c r="Y53" s="109"/>
      <c r="Z53" s="109"/>
      <c r="AA53" s="109"/>
      <c r="AB53" s="109"/>
      <c r="AC53" s="109"/>
      <c r="AD53" s="109"/>
      <c r="AE53" s="109"/>
      <c r="AF53" s="109"/>
      <c r="AG53" s="109"/>
      <c r="AH53" s="109"/>
      <c r="AI53" s="109"/>
      <c r="AJ53" s="109"/>
      <c r="AK53" s="109"/>
    </row>
    <row r="54" spans="1:37">
      <c r="A54" s="109"/>
      <c r="B54" s="109"/>
      <c r="C54" s="109"/>
      <c r="D54" s="109"/>
      <c r="E54" s="109"/>
      <c r="F54" s="109"/>
      <c r="G54" s="109"/>
      <c r="H54" s="109"/>
      <c r="I54" s="109"/>
      <c r="K54" s="109"/>
      <c r="L54" s="111"/>
      <c r="M54" s="112"/>
      <c r="N54" s="109"/>
      <c r="O54" s="109"/>
      <c r="P54" s="109"/>
      <c r="Q54" s="2"/>
      <c r="R54" s="2"/>
      <c r="S54" s="2"/>
      <c r="T54" s="2"/>
      <c r="U54" s="109"/>
      <c r="V54" s="109"/>
      <c r="W54" s="109"/>
      <c r="X54" s="109"/>
      <c r="Y54" s="109"/>
      <c r="Z54" s="109"/>
      <c r="AA54" s="109"/>
      <c r="AB54" s="109"/>
      <c r="AC54" s="109"/>
      <c r="AD54" s="109"/>
      <c r="AE54" s="109"/>
      <c r="AF54" s="109"/>
      <c r="AG54" s="109"/>
      <c r="AH54" s="109"/>
      <c r="AI54" s="109"/>
      <c r="AJ54" s="109"/>
      <c r="AK54" s="109"/>
    </row>
    <row r="55" spans="1:37">
      <c r="A55" s="766" t="s">
        <v>184</v>
      </c>
      <c r="B55" s="767"/>
      <c r="C55" s="767"/>
      <c r="D55" s="767"/>
      <c r="E55" s="767"/>
      <c r="F55" s="767"/>
      <c r="G55" s="767"/>
      <c r="H55" s="767"/>
      <c r="I55" s="767"/>
      <c r="J55" s="767"/>
      <c r="K55" s="767">
        <f>'Debt Profile'!R1</f>
        <v>30.771000000000001</v>
      </c>
      <c r="L55" s="111"/>
      <c r="M55" s="112"/>
      <c r="N55" s="109"/>
      <c r="O55" s="109"/>
      <c r="P55" s="109"/>
      <c r="Q55" s="2"/>
      <c r="R55" s="2"/>
      <c r="S55" s="2"/>
      <c r="T55" s="2"/>
      <c r="U55" s="109"/>
      <c r="V55" s="109"/>
      <c r="W55" s="109"/>
      <c r="X55" s="109"/>
      <c r="Y55" s="109"/>
      <c r="Z55" s="109"/>
      <c r="AA55" s="109"/>
      <c r="AB55" s="109"/>
      <c r="AC55" s="109"/>
      <c r="AD55" s="109"/>
      <c r="AE55" s="109"/>
      <c r="AF55" s="109"/>
      <c r="AG55" s="109"/>
      <c r="AH55" s="109"/>
      <c r="AI55" s="109"/>
      <c r="AJ55" s="109"/>
      <c r="AK55" s="109"/>
    </row>
    <row r="56" spans="1:37">
      <c r="A56" s="950" t="str">
        <f>'Debt Profile'!Q2</f>
        <v>Jul 24 2018</v>
      </c>
      <c r="B56" s="767"/>
      <c r="C56" s="767"/>
      <c r="D56" s="767"/>
      <c r="E56" s="767"/>
      <c r="F56" s="767"/>
      <c r="G56" s="767"/>
      <c r="H56" s="767"/>
      <c r="I56" s="767"/>
      <c r="J56" s="767"/>
      <c r="K56" s="767"/>
    </row>
    <row r="57" spans="1:37">
      <c r="A57" s="766" t="s">
        <v>601</v>
      </c>
      <c r="I57" s="159"/>
      <c r="K57" s="767">
        <f>FS!J191</f>
        <v>4.5446999999999997</v>
      </c>
    </row>
    <row r="58" spans="1:37">
      <c r="A58" s="950" t="str">
        <f>FS!I192</f>
        <v>Jul 23 2018</v>
      </c>
    </row>
  </sheetData>
  <mergeCells count="1">
    <mergeCell ref="B1:F1"/>
  </mergeCells>
  <phoneticPr fontId="49"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59"/>
  <sheetViews>
    <sheetView zoomScale="80" zoomScaleNormal="80" workbookViewId="0">
      <selection activeCell="O55" sqref="O55"/>
    </sheetView>
  </sheetViews>
  <sheetFormatPr defaultRowHeight="15.75"/>
  <cols>
    <col min="1" max="1" width="23.875" customWidth="1"/>
    <col min="2" max="2" width="7.75" style="160" customWidth="1"/>
    <col min="3" max="3" width="2.375" style="160" hidden="1" customWidth="1"/>
    <col min="4" max="6" width="8" hidden="1" customWidth="1"/>
    <col min="7" max="7" width="9.625" hidden="1" customWidth="1"/>
    <col min="8" max="11" width="10.125" bestFit="1" customWidth="1"/>
    <col min="12" max="13" width="10.75" bestFit="1" customWidth="1"/>
  </cols>
  <sheetData>
    <row r="2" spans="1:13">
      <c r="A2" s="181" t="s">
        <v>186</v>
      </c>
      <c r="B2" s="182">
        <v>2017</v>
      </c>
    </row>
    <row r="3" spans="1:13">
      <c r="D3" s="965" t="s">
        <v>187</v>
      </c>
      <c r="E3" s="965"/>
      <c r="F3" s="965"/>
      <c r="G3" s="965"/>
      <c r="H3" s="965"/>
      <c r="I3" s="965"/>
      <c r="J3" s="966" t="s">
        <v>188</v>
      </c>
      <c r="K3" s="966"/>
      <c r="L3" s="966"/>
      <c r="M3" s="966"/>
    </row>
    <row r="4" spans="1:13">
      <c r="D4">
        <f t="shared" ref="D4:F4" si="0">E4-1</f>
        <v>2012</v>
      </c>
      <c r="E4">
        <f t="shared" si="0"/>
        <v>2013</v>
      </c>
      <c r="F4">
        <f t="shared" si="0"/>
        <v>2014</v>
      </c>
      <c r="G4">
        <f>H4-1</f>
        <v>2015</v>
      </c>
      <c r="H4">
        <f>I4-1</f>
        <v>2016</v>
      </c>
      <c r="I4">
        <f>B2</f>
        <v>2017</v>
      </c>
      <c r="J4">
        <f>I4+1</f>
        <v>2018</v>
      </c>
      <c r="K4">
        <f t="shared" ref="K4:M4" si="1">J4+1</f>
        <v>2019</v>
      </c>
      <c r="L4">
        <f t="shared" si="1"/>
        <v>2020</v>
      </c>
      <c r="M4">
        <f t="shared" si="1"/>
        <v>2021</v>
      </c>
    </row>
    <row r="5" spans="1:13">
      <c r="A5" s="161" t="s">
        <v>39</v>
      </c>
      <c r="B5" s="162"/>
      <c r="C5" s="162"/>
    </row>
    <row r="6" spans="1:13" hidden="1">
      <c r="A6" t="s">
        <v>189</v>
      </c>
      <c r="D6">
        <f>D7*D8</f>
        <v>0</v>
      </c>
    </row>
    <row r="7" spans="1:13" hidden="1">
      <c r="A7" s="163" t="s">
        <v>190</v>
      </c>
      <c r="B7" s="164"/>
      <c r="C7" s="164"/>
    </row>
    <row r="8" spans="1:13" hidden="1">
      <c r="A8" s="163" t="s">
        <v>191</v>
      </c>
      <c r="B8" s="164"/>
      <c r="C8" s="164"/>
    </row>
    <row r="9" spans="1:13" hidden="1">
      <c r="A9" t="s">
        <v>192</v>
      </c>
    </row>
    <row r="10" spans="1:13" hidden="1">
      <c r="A10" s="163" t="s">
        <v>190</v>
      </c>
      <c r="B10" s="164"/>
      <c r="C10" s="164"/>
    </row>
    <row r="11" spans="1:13" hidden="1">
      <c r="A11" s="163" t="s">
        <v>191</v>
      </c>
      <c r="B11" s="164"/>
      <c r="C11" s="164"/>
    </row>
    <row r="12" spans="1:13" hidden="1">
      <c r="A12" t="s">
        <v>193</v>
      </c>
    </row>
    <row r="13" spans="1:13" hidden="1">
      <c r="A13" s="163" t="s">
        <v>190</v>
      </c>
      <c r="B13" s="164"/>
      <c r="C13" s="164"/>
    </row>
    <row r="14" spans="1:13" hidden="1">
      <c r="A14" s="163" t="s">
        <v>191</v>
      </c>
      <c r="B14" s="164"/>
      <c r="C14" s="164"/>
    </row>
    <row r="15" spans="1:13" hidden="1">
      <c r="A15" t="s">
        <v>194</v>
      </c>
    </row>
    <row r="16" spans="1:13" hidden="1">
      <c r="A16" s="163" t="s">
        <v>190</v>
      </c>
      <c r="B16" s="164"/>
      <c r="C16" s="164"/>
    </row>
    <row r="17" spans="1:13" hidden="1">
      <c r="A17" s="163" t="s">
        <v>191</v>
      </c>
      <c r="B17" s="164"/>
      <c r="C17" s="164"/>
    </row>
    <row r="18" spans="1:13" hidden="1">
      <c r="A18" t="s">
        <v>195</v>
      </c>
    </row>
    <row r="19" spans="1:13" hidden="1">
      <c r="A19" s="163" t="s">
        <v>190</v>
      </c>
      <c r="B19" s="164"/>
      <c r="C19" s="164"/>
    </row>
    <row r="20" spans="1:13" hidden="1">
      <c r="A20" s="163" t="s">
        <v>191</v>
      </c>
      <c r="B20" s="164"/>
      <c r="C20" s="164"/>
    </row>
    <row r="21" spans="1:13" hidden="1"/>
    <row r="22" spans="1:13" hidden="1">
      <c r="A22" s="165" t="s">
        <v>196</v>
      </c>
      <c r="B22" s="166"/>
      <c r="C22" s="166"/>
    </row>
    <row r="23" spans="1:13" hidden="1"/>
    <row r="24" spans="1:13">
      <c r="A24" s="147" t="s">
        <v>197</v>
      </c>
      <c r="B24" s="167"/>
      <c r="C24" s="167"/>
      <c r="D24" s="168"/>
      <c r="E24" s="168"/>
      <c r="F24" s="168"/>
      <c r="G24" s="169"/>
      <c r="H24" s="169">
        <f>FS!I3</f>
        <v>4358733.3569999998</v>
      </c>
      <c r="I24" s="169">
        <f>FS!J3</f>
        <v>4706736.0959999999</v>
      </c>
      <c r="J24" s="169">
        <f>'P&amp;L Drivers'!M12</f>
        <v>4863659.9982402064</v>
      </c>
      <c r="K24" s="169">
        <f>'P&amp;L Drivers'!N12</f>
        <v>4965983.8365392741</v>
      </c>
      <c r="L24" s="169">
        <f>'P&amp;L Drivers'!O12</f>
        <v>5068521.1393565852</v>
      </c>
      <c r="M24" s="169">
        <f>'P&amp;L Drivers'!P12</f>
        <v>5173871.7408279255</v>
      </c>
    </row>
    <row r="26" spans="1:13">
      <c r="A26" s="161" t="s">
        <v>41</v>
      </c>
      <c r="B26" s="162"/>
      <c r="C26" s="162"/>
    </row>
    <row r="27" spans="1:13" hidden="1">
      <c r="A27" t="s">
        <v>189</v>
      </c>
    </row>
    <row r="28" spans="1:13" hidden="1">
      <c r="A28" s="163" t="s">
        <v>198</v>
      </c>
      <c r="B28" s="164"/>
      <c r="C28" s="164"/>
    </row>
    <row r="29" spans="1:13" hidden="1">
      <c r="A29" s="163" t="s">
        <v>199</v>
      </c>
      <c r="B29" s="164"/>
      <c r="C29" s="164"/>
    </row>
    <row r="30" spans="1:13" hidden="1">
      <c r="A30" t="s">
        <v>192</v>
      </c>
    </row>
    <row r="31" spans="1:13" hidden="1">
      <c r="A31" s="163" t="s">
        <v>198</v>
      </c>
      <c r="B31" s="164"/>
      <c r="C31" s="164"/>
    </row>
    <row r="32" spans="1:13" hidden="1">
      <c r="A32" s="163" t="s">
        <v>199</v>
      </c>
      <c r="B32" s="164"/>
      <c r="C32" s="164"/>
    </row>
    <row r="33" spans="1:13" hidden="1">
      <c r="A33" t="s">
        <v>193</v>
      </c>
    </row>
    <row r="34" spans="1:13" hidden="1">
      <c r="A34" s="163" t="s">
        <v>198</v>
      </c>
      <c r="B34" s="164"/>
      <c r="C34" s="164"/>
    </row>
    <row r="35" spans="1:13" hidden="1">
      <c r="A35" s="163" t="s">
        <v>199</v>
      </c>
      <c r="B35" s="164"/>
      <c r="C35" s="164"/>
    </row>
    <row r="36" spans="1:13" hidden="1">
      <c r="A36" t="s">
        <v>194</v>
      </c>
    </row>
    <row r="37" spans="1:13" hidden="1">
      <c r="A37" s="163" t="s">
        <v>198</v>
      </c>
      <c r="B37" s="164"/>
      <c r="C37" s="164"/>
    </row>
    <row r="38" spans="1:13" hidden="1">
      <c r="A38" s="163" t="s">
        <v>199</v>
      </c>
      <c r="B38" s="164"/>
      <c r="C38" s="164"/>
    </row>
    <row r="39" spans="1:13" hidden="1">
      <c r="A39" t="s">
        <v>195</v>
      </c>
    </row>
    <row r="40" spans="1:13" hidden="1">
      <c r="A40" s="163" t="s">
        <v>198</v>
      </c>
      <c r="B40" s="164"/>
      <c r="C40" s="164"/>
    </row>
    <row r="41" spans="1:13" hidden="1">
      <c r="A41" s="163" t="s">
        <v>199</v>
      </c>
      <c r="B41" s="164"/>
      <c r="C41" s="164"/>
    </row>
    <row r="42" spans="1:13" hidden="1">
      <c r="D42" s="170"/>
      <c r="E42" s="170"/>
      <c r="F42" s="170"/>
      <c r="G42" s="170"/>
      <c r="H42" s="170"/>
      <c r="I42" s="170"/>
      <c r="J42" s="170"/>
      <c r="K42" s="170"/>
    </row>
    <row r="43" spans="1:13">
      <c r="A43" s="163" t="s">
        <v>200</v>
      </c>
      <c r="B43" s="164"/>
      <c r="C43" s="164"/>
      <c r="G43" s="95"/>
      <c r="H43" s="95">
        <f>FS!I5</f>
        <v>3973861.3769999999</v>
      </c>
      <c r="I43" s="95">
        <f>FS!J5</f>
        <v>4342728.7390000001</v>
      </c>
      <c r="J43" s="95">
        <f>'P&amp;L Drivers'!M37</f>
        <v>4489158.1783757107</v>
      </c>
      <c r="K43" s="95">
        <f>'P&amp;L Drivers'!N37</f>
        <v>4583603.0811257502</v>
      </c>
      <c r="L43" s="95">
        <f>'P&amp;L Drivers'!O37</f>
        <v>4642765.3636506321</v>
      </c>
      <c r="M43" s="95">
        <f>'P&amp;L Drivers'!P37</f>
        <v>4739266.5145983798</v>
      </c>
    </row>
    <row r="44" spans="1:13">
      <c r="A44" s="163"/>
      <c r="B44" s="164"/>
      <c r="C44" s="164"/>
    </row>
    <row r="45" spans="1:13">
      <c r="A45" s="165" t="s">
        <v>201</v>
      </c>
      <c r="B45" s="166"/>
      <c r="C45" s="166"/>
    </row>
    <row r="46" spans="1:13">
      <c r="A46" s="171" t="s">
        <v>42</v>
      </c>
      <c r="B46" s="172"/>
      <c r="C46" s="172"/>
      <c r="G46" s="173"/>
      <c r="H46" s="173">
        <f>'[5]Revenue Drivers'!P49</f>
        <v>71257</v>
      </c>
      <c r="I46" s="173">
        <f>[5]FS!I6</f>
        <v>63287</v>
      </c>
      <c r="J46" s="173">
        <f>'P&amp;L Drivers'!M36</f>
        <v>58941.769353683791</v>
      </c>
      <c r="K46" s="173">
        <f>'P&amp;L Drivers'!N36</f>
        <v>91126.307772944987</v>
      </c>
      <c r="L46" s="173">
        <f>'P&amp;L Drivers'!O36</f>
        <v>120908.43972953364</v>
      </c>
      <c r="M46" s="173">
        <f>'P&amp;L Drivers'!P36</f>
        <v>131409.81978651523</v>
      </c>
    </row>
    <row r="48" spans="1:13">
      <c r="A48" s="147" t="s">
        <v>202</v>
      </c>
      <c r="B48" s="167"/>
      <c r="C48" s="167"/>
      <c r="D48" s="168"/>
      <c r="E48" s="168"/>
      <c r="F48" s="168"/>
      <c r="G48" s="169"/>
      <c r="H48" s="169">
        <f>H43+H46</f>
        <v>4045118.3769999999</v>
      </c>
      <c r="I48" s="169">
        <f>I43+I46</f>
        <v>4406015.7390000001</v>
      </c>
      <c r="J48" s="169">
        <f>J43+J46</f>
        <v>4548099.9477293948</v>
      </c>
      <c r="K48" s="169">
        <f>K43+K46</f>
        <v>4674729.3888986949</v>
      </c>
      <c r="L48" s="169">
        <f t="shared" ref="L48:M48" si="2">L43+L46</f>
        <v>4763673.8033801662</v>
      </c>
      <c r="M48" s="169">
        <f t="shared" si="2"/>
        <v>4870676.3343848949</v>
      </c>
    </row>
    <row r="50" spans="1:13">
      <c r="A50" s="147" t="s">
        <v>43</v>
      </c>
      <c r="B50" s="167"/>
      <c r="C50" s="167"/>
      <c r="D50" s="147"/>
      <c r="E50" s="147"/>
      <c r="F50" s="147"/>
      <c r="G50" s="174"/>
      <c r="H50" s="174">
        <f>H24-H48</f>
        <v>313614.98</v>
      </c>
      <c r="I50" s="174">
        <f t="shared" ref="I50:M50" si="3">I24-I48</f>
        <v>300720.35699999984</v>
      </c>
      <c r="J50" s="174">
        <f t="shared" si="3"/>
        <v>315560.05051081162</v>
      </c>
      <c r="K50" s="174">
        <f t="shared" si="3"/>
        <v>291254.44764057919</v>
      </c>
      <c r="L50" s="174">
        <f t="shared" si="3"/>
        <v>304847.33597641904</v>
      </c>
      <c r="M50" s="174">
        <f t="shared" si="3"/>
        <v>303195.40644303057</v>
      </c>
    </row>
    <row r="51" spans="1:13">
      <c r="A51" s="175" t="s">
        <v>44</v>
      </c>
      <c r="B51" s="176"/>
      <c r="C51" s="176"/>
      <c r="D51" s="177"/>
      <c r="E51" s="177"/>
      <c r="F51" s="177"/>
      <c r="G51" s="178"/>
      <c r="H51" s="178">
        <f>H50/H24</f>
        <v>7.1950944073315107E-2</v>
      </c>
      <c r="I51" s="178">
        <f t="shared" ref="I51" si="4">I50/I24</f>
        <v>6.389148464379929E-2</v>
      </c>
      <c r="J51" s="178">
        <f>J50/J24</f>
        <v>6.4881190425520929E-2</v>
      </c>
      <c r="K51" s="178">
        <f>K50/K24</f>
        <v>5.8649898434536676E-2</v>
      </c>
      <c r="L51" s="178">
        <f t="shared" ref="L51:M51" si="5">L50/L24</f>
        <v>6.0145223349135989E-2</v>
      </c>
      <c r="M51" s="178">
        <f t="shared" si="5"/>
        <v>5.8601260647894046E-2</v>
      </c>
    </row>
    <row r="53" spans="1:13">
      <c r="A53" s="147" t="s">
        <v>157</v>
      </c>
      <c r="B53" s="167"/>
      <c r="C53" s="167"/>
      <c r="G53" s="95"/>
      <c r="H53" s="95">
        <f>H50-H58</f>
        <v>149345.97999999998</v>
      </c>
      <c r="I53" s="95">
        <f>[5]FS!I10</f>
        <v>146645.47899999999</v>
      </c>
      <c r="J53" s="95"/>
      <c r="K53" s="95"/>
      <c r="L53" s="95"/>
      <c r="M53" s="95"/>
    </row>
    <row r="54" spans="1:13">
      <c r="A54" s="163" t="s">
        <v>157</v>
      </c>
      <c r="B54" s="164"/>
      <c r="C54" s="164"/>
      <c r="G54" s="95"/>
      <c r="H54" s="95">
        <f>H53-H55</f>
        <v>149345.97999999998</v>
      </c>
      <c r="I54" s="95">
        <f t="shared" ref="I54" si="6">I53-I55</f>
        <v>146645.47899999999</v>
      </c>
      <c r="J54" s="95">
        <f>'P&amp;L Drivers'!M45</f>
        <v>194546.39992960825</v>
      </c>
      <c r="K54" s="95">
        <f>'P&amp;L Drivers'!N45</f>
        <v>198639.35346157098</v>
      </c>
      <c r="L54" s="95">
        <f>'P&amp;L Drivers'!O45</f>
        <v>184058.9260766767</v>
      </c>
      <c r="M54" s="95">
        <f>'P&amp;L Drivers'!P45</f>
        <v>187884.64131692296</v>
      </c>
    </row>
    <row r="55" spans="1:13">
      <c r="A55" s="163" t="s">
        <v>42</v>
      </c>
      <c r="B55" s="164"/>
      <c r="C55" s="164"/>
      <c r="G55" s="95"/>
      <c r="H55" s="95">
        <f>'[5]Revenue Drivers'!P51</f>
        <v>0</v>
      </c>
      <c r="I55" s="95">
        <v>0</v>
      </c>
      <c r="J55" s="95">
        <v>0</v>
      </c>
      <c r="K55" s="95">
        <v>0</v>
      </c>
      <c r="L55" s="95">
        <v>0</v>
      </c>
      <c r="M55" s="95">
        <v>0</v>
      </c>
    </row>
    <row r="56" spans="1:13">
      <c r="A56" s="175" t="s">
        <v>52</v>
      </c>
      <c r="B56" s="176"/>
      <c r="C56" s="176"/>
      <c r="D56" s="177"/>
      <c r="E56" s="177"/>
      <c r="F56" s="177"/>
      <c r="G56" s="179"/>
      <c r="H56" s="179">
        <f>H53/H24</f>
        <v>3.4263619214089949E-2</v>
      </c>
      <c r="I56" s="179">
        <f t="shared" ref="I56" si="7">I53/I24</f>
        <v>3.1156511860655635E-2</v>
      </c>
      <c r="J56" s="179"/>
      <c r="K56" s="179"/>
      <c r="L56" s="179"/>
      <c r="M56" s="179"/>
    </row>
    <row r="57" spans="1:13">
      <c r="A57" s="175" t="s">
        <v>203</v>
      </c>
      <c r="B57" s="176"/>
      <c r="C57" s="176"/>
      <c r="D57" s="177"/>
      <c r="E57" s="177"/>
      <c r="F57" s="177"/>
      <c r="G57" s="179"/>
      <c r="H57" s="179">
        <f>H54/H24</f>
        <v>3.4263619214089949E-2</v>
      </c>
      <c r="I57" s="179">
        <f t="shared" ref="I57:M57" si="8">I54/I24</f>
        <v>3.1156511860655635E-2</v>
      </c>
      <c r="J57" s="179">
        <f t="shared" si="8"/>
        <v>0.04</v>
      </c>
      <c r="K57" s="179">
        <f t="shared" si="8"/>
        <v>0.04</v>
      </c>
      <c r="L57" s="179">
        <f t="shared" si="8"/>
        <v>3.6314128128513978E-2</v>
      </c>
      <c r="M57" s="179">
        <f t="shared" si="8"/>
        <v>3.6314128128513978E-2</v>
      </c>
    </row>
    <row r="58" spans="1:13">
      <c r="A58" s="147" t="s">
        <v>50</v>
      </c>
      <c r="B58" s="167"/>
      <c r="C58" s="167"/>
      <c r="D58" s="147"/>
      <c r="E58" s="147"/>
      <c r="F58" s="147"/>
      <c r="G58" s="174"/>
      <c r="H58" s="174">
        <f>'[5]Revenue Drivers'!P48-'[5]Revenue Drivers'!P49</f>
        <v>164269</v>
      </c>
      <c r="I58" s="174">
        <f>[5]FS!I16</f>
        <v>174939.50099999999</v>
      </c>
      <c r="J58" s="174">
        <f>J50-J54</f>
        <v>121013.65058120337</v>
      </c>
      <c r="K58" s="174">
        <f t="shared" ref="K58:M58" si="9">K50-K54</f>
        <v>92615.094179008214</v>
      </c>
      <c r="L58" s="174">
        <f t="shared" si="9"/>
        <v>120788.40989974234</v>
      </c>
      <c r="M58" s="174">
        <f t="shared" si="9"/>
        <v>115310.76512610761</v>
      </c>
    </row>
    <row r="59" spans="1:13">
      <c r="A59" s="175" t="s">
        <v>51</v>
      </c>
      <c r="B59" s="176"/>
      <c r="C59" s="176"/>
      <c r="D59" s="177"/>
      <c r="E59" s="177"/>
      <c r="F59" s="177"/>
      <c r="G59" s="178"/>
      <c r="H59" s="178">
        <f>H58/H24</f>
        <v>3.7687324859225151E-2</v>
      </c>
      <c r="I59" s="178">
        <f t="shared" ref="I59:M59" si="10">I58/I24</f>
        <v>3.7167900947043024E-2</v>
      </c>
      <c r="J59" s="178">
        <f t="shared" si="10"/>
        <v>2.4881190425520932E-2</v>
      </c>
      <c r="K59" s="178">
        <f t="shared" si="10"/>
        <v>1.8649898434536669E-2</v>
      </c>
      <c r="L59" s="178">
        <f t="shared" si="10"/>
        <v>2.383109522062201E-2</v>
      </c>
      <c r="M59" s="178">
        <f t="shared" si="10"/>
        <v>2.2287132519380064E-2</v>
      </c>
    </row>
  </sheetData>
  <mergeCells count="2">
    <mergeCell ref="D3:I3"/>
    <mergeCell ref="J3:M3"/>
  </mergeCells>
  <phoneticPr fontId="49"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13"/>
  <sheetViews>
    <sheetView zoomScale="70" zoomScaleNormal="70" workbookViewId="0">
      <selection activeCell="C114" sqref="C114"/>
    </sheetView>
  </sheetViews>
  <sheetFormatPr defaultRowHeight="15.75"/>
  <cols>
    <col min="1" max="1" width="33" customWidth="1"/>
    <col min="2" max="2" width="12.625" bestFit="1" customWidth="1"/>
    <col min="3" max="3" width="16.25" bestFit="1" customWidth="1"/>
    <col min="4" max="4" width="13" bestFit="1" customWidth="1"/>
    <col min="5" max="5" width="11.375" bestFit="1" customWidth="1"/>
    <col min="6" max="6" width="11" bestFit="1" customWidth="1"/>
    <col min="7" max="7" width="16.125" bestFit="1" customWidth="1"/>
    <col min="8" max="8" width="16.625" bestFit="1" customWidth="1"/>
    <col min="9" max="9" width="32.25" bestFit="1" customWidth="1"/>
    <col min="10" max="13" width="11.5" bestFit="1" customWidth="1"/>
    <col min="14" max="14" width="10.25" bestFit="1" customWidth="1"/>
    <col min="15" max="15" width="15.25" bestFit="1" customWidth="1"/>
    <col min="16" max="16" width="27.25" bestFit="1" customWidth="1"/>
    <col min="17" max="17" width="27.125" bestFit="1" customWidth="1"/>
  </cols>
  <sheetData>
    <row r="1" spans="1:25">
      <c r="A1" s="211" t="s">
        <v>207</v>
      </c>
      <c r="B1" s="212"/>
      <c r="C1" s="212"/>
      <c r="D1" s="212"/>
      <c r="E1" s="213"/>
      <c r="F1" s="212" t="s">
        <v>214</v>
      </c>
      <c r="G1" s="214"/>
      <c r="I1" s="191" t="s">
        <v>217</v>
      </c>
      <c r="J1" s="192"/>
      <c r="K1" s="192"/>
      <c r="L1" s="193"/>
      <c r="M1" s="192"/>
      <c r="N1" s="192"/>
      <c r="O1" s="194"/>
      <c r="Q1" s="109" t="s">
        <v>184</v>
      </c>
      <c r="R1" s="109">
        <v>30.771000000000001</v>
      </c>
    </row>
    <row r="2" spans="1:25">
      <c r="A2" s="215" t="s">
        <v>215</v>
      </c>
      <c r="B2" s="205" t="s">
        <v>216</v>
      </c>
      <c r="C2" s="205" t="s">
        <v>208</v>
      </c>
      <c r="D2" s="205" t="s">
        <v>209</v>
      </c>
      <c r="E2" s="216" t="s">
        <v>210</v>
      </c>
      <c r="F2" s="205" t="s">
        <v>211</v>
      </c>
      <c r="G2" s="209" t="s">
        <v>212</v>
      </c>
      <c r="I2" s="195" t="s">
        <v>215</v>
      </c>
      <c r="J2" s="205" t="s">
        <v>216</v>
      </c>
      <c r="K2" s="180" t="s">
        <v>208</v>
      </c>
      <c r="L2" s="180" t="s">
        <v>209</v>
      </c>
      <c r="M2" s="196" t="s">
        <v>210</v>
      </c>
      <c r="N2" s="180" t="s">
        <v>211</v>
      </c>
      <c r="O2" s="197" t="s">
        <v>212</v>
      </c>
      <c r="Q2" s="109" t="s">
        <v>766</v>
      </c>
      <c r="R2" s="109"/>
    </row>
    <row r="3" spans="1:25">
      <c r="A3" s="459">
        <v>2013</v>
      </c>
      <c r="B3" s="465">
        <v>1</v>
      </c>
      <c r="C3" s="465">
        <v>5</v>
      </c>
      <c r="D3" s="465">
        <v>7450</v>
      </c>
      <c r="E3" s="466">
        <v>1.3299999999999999E-2</v>
      </c>
      <c r="F3" s="467">
        <f t="shared" ref="F3:F34" si="0">A3+((B3-1)/12)+C3</f>
        <v>2018</v>
      </c>
      <c r="G3" s="468">
        <f t="shared" ref="G3:G34" si="1">E3*D3</f>
        <v>99.084999999999994</v>
      </c>
      <c r="I3" s="195">
        <v>2016</v>
      </c>
      <c r="J3" s="180">
        <v>9</v>
      </c>
      <c r="K3" s="180">
        <v>5</v>
      </c>
      <c r="L3" s="180">
        <v>600</v>
      </c>
      <c r="M3" s="196">
        <v>2.2499999999999999E-2</v>
      </c>
      <c r="N3" s="217">
        <f>I3+((J3-1)/12)+K3</f>
        <v>2021.6666666666667</v>
      </c>
      <c r="O3" s="209">
        <f t="shared" ref="O3:O4" si="2">L3*M3</f>
        <v>13.5</v>
      </c>
      <c r="Q3" s="180"/>
    </row>
    <row r="4" spans="1:25" ht="16.5" thickBot="1">
      <c r="A4" s="459">
        <v>2015</v>
      </c>
      <c r="B4" s="465">
        <v>1</v>
      </c>
      <c r="C4" s="465">
        <v>3</v>
      </c>
      <c r="D4" s="465">
        <v>2750</v>
      </c>
      <c r="E4" s="466">
        <v>1.23E-2</v>
      </c>
      <c r="F4" s="467">
        <f t="shared" si="0"/>
        <v>2018</v>
      </c>
      <c r="G4" s="468">
        <f t="shared" si="1"/>
        <v>33.825000000000003</v>
      </c>
      <c r="I4" s="201">
        <v>2016</v>
      </c>
      <c r="J4" s="202">
        <v>9</v>
      </c>
      <c r="K4" s="202">
        <v>10</v>
      </c>
      <c r="L4" s="202">
        <v>400</v>
      </c>
      <c r="M4" s="203">
        <v>0.03</v>
      </c>
      <c r="N4" s="245">
        <f>I4+((J4-1)/12)+K4</f>
        <v>2026.6666666666667</v>
      </c>
      <c r="O4" s="221">
        <f t="shared" si="2"/>
        <v>12</v>
      </c>
    </row>
    <row r="5" spans="1:25">
      <c r="A5" s="459">
        <v>2014</v>
      </c>
      <c r="B5" s="465">
        <v>10</v>
      </c>
      <c r="C5" s="465">
        <v>3.5</v>
      </c>
      <c r="D5" s="465">
        <v>2200</v>
      </c>
      <c r="E5" s="466">
        <v>1.2500000000000001E-2</v>
      </c>
      <c r="F5" s="467">
        <f t="shared" si="0"/>
        <v>2018.25</v>
      </c>
      <c r="G5" s="468">
        <f t="shared" si="1"/>
        <v>27.5</v>
      </c>
      <c r="I5" s="222">
        <v>2016</v>
      </c>
      <c r="J5" s="223">
        <v>9</v>
      </c>
      <c r="K5" s="223">
        <v>5</v>
      </c>
      <c r="L5" s="223">
        <f>L3*$R$1</f>
        <v>18462.600000000002</v>
      </c>
      <c r="M5" s="224">
        <v>2.2499999999999999E-2</v>
      </c>
      <c r="N5" s="225">
        <f>I5+((J5-1)/12)+K5</f>
        <v>2021.6666666666667</v>
      </c>
      <c r="O5" s="226">
        <f>L5*M5</f>
        <v>415.40850000000006</v>
      </c>
      <c r="S5" s="109"/>
      <c r="T5" s="109"/>
      <c r="U5" s="109"/>
      <c r="V5" s="109"/>
      <c r="W5" s="109"/>
      <c r="X5" s="109"/>
      <c r="Y5" s="109"/>
    </row>
    <row r="6" spans="1:25" ht="16.5" thickBot="1">
      <c r="A6" s="459">
        <v>2015</v>
      </c>
      <c r="B6" s="465">
        <v>4</v>
      </c>
      <c r="C6" s="465">
        <v>3</v>
      </c>
      <c r="D6" s="465">
        <v>4150</v>
      </c>
      <c r="E6" s="466">
        <v>1.23E-2</v>
      </c>
      <c r="F6" s="467">
        <f t="shared" si="0"/>
        <v>2018.25</v>
      </c>
      <c r="G6" s="468">
        <f t="shared" si="1"/>
        <v>51.045000000000002</v>
      </c>
      <c r="I6" s="248">
        <v>2016</v>
      </c>
      <c r="J6" s="474">
        <v>9</v>
      </c>
      <c r="K6" s="474">
        <v>10</v>
      </c>
      <c r="L6" s="474">
        <f>L4*$R$1</f>
        <v>12308.4</v>
      </c>
      <c r="M6" s="475">
        <v>0.03</v>
      </c>
      <c r="N6" s="476">
        <f>I6+((J6-1)/12)+K6</f>
        <v>2026.6666666666667</v>
      </c>
      <c r="O6" s="477">
        <f>L6*M6</f>
        <v>369.25199999999995</v>
      </c>
    </row>
    <row r="7" spans="1:25">
      <c r="A7" s="459">
        <v>2011</v>
      </c>
      <c r="B7" s="465">
        <v>6</v>
      </c>
      <c r="C7" s="465">
        <v>7</v>
      </c>
      <c r="D7" s="465">
        <v>2650</v>
      </c>
      <c r="E7" s="466">
        <v>1.66E-2</v>
      </c>
      <c r="F7" s="467">
        <f t="shared" si="0"/>
        <v>2018.4166666666667</v>
      </c>
      <c r="G7" s="468">
        <f t="shared" si="1"/>
        <v>43.99</v>
      </c>
      <c r="L7" s="238"/>
    </row>
    <row r="8" spans="1:25" ht="16.5" thickBot="1">
      <c r="A8" s="459">
        <v>2015</v>
      </c>
      <c r="B8" s="465">
        <v>6</v>
      </c>
      <c r="C8" s="465">
        <v>3</v>
      </c>
      <c r="D8" s="465">
        <v>2600</v>
      </c>
      <c r="E8" s="466">
        <v>1.18E-2</v>
      </c>
      <c r="F8" s="467">
        <f t="shared" si="0"/>
        <v>2018.4166666666667</v>
      </c>
      <c r="G8" s="468">
        <f t="shared" si="1"/>
        <v>30.68</v>
      </c>
      <c r="L8" s="238"/>
    </row>
    <row r="9" spans="1:25">
      <c r="A9" s="469">
        <v>2016</v>
      </c>
      <c r="B9" s="210">
        <v>6</v>
      </c>
      <c r="C9" s="210">
        <v>2</v>
      </c>
      <c r="D9" s="210">
        <v>400</v>
      </c>
      <c r="E9" s="470">
        <v>6.0000000000000001E-3</v>
      </c>
      <c r="F9" s="467">
        <f t="shared" si="0"/>
        <v>2018.4166666666667</v>
      </c>
      <c r="G9" s="468">
        <f t="shared" si="1"/>
        <v>2.4</v>
      </c>
      <c r="I9" s="191" t="s">
        <v>218</v>
      </c>
      <c r="J9" s="192"/>
      <c r="K9" s="192"/>
      <c r="L9" s="193"/>
      <c r="M9" s="192"/>
      <c r="N9" s="192"/>
      <c r="O9" s="194"/>
      <c r="Q9" s="109" t="s">
        <v>228</v>
      </c>
      <c r="R9" s="180">
        <v>0.27750000000000002</v>
      </c>
      <c r="S9" s="180"/>
    </row>
    <row r="10" spans="1:25">
      <c r="A10" s="459">
        <v>2015</v>
      </c>
      <c r="B10" s="465">
        <v>9</v>
      </c>
      <c r="C10" s="465">
        <v>3</v>
      </c>
      <c r="D10" s="465">
        <v>1800</v>
      </c>
      <c r="E10" s="466">
        <v>1.0500000000000001E-2</v>
      </c>
      <c r="F10" s="467">
        <f t="shared" si="0"/>
        <v>2018.6666666666667</v>
      </c>
      <c r="G10" s="468">
        <f t="shared" si="1"/>
        <v>18.900000000000002</v>
      </c>
      <c r="I10" s="195" t="s">
        <v>215</v>
      </c>
      <c r="J10" s="180" t="s">
        <v>216</v>
      </c>
      <c r="K10" s="180" t="s">
        <v>208</v>
      </c>
      <c r="L10" s="180" t="s">
        <v>209</v>
      </c>
      <c r="M10" s="196" t="s">
        <v>210</v>
      </c>
      <c r="N10" s="180" t="s">
        <v>211</v>
      </c>
      <c r="O10" s="197" t="s">
        <v>212</v>
      </c>
      <c r="Q10" s="950" t="s">
        <v>765</v>
      </c>
      <c r="S10" s="180"/>
    </row>
    <row r="11" spans="1:25">
      <c r="A11" s="471">
        <v>2015</v>
      </c>
      <c r="B11" s="472">
        <v>11</v>
      </c>
      <c r="C11" s="472">
        <v>3</v>
      </c>
      <c r="D11" s="472">
        <v>1500</v>
      </c>
      <c r="E11" s="473">
        <v>0.01</v>
      </c>
      <c r="F11" s="467">
        <f t="shared" si="0"/>
        <v>2018.8333333333333</v>
      </c>
      <c r="G11" s="468">
        <f t="shared" si="1"/>
        <v>15</v>
      </c>
      <c r="I11" s="215">
        <v>2017</v>
      </c>
      <c r="J11" s="205">
        <v>9</v>
      </c>
      <c r="K11" s="205">
        <v>3</v>
      </c>
      <c r="L11" s="205">
        <v>41500</v>
      </c>
      <c r="M11" s="216">
        <v>4.1999999999999997E-3</v>
      </c>
      <c r="N11" s="217">
        <f>I11+((J11-1)/12)+K11</f>
        <v>2020.6666666666667</v>
      </c>
      <c r="O11" s="209">
        <f>L11*M11</f>
        <v>174.29999999999998</v>
      </c>
      <c r="P11" s="180"/>
      <c r="S11" s="180"/>
    </row>
    <row r="12" spans="1:25">
      <c r="A12" s="469">
        <v>2016</v>
      </c>
      <c r="B12" s="210">
        <v>11</v>
      </c>
      <c r="C12" s="210">
        <v>2</v>
      </c>
      <c r="D12" s="210">
        <v>1200</v>
      </c>
      <c r="E12" s="470">
        <v>6.7999999999999996E-3</v>
      </c>
      <c r="F12" s="467">
        <f t="shared" si="0"/>
        <v>2018.8333333333333</v>
      </c>
      <c r="G12" s="468">
        <f t="shared" si="1"/>
        <v>8.16</v>
      </c>
      <c r="I12" s="215">
        <v>2017</v>
      </c>
      <c r="J12" s="205">
        <v>9</v>
      </c>
      <c r="K12" s="205">
        <v>5</v>
      </c>
      <c r="L12" s="205">
        <v>6000</v>
      </c>
      <c r="M12" s="216">
        <v>5.1999999999999998E-3</v>
      </c>
      <c r="N12" s="217">
        <f>I12+((J12-1)/12)+K12</f>
        <v>2022.6666666666667</v>
      </c>
      <c r="O12" s="209">
        <f>L12*M12</f>
        <v>31.2</v>
      </c>
      <c r="P12" s="180"/>
    </row>
    <row r="13" spans="1:25">
      <c r="A13" s="459">
        <v>2013</v>
      </c>
      <c r="B13" s="465">
        <v>12</v>
      </c>
      <c r="C13" s="465">
        <v>5</v>
      </c>
      <c r="D13" s="465">
        <v>800</v>
      </c>
      <c r="E13" s="466">
        <v>1.4999999999999999E-2</v>
      </c>
      <c r="F13" s="467">
        <f t="shared" si="0"/>
        <v>2018.9166666666667</v>
      </c>
      <c r="G13" s="468">
        <f t="shared" si="1"/>
        <v>12</v>
      </c>
      <c r="I13" s="215">
        <v>2017</v>
      </c>
      <c r="J13" s="205">
        <v>9</v>
      </c>
      <c r="K13" s="205">
        <v>7</v>
      </c>
      <c r="L13" s="205">
        <v>2500</v>
      </c>
      <c r="M13" s="216">
        <v>7.0000000000000001E-3</v>
      </c>
      <c r="N13" s="217">
        <f>I13+((J13-1)/12)+K13</f>
        <v>2024.6666666666667</v>
      </c>
      <c r="O13" s="209">
        <f>L13*M13</f>
        <v>17.5</v>
      </c>
      <c r="P13" s="180"/>
    </row>
    <row r="14" spans="1:25" ht="16.5" thickBot="1">
      <c r="A14" s="459">
        <v>2015</v>
      </c>
      <c r="B14" s="465">
        <v>6</v>
      </c>
      <c r="C14" s="465">
        <v>3.5</v>
      </c>
      <c r="D14" s="465">
        <v>600</v>
      </c>
      <c r="E14" s="466">
        <v>1.23E-2</v>
      </c>
      <c r="F14" s="467">
        <f t="shared" si="0"/>
        <v>2018.9166666666667</v>
      </c>
      <c r="G14" s="468">
        <f t="shared" si="1"/>
        <v>7.38</v>
      </c>
      <c r="I14" s="201" t="s">
        <v>219</v>
      </c>
      <c r="J14" s="202"/>
      <c r="K14" s="202"/>
      <c r="L14" s="202">
        <f>SUM(L11:L13)</f>
        <v>50000</v>
      </c>
      <c r="M14" s="203"/>
      <c r="N14" s="202"/>
      <c r="O14" s="204">
        <f>SUM(O11:O13)</f>
        <v>222.99999999999997</v>
      </c>
      <c r="P14" s="180"/>
      <c r="Q14" s="180"/>
      <c r="R14" s="180"/>
      <c r="S14" s="180"/>
    </row>
    <row r="15" spans="1:25">
      <c r="A15" s="215">
        <v>2014</v>
      </c>
      <c r="B15" s="205">
        <v>3</v>
      </c>
      <c r="C15" s="205">
        <v>5</v>
      </c>
      <c r="D15" s="205">
        <v>1100</v>
      </c>
      <c r="E15" s="216">
        <v>1.4E-2</v>
      </c>
      <c r="F15" s="217">
        <f t="shared" si="0"/>
        <v>2019.1666666666667</v>
      </c>
      <c r="G15" s="209">
        <f t="shared" si="1"/>
        <v>15.4</v>
      </c>
      <c r="I15" s="222">
        <v>2017</v>
      </c>
      <c r="J15" s="223">
        <v>9</v>
      </c>
      <c r="K15" s="223">
        <v>3</v>
      </c>
      <c r="L15" s="478">
        <f>L11*$R$9</f>
        <v>11516.250000000002</v>
      </c>
      <c r="M15" s="224">
        <v>4.1999999999999997E-3</v>
      </c>
      <c r="N15" s="225">
        <f>I15+((J15-1)/12)+K15</f>
        <v>2020.6666666666667</v>
      </c>
      <c r="O15" s="479">
        <f>L15*M15</f>
        <v>48.368250000000003</v>
      </c>
      <c r="P15" s="180"/>
      <c r="Q15" s="180"/>
      <c r="R15" s="180"/>
    </row>
    <row r="16" spans="1:25">
      <c r="A16" s="215">
        <v>2015</v>
      </c>
      <c r="B16" s="205">
        <v>4</v>
      </c>
      <c r="C16" s="205">
        <v>4</v>
      </c>
      <c r="D16" s="205">
        <v>100</v>
      </c>
      <c r="E16" s="216">
        <v>1.34E-2</v>
      </c>
      <c r="F16" s="217">
        <f t="shared" si="0"/>
        <v>2019.25</v>
      </c>
      <c r="G16" s="209">
        <f t="shared" si="1"/>
        <v>1.34</v>
      </c>
      <c r="I16" s="222">
        <v>2017</v>
      </c>
      <c r="J16" s="223">
        <v>9</v>
      </c>
      <c r="K16" s="223">
        <v>5</v>
      </c>
      <c r="L16" s="478">
        <f>L12*$R$9</f>
        <v>1665.0000000000002</v>
      </c>
      <c r="M16" s="224">
        <v>5.1999999999999998E-3</v>
      </c>
      <c r="N16" s="225">
        <f>I16+((J16-1)/12)+K16</f>
        <v>2022.6666666666667</v>
      </c>
      <c r="O16" s="479">
        <f>L16*M16</f>
        <v>8.6580000000000013</v>
      </c>
      <c r="P16" s="180"/>
      <c r="Q16" s="180"/>
      <c r="R16" s="180"/>
    </row>
    <row r="17" spans="1:19">
      <c r="A17" s="215">
        <v>2014</v>
      </c>
      <c r="B17" s="205">
        <v>5</v>
      </c>
      <c r="C17" s="205">
        <v>5</v>
      </c>
      <c r="D17" s="205">
        <v>1600</v>
      </c>
      <c r="E17" s="216">
        <v>1.37E-2</v>
      </c>
      <c r="F17" s="217">
        <f t="shared" si="0"/>
        <v>2019.3333333333333</v>
      </c>
      <c r="G17" s="209">
        <f t="shared" si="1"/>
        <v>21.92</v>
      </c>
      <c r="I17" s="222">
        <v>2017</v>
      </c>
      <c r="J17" s="223">
        <v>9</v>
      </c>
      <c r="K17" s="223">
        <v>7</v>
      </c>
      <c r="L17" s="478">
        <f>L13*$R$9</f>
        <v>693.75000000000011</v>
      </c>
      <c r="M17" s="224">
        <v>7.0000000000000001E-3</v>
      </c>
      <c r="N17" s="225">
        <f>I17+((J17-1)/12)+K17</f>
        <v>2024.6666666666667</v>
      </c>
      <c r="O17" s="479">
        <f>L17*M17</f>
        <v>4.8562500000000011</v>
      </c>
      <c r="P17" s="180"/>
      <c r="Q17" s="180"/>
      <c r="R17" s="180"/>
      <c r="S17" s="180"/>
    </row>
    <row r="18" spans="1:19" ht="16.5" thickBot="1">
      <c r="A18" s="206">
        <v>2017</v>
      </c>
      <c r="B18" s="207">
        <v>5</v>
      </c>
      <c r="C18" s="207">
        <v>2</v>
      </c>
      <c r="D18" s="207">
        <v>500</v>
      </c>
      <c r="E18" s="208">
        <v>8.0000000000000002E-3</v>
      </c>
      <c r="F18" s="217">
        <f t="shared" si="0"/>
        <v>2019.3333333333333</v>
      </c>
      <c r="G18" s="209">
        <f t="shared" si="1"/>
        <v>4</v>
      </c>
      <c r="I18" s="248" t="s">
        <v>219</v>
      </c>
      <c r="J18" s="474"/>
      <c r="K18" s="474"/>
      <c r="L18" s="480">
        <f>L14*$R$9</f>
        <v>13875.000000000002</v>
      </c>
      <c r="M18" s="475"/>
      <c r="N18" s="474"/>
      <c r="O18" s="481">
        <f>SUM(O15:O17)</f>
        <v>61.882500000000007</v>
      </c>
      <c r="P18" s="180"/>
      <c r="Q18" s="180"/>
      <c r="R18" s="180"/>
      <c r="S18" s="180"/>
    </row>
    <row r="19" spans="1:19">
      <c r="A19" s="215">
        <v>2015</v>
      </c>
      <c r="B19" s="205">
        <v>6</v>
      </c>
      <c r="C19" s="205">
        <v>4</v>
      </c>
      <c r="D19" s="205">
        <v>400</v>
      </c>
      <c r="E19" s="216">
        <v>1.2999999999999999E-2</v>
      </c>
      <c r="F19" s="217">
        <f t="shared" si="0"/>
        <v>2019.4166666666667</v>
      </c>
      <c r="G19" s="209">
        <f t="shared" si="1"/>
        <v>5.2</v>
      </c>
      <c r="L19" s="238"/>
      <c r="O19" s="180"/>
      <c r="P19" s="180"/>
      <c r="Q19" s="180"/>
      <c r="R19" s="180"/>
      <c r="S19" s="180"/>
    </row>
    <row r="20" spans="1:19" ht="16.5" thickBot="1">
      <c r="A20" s="206">
        <v>2016</v>
      </c>
      <c r="B20" s="207">
        <v>6</v>
      </c>
      <c r="C20" s="207">
        <v>3</v>
      </c>
      <c r="D20" s="207">
        <v>1300</v>
      </c>
      <c r="E20" s="208">
        <v>7.0000000000000001E-3</v>
      </c>
      <c r="F20" s="217">
        <f t="shared" si="0"/>
        <v>2019.4166666666667</v>
      </c>
      <c r="G20" s="209">
        <f t="shared" si="1"/>
        <v>9.1</v>
      </c>
    </row>
    <row r="21" spans="1:19">
      <c r="A21" s="206">
        <v>2016</v>
      </c>
      <c r="B21" s="207">
        <v>8</v>
      </c>
      <c r="C21" s="207">
        <v>3</v>
      </c>
      <c r="D21" s="207">
        <v>1500</v>
      </c>
      <c r="E21" s="208">
        <v>6.4999999999999997E-3</v>
      </c>
      <c r="F21" s="217">
        <f t="shared" si="0"/>
        <v>2019.5833333333333</v>
      </c>
      <c r="G21" s="209">
        <f t="shared" si="1"/>
        <v>9.75</v>
      </c>
      <c r="I21" s="191" t="s">
        <v>220</v>
      </c>
      <c r="J21" s="192"/>
      <c r="K21" s="192"/>
      <c r="L21" s="193"/>
      <c r="M21" s="192"/>
      <c r="N21" s="192"/>
      <c r="O21" s="194"/>
      <c r="P21" s="180"/>
      <c r="R21">
        <v>2015</v>
      </c>
      <c r="S21">
        <v>2016</v>
      </c>
    </row>
    <row r="22" spans="1:19">
      <c r="A22" s="206">
        <v>2017</v>
      </c>
      <c r="B22" s="207">
        <v>8</v>
      </c>
      <c r="C22" s="207">
        <v>2</v>
      </c>
      <c r="D22" s="207">
        <v>400</v>
      </c>
      <c r="E22" s="208">
        <v>7.7999999999999996E-3</v>
      </c>
      <c r="F22" s="217">
        <f t="shared" si="0"/>
        <v>2019.5833333333333</v>
      </c>
      <c r="G22" s="209">
        <f t="shared" si="1"/>
        <v>3.1199999999999997</v>
      </c>
      <c r="I22" s="195" t="s">
        <v>215</v>
      </c>
      <c r="J22" s="180" t="s">
        <v>216</v>
      </c>
      <c r="K22" s="180" t="s">
        <v>208</v>
      </c>
      <c r="L22" s="180" t="s">
        <v>209</v>
      </c>
      <c r="M22" s="196" t="s">
        <v>210</v>
      </c>
      <c r="N22" s="180" t="s">
        <v>211</v>
      </c>
      <c r="O22" s="197" t="s">
        <v>212</v>
      </c>
      <c r="Q22" s="205" t="s">
        <v>221</v>
      </c>
      <c r="R22" s="239">
        <f>0.076%</f>
        <v>7.5999999999999993E-4</v>
      </c>
      <c r="S22" s="240">
        <v>-1.32E-3</v>
      </c>
    </row>
    <row r="23" spans="1:19">
      <c r="A23" s="215">
        <v>2015</v>
      </c>
      <c r="B23" s="205">
        <v>9</v>
      </c>
      <c r="C23" s="205">
        <v>4</v>
      </c>
      <c r="D23" s="205">
        <v>1100</v>
      </c>
      <c r="E23" s="216">
        <v>1.15E-2</v>
      </c>
      <c r="F23" s="217">
        <f t="shared" si="0"/>
        <v>2019.6666666666667</v>
      </c>
      <c r="G23" s="209">
        <f t="shared" si="1"/>
        <v>12.65</v>
      </c>
      <c r="I23" s="215">
        <v>2015</v>
      </c>
      <c r="J23" s="205">
        <v>2</v>
      </c>
      <c r="K23" s="205">
        <v>3</v>
      </c>
      <c r="L23" s="205">
        <v>200</v>
      </c>
      <c r="M23" s="216">
        <v>1.0800000000000001E-2</v>
      </c>
      <c r="N23" s="217">
        <f>I23+((J23-1)/12)+K23</f>
        <v>2018.0833333333333</v>
      </c>
      <c r="O23" s="209">
        <f>L23*M23</f>
        <v>2.16</v>
      </c>
    </row>
    <row r="24" spans="1:19" ht="16.5" thickBot="1">
      <c r="A24" s="215">
        <v>2014</v>
      </c>
      <c r="B24" s="205">
        <v>10</v>
      </c>
      <c r="C24" s="205">
        <v>5</v>
      </c>
      <c r="D24" s="205">
        <v>1400</v>
      </c>
      <c r="E24" s="216">
        <v>1.4500000000000001E-2</v>
      </c>
      <c r="F24" s="217">
        <f t="shared" si="0"/>
        <v>2019.75</v>
      </c>
      <c r="G24" s="209">
        <f t="shared" si="1"/>
        <v>20.3</v>
      </c>
      <c r="I24" s="218">
        <v>2015</v>
      </c>
      <c r="J24" s="219">
        <v>2</v>
      </c>
      <c r="K24" s="219">
        <v>3</v>
      </c>
      <c r="L24" s="219">
        <v>50</v>
      </c>
      <c r="M24" s="220">
        <f>R22+1%</f>
        <v>1.076E-2</v>
      </c>
      <c r="N24" s="245">
        <f>I24+((J24-1)/12)+K24</f>
        <v>2018.0833333333333</v>
      </c>
      <c r="O24" s="221">
        <f>L24*M24</f>
        <v>0.53800000000000003</v>
      </c>
      <c r="Q24" s="109" t="s">
        <v>229</v>
      </c>
      <c r="R24" s="109">
        <v>36.090000000000003</v>
      </c>
      <c r="S24" s="109"/>
    </row>
    <row r="25" spans="1:19">
      <c r="A25" s="215">
        <v>2015</v>
      </c>
      <c r="B25" s="205">
        <v>11</v>
      </c>
      <c r="C25" s="205">
        <v>4</v>
      </c>
      <c r="D25" s="205">
        <v>700</v>
      </c>
      <c r="E25" s="216">
        <v>1.09E-2</v>
      </c>
      <c r="F25" s="217">
        <f t="shared" si="0"/>
        <v>2019.8333333333333</v>
      </c>
      <c r="G25" s="209">
        <f t="shared" si="1"/>
        <v>7.63</v>
      </c>
      <c r="I25" s="222">
        <v>2015</v>
      </c>
      <c r="J25" s="223">
        <v>2</v>
      </c>
      <c r="K25" s="223">
        <v>3</v>
      </c>
      <c r="L25" s="478">
        <f>L23*$R$24</f>
        <v>7218.0000000000009</v>
      </c>
      <c r="M25" s="224">
        <v>1.076E-2</v>
      </c>
      <c r="N25" s="225">
        <f>I25+((J25-1)/12)+K25</f>
        <v>2018.0833333333333</v>
      </c>
      <c r="O25" s="479">
        <f>L25*M25</f>
        <v>77.665680000000009</v>
      </c>
      <c r="Q25" s="109" t="s">
        <v>766</v>
      </c>
      <c r="R25" s="109"/>
      <c r="S25" s="109"/>
    </row>
    <row r="26" spans="1:19" ht="16.5" thickBot="1">
      <c r="A26" s="206">
        <v>2016</v>
      </c>
      <c r="B26" s="207">
        <v>11</v>
      </c>
      <c r="C26" s="207">
        <v>3</v>
      </c>
      <c r="D26" s="207">
        <v>900</v>
      </c>
      <c r="E26" s="208">
        <v>7.4999999999999997E-3</v>
      </c>
      <c r="F26" s="217">
        <f t="shared" si="0"/>
        <v>2019.8333333333333</v>
      </c>
      <c r="G26" s="209">
        <f t="shared" si="1"/>
        <v>6.75</v>
      </c>
      <c r="I26" s="248">
        <v>2015</v>
      </c>
      <c r="J26" s="474">
        <v>2</v>
      </c>
      <c r="K26" s="474">
        <v>3</v>
      </c>
      <c r="L26" s="480">
        <f>L24*$R$24</f>
        <v>1804.5000000000002</v>
      </c>
      <c r="M26" s="475">
        <f>R22+1%</f>
        <v>1.076E-2</v>
      </c>
      <c r="N26" s="476">
        <f>I26+((J26-1)/12)+K26</f>
        <v>2018.0833333333333</v>
      </c>
      <c r="O26" s="481">
        <f>L26*M26</f>
        <v>19.416420000000002</v>
      </c>
      <c r="Q26" s="109"/>
      <c r="R26" s="109"/>
      <c r="S26" s="109"/>
    </row>
    <row r="27" spans="1:19">
      <c r="A27" s="215">
        <v>2013</v>
      </c>
      <c r="B27" s="205">
        <v>1</v>
      </c>
      <c r="C27" s="205">
        <v>7</v>
      </c>
      <c r="D27" s="205">
        <v>3600</v>
      </c>
      <c r="E27" s="216">
        <v>1.4500000000000001E-2</v>
      </c>
      <c r="F27" s="217">
        <f t="shared" si="0"/>
        <v>2020</v>
      </c>
      <c r="G27" s="209">
        <f t="shared" si="1"/>
        <v>52.2</v>
      </c>
      <c r="L27" s="238"/>
    </row>
    <row r="28" spans="1:19" ht="16.5" thickBot="1">
      <c r="A28" s="215">
        <v>2015</v>
      </c>
      <c r="B28" s="205">
        <v>1</v>
      </c>
      <c r="C28" s="205">
        <v>5</v>
      </c>
      <c r="D28" s="205">
        <v>1600</v>
      </c>
      <c r="E28" s="216">
        <v>1.4500000000000001E-2</v>
      </c>
      <c r="F28" s="217">
        <f t="shared" si="0"/>
        <v>2020</v>
      </c>
      <c r="G28" s="209">
        <f t="shared" si="1"/>
        <v>23.200000000000003</v>
      </c>
    </row>
    <row r="29" spans="1:19">
      <c r="A29" s="215">
        <v>2015</v>
      </c>
      <c r="B29" s="205">
        <v>4</v>
      </c>
      <c r="C29" s="205">
        <v>5</v>
      </c>
      <c r="D29" s="205">
        <v>2300</v>
      </c>
      <c r="E29" s="216">
        <v>1.44E-2</v>
      </c>
      <c r="F29" s="217">
        <f t="shared" si="0"/>
        <v>2020.25</v>
      </c>
      <c r="G29" s="209">
        <f t="shared" si="1"/>
        <v>33.119999999999997</v>
      </c>
      <c r="I29" s="191" t="s">
        <v>267</v>
      </c>
      <c r="J29" s="192" t="s">
        <v>268</v>
      </c>
      <c r="K29" s="192"/>
      <c r="L29" s="192"/>
      <c r="M29" s="193"/>
      <c r="N29" s="192"/>
      <c r="O29" s="192"/>
      <c r="P29" s="192"/>
      <c r="Q29" s="194"/>
    </row>
    <row r="30" spans="1:19">
      <c r="A30" s="206">
        <v>2017</v>
      </c>
      <c r="B30" s="207">
        <v>5</v>
      </c>
      <c r="C30" s="207">
        <v>3</v>
      </c>
      <c r="D30" s="207">
        <v>3200</v>
      </c>
      <c r="E30" s="208">
        <v>9.4999999999999998E-3</v>
      </c>
      <c r="F30" s="217">
        <f t="shared" si="0"/>
        <v>2020.3333333333333</v>
      </c>
      <c r="G30" s="209">
        <f t="shared" si="1"/>
        <v>30.4</v>
      </c>
      <c r="I30" s="195" t="s">
        <v>215</v>
      </c>
      <c r="J30" s="180" t="s">
        <v>216</v>
      </c>
      <c r="K30" s="180" t="s">
        <v>208</v>
      </c>
      <c r="L30" s="205" t="s">
        <v>269</v>
      </c>
      <c r="M30" s="180" t="s">
        <v>209</v>
      </c>
      <c r="N30" s="196" t="s">
        <v>271</v>
      </c>
      <c r="O30" s="180" t="s">
        <v>211</v>
      </c>
      <c r="P30" s="205" t="s">
        <v>270</v>
      </c>
      <c r="Q30" s="197" t="s">
        <v>212</v>
      </c>
    </row>
    <row r="31" spans="1:19" ht="16.5" thickBot="1">
      <c r="A31" s="215">
        <v>2015</v>
      </c>
      <c r="B31" s="205">
        <v>6</v>
      </c>
      <c r="C31" s="205">
        <v>5</v>
      </c>
      <c r="D31" s="205">
        <v>2200</v>
      </c>
      <c r="E31" s="216">
        <v>1.3899999999999999E-2</v>
      </c>
      <c r="F31" s="217">
        <f t="shared" si="0"/>
        <v>2020.4166666666667</v>
      </c>
      <c r="G31" s="209">
        <f t="shared" si="1"/>
        <v>30.58</v>
      </c>
      <c r="I31" s="218">
        <v>2017</v>
      </c>
      <c r="J31" s="219">
        <v>11</v>
      </c>
      <c r="K31" s="219">
        <v>5</v>
      </c>
      <c r="L31" s="219">
        <v>3</v>
      </c>
      <c r="M31" s="219">
        <v>500</v>
      </c>
      <c r="N31" s="220">
        <v>0</v>
      </c>
      <c r="O31" s="245">
        <f>I31+((J31-1)/12)+K31</f>
        <v>2022.8333333333333</v>
      </c>
      <c r="P31" s="202">
        <f>I31+L31</f>
        <v>2020</v>
      </c>
      <c r="Q31" s="221">
        <f>M31*N31</f>
        <v>0</v>
      </c>
    </row>
    <row r="32" spans="1:19" ht="16.5" thickBot="1">
      <c r="A32" s="206">
        <v>2016</v>
      </c>
      <c r="B32" s="207">
        <v>8</v>
      </c>
      <c r="C32" s="207">
        <v>4</v>
      </c>
      <c r="D32" s="207">
        <v>100</v>
      </c>
      <c r="E32" s="208">
        <v>6.4999999999999997E-3</v>
      </c>
      <c r="F32" s="217">
        <f t="shared" si="0"/>
        <v>2020.5833333333333</v>
      </c>
      <c r="G32" s="209">
        <f t="shared" si="1"/>
        <v>0.65</v>
      </c>
      <c r="I32" s="248">
        <v>2017</v>
      </c>
      <c r="J32" s="474">
        <v>11</v>
      </c>
      <c r="K32" s="474">
        <v>5</v>
      </c>
      <c r="L32" s="474">
        <v>3</v>
      </c>
      <c r="M32" s="556">
        <f>M31*$R$1</f>
        <v>15385.5</v>
      </c>
      <c r="N32" s="475">
        <v>0</v>
      </c>
      <c r="O32" s="476">
        <f>I32+((J32-1)/12)+K32</f>
        <v>2022.8333333333333</v>
      </c>
      <c r="P32" s="474">
        <f>I32+L32</f>
        <v>2020</v>
      </c>
      <c r="Q32" s="481">
        <f>M32*N32</f>
        <v>0</v>
      </c>
    </row>
    <row r="33" spans="1:22">
      <c r="A33" s="206">
        <v>2017</v>
      </c>
      <c r="B33" s="207">
        <v>8</v>
      </c>
      <c r="C33" s="207">
        <v>3</v>
      </c>
      <c r="D33" s="207">
        <v>1800</v>
      </c>
      <c r="E33" s="208">
        <v>8.9999999999999993E-3</v>
      </c>
      <c r="F33" s="217">
        <f t="shared" si="0"/>
        <v>2020.5833333333333</v>
      </c>
      <c r="G33" s="209">
        <f t="shared" si="1"/>
        <v>16.2</v>
      </c>
    </row>
    <row r="34" spans="1:22" ht="16.5" thickBot="1">
      <c r="A34" s="215">
        <v>2015</v>
      </c>
      <c r="B34" s="205">
        <v>9</v>
      </c>
      <c r="C34" s="205">
        <v>5</v>
      </c>
      <c r="D34" s="205">
        <v>2800</v>
      </c>
      <c r="E34" s="216">
        <v>1.2500000000000001E-2</v>
      </c>
      <c r="F34" s="217">
        <f t="shared" si="0"/>
        <v>2020.6666666666667</v>
      </c>
      <c r="G34" s="209">
        <f t="shared" si="1"/>
        <v>35</v>
      </c>
    </row>
    <row r="35" spans="1:22">
      <c r="A35" s="215">
        <v>2015</v>
      </c>
      <c r="B35" s="205">
        <v>11</v>
      </c>
      <c r="C35" s="205">
        <v>5</v>
      </c>
      <c r="D35" s="205">
        <v>3900</v>
      </c>
      <c r="E35" s="216">
        <v>1.2E-2</v>
      </c>
      <c r="F35" s="217">
        <f t="shared" ref="F35:F66" si="3">A35+((B35-1)/12)+C35</f>
        <v>2020.8333333333333</v>
      </c>
      <c r="G35" s="209">
        <f t="shared" ref="G35:G66" si="4">E35*D35</f>
        <v>46.800000000000004</v>
      </c>
      <c r="I35" s="191" t="s">
        <v>740</v>
      </c>
      <c r="J35" s="192" t="s">
        <v>757</v>
      </c>
      <c r="K35" s="192"/>
      <c r="L35" s="192"/>
      <c r="M35" s="193"/>
      <c r="N35" s="192"/>
      <c r="O35" s="192"/>
      <c r="P35" s="192"/>
      <c r="Q35" s="194"/>
    </row>
    <row r="36" spans="1:22">
      <c r="A36" s="206">
        <v>2017</v>
      </c>
      <c r="B36" s="207">
        <v>11</v>
      </c>
      <c r="C36" s="207">
        <v>3</v>
      </c>
      <c r="D36" s="207">
        <v>3100</v>
      </c>
      <c r="E36" s="208">
        <v>8.3999999999999995E-3</v>
      </c>
      <c r="F36" s="217">
        <f t="shared" si="3"/>
        <v>2020.8333333333333</v>
      </c>
      <c r="G36" s="209">
        <f t="shared" si="4"/>
        <v>26.04</v>
      </c>
      <c r="I36" s="195" t="s">
        <v>215</v>
      </c>
      <c r="J36" s="180" t="s">
        <v>216</v>
      </c>
      <c r="K36" s="180" t="s">
        <v>208</v>
      </c>
      <c r="L36" s="205" t="s">
        <v>269</v>
      </c>
      <c r="M36" s="180" t="s">
        <v>209</v>
      </c>
      <c r="N36" s="196" t="s">
        <v>271</v>
      </c>
      <c r="O36" s="180" t="s">
        <v>211</v>
      </c>
      <c r="P36" s="205" t="s">
        <v>270</v>
      </c>
      <c r="Q36" s="197" t="s">
        <v>212</v>
      </c>
    </row>
    <row r="37" spans="1:22" ht="16.5" thickBot="1">
      <c r="A37" s="215">
        <v>2013</v>
      </c>
      <c r="B37" s="205">
        <v>12</v>
      </c>
      <c r="C37" s="205">
        <v>7</v>
      </c>
      <c r="D37" s="205">
        <v>2200</v>
      </c>
      <c r="E37" s="216">
        <v>1.8499999999999999E-2</v>
      </c>
      <c r="F37" s="217">
        <f t="shared" si="3"/>
        <v>2020.9166666666667</v>
      </c>
      <c r="G37" s="209">
        <f t="shared" si="4"/>
        <v>40.699999999999996</v>
      </c>
      <c r="I37" s="218">
        <v>2018</v>
      </c>
      <c r="J37" s="219">
        <v>2</v>
      </c>
      <c r="K37" s="219">
        <v>5</v>
      </c>
      <c r="L37" s="219">
        <v>3</v>
      </c>
      <c r="M37" s="219">
        <v>1500</v>
      </c>
      <c r="N37" s="220">
        <v>0</v>
      </c>
      <c r="O37" s="245">
        <f>I37+((J37-1)/12)+K37</f>
        <v>2023.0833333333333</v>
      </c>
      <c r="P37" s="202">
        <f>I37+L37</f>
        <v>2021</v>
      </c>
      <c r="Q37" s="221">
        <f>M37*N37</f>
        <v>0</v>
      </c>
    </row>
    <row r="38" spans="1:22">
      <c r="A38" s="206">
        <v>2016</v>
      </c>
      <c r="B38" s="207">
        <v>6</v>
      </c>
      <c r="C38" s="207">
        <v>4.5</v>
      </c>
      <c r="D38" s="207">
        <v>300</v>
      </c>
      <c r="E38" s="208">
        <v>7.4999999999999997E-3</v>
      </c>
      <c r="F38" s="217">
        <f t="shared" si="3"/>
        <v>2020.9166666666667</v>
      </c>
      <c r="G38" s="209">
        <f t="shared" si="4"/>
        <v>2.25</v>
      </c>
    </row>
    <row r="39" spans="1:22">
      <c r="A39" s="215">
        <v>2014</v>
      </c>
      <c r="B39" s="205">
        <v>3</v>
      </c>
      <c r="C39" s="205">
        <v>7</v>
      </c>
      <c r="D39" s="205">
        <v>350</v>
      </c>
      <c r="E39" s="216">
        <v>1.7500000000000002E-2</v>
      </c>
      <c r="F39" s="217">
        <f t="shared" si="3"/>
        <v>2021.1666666666667</v>
      </c>
      <c r="G39" s="209">
        <f t="shared" si="4"/>
        <v>6.1250000000000009</v>
      </c>
    </row>
    <row r="40" spans="1:22">
      <c r="A40" s="215">
        <v>2015</v>
      </c>
      <c r="B40" s="205">
        <v>9</v>
      </c>
      <c r="C40" s="205">
        <v>5.5</v>
      </c>
      <c r="D40" s="205">
        <v>200</v>
      </c>
      <c r="E40" s="216">
        <v>1.2699999999999999E-2</v>
      </c>
      <c r="F40" s="217">
        <f t="shared" si="3"/>
        <v>2021.1666666666667</v>
      </c>
      <c r="G40" s="209">
        <f t="shared" si="4"/>
        <v>2.54</v>
      </c>
    </row>
    <row r="41" spans="1:22">
      <c r="A41" s="215">
        <v>2014</v>
      </c>
      <c r="B41" s="205">
        <v>5</v>
      </c>
      <c r="C41" s="205">
        <v>7</v>
      </c>
      <c r="D41" s="205">
        <v>3350</v>
      </c>
      <c r="E41" s="216">
        <v>1.7000000000000001E-2</v>
      </c>
      <c r="F41" s="217">
        <f t="shared" si="3"/>
        <v>2021.3333333333333</v>
      </c>
      <c r="G41" s="209">
        <f t="shared" si="4"/>
        <v>56.95</v>
      </c>
    </row>
    <row r="42" spans="1:22">
      <c r="A42" s="215">
        <v>2011</v>
      </c>
      <c r="B42" s="205">
        <v>6</v>
      </c>
      <c r="C42" s="205">
        <v>10</v>
      </c>
      <c r="D42" s="205">
        <v>1400</v>
      </c>
      <c r="E42" s="216">
        <v>1.8200000000000001E-2</v>
      </c>
      <c r="F42" s="217">
        <f t="shared" si="3"/>
        <v>2021.4166666666667</v>
      </c>
      <c r="G42" s="209">
        <f t="shared" si="4"/>
        <v>25.48</v>
      </c>
      <c r="U42" s="553" t="s">
        <v>527</v>
      </c>
      <c r="V42" s="554">
        <f>D82</f>
        <v>139600</v>
      </c>
    </row>
    <row r="43" spans="1:22" ht="16.5" thickBot="1">
      <c r="A43" s="215">
        <v>2015</v>
      </c>
      <c r="B43" s="205">
        <v>6</v>
      </c>
      <c r="C43" s="205">
        <v>6</v>
      </c>
      <c r="D43" s="205">
        <v>400</v>
      </c>
      <c r="E43" s="216">
        <v>1.55E-2</v>
      </c>
      <c r="F43" s="217">
        <f t="shared" si="3"/>
        <v>2021.4166666666667</v>
      </c>
      <c r="G43" s="209">
        <f t="shared" si="4"/>
        <v>6.2</v>
      </c>
      <c r="U43" s="553" t="s">
        <v>528</v>
      </c>
      <c r="V43" s="554">
        <f>L5+L6</f>
        <v>30771</v>
      </c>
    </row>
    <row r="44" spans="1:22">
      <c r="A44" s="206">
        <v>2016</v>
      </c>
      <c r="B44" s="207">
        <v>6</v>
      </c>
      <c r="C44" s="207">
        <v>5</v>
      </c>
      <c r="D44" s="207">
        <v>2100</v>
      </c>
      <c r="E44" s="208">
        <v>8.0000000000000002E-3</v>
      </c>
      <c r="F44" s="217">
        <f t="shared" si="3"/>
        <v>2021.4166666666667</v>
      </c>
      <c r="G44" s="209">
        <f t="shared" si="4"/>
        <v>16.8</v>
      </c>
      <c r="I44" s="241" t="s">
        <v>222</v>
      </c>
      <c r="J44" s="243">
        <v>2018</v>
      </c>
      <c r="K44" s="243">
        <v>2019</v>
      </c>
      <c r="L44" s="242">
        <v>2020</v>
      </c>
      <c r="M44" s="243">
        <v>2021</v>
      </c>
      <c r="N44" s="243">
        <v>2022</v>
      </c>
      <c r="O44" s="243">
        <v>2023</v>
      </c>
      <c r="P44" s="243">
        <v>2024</v>
      </c>
      <c r="Q44" s="243">
        <v>2025</v>
      </c>
      <c r="R44" s="244">
        <v>2026</v>
      </c>
      <c r="U44" s="553" t="s">
        <v>529</v>
      </c>
      <c r="V44" s="554">
        <f>M32</f>
        <v>15385.5</v>
      </c>
    </row>
    <row r="45" spans="1:22">
      <c r="A45" s="206">
        <v>2016</v>
      </c>
      <c r="B45" s="207">
        <v>8</v>
      </c>
      <c r="C45" s="207">
        <v>4.9000000000000004</v>
      </c>
      <c r="D45" s="207">
        <v>500</v>
      </c>
      <c r="E45" s="208">
        <v>7.0000000000000001E-3</v>
      </c>
      <c r="F45" s="217">
        <f t="shared" si="3"/>
        <v>2021.4833333333333</v>
      </c>
      <c r="G45" s="209">
        <f t="shared" si="4"/>
        <v>3.5</v>
      </c>
      <c r="I45" s="222" t="s">
        <v>522</v>
      </c>
      <c r="J45" s="678">
        <f>SUM(D15:D26)</f>
        <v>11000</v>
      </c>
      <c r="K45" s="678">
        <f>SUM(D27:D38)</f>
        <v>27100</v>
      </c>
      <c r="L45" s="678">
        <f>SUM(D39:D52)+M37</f>
        <v>23500</v>
      </c>
      <c r="M45" s="678">
        <f>SUM(D53:D62)</f>
        <v>21550</v>
      </c>
      <c r="N45" s="678">
        <f>SUM(D63:D65)</f>
        <v>4900</v>
      </c>
      <c r="O45" s="678">
        <f>SUM(D66:D72)</f>
        <v>19750</v>
      </c>
      <c r="P45" s="678">
        <f>SUM(D73:D74)</f>
        <v>600</v>
      </c>
      <c r="Q45" s="223">
        <f>SUM(D75:D76)</f>
        <v>2000</v>
      </c>
      <c r="R45" s="226">
        <f>SUM(D77:D81)</f>
        <v>2600</v>
      </c>
      <c r="U45" s="553" t="s">
        <v>530</v>
      </c>
      <c r="V45" s="554">
        <f>L18</f>
        <v>13875.000000000002</v>
      </c>
    </row>
    <row r="46" spans="1:22">
      <c r="A46" s="215">
        <v>2014</v>
      </c>
      <c r="B46" s="205">
        <v>7</v>
      </c>
      <c r="C46" s="205">
        <v>7</v>
      </c>
      <c r="D46" s="205">
        <v>6000</v>
      </c>
      <c r="E46" s="216">
        <v>1.7000000000000001E-2</v>
      </c>
      <c r="F46" s="217">
        <f t="shared" si="3"/>
        <v>2021.5</v>
      </c>
      <c r="G46" s="209">
        <f t="shared" si="4"/>
        <v>102.00000000000001</v>
      </c>
      <c r="I46" s="222" t="s">
        <v>523</v>
      </c>
      <c r="J46" s="678"/>
      <c r="K46" s="678">
        <f>M32</f>
        <v>15385.5</v>
      </c>
      <c r="L46" s="678">
        <f>L5</f>
        <v>18462.600000000002</v>
      </c>
      <c r="M46" s="679"/>
      <c r="N46" s="678"/>
      <c r="O46" s="678"/>
      <c r="P46" s="678"/>
      <c r="Q46" s="223">
        <f>L6</f>
        <v>12308.4</v>
      </c>
      <c r="R46" s="226"/>
      <c r="U46" s="553" t="s">
        <v>531</v>
      </c>
      <c r="V46" s="554">
        <f>L25+L26</f>
        <v>9022.5000000000018</v>
      </c>
    </row>
    <row r="47" spans="1:22">
      <c r="A47" s="206">
        <v>2016</v>
      </c>
      <c r="B47" s="207">
        <v>8</v>
      </c>
      <c r="C47" s="207">
        <v>5</v>
      </c>
      <c r="D47" s="207">
        <v>2300</v>
      </c>
      <c r="E47" s="208">
        <v>7.3000000000000001E-3</v>
      </c>
      <c r="F47" s="217">
        <f t="shared" si="3"/>
        <v>2021.5833333333333</v>
      </c>
      <c r="G47" s="209">
        <f t="shared" si="4"/>
        <v>16.79</v>
      </c>
      <c r="I47" s="222" t="s">
        <v>524</v>
      </c>
      <c r="J47" s="678"/>
      <c r="K47" s="678">
        <f>L15</f>
        <v>11516.250000000002</v>
      </c>
      <c r="L47" s="678"/>
      <c r="M47" s="678">
        <f>L16</f>
        <v>1665.0000000000002</v>
      </c>
      <c r="N47" s="678"/>
      <c r="O47" s="678">
        <f>L17</f>
        <v>693.75000000000011</v>
      </c>
      <c r="P47" s="678"/>
      <c r="Q47" s="223"/>
      <c r="R47" s="226"/>
      <c r="U47" s="553" t="s">
        <v>532</v>
      </c>
      <c r="V47" s="554">
        <f>SUM(V42:V46)</f>
        <v>208654</v>
      </c>
    </row>
    <row r="48" spans="1:22">
      <c r="A48" s="206">
        <v>2017</v>
      </c>
      <c r="B48" s="207">
        <v>8</v>
      </c>
      <c r="C48" s="207">
        <v>4</v>
      </c>
      <c r="D48" s="207">
        <v>800</v>
      </c>
      <c r="E48" s="208">
        <v>9.7999999999999997E-3</v>
      </c>
      <c r="F48" s="217">
        <f t="shared" si="3"/>
        <v>2021.5833333333333</v>
      </c>
      <c r="G48" s="209">
        <f t="shared" si="4"/>
        <v>7.84</v>
      </c>
      <c r="I48" s="222" t="s">
        <v>525</v>
      </c>
      <c r="J48" s="678"/>
      <c r="K48" s="678"/>
      <c r="L48" s="678"/>
      <c r="M48" s="678"/>
      <c r="N48" s="678"/>
      <c r="O48" s="678"/>
      <c r="P48" s="678"/>
      <c r="Q48" s="223"/>
      <c r="R48" s="226"/>
      <c r="U48" s="553" t="s">
        <v>533</v>
      </c>
      <c r="V48" s="554">
        <f>SUM(D3:D14)+L25+L26</f>
        <v>37122.5</v>
      </c>
    </row>
    <row r="49" spans="1:22" ht="16.5" thickBot="1">
      <c r="A49" s="215">
        <v>2015</v>
      </c>
      <c r="B49" s="205">
        <v>9</v>
      </c>
      <c r="C49" s="205">
        <v>6</v>
      </c>
      <c r="D49" s="205">
        <v>400</v>
      </c>
      <c r="E49" s="216">
        <v>1.3299999999999999E-2</v>
      </c>
      <c r="F49" s="217">
        <f t="shared" si="3"/>
        <v>2021.6666666666667</v>
      </c>
      <c r="G49" s="209">
        <f t="shared" si="4"/>
        <v>5.3199999999999994</v>
      </c>
      <c r="I49" s="482" t="s">
        <v>526</v>
      </c>
      <c r="J49" s="680">
        <f t="shared" ref="J49:R49" si="5">SUM(J45:J48)</f>
        <v>11000</v>
      </c>
      <c r="K49" s="680">
        <f t="shared" si="5"/>
        <v>54001.75</v>
      </c>
      <c r="L49" s="680">
        <f t="shared" si="5"/>
        <v>41962.600000000006</v>
      </c>
      <c r="M49" s="680">
        <f t="shared" si="5"/>
        <v>23215</v>
      </c>
      <c r="N49" s="680">
        <f t="shared" si="5"/>
        <v>4900</v>
      </c>
      <c r="O49" s="680">
        <f t="shared" si="5"/>
        <v>20443.75</v>
      </c>
      <c r="P49" s="680">
        <f t="shared" si="5"/>
        <v>600</v>
      </c>
      <c r="Q49" s="483">
        <f t="shared" si="5"/>
        <v>14308.4</v>
      </c>
      <c r="R49" s="484">
        <f t="shared" si="5"/>
        <v>2600</v>
      </c>
      <c r="V49" s="555">
        <f>SUM(J49:R49)</f>
        <v>173031.5</v>
      </c>
    </row>
    <row r="50" spans="1:22" ht="16.5" thickBot="1">
      <c r="A50" s="215">
        <v>2014</v>
      </c>
      <c r="B50" s="205">
        <v>10</v>
      </c>
      <c r="C50" s="205">
        <v>7</v>
      </c>
      <c r="D50" s="205">
        <v>3200</v>
      </c>
      <c r="E50" s="216">
        <v>1.7999999999999999E-2</v>
      </c>
      <c r="F50" s="217">
        <f t="shared" si="3"/>
        <v>2021.75</v>
      </c>
      <c r="G50" s="209">
        <f t="shared" si="4"/>
        <v>57.599999999999994</v>
      </c>
      <c r="I50" s="180"/>
      <c r="J50" s="196"/>
      <c r="K50" s="180"/>
      <c r="L50" s="180"/>
      <c r="M50" s="180"/>
      <c r="N50" s="180"/>
      <c r="O50" s="180"/>
      <c r="P50" s="180"/>
    </row>
    <row r="51" spans="1:22">
      <c r="A51" s="215">
        <v>2015</v>
      </c>
      <c r="B51" s="205">
        <v>11</v>
      </c>
      <c r="C51" s="205">
        <v>6</v>
      </c>
      <c r="D51" s="205">
        <v>100</v>
      </c>
      <c r="E51" s="216">
        <v>1.2800000000000001E-2</v>
      </c>
      <c r="F51" s="217">
        <f t="shared" si="3"/>
        <v>2021.8333333333333</v>
      </c>
      <c r="G51" s="209">
        <f t="shared" si="4"/>
        <v>1.28</v>
      </c>
      <c r="I51" s="681" t="s">
        <v>227</v>
      </c>
      <c r="J51" s="682">
        <v>2018</v>
      </c>
      <c r="K51" s="682">
        <v>2019</v>
      </c>
      <c r="L51" s="683">
        <v>2020</v>
      </c>
      <c r="M51" s="682">
        <v>2021</v>
      </c>
      <c r="N51" s="682">
        <v>2022</v>
      </c>
      <c r="O51" s="684">
        <v>2023</v>
      </c>
    </row>
    <row r="52" spans="1:22">
      <c r="A52" s="206">
        <v>2016</v>
      </c>
      <c r="B52" s="207">
        <v>11</v>
      </c>
      <c r="C52" s="207">
        <v>5</v>
      </c>
      <c r="D52" s="207">
        <v>900</v>
      </c>
      <c r="E52" s="208">
        <v>8.3000000000000001E-3</v>
      </c>
      <c r="F52" s="217">
        <f t="shared" si="3"/>
        <v>2021.8333333333333</v>
      </c>
      <c r="G52" s="209">
        <f t="shared" si="4"/>
        <v>7.47</v>
      </c>
      <c r="I52" s="685" t="s">
        <v>223</v>
      </c>
      <c r="J52" s="687">
        <f>SUM(D15:D81)+M37</f>
        <v>113000</v>
      </c>
      <c r="K52" s="687"/>
      <c r="L52" s="687"/>
      <c r="M52" s="687"/>
      <c r="N52" s="687"/>
      <c r="O52" s="688"/>
    </row>
    <row r="53" spans="1:22">
      <c r="A53" s="215">
        <v>2015</v>
      </c>
      <c r="B53" s="205">
        <v>1</v>
      </c>
      <c r="C53" s="205">
        <v>7</v>
      </c>
      <c r="D53" s="205">
        <v>2800</v>
      </c>
      <c r="E53" s="216">
        <v>1.7999999999999999E-2</v>
      </c>
      <c r="F53" s="217">
        <f t="shared" si="3"/>
        <v>2022</v>
      </c>
      <c r="G53" s="209">
        <f t="shared" si="4"/>
        <v>50.4</v>
      </c>
      <c r="I53" s="685" t="s">
        <v>224</v>
      </c>
      <c r="J53" s="687">
        <f>L5+L6</f>
        <v>30771</v>
      </c>
      <c r="K53" s="687"/>
      <c r="L53" s="687"/>
      <c r="M53" s="687"/>
      <c r="N53" s="687"/>
      <c r="O53" s="688"/>
    </row>
    <row r="54" spans="1:22">
      <c r="A54" s="215">
        <v>2015</v>
      </c>
      <c r="B54" s="205">
        <v>4</v>
      </c>
      <c r="C54" s="205">
        <v>7</v>
      </c>
      <c r="D54" s="205">
        <v>1000</v>
      </c>
      <c r="E54" s="216">
        <v>1.7500000000000002E-2</v>
      </c>
      <c r="F54" s="217">
        <f t="shared" si="3"/>
        <v>2022.25</v>
      </c>
      <c r="G54" s="209">
        <f t="shared" si="4"/>
        <v>17.5</v>
      </c>
      <c r="I54" s="685" t="s">
        <v>225</v>
      </c>
      <c r="J54" s="687">
        <f>L18</f>
        <v>13875.000000000002</v>
      </c>
      <c r="K54" s="687"/>
      <c r="L54" s="687"/>
      <c r="M54" s="687"/>
      <c r="N54" s="687"/>
      <c r="O54" s="688"/>
    </row>
    <row r="55" spans="1:22">
      <c r="A55" s="206">
        <v>2017</v>
      </c>
      <c r="B55" s="207">
        <v>5</v>
      </c>
      <c r="C55" s="207">
        <v>5</v>
      </c>
      <c r="D55" s="207">
        <v>4000</v>
      </c>
      <c r="E55" s="208">
        <v>1.12E-2</v>
      </c>
      <c r="F55" s="217">
        <f t="shared" si="3"/>
        <v>2022.3333333333333</v>
      </c>
      <c r="G55" s="209">
        <f t="shared" si="4"/>
        <v>44.8</v>
      </c>
      <c r="I55" s="685" t="s">
        <v>226</v>
      </c>
      <c r="J55" s="687">
        <f>L25+L26</f>
        <v>9022.5000000000018</v>
      </c>
      <c r="K55" s="687"/>
      <c r="L55" s="687"/>
      <c r="M55" s="687"/>
      <c r="N55" s="687"/>
      <c r="O55" s="688"/>
    </row>
    <row r="56" spans="1:22" ht="16.5" thickBot="1">
      <c r="A56" s="215">
        <v>2015</v>
      </c>
      <c r="B56" s="205">
        <v>6</v>
      </c>
      <c r="C56" s="205">
        <v>7</v>
      </c>
      <c r="D56" s="205">
        <v>2300</v>
      </c>
      <c r="E56" s="216">
        <v>1.7000000000000001E-2</v>
      </c>
      <c r="F56" s="217">
        <f t="shared" si="3"/>
        <v>2022.4166666666667</v>
      </c>
      <c r="G56" s="209">
        <f t="shared" si="4"/>
        <v>39.1</v>
      </c>
      <c r="I56" s="686" t="s">
        <v>351</v>
      </c>
      <c r="J56" s="689">
        <f>SUM(J52:J55)</f>
        <v>166668.5</v>
      </c>
      <c r="K56" s="689">
        <f>J56-J49</f>
        <v>155668.5</v>
      </c>
      <c r="L56" s="689">
        <f>K56-K49</f>
        <v>101666.75</v>
      </c>
      <c r="M56" s="689">
        <f>L56-L49</f>
        <v>59704.149999999994</v>
      </c>
      <c r="N56" s="689">
        <f>M56-M49</f>
        <v>36489.149999999994</v>
      </c>
      <c r="O56" s="690">
        <f>N56-N49</f>
        <v>31589.149999999994</v>
      </c>
    </row>
    <row r="57" spans="1:22" ht="16.5" thickBot="1">
      <c r="A57" s="206">
        <v>2016</v>
      </c>
      <c r="B57" s="207">
        <v>6</v>
      </c>
      <c r="C57" s="207">
        <v>6</v>
      </c>
      <c r="D57" s="207">
        <v>1300</v>
      </c>
      <c r="E57" s="208">
        <v>8.8000000000000005E-3</v>
      </c>
      <c r="F57" s="217">
        <f t="shared" si="3"/>
        <v>2022.4166666666667</v>
      </c>
      <c r="G57" s="209">
        <f t="shared" si="4"/>
        <v>11.440000000000001</v>
      </c>
      <c r="I57" s="180"/>
      <c r="J57" s="196"/>
      <c r="K57" s="180"/>
      <c r="L57" s="180"/>
      <c r="M57" s="180"/>
      <c r="N57" s="180"/>
      <c r="O57" s="180"/>
    </row>
    <row r="58" spans="1:22">
      <c r="A58" s="206">
        <v>2016</v>
      </c>
      <c r="B58" s="207">
        <v>8</v>
      </c>
      <c r="C58" s="207">
        <v>6</v>
      </c>
      <c r="D58" s="207">
        <v>1700</v>
      </c>
      <c r="E58" s="208">
        <v>8.3000000000000001E-3</v>
      </c>
      <c r="F58" s="217">
        <f t="shared" si="3"/>
        <v>2022.5833333333333</v>
      </c>
      <c r="G58" s="209">
        <f t="shared" si="4"/>
        <v>14.11</v>
      </c>
      <c r="I58" s="191" t="s">
        <v>245</v>
      </c>
      <c r="J58" s="212">
        <v>2018</v>
      </c>
      <c r="K58" s="212">
        <v>2019</v>
      </c>
      <c r="L58" s="442">
        <v>2020</v>
      </c>
      <c r="M58" s="212">
        <v>2021</v>
      </c>
      <c r="N58" s="212">
        <v>2022</v>
      </c>
      <c r="O58" s="214">
        <v>2023</v>
      </c>
    </row>
    <row r="59" spans="1:22" ht="16.5" thickBot="1">
      <c r="A59" s="206">
        <v>2017</v>
      </c>
      <c r="B59" s="207">
        <v>8</v>
      </c>
      <c r="C59" s="207">
        <v>5</v>
      </c>
      <c r="D59" s="207">
        <v>3100</v>
      </c>
      <c r="E59" s="208">
        <v>1.04E-2</v>
      </c>
      <c r="F59" s="217">
        <f t="shared" si="3"/>
        <v>2022.5833333333333</v>
      </c>
      <c r="G59" s="209">
        <f t="shared" si="4"/>
        <v>32.24</v>
      </c>
      <c r="I59" s="482" t="s">
        <v>352</v>
      </c>
      <c r="J59" s="485">
        <f t="shared" ref="J59:O59" si="6">J56-J49</f>
        <v>155668.5</v>
      </c>
      <c r="K59" s="485">
        <f t="shared" si="6"/>
        <v>101666.75</v>
      </c>
      <c r="L59" s="485">
        <f t="shared" si="6"/>
        <v>59704.149999999994</v>
      </c>
      <c r="M59" s="485">
        <f t="shared" si="6"/>
        <v>36489.149999999994</v>
      </c>
      <c r="N59" s="485">
        <f t="shared" si="6"/>
        <v>31589.149999999994</v>
      </c>
      <c r="O59" s="486">
        <f t="shared" si="6"/>
        <v>11145.399999999994</v>
      </c>
    </row>
    <row r="60" spans="1:22">
      <c r="A60" s="215">
        <v>2015</v>
      </c>
      <c r="B60" s="205">
        <v>9</v>
      </c>
      <c r="C60" s="205">
        <v>7</v>
      </c>
      <c r="D60" s="205">
        <v>1000</v>
      </c>
      <c r="E60" s="216">
        <v>1.4500000000000001E-2</v>
      </c>
      <c r="F60" s="217">
        <f t="shared" si="3"/>
        <v>2022.6666666666667</v>
      </c>
      <c r="G60" s="209">
        <f t="shared" si="4"/>
        <v>14.5</v>
      </c>
      <c r="J60" s="448"/>
      <c r="K60" s="448"/>
      <c r="L60" s="448"/>
      <c r="M60" s="448"/>
      <c r="N60" s="448"/>
      <c r="O60" s="448"/>
    </row>
    <row r="61" spans="1:22">
      <c r="A61" s="215">
        <v>2015</v>
      </c>
      <c r="B61" s="205">
        <v>11</v>
      </c>
      <c r="C61" s="205">
        <v>7</v>
      </c>
      <c r="D61" s="205">
        <v>1400</v>
      </c>
      <c r="E61" s="216">
        <v>1.4E-2</v>
      </c>
      <c r="F61" s="217">
        <f t="shared" si="3"/>
        <v>2022.8333333333333</v>
      </c>
      <c r="G61" s="209">
        <f t="shared" si="4"/>
        <v>19.600000000000001</v>
      </c>
    </row>
    <row r="62" spans="1:22" ht="16.5" thickBot="1">
      <c r="A62" s="206">
        <v>2017</v>
      </c>
      <c r="B62" s="207">
        <v>11</v>
      </c>
      <c r="C62" s="207">
        <v>5</v>
      </c>
      <c r="D62" s="207">
        <v>2950</v>
      </c>
      <c r="E62" s="208">
        <v>0.01</v>
      </c>
      <c r="F62" s="217">
        <f t="shared" si="3"/>
        <v>2022.8333333333333</v>
      </c>
      <c r="G62" s="209">
        <f t="shared" si="4"/>
        <v>29.5</v>
      </c>
      <c r="I62" t="s">
        <v>534</v>
      </c>
    </row>
    <row r="63" spans="1:22">
      <c r="A63" s="206">
        <v>2016</v>
      </c>
      <c r="B63" s="207">
        <v>6</v>
      </c>
      <c r="C63" s="207">
        <v>7</v>
      </c>
      <c r="D63" s="207">
        <v>1800</v>
      </c>
      <c r="E63" s="208">
        <v>9.4999999999999998E-3</v>
      </c>
      <c r="F63" s="217">
        <f t="shared" si="3"/>
        <v>2023.4166666666667</v>
      </c>
      <c r="G63" s="209">
        <f t="shared" si="4"/>
        <v>17.099999999999998</v>
      </c>
      <c r="I63" s="191" t="s">
        <v>245</v>
      </c>
      <c r="J63" s="242">
        <v>2017</v>
      </c>
      <c r="K63" s="243">
        <v>2018</v>
      </c>
      <c r="L63" s="243">
        <v>2019</v>
      </c>
      <c r="M63" s="242">
        <v>2020</v>
      </c>
      <c r="N63" s="243">
        <v>2021</v>
      </c>
      <c r="O63" s="243">
        <v>2022</v>
      </c>
      <c r="P63" s="244">
        <v>2023</v>
      </c>
    </row>
    <row r="64" spans="1:22">
      <c r="A64" s="206">
        <v>2016</v>
      </c>
      <c r="B64" s="207">
        <v>8</v>
      </c>
      <c r="C64" s="207">
        <v>7</v>
      </c>
      <c r="D64" s="207">
        <v>2900</v>
      </c>
      <c r="E64" s="208">
        <v>8.9999999999999993E-3</v>
      </c>
      <c r="F64" s="217">
        <f t="shared" si="3"/>
        <v>2023.5833333333333</v>
      </c>
      <c r="G64" s="209">
        <f t="shared" si="4"/>
        <v>26.099999999999998</v>
      </c>
      <c r="I64" s="222" t="s">
        <v>262</v>
      </c>
      <c r="J64" s="490">
        <f>SUM(G3:G81)</f>
        <v>1871.3099999999995</v>
      </c>
      <c r="K64" s="491">
        <f>SUM(G3:G81)+Q37</f>
        <v>1871.3099999999995</v>
      </c>
      <c r="L64" s="491">
        <f>SUM(G15:G81)+Q37</f>
        <v>1521.345</v>
      </c>
      <c r="M64" s="491">
        <f>SUM(G27:G81)+Q37</f>
        <v>1404.1850000000002</v>
      </c>
      <c r="N64" s="491">
        <f>SUM(G39:G81)+Q37</f>
        <v>1067.0450000000003</v>
      </c>
      <c r="O64" s="223">
        <f>SUM(G53:G81)</f>
        <v>751.15000000000009</v>
      </c>
      <c r="P64" s="226">
        <f>SUM(G63:G81)</f>
        <v>477.96000000000004</v>
      </c>
    </row>
    <row r="65" spans="1:16">
      <c r="A65" s="206">
        <v>2017</v>
      </c>
      <c r="B65" s="207">
        <v>8</v>
      </c>
      <c r="C65" s="207">
        <v>6</v>
      </c>
      <c r="D65" s="207">
        <v>200</v>
      </c>
      <c r="E65" s="208">
        <v>1.18E-2</v>
      </c>
      <c r="F65" s="217">
        <f t="shared" si="3"/>
        <v>2023.5833333333333</v>
      </c>
      <c r="G65" s="209">
        <f t="shared" si="4"/>
        <v>2.36</v>
      </c>
      <c r="I65" s="222" t="s">
        <v>263</v>
      </c>
      <c r="J65" s="491">
        <f>SUM(O5:O6)+Q32</f>
        <v>784.66049999999996</v>
      </c>
      <c r="K65" s="491">
        <f>J65</f>
        <v>784.66049999999996</v>
      </c>
      <c r="L65" s="491">
        <f>K65</f>
        <v>784.66049999999996</v>
      </c>
      <c r="M65" s="491">
        <f>L65</f>
        <v>784.66049999999996</v>
      </c>
      <c r="N65" s="491">
        <f>SUM(O5:O6)</f>
        <v>784.66049999999996</v>
      </c>
      <c r="O65" s="491">
        <f>O6</f>
        <v>369.25199999999995</v>
      </c>
      <c r="P65" s="492">
        <f>O65</f>
        <v>369.25199999999995</v>
      </c>
    </row>
    <row r="66" spans="1:16">
      <c r="A66" s="215">
        <v>2014</v>
      </c>
      <c r="B66" s="205">
        <v>3</v>
      </c>
      <c r="C66" s="205">
        <v>10</v>
      </c>
      <c r="D66" s="205">
        <v>2500</v>
      </c>
      <c r="E66" s="216">
        <v>0.02</v>
      </c>
      <c r="F66" s="217">
        <f t="shared" si="3"/>
        <v>2024.1666666666667</v>
      </c>
      <c r="G66" s="209">
        <f t="shared" si="4"/>
        <v>50</v>
      </c>
      <c r="I66" s="222" t="s">
        <v>264</v>
      </c>
      <c r="J66" s="223"/>
      <c r="K66" s="490">
        <f>SUM(O15:O17)</f>
        <v>61.882500000000007</v>
      </c>
      <c r="L66" s="491">
        <f>K66</f>
        <v>61.882500000000007</v>
      </c>
      <c r="M66" s="491">
        <f>L66</f>
        <v>61.882500000000007</v>
      </c>
      <c r="N66" s="491">
        <f>SUM(O16:O17)</f>
        <v>13.514250000000002</v>
      </c>
      <c r="O66" s="491">
        <f>N66</f>
        <v>13.514250000000002</v>
      </c>
      <c r="P66" s="479">
        <f>O17</f>
        <v>4.8562500000000011</v>
      </c>
    </row>
    <row r="67" spans="1:16">
      <c r="A67" s="215">
        <v>2014</v>
      </c>
      <c r="B67" s="205">
        <v>5</v>
      </c>
      <c r="C67" s="205">
        <v>10</v>
      </c>
      <c r="D67" s="205">
        <v>4200</v>
      </c>
      <c r="E67" s="216">
        <v>1.95E-2</v>
      </c>
      <c r="F67" s="217">
        <f t="shared" ref="F67:F81" si="7">A67+((B67-1)/12)+C67</f>
        <v>2024.3333333333333</v>
      </c>
      <c r="G67" s="209">
        <f t="shared" ref="G67:G81" si="8">E67*D67</f>
        <v>81.900000000000006</v>
      </c>
      <c r="I67" s="222" t="s">
        <v>265</v>
      </c>
      <c r="J67" s="490">
        <f>SUM($O$25:$O$26)</f>
        <v>97.082100000000011</v>
      </c>
      <c r="K67" s="490">
        <f>SUM($O$25:$O$26)</f>
        <v>97.082100000000011</v>
      </c>
      <c r="L67" s="491"/>
      <c r="M67" s="491"/>
      <c r="N67" s="491"/>
      <c r="O67" s="223"/>
      <c r="P67" s="226"/>
    </row>
    <row r="68" spans="1:16" ht="16.5" thickBot="1">
      <c r="A68" s="206">
        <v>2017</v>
      </c>
      <c r="B68" s="207">
        <v>5</v>
      </c>
      <c r="C68" s="207">
        <v>7</v>
      </c>
      <c r="D68" s="207">
        <v>900</v>
      </c>
      <c r="E68" s="208">
        <v>1.3599999999999999E-2</v>
      </c>
      <c r="F68" s="217">
        <f t="shared" si="7"/>
        <v>2024.3333333333333</v>
      </c>
      <c r="G68" s="209">
        <f t="shared" si="8"/>
        <v>12.239999999999998</v>
      </c>
      <c r="I68" s="482" t="s">
        <v>353</v>
      </c>
      <c r="J68" s="488">
        <f t="shared" ref="J68:P68" si="9">SUM(J64:J67)</f>
        <v>2753.0525999999995</v>
      </c>
      <c r="K68" s="488">
        <f t="shared" si="9"/>
        <v>2814.9350999999997</v>
      </c>
      <c r="L68" s="488">
        <f t="shared" si="9"/>
        <v>2367.8880000000004</v>
      </c>
      <c r="M68" s="488">
        <f t="shared" si="9"/>
        <v>2250.7280000000005</v>
      </c>
      <c r="N68" s="488">
        <f t="shared" si="9"/>
        <v>1865.2197500000002</v>
      </c>
      <c r="O68" s="488">
        <f t="shared" si="9"/>
        <v>1133.91625</v>
      </c>
      <c r="P68" s="489">
        <f t="shared" si="9"/>
        <v>852.06825000000003</v>
      </c>
    </row>
    <row r="69" spans="1:16">
      <c r="A69" s="215">
        <v>2014</v>
      </c>
      <c r="B69" s="205">
        <v>7</v>
      </c>
      <c r="C69" s="205">
        <v>10</v>
      </c>
      <c r="D69" s="205">
        <v>6000</v>
      </c>
      <c r="E69" s="216">
        <v>1.95E-2</v>
      </c>
      <c r="F69" s="217">
        <f t="shared" si="7"/>
        <v>2024.5</v>
      </c>
      <c r="G69" s="209">
        <f t="shared" si="8"/>
        <v>117</v>
      </c>
    </row>
    <row r="70" spans="1:16">
      <c r="A70" s="206">
        <v>2017</v>
      </c>
      <c r="B70" s="207">
        <v>8</v>
      </c>
      <c r="C70" s="207">
        <v>7</v>
      </c>
      <c r="D70" s="207">
        <v>2000</v>
      </c>
      <c r="E70" s="208">
        <v>1.2999999999999999E-2</v>
      </c>
      <c r="F70" s="217">
        <f t="shared" si="7"/>
        <v>2024.5833333333333</v>
      </c>
      <c r="G70" s="209">
        <f t="shared" si="8"/>
        <v>26</v>
      </c>
    </row>
    <row r="71" spans="1:16">
      <c r="A71" s="215">
        <v>2014</v>
      </c>
      <c r="B71" s="205">
        <v>10</v>
      </c>
      <c r="C71" s="205">
        <v>10</v>
      </c>
      <c r="D71" s="205">
        <v>2200</v>
      </c>
      <c r="E71" s="216">
        <v>2.0199999999999999E-2</v>
      </c>
      <c r="F71" s="217">
        <f t="shared" si="7"/>
        <v>2024.75</v>
      </c>
      <c r="G71" s="209">
        <f t="shared" si="8"/>
        <v>44.44</v>
      </c>
    </row>
    <row r="72" spans="1:16">
      <c r="A72" s="206">
        <v>2017</v>
      </c>
      <c r="B72" s="207">
        <v>11</v>
      </c>
      <c r="C72" s="207">
        <v>7</v>
      </c>
      <c r="D72" s="207">
        <v>1950</v>
      </c>
      <c r="E72" s="208">
        <v>1.18E-2</v>
      </c>
      <c r="F72" s="217">
        <f t="shared" si="7"/>
        <v>2024.8333333333333</v>
      </c>
      <c r="G72" s="209">
        <f t="shared" si="8"/>
        <v>23.009999999999998</v>
      </c>
    </row>
    <row r="73" spans="1:16">
      <c r="A73" s="215">
        <v>2015</v>
      </c>
      <c r="B73" s="205">
        <v>6</v>
      </c>
      <c r="C73" s="205">
        <v>10</v>
      </c>
      <c r="D73" s="205">
        <v>500</v>
      </c>
      <c r="E73" s="216">
        <v>1.9E-2</v>
      </c>
      <c r="F73" s="217">
        <f t="shared" si="7"/>
        <v>2025.4166666666667</v>
      </c>
      <c r="G73" s="209">
        <f t="shared" si="8"/>
        <v>9.5</v>
      </c>
    </row>
    <row r="74" spans="1:16">
      <c r="A74" s="215">
        <v>2015</v>
      </c>
      <c r="B74" s="205">
        <v>11</v>
      </c>
      <c r="C74" s="205">
        <v>10</v>
      </c>
      <c r="D74" s="205">
        <v>100</v>
      </c>
      <c r="E74" s="216">
        <v>1.7500000000000002E-2</v>
      </c>
      <c r="F74" s="217">
        <f t="shared" si="7"/>
        <v>2025.8333333333333</v>
      </c>
      <c r="G74" s="209">
        <f t="shared" si="8"/>
        <v>1.7500000000000002</v>
      </c>
    </row>
    <row r="75" spans="1:16">
      <c r="A75" s="206">
        <v>2016</v>
      </c>
      <c r="B75" s="207">
        <v>6</v>
      </c>
      <c r="C75" s="207">
        <v>10</v>
      </c>
      <c r="D75" s="207">
        <v>1800</v>
      </c>
      <c r="E75" s="208">
        <v>1.2E-2</v>
      </c>
      <c r="F75" s="217">
        <f t="shared" si="7"/>
        <v>2026.4166666666667</v>
      </c>
      <c r="G75" s="209">
        <f t="shared" si="8"/>
        <v>21.6</v>
      </c>
    </row>
    <row r="76" spans="1:16">
      <c r="A76" s="215">
        <v>2014</v>
      </c>
      <c r="B76" s="205">
        <v>10</v>
      </c>
      <c r="C76" s="205">
        <v>12</v>
      </c>
      <c r="D76" s="205">
        <v>200</v>
      </c>
      <c r="E76" s="216">
        <v>2.1499999999999998E-2</v>
      </c>
      <c r="F76" s="217">
        <f t="shared" si="7"/>
        <v>2026.75</v>
      </c>
      <c r="G76" s="209">
        <f t="shared" si="8"/>
        <v>4.3</v>
      </c>
    </row>
    <row r="77" spans="1:16">
      <c r="A77" s="206">
        <v>2017</v>
      </c>
      <c r="B77" s="207">
        <v>5</v>
      </c>
      <c r="C77" s="207">
        <v>10</v>
      </c>
      <c r="D77" s="207">
        <v>400</v>
      </c>
      <c r="E77" s="208">
        <v>1.5299999999999999E-2</v>
      </c>
      <c r="F77" s="217">
        <f t="shared" si="7"/>
        <v>2027.3333333333333</v>
      </c>
      <c r="G77" s="209">
        <f t="shared" si="8"/>
        <v>6.12</v>
      </c>
    </row>
    <row r="78" spans="1:16">
      <c r="A78" s="206">
        <v>2017</v>
      </c>
      <c r="B78" s="207">
        <v>8</v>
      </c>
      <c r="C78" s="207">
        <v>10</v>
      </c>
      <c r="D78" s="207">
        <v>700</v>
      </c>
      <c r="E78" s="208">
        <v>1.52E-2</v>
      </c>
      <c r="F78" s="217">
        <f t="shared" si="7"/>
        <v>2027.5833333333333</v>
      </c>
      <c r="G78" s="209">
        <f t="shared" si="8"/>
        <v>10.64</v>
      </c>
    </row>
    <row r="79" spans="1:16">
      <c r="A79" s="215">
        <v>2015</v>
      </c>
      <c r="B79" s="205">
        <v>9</v>
      </c>
      <c r="C79" s="205">
        <v>12</v>
      </c>
      <c r="D79" s="205">
        <v>300</v>
      </c>
      <c r="E79" s="216">
        <v>0.02</v>
      </c>
      <c r="F79" s="217">
        <f t="shared" si="7"/>
        <v>2027.6666666666667</v>
      </c>
      <c r="G79" s="209">
        <f t="shared" si="8"/>
        <v>6</v>
      </c>
    </row>
    <row r="80" spans="1:16">
      <c r="A80" s="215">
        <v>2015</v>
      </c>
      <c r="B80" s="205">
        <v>11</v>
      </c>
      <c r="C80" s="205">
        <v>12</v>
      </c>
      <c r="D80" s="205">
        <v>200</v>
      </c>
      <c r="E80" s="216">
        <v>1.95E-2</v>
      </c>
      <c r="F80" s="217">
        <f t="shared" si="7"/>
        <v>2027.8333333333333</v>
      </c>
      <c r="G80" s="209">
        <f t="shared" si="8"/>
        <v>3.9</v>
      </c>
    </row>
    <row r="81" spans="1:9">
      <c r="A81" s="206">
        <v>2017</v>
      </c>
      <c r="B81" s="207">
        <v>11</v>
      </c>
      <c r="C81" s="207">
        <v>10</v>
      </c>
      <c r="D81" s="207">
        <v>1000</v>
      </c>
      <c r="E81" s="208">
        <v>1.4E-2</v>
      </c>
      <c r="F81" s="217">
        <f t="shared" si="7"/>
        <v>2027.8333333333333</v>
      </c>
      <c r="G81" s="209">
        <f t="shared" si="8"/>
        <v>14</v>
      </c>
    </row>
    <row r="82" spans="1:9">
      <c r="A82" s="215" t="s">
        <v>213</v>
      </c>
      <c r="B82" s="205"/>
      <c r="C82" s="205"/>
      <c r="D82" s="205">
        <f>SUM(D3:D81)</f>
        <v>139600</v>
      </c>
      <c r="E82" s="216"/>
      <c r="F82" s="205"/>
      <c r="G82" s="209">
        <f>SUM(G3:G81)</f>
        <v>1871.3099999999995</v>
      </c>
    </row>
    <row r="83" spans="1:9">
      <c r="A83" s="215"/>
      <c r="B83" s="205"/>
      <c r="C83" s="205"/>
      <c r="D83" s="205"/>
      <c r="E83" s="216"/>
      <c r="F83" s="205"/>
      <c r="G83" s="209"/>
    </row>
    <row r="84" spans="1:9" ht="16.5" thickBot="1">
      <c r="A84" s="218"/>
      <c r="B84" s="219"/>
      <c r="C84" s="219"/>
      <c r="D84" s="219"/>
      <c r="E84" s="220"/>
      <c r="F84" s="219"/>
      <c r="G84" s="221"/>
    </row>
    <row r="89" spans="1:9">
      <c r="A89" s="205"/>
      <c r="B89" s="205"/>
      <c r="C89" s="205"/>
      <c r="D89" s="205"/>
      <c r="E89" s="205"/>
      <c r="F89" s="216"/>
      <c r="G89" s="217"/>
      <c r="H89" s="180"/>
      <c r="I89" s="205"/>
    </row>
    <row r="90" spans="1:9">
      <c r="A90" s="205"/>
      <c r="B90" s="205"/>
      <c r="C90" s="205"/>
      <c r="D90" s="205"/>
      <c r="E90" s="205"/>
      <c r="F90" s="216"/>
      <c r="G90" s="217"/>
      <c r="H90" s="180"/>
      <c r="I90" s="205"/>
    </row>
    <row r="91" spans="1:9">
      <c r="A91" s="205"/>
      <c r="B91" s="205"/>
      <c r="C91" s="205"/>
      <c r="D91" s="205"/>
      <c r="E91" s="205"/>
      <c r="F91" s="216"/>
      <c r="G91" s="217"/>
      <c r="H91" s="180"/>
      <c r="I91" s="205"/>
    </row>
    <row r="92" spans="1:9">
      <c r="A92" s="205"/>
      <c r="B92" s="205"/>
      <c r="C92" s="205"/>
      <c r="D92" s="205"/>
      <c r="E92" s="205"/>
      <c r="F92" s="216"/>
      <c r="G92" s="217"/>
      <c r="H92" s="180"/>
      <c r="I92" s="205"/>
    </row>
    <row r="94" spans="1:9">
      <c r="A94" s="569" t="s">
        <v>535</v>
      </c>
      <c r="B94" s="567" t="s">
        <v>230</v>
      </c>
      <c r="C94" s="567" t="s">
        <v>231</v>
      </c>
      <c r="D94" s="567" t="s">
        <v>232</v>
      </c>
      <c r="E94" s="567" t="s">
        <v>233</v>
      </c>
      <c r="F94" s="567" t="s">
        <v>234</v>
      </c>
      <c r="G94" s="568" t="s">
        <v>739</v>
      </c>
      <c r="H94" s="943" t="s">
        <v>738</v>
      </c>
      <c r="I94" s="943"/>
    </row>
    <row r="95" spans="1:9">
      <c r="A95" s="559" t="s">
        <v>536</v>
      </c>
      <c r="B95" s="557">
        <f>(2.3358%+2.7839%)/2</f>
        <v>2.55985E-2</v>
      </c>
      <c r="C95" s="464">
        <v>43334</v>
      </c>
      <c r="D95" s="464">
        <v>43101</v>
      </c>
      <c r="E95" s="228">
        <f>C95-D95</f>
        <v>233</v>
      </c>
      <c r="F95" s="229">
        <f>E95/365</f>
        <v>0.63835616438356169</v>
      </c>
      <c r="G95" s="560">
        <v>7440</v>
      </c>
      <c r="H95" s="944">
        <v>3638.75</v>
      </c>
      <c r="I95" s="943" t="str">
        <f t="shared" ref="I95:I104" si="10">IF(G95&gt;H95,"Lower",IF(G95&lt;H95,"Higher",""))</f>
        <v>Lower</v>
      </c>
    </row>
    <row r="96" spans="1:9">
      <c r="A96" s="559" t="s">
        <v>537</v>
      </c>
      <c r="B96" s="558">
        <v>5.4999999999999997E-3</v>
      </c>
      <c r="C96" s="464">
        <v>43968</v>
      </c>
      <c r="D96" s="464">
        <v>43101</v>
      </c>
      <c r="E96" s="228">
        <f t="shared" ref="E96:E104" si="11">C96-D96</f>
        <v>867</v>
      </c>
      <c r="F96" s="229">
        <f t="shared" ref="F96:F104" si="12">E96/365</f>
        <v>2.3753424657534246</v>
      </c>
      <c r="G96" s="560">
        <v>2648.64</v>
      </c>
      <c r="H96" s="944">
        <v>2736.34</v>
      </c>
      <c r="I96" s="943" t="str">
        <f t="shared" si="10"/>
        <v>Higher</v>
      </c>
    </row>
    <row r="97" spans="1:15">
      <c r="A97" s="559" t="s">
        <v>538</v>
      </c>
      <c r="B97" s="558">
        <v>4.7999999999999996E-3</v>
      </c>
      <c r="C97" s="464">
        <v>44165</v>
      </c>
      <c r="D97" s="464">
        <v>43101</v>
      </c>
      <c r="E97" s="228">
        <f t="shared" si="11"/>
        <v>1064</v>
      </c>
      <c r="F97" s="229">
        <f t="shared" si="12"/>
        <v>2.9150684931506849</v>
      </c>
      <c r="G97" s="560">
        <v>5335.5</v>
      </c>
      <c r="H97" s="944">
        <v>4663.1000000000004</v>
      </c>
      <c r="I97" s="943" t="str">
        <f t="shared" si="10"/>
        <v>Lower</v>
      </c>
    </row>
    <row r="98" spans="1:15">
      <c r="A98" s="559" t="s">
        <v>539</v>
      </c>
      <c r="B98" s="558">
        <v>1.5433000000000001E-2</v>
      </c>
      <c r="C98" s="464">
        <v>46356</v>
      </c>
      <c r="D98" s="464">
        <v>43101</v>
      </c>
      <c r="E98" s="228">
        <f t="shared" si="11"/>
        <v>3255</v>
      </c>
      <c r="F98" s="229">
        <f t="shared" si="12"/>
        <v>8.9178082191780828</v>
      </c>
      <c r="G98" s="560">
        <v>2142.8580000000002</v>
      </c>
      <c r="H98" s="944">
        <v>2142.8580000000002</v>
      </c>
      <c r="I98" s="943" t="str">
        <f t="shared" si="10"/>
        <v/>
      </c>
    </row>
    <row r="99" spans="1:15">
      <c r="A99" s="559" t="s">
        <v>540</v>
      </c>
      <c r="B99" s="558">
        <v>1.7899999999999999E-2</v>
      </c>
      <c r="C99" s="464">
        <v>44041</v>
      </c>
      <c r="D99" s="464">
        <v>43101</v>
      </c>
      <c r="E99" s="228">
        <f t="shared" si="11"/>
        <v>940</v>
      </c>
      <c r="F99" s="229">
        <f t="shared" si="12"/>
        <v>2.5753424657534247</v>
      </c>
      <c r="G99" s="560">
        <v>407.89</v>
      </c>
      <c r="H99" s="944">
        <v>352.38799999999998</v>
      </c>
      <c r="I99" s="943" t="str">
        <f t="shared" si="10"/>
        <v>Lower</v>
      </c>
    </row>
    <row r="100" spans="1:15">
      <c r="A100" s="559" t="s">
        <v>541</v>
      </c>
      <c r="B100" s="558">
        <v>1.7548000000000001E-2</v>
      </c>
      <c r="C100" s="464">
        <v>48828</v>
      </c>
      <c r="D100" s="464">
        <v>43101</v>
      </c>
      <c r="E100" s="228">
        <f t="shared" si="11"/>
        <v>5727</v>
      </c>
      <c r="F100" s="229">
        <f t="shared" si="12"/>
        <v>15.69041095890411</v>
      </c>
      <c r="G100" s="560">
        <v>1368</v>
      </c>
      <c r="H100" s="944">
        <v>1368</v>
      </c>
      <c r="I100" s="943" t="str">
        <f t="shared" si="10"/>
        <v/>
      </c>
    </row>
    <row r="101" spans="1:15">
      <c r="A101" s="559" t="s">
        <v>539</v>
      </c>
      <c r="B101" s="558">
        <v>1.8075999999999998E-2</v>
      </c>
      <c r="C101" s="464">
        <v>44660</v>
      </c>
      <c r="D101" s="464">
        <v>43101</v>
      </c>
      <c r="E101" s="228">
        <f t="shared" si="11"/>
        <v>1559</v>
      </c>
      <c r="F101" s="229">
        <f t="shared" si="12"/>
        <v>4.2712328767123289</v>
      </c>
      <c r="G101" s="560">
        <v>275.27499999999998</v>
      </c>
      <c r="H101" s="944">
        <v>275.27499999999998</v>
      </c>
      <c r="I101" s="943" t="str">
        <f t="shared" si="10"/>
        <v/>
      </c>
    </row>
    <row r="102" spans="1:15">
      <c r="A102" s="559" t="s">
        <v>542</v>
      </c>
      <c r="B102" s="557">
        <f>(1.99%+2.2%)/2</f>
        <v>2.0950000000000003E-2</v>
      </c>
      <c r="C102" s="464">
        <v>46858</v>
      </c>
      <c r="D102" s="464">
        <v>43101</v>
      </c>
      <c r="E102" s="228">
        <f t="shared" si="11"/>
        <v>3757</v>
      </c>
      <c r="F102" s="229">
        <f t="shared" si="12"/>
        <v>10.293150684931506</v>
      </c>
      <c r="G102" s="560">
        <v>21.545999999999999</v>
      </c>
      <c r="H102" s="944">
        <v>20.7</v>
      </c>
      <c r="I102" s="943" t="str">
        <f t="shared" si="10"/>
        <v>Lower</v>
      </c>
    </row>
    <row r="103" spans="1:15">
      <c r="A103" s="559" t="s">
        <v>543</v>
      </c>
      <c r="B103" s="557">
        <f>(4.41%+4.49%)/2</f>
        <v>4.4499999999999998E-2</v>
      </c>
      <c r="C103" s="464">
        <v>46747</v>
      </c>
      <c r="D103" s="464">
        <v>43101</v>
      </c>
      <c r="E103" s="228">
        <f t="shared" si="11"/>
        <v>3646</v>
      </c>
      <c r="F103" s="229">
        <f t="shared" si="12"/>
        <v>9.9890410958904106</v>
      </c>
      <c r="G103" s="946">
        <v>1801.77</v>
      </c>
      <c r="H103" s="945">
        <v>2789.9090000000001</v>
      </c>
      <c r="I103" s="943" t="str">
        <f t="shared" si="10"/>
        <v>Higher</v>
      </c>
      <c r="J103" s="185" t="s">
        <v>756</v>
      </c>
    </row>
    <row r="104" spans="1:15">
      <c r="A104" s="561" t="s">
        <v>544</v>
      </c>
      <c r="B104" s="562">
        <v>1.0460000000000001E-2</v>
      </c>
      <c r="C104" s="563">
        <v>43946</v>
      </c>
      <c r="D104" s="563">
        <v>43101</v>
      </c>
      <c r="E104" s="564">
        <f t="shared" si="11"/>
        <v>845</v>
      </c>
      <c r="F104" s="565">
        <f t="shared" si="12"/>
        <v>2.3150684931506849</v>
      </c>
      <c r="G104" s="566">
        <v>6400</v>
      </c>
      <c r="H104" s="944">
        <v>6400</v>
      </c>
      <c r="I104" s="943" t="str">
        <f t="shared" si="10"/>
        <v/>
      </c>
    </row>
    <row r="105" spans="1:15" ht="16.5" thickBot="1"/>
    <row r="106" spans="1:15">
      <c r="A106" s="211" t="s">
        <v>545</v>
      </c>
      <c r="B106" s="212">
        <v>2018</v>
      </c>
      <c r="C106" s="212">
        <v>2019</v>
      </c>
      <c r="D106" s="442">
        <v>2020</v>
      </c>
      <c r="E106" s="212">
        <v>2021</v>
      </c>
      <c r="F106" s="212">
        <v>2022</v>
      </c>
      <c r="G106" s="214">
        <v>2023</v>
      </c>
      <c r="I106" s="211" t="s">
        <v>358</v>
      </c>
      <c r="J106" s="212">
        <v>2018</v>
      </c>
      <c r="K106" s="212">
        <v>2019</v>
      </c>
      <c r="L106" s="442">
        <v>2020</v>
      </c>
      <c r="M106" s="212">
        <v>2021</v>
      </c>
      <c r="N106" s="212">
        <v>2022</v>
      </c>
      <c r="O106" s="214">
        <v>2023</v>
      </c>
    </row>
    <row r="107" spans="1:15">
      <c r="A107" s="227" t="s">
        <v>242</v>
      </c>
      <c r="B107" s="460">
        <f>G95</f>
        <v>7440</v>
      </c>
      <c r="C107" s="461"/>
      <c r="D107" s="461"/>
      <c r="E107" s="461"/>
      <c r="F107" s="461"/>
      <c r="G107" s="462"/>
      <c r="I107" s="227" t="s">
        <v>242</v>
      </c>
      <c r="J107" s="460">
        <f t="shared" ref="J107:J114" si="13">$G95</f>
        <v>7440</v>
      </c>
      <c r="K107" s="460"/>
      <c r="L107" s="460"/>
      <c r="M107" s="460"/>
      <c r="N107" s="460"/>
      <c r="O107" s="463"/>
    </row>
    <row r="108" spans="1:15">
      <c r="A108" s="227" t="s">
        <v>235</v>
      </c>
      <c r="B108" s="460"/>
      <c r="C108" s="461"/>
      <c r="D108" s="461">
        <f>G96</f>
        <v>2648.64</v>
      </c>
      <c r="E108" s="461"/>
      <c r="F108" s="461"/>
      <c r="G108" s="462"/>
      <c r="I108" s="227" t="s">
        <v>235</v>
      </c>
      <c r="J108" s="460">
        <f t="shared" si="13"/>
        <v>2648.64</v>
      </c>
      <c r="K108" s="460">
        <f t="shared" ref="K108:L114" si="14">$G96</f>
        <v>2648.64</v>
      </c>
      <c r="L108" s="460">
        <f t="shared" si="14"/>
        <v>2648.64</v>
      </c>
      <c r="M108" s="460"/>
      <c r="N108" s="460"/>
      <c r="O108" s="463"/>
    </row>
    <row r="109" spans="1:15">
      <c r="A109" s="227" t="s">
        <v>236</v>
      </c>
      <c r="B109" s="460"/>
      <c r="C109" s="461"/>
      <c r="D109" s="461">
        <f>G97</f>
        <v>5335.5</v>
      </c>
      <c r="E109" s="461"/>
      <c r="F109" s="461"/>
      <c r="G109" s="462"/>
      <c r="I109" s="227" t="s">
        <v>236</v>
      </c>
      <c r="J109" s="460">
        <f t="shared" si="13"/>
        <v>5335.5</v>
      </c>
      <c r="K109" s="460">
        <f t="shared" si="14"/>
        <v>5335.5</v>
      </c>
      <c r="L109" s="460">
        <f t="shared" si="14"/>
        <v>5335.5</v>
      </c>
      <c r="M109" s="460"/>
      <c r="N109" s="460"/>
      <c r="O109" s="463"/>
    </row>
    <row r="110" spans="1:15">
      <c r="A110" s="227" t="s">
        <v>237</v>
      </c>
      <c r="B110" s="460">
        <f>G98/F98</f>
        <v>240.28976036866359</v>
      </c>
      <c r="C110" s="460">
        <f>B110</f>
        <v>240.28976036866359</v>
      </c>
      <c r="D110" s="460">
        <f t="shared" ref="D110:G110" si="15">C110</f>
        <v>240.28976036866359</v>
      </c>
      <c r="E110" s="460">
        <f t="shared" si="15"/>
        <v>240.28976036866359</v>
      </c>
      <c r="F110" s="460">
        <f t="shared" si="15"/>
        <v>240.28976036866359</v>
      </c>
      <c r="G110" s="463">
        <f t="shared" si="15"/>
        <v>240.28976036866359</v>
      </c>
      <c r="I110" s="227" t="s">
        <v>237</v>
      </c>
      <c r="J110" s="460">
        <f t="shared" si="13"/>
        <v>2142.8580000000002</v>
      </c>
      <c r="K110" s="460">
        <f t="shared" si="14"/>
        <v>2142.8580000000002</v>
      </c>
      <c r="L110" s="460">
        <f t="shared" si="14"/>
        <v>2142.8580000000002</v>
      </c>
      <c r="M110" s="460">
        <f>$G98</f>
        <v>2142.8580000000002</v>
      </c>
      <c r="N110" s="460">
        <f>$G98</f>
        <v>2142.8580000000002</v>
      </c>
      <c r="O110" s="463">
        <f>$G98</f>
        <v>2142.8580000000002</v>
      </c>
    </row>
    <row r="111" spans="1:15">
      <c r="A111" s="227" t="s">
        <v>238</v>
      </c>
      <c r="B111" s="460"/>
      <c r="C111" s="461"/>
      <c r="D111" s="461">
        <f>G99</f>
        <v>407.89</v>
      </c>
      <c r="E111" s="461"/>
      <c r="F111" s="461"/>
      <c r="G111" s="462"/>
      <c r="I111" s="227" t="s">
        <v>238</v>
      </c>
      <c r="J111" s="460">
        <f t="shared" si="13"/>
        <v>407.89</v>
      </c>
      <c r="K111" s="460">
        <f t="shared" si="14"/>
        <v>407.89</v>
      </c>
      <c r="L111" s="460">
        <f t="shared" si="14"/>
        <v>407.89</v>
      </c>
      <c r="M111" s="460"/>
      <c r="N111" s="460"/>
      <c r="O111" s="463"/>
    </row>
    <row r="112" spans="1:15">
      <c r="A112" s="227" t="s">
        <v>239</v>
      </c>
      <c r="B112" s="460">
        <f>G100/F100</f>
        <v>87.187008905185962</v>
      </c>
      <c r="C112" s="461">
        <f>B112</f>
        <v>87.187008905185962</v>
      </c>
      <c r="D112" s="461">
        <f t="shared" ref="D112:G112" si="16">C112</f>
        <v>87.187008905185962</v>
      </c>
      <c r="E112" s="461">
        <f t="shared" si="16"/>
        <v>87.187008905185962</v>
      </c>
      <c r="F112" s="461">
        <f t="shared" si="16"/>
        <v>87.187008905185962</v>
      </c>
      <c r="G112" s="462">
        <f t="shared" si="16"/>
        <v>87.187008905185962</v>
      </c>
      <c r="I112" s="227" t="s">
        <v>239</v>
      </c>
      <c r="J112" s="460">
        <f t="shared" si="13"/>
        <v>1368</v>
      </c>
      <c r="K112" s="460">
        <f t="shared" si="14"/>
        <v>1368</v>
      </c>
      <c r="L112" s="460">
        <f t="shared" si="14"/>
        <v>1368</v>
      </c>
      <c r="M112" s="460">
        <f>$G100</f>
        <v>1368</v>
      </c>
      <c r="N112" s="460">
        <f>$G100</f>
        <v>1368</v>
      </c>
      <c r="O112" s="463">
        <f>$G100</f>
        <v>1368</v>
      </c>
    </row>
    <row r="113" spans="1:15">
      <c r="A113" s="227" t="s">
        <v>240</v>
      </c>
      <c r="B113" s="460">
        <f>G101/F101</f>
        <v>64.448604874919809</v>
      </c>
      <c r="C113" s="461">
        <f>B113</f>
        <v>64.448604874919809</v>
      </c>
      <c r="D113" s="461">
        <f t="shared" ref="D113:E113" si="17">C113</f>
        <v>64.448604874919809</v>
      </c>
      <c r="E113" s="461">
        <f t="shared" si="17"/>
        <v>64.448604874919809</v>
      </c>
      <c r="F113" s="461">
        <f>G101-SUM(B113:E113)</f>
        <v>17.480580500320741</v>
      </c>
      <c r="G113" s="462"/>
      <c r="I113" s="227" t="s">
        <v>240</v>
      </c>
      <c r="J113" s="460">
        <f t="shared" si="13"/>
        <v>275.27499999999998</v>
      </c>
      <c r="K113" s="460">
        <f t="shared" si="14"/>
        <v>275.27499999999998</v>
      </c>
      <c r="L113" s="460">
        <f t="shared" si="14"/>
        <v>275.27499999999998</v>
      </c>
      <c r="M113" s="460">
        <f>$G101</f>
        <v>275.27499999999998</v>
      </c>
      <c r="N113" s="460">
        <f>$G101</f>
        <v>275.27499999999998</v>
      </c>
      <c r="O113" s="463"/>
    </row>
    <row r="114" spans="1:15">
      <c r="A114" s="227" t="s">
        <v>241</v>
      </c>
      <c r="B114" s="460">
        <f>G102/F102</f>
        <v>2.0932366249667287</v>
      </c>
      <c r="C114" s="461">
        <f>B114</f>
        <v>2.0932366249667287</v>
      </c>
      <c r="D114" s="461">
        <f t="shared" ref="D114:G115" si="18">C114</f>
        <v>2.0932366249667287</v>
      </c>
      <c r="E114" s="461">
        <f t="shared" si="18"/>
        <v>2.0932366249667287</v>
      </c>
      <c r="F114" s="461">
        <f t="shared" si="18"/>
        <v>2.0932366249667287</v>
      </c>
      <c r="G114" s="462">
        <f t="shared" si="18"/>
        <v>2.0932366249667287</v>
      </c>
      <c r="I114" s="227" t="s">
        <v>241</v>
      </c>
      <c r="J114" s="460">
        <f t="shared" si="13"/>
        <v>21.545999999999999</v>
      </c>
      <c r="K114" s="460">
        <f t="shared" si="14"/>
        <v>21.545999999999999</v>
      </c>
      <c r="L114" s="460">
        <f t="shared" si="14"/>
        <v>21.545999999999999</v>
      </c>
      <c r="M114" s="460">
        <f>$G102</f>
        <v>21.545999999999999</v>
      </c>
      <c r="N114" s="460">
        <f>$G102</f>
        <v>21.545999999999999</v>
      </c>
      <c r="O114" s="463">
        <f>$G102</f>
        <v>21.545999999999999</v>
      </c>
    </row>
    <row r="115" spans="1:15">
      <c r="A115" s="227" t="s">
        <v>243</v>
      </c>
      <c r="B115" s="460">
        <f>H103/F103</f>
        <v>279.29697888096547</v>
      </c>
      <c r="C115" s="461">
        <f>B115</f>
        <v>279.29697888096547</v>
      </c>
      <c r="D115" s="461">
        <f t="shared" si="18"/>
        <v>279.29697888096547</v>
      </c>
      <c r="E115" s="461">
        <f t="shared" si="18"/>
        <v>279.29697888096547</v>
      </c>
      <c r="F115" s="461">
        <f t="shared" si="18"/>
        <v>279.29697888096547</v>
      </c>
      <c r="G115" s="462">
        <f t="shared" si="18"/>
        <v>279.29697888096547</v>
      </c>
      <c r="I115" s="227" t="s">
        <v>243</v>
      </c>
      <c r="J115" s="460">
        <f>$H103</f>
        <v>2789.9090000000001</v>
      </c>
      <c r="K115" s="460">
        <f>J115</f>
        <v>2789.9090000000001</v>
      </c>
      <c r="L115" s="460">
        <f t="shared" ref="L115:O115" si="19">K115</f>
        <v>2789.9090000000001</v>
      </c>
      <c r="M115" s="460">
        <f t="shared" si="19"/>
        <v>2789.9090000000001</v>
      </c>
      <c r="N115" s="460">
        <f t="shared" si="19"/>
        <v>2789.9090000000001</v>
      </c>
      <c r="O115" s="463">
        <f t="shared" si="19"/>
        <v>2789.9090000000001</v>
      </c>
    </row>
    <row r="116" spans="1:15">
      <c r="A116" s="227" t="s">
        <v>244</v>
      </c>
      <c r="B116" s="460"/>
      <c r="C116" s="460"/>
      <c r="D116" s="461">
        <f>G104</f>
        <v>6400</v>
      </c>
      <c r="E116" s="461"/>
      <c r="F116" s="461"/>
      <c r="G116" s="462"/>
      <c r="I116" s="227" t="s">
        <v>244</v>
      </c>
      <c r="J116" s="460">
        <f>$G104</f>
        <v>6400</v>
      </c>
      <c r="K116" s="460">
        <f>$G104</f>
        <v>6400</v>
      </c>
      <c r="L116" s="460">
        <f>$G104</f>
        <v>6400</v>
      </c>
      <c r="M116" s="460"/>
      <c r="N116" s="460"/>
      <c r="O116" s="463"/>
    </row>
    <row r="117" spans="1:15" ht="16.5" thickBot="1">
      <c r="A117" s="456" t="s">
        <v>359</v>
      </c>
      <c r="B117" s="457">
        <f>SUM(C107:C116)</f>
        <v>673.31558965470151</v>
      </c>
      <c r="C117" s="457">
        <f>SUM(D107:D116)</f>
        <v>15465.345589654702</v>
      </c>
      <c r="D117" s="457">
        <f>SUM(E107:E116)</f>
        <v>673.31558965470151</v>
      </c>
      <c r="E117" s="457">
        <f>SUM(F107:F116)</f>
        <v>626.34756528010246</v>
      </c>
      <c r="F117" s="457">
        <f>SUM(G107:G116)</f>
        <v>608.86698477978166</v>
      </c>
      <c r="G117" s="458">
        <v>0</v>
      </c>
      <c r="I117" s="453" t="s">
        <v>360</v>
      </c>
      <c r="J117" s="454">
        <f t="shared" ref="J117:O117" si="20">SUMPRODUCT(J107:J116,$B$95:$B$104)</f>
        <v>491.530592614</v>
      </c>
      <c r="K117" s="454">
        <f t="shared" si="20"/>
        <v>301.07775261400002</v>
      </c>
      <c r="L117" s="454">
        <f t="shared" si="20"/>
        <v>301.07775261400002</v>
      </c>
      <c r="M117" s="454">
        <f t="shared" si="20"/>
        <v>186.654601614</v>
      </c>
      <c r="N117" s="454">
        <f t="shared" si="20"/>
        <v>186.654601614</v>
      </c>
      <c r="O117" s="455">
        <f t="shared" si="20"/>
        <v>181.67873071400001</v>
      </c>
    </row>
    <row r="119" spans="1:15" ht="16.5" thickBot="1"/>
    <row r="120" spans="1:15">
      <c r="A120" s="191" t="s">
        <v>245</v>
      </c>
      <c r="B120" s="212">
        <v>2018</v>
      </c>
      <c r="C120" s="212">
        <v>2019</v>
      </c>
      <c r="D120" s="442">
        <v>2020</v>
      </c>
      <c r="E120" s="212">
        <v>2021</v>
      </c>
      <c r="F120" s="212">
        <v>2022</v>
      </c>
      <c r="G120" s="214">
        <v>2023</v>
      </c>
      <c r="H120" s="247"/>
      <c r="I120" s="264"/>
      <c r="J120" s="180"/>
      <c r="K120" s="180"/>
    </row>
    <row r="121" spans="1:15">
      <c r="A121" s="450" t="s">
        <v>361</v>
      </c>
      <c r="B121" s="451">
        <f>SUM(G95:G104)-B107-B117</f>
        <v>19728.163410345296</v>
      </c>
      <c r="C121" s="451">
        <f>B121-C117</f>
        <v>4262.8178206905941</v>
      </c>
      <c r="D121" s="451">
        <f>C121-D117</f>
        <v>3589.5022310358927</v>
      </c>
      <c r="E121" s="451">
        <f t="shared" ref="E121:G121" si="21">D121-E117</f>
        <v>2963.1546657557901</v>
      </c>
      <c r="F121" s="451">
        <f t="shared" si="21"/>
        <v>2354.2876809760082</v>
      </c>
      <c r="G121" s="452">
        <f t="shared" si="21"/>
        <v>2354.2876809760082</v>
      </c>
      <c r="H121" s="238"/>
      <c r="I121" s="264"/>
      <c r="J121" s="180"/>
      <c r="K121" s="180"/>
    </row>
    <row r="122" spans="1:15">
      <c r="A122" s="450" t="s">
        <v>359</v>
      </c>
      <c r="B122" s="451">
        <f>B117</f>
        <v>673.31558965470151</v>
      </c>
      <c r="C122" s="451">
        <f t="shared" ref="C122:G122" si="22">C117</f>
        <v>15465.345589654702</v>
      </c>
      <c r="D122" s="451">
        <f t="shared" si="22"/>
        <v>673.31558965470151</v>
      </c>
      <c r="E122" s="451">
        <f t="shared" si="22"/>
        <v>626.34756528010246</v>
      </c>
      <c r="F122" s="451">
        <f t="shared" si="22"/>
        <v>608.86698477978166</v>
      </c>
      <c r="G122" s="452">
        <f t="shared" si="22"/>
        <v>0</v>
      </c>
      <c r="H122" s="238"/>
      <c r="I122" s="264"/>
      <c r="J122" s="180"/>
      <c r="K122" s="180"/>
    </row>
    <row r="123" spans="1:15" ht="16.5" thickBot="1">
      <c r="A123" s="453" t="s">
        <v>360</v>
      </c>
      <c r="B123" s="454">
        <f>SUMPRODUCT(J107:J116,$B$95:$B$104)</f>
        <v>491.530592614</v>
      </c>
      <c r="C123" s="454">
        <f t="shared" ref="C123:G123" si="23">SUMPRODUCT(K107:K116,$B$95:$B$104)</f>
        <v>301.07775261400002</v>
      </c>
      <c r="D123" s="454">
        <f t="shared" si="23"/>
        <v>301.07775261400002</v>
      </c>
      <c r="E123" s="454">
        <f t="shared" si="23"/>
        <v>186.654601614</v>
      </c>
      <c r="F123" s="454">
        <f t="shared" si="23"/>
        <v>186.654601614</v>
      </c>
      <c r="G123" s="455">
        <f t="shared" si="23"/>
        <v>181.67873071400001</v>
      </c>
      <c r="H123" s="238"/>
      <c r="I123" s="180"/>
      <c r="J123" s="180"/>
      <c r="K123" s="196"/>
    </row>
    <row r="124" spans="1:15">
      <c r="H124" s="238"/>
      <c r="I124" s="180"/>
      <c r="J124" s="180"/>
      <c r="K124" s="196"/>
    </row>
    <row r="125" spans="1:15">
      <c r="A125" s="249"/>
      <c r="C125" s="250"/>
      <c r="D125" s="250"/>
      <c r="E125" s="250"/>
      <c r="F125" s="250"/>
      <c r="G125" s="250"/>
      <c r="H125" s="250"/>
      <c r="I125" s="180"/>
      <c r="J125" s="180"/>
      <c r="K125" s="196"/>
    </row>
    <row r="126" spans="1:15" hidden="1">
      <c r="A126" s="183" t="s">
        <v>246</v>
      </c>
      <c r="B126" s="183"/>
      <c r="C126" s="183"/>
      <c r="D126" s="251"/>
      <c r="E126" s="183"/>
      <c r="F126" s="183"/>
      <c r="G126" s="183"/>
      <c r="H126" s="183"/>
      <c r="K126" s="238"/>
    </row>
    <row r="127" spans="1:15" hidden="1">
      <c r="A127" s="211" t="s">
        <v>247</v>
      </c>
      <c r="B127" s="192" t="s">
        <v>248</v>
      </c>
      <c r="C127" s="252">
        <f>(F128+F129)</f>
        <v>388799.99699999997</v>
      </c>
      <c r="D127" s="238"/>
      <c r="F127" t="s">
        <v>249</v>
      </c>
      <c r="K127" s="238"/>
    </row>
    <row r="128" spans="1:15" hidden="1">
      <c r="A128" s="215" t="s">
        <v>250</v>
      </c>
      <c r="B128" s="253">
        <v>0.25</v>
      </c>
      <c r="C128" s="197">
        <f>C127*B128</f>
        <v>97199.999249999993</v>
      </c>
      <c r="D128" s="238"/>
      <c r="E128" t="s">
        <v>251</v>
      </c>
      <c r="F128">
        <v>288800</v>
      </c>
      <c r="K128" s="238"/>
    </row>
    <row r="129" spans="1:11" hidden="1">
      <c r="A129" s="215" t="s">
        <v>252</v>
      </c>
      <c r="B129" s="253">
        <v>0.75</v>
      </c>
      <c r="C129" s="197">
        <f>C127*B129</f>
        <v>291599.99774999998</v>
      </c>
      <c r="D129" s="238"/>
      <c r="E129" t="s">
        <v>253</v>
      </c>
      <c r="F129">
        <v>99999.997000000003</v>
      </c>
      <c r="K129" s="238"/>
    </row>
    <row r="130" spans="1:11" hidden="1">
      <c r="A130" s="215" t="s">
        <v>254</v>
      </c>
      <c r="B130" s="253">
        <v>0.5</v>
      </c>
      <c r="C130" s="197">
        <f>C129*B130</f>
        <v>145799.99887499999</v>
      </c>
      <c r="D130" s="238"/>
      <c r="K130" s="238"/>
    </row>
    <row r="131" spans="1:11" ht="16.5" hidden="1" thickBot="1">
      <c r="A131" s="218" t="s">
        <v>255</v>
      </c>
      <c r="B131" s="254">
        <v>0.5</v>
      </c>
      <c r="C131" s="204">
        <f>C129*B131</f>
        <v>145799.99887499999</v>
      </c>
      <c r="D131" s="238"/>
      <c r="K131" s="238"/>
    </row>
    <row r="132" spans="1:11">
      <c r="H132" s="255"/>
      <c r="K132" s="238"/>
    </row>
    <row r="133" spans="1:11">
      <c r="D133" s="238"/>
      <c r="K133" s="238"/>
    </row>
    <row r="134" spans="1:11" hidden="1">
      <c r="A134" s="191" t="s">
        <v>256</v>
      </c>
      <c r="B134" s="192"/>
      <c r="C134" s="192"/>
      <c r="D134" s="193"/>
      <c r="E134" s="192"/>
      <c r="F134" s="194"/>
      <c r="K134" s="238"/>
    </row>
    <row r="135" spans="1:11" hidden="1">
      <c r="A135" s="195" t="s">
        <v>257</v>
      </c>
      <c r="B135" s="180" t="s">
        <v>208</v>
      </c>
      <c r="C135" s="180" t="s">
        <v>258</v>
      </c>
      <c r="D135" s="196" t="s">
        <v>210</v>
      </c>
      <c r="E135" s="180" t="s">
        <v>211</v>
      </c>
      <c r="F135" s="197" t="s">
        <v>259</v>
      </c>
      <c r="K135" s="238"/>
    </row>
    <row r="136" spans="1:11" hidden="1">
      <c r="A136" s="199">
        <v>105</v>
      </c>
      <c r="B136" s="170">
        <v>5</v>
      </c>
      <c r="C136" s="170">
        <v>0</v>
      </c>
      <c r="D136" s="200">
        <v>8.9999999999999993E-3</v>
      </c>
      <c r="E136" s="170">
        <f>A136+B136</f>
        <v>110</v>
      </c>
      <c r="F136" s="198">
        <f>C136*D136</f>
        <v>0</v>
      </c>
      <c r="K136" s="238"/>
    </row>
    <row r="137" spans="1:11" hidden="1">
      <c r="A137" s="195" t="s">
        <v>260</v>
      </c>
      <c r="B137" s="180"/>
      <c r="C137" s="180"/>
      <c r="D137" s="196"/>
      <c r="E137" s="180"/>
      <c r="F137" s="197"/>
      <c r="K137" s="238"/>
    </row>
    <row r="138" spans="1:11" ht="16.5" hidden="1" thickBot="1">
      <c r="A138" s="201">
        <v>105</v>
      </c>
      <c r="B138" s="202">
        <v>10</v>
      </c>
      <c r="C138" s="202">
        <v>0</v>
      </c>
      <c r="D138" s="203">
        <v>8.9999999999999993E-3</v>
      </c>
      <c r="E138" s="202">
        <v>115</v>
      </c>
      <c r="F138" s="204">
        <f>C138*D138</f>
        <v>0</v>
      </c>
      <c r="K138" s="238"/>
    </row>
    <row r="139" spans="1:11" hidden="1">
      <c r="A139" s="256" t="s">
        <v>261</v>
      </c>
      <c r="B139" s="257"/>
      <c r="C139" s="257"/>
      <c r="D139" s="258"/>
      <c r="E139" s="257"/>
      <c r="F139" s="259"/>
      <c r="K139" s="238"/>
    </row>
    <row r="140" spans="1:11" hidden="1">
      <c r="A140" s="230" t="s">
        <v>257</v>
      </c>
      <c r="B140" s="231" t="s">
        <v>208</v>
      </c>
      <c r="C140" s="231" t="s">
        <v>258</v>
      </c>
      <c r="D140" s="232" t="s">
        <v>210</v>
      </c>
      <c r="E140" s="231" t="s">
        <v>211</v>
      </c>
      <c r="F140" s="233" t="s">
        <v>259</v>
      </c>
      <c r="K140" s="238"/>
    </row>
    <row r="141" spans="1:11" hidden="1">
      <c r="A141" s="260">
        <v>105</v>
      </c>
      <c r="B141" s="261">
        <v>10</v>
      </c>
      <c r="C141" s="261">
        <f>C136*P54</f>
        <v>0</v>
      </c>
      <c r="D141" s="262">
        <v>8.9999999999999993E-3</v>
      </c>
      <c r="E141" s="261">
        <f>A141+B141</f>
        <v>115</v>
      </c>
      <c r="F141" s="263">
        <f>C141*D141</f>
        <v>0</v>
      </c>
      <c r="K141" s="238"/>
    </row>
    <row r="142" spans="1:11" hidden="1">
      <c r="A142" s="230" t="s">
        <v>260</v>
      </c>
      <c r="B142" s="231"/>
      <c r="C142" s="231"/>
      <c r="D142" s="232"/>
      <c r="E142" s="231"/>
      <c r="F142" s="233"/>
      <c r="K142" s="238"/>
    </row>
    <row r="143" spans="1:11" ht="16.5" hidden="1" thickBot="1">
      <c r="A143" s="234">
        <v>105</v>
      </c>
      <c r="B143" s="235">
        <v>10</v>
      </c>
      <c r="C143" s="235">
        <f>C138*P54</f>
        <v>0</v>
      </c>
      <c r="D143" s="236">
        <v>8.9999999999999993E-3</v>
      </c>
      <c r="E143" s="235">
        <v>115</v>
      </c>
      <c r="F143" s="237">
        <f>C143*D143</f>
        <v>0</v>
      </c>
      <c r="K143" s="238"/>
    </row>
    <row r="144" spans="1:11" ht="16.5" thickBot="1">
      <c r="D144" s="238"/>
      <c r="K144" s="238"/>
    </row>
    <row r="145" spans="1:11">
      <c r="A145" s="191" t="s">
        <v>245</v>
      </c>
      <c r="B145" s="243">
        <v>2018</v>
      </c>
      <c r="C145" s="243">
        <v>2019</v>
      </c>
      <c r="D145" s="242">
        <v>2020</v>
      </c>
      <c r="E145" s="243">
        <v>2021</v>
      </c>
      <c r="F145" s="243">
        <v>2022</v>
      </c>
      <c r="G145" s="244">
        <v>2023</v>
      </c>
    </row>
    <row r="146" spans="1:11">
      <c r="A146" s="487" t="s">
        <v>354</v>
      </c>
      <c r="B146" s="443">
        <f t="shared" ref="B146:G146" si="24">B123+K68</f>
        <v>3306.4656926139996</v>
      </c>
      <c r="C146" s="443">
        <f t="shared" si="24"/>
        <v>2668.9657526140004</v>
      </c>
      <c r="D146" s="443">
        <f t="shared" si="24"/>
        <v>2551.8057526140005</v>
      </c>
      <c r="E146" s="443">
        <f t="shared" si="24"/>
        <v>2051.8743516140003</v>
      </c>
      <c r="F146" s="443">
        <f t="shared" si="24"/>
        <v>1320.570851614</v>
      </c>
      <c r="G146" s="444">
        <f t="shared" si="24"/>
        <v>1033.7469807140001</v>
      </c>
      <c r="H146" s="238"/>
    </row>
    <row r="147" spans="1:11" ht="16.5" thickBot="1">
      <c r="A147" s="445" t="s">
        <v>362</v>
      </c>
      <c r="B147" s="446">
        <f t="shared" ref="B147:G147" si="25">B117+J49</f>
        <v>11673.315589654701</v>
      </c>
      <c r="C147" s="446">
        <f t="shared" si="25"/>
        <v>69467.095589654695</v>
      </c>
      <c r="D147" s="446">
        <f t="shared" si="25"/>
        <v>42635.915589654709</v>
      </c>
      <c r="E147" s="446">
        <f t="shared" si="25"/>
        <v>23841.347565280103</v>
      </c>
      <c r="F147" s="446">
        <f t="shared" si="25"/>
        <v>5508.8669847797819</v>
      </c>
      <c r="G147" s="447">
        <f t="shared" si="25"/>
        <v>20443.75</v>
      </c>
      <c r="H147" s="238"/>
    </row>
    <row r="148" spans="1:11">
      <c r="D148" s="238"/>
      <c r="I148" s="238"/>
    </row>
    <row r="149" spans="1:11">
      <c r="A149" s="238"/>
      <c r="B149" s="238"/>
      <c r="C149" s="238"/>
      <c r="D149" s="238"/>
      <c r="E149" s="238"/>
      <c r="F149" s="238"/>
      <c r="G149" s="238"/>
      <c r="H149" s="238"/>
      <c r="I149" s="238"/>
    </row>
    <row r="150" spans="1:11">
      <c r="A150" s="238"/>
      <c r="B150" s="238"/>
      <c r="C150" s="238"/>
      <c r="D150" s="238"/>
      <c r="E150" s="238"/>
      <c r="F150" s="238"/>
      <c r="G150" s="238"/>
      <c r="H150" s="238"/>
      <c r="I150" s="238"/>
    </row>
    <row r="151" spans="1:11">
      <c r="A151" s="238"/>
      <c r="B151" s="238"/>
      <c r="C151" s="238"/>
      <c r="D151" s="238"/>
      <c r="E151" s="238"/>
      <c r="F151" s="238"/>
      <c r="G151" s="238"/>
      <c r="H151" s="238"/>
      <c r="I151" s="238"/>
    </row>
    <row r="152" spans="1:11">
      <c r="A152" s="238"/>
      <c r="B152" s="238"/>
      <c r="C152" s="238"/>
      <c r="D152" s="238"/>
      <c r="E152" s="238"/>
      <c r="F152" s="238"/>
      <c r="G152" s="238"/>
      <c r="H152" s="238"/>
      <c r="I152" s="238"/>
      <c r="K152" s="238"/>
    </row>
    <row r="153" spans="1:11">
      <c r="A153" s="238"/>
      <c r="B153" s="238"/>
      <c r="C153" s="238"/>
      <c r="D153" s="238"/>
      <c r="E153" s="238"/>
      <c r="F153" s="238"/>
      <c r="G153" s="238"/>
      <c r="H153" s="238"/>
      <c r="I153" s="238"/>
      <c r="K153" s="238"/>
    </row>
    <row r="154" spans="1:11">
      <c r="A154" s="238"/>
      <c r="B154" s="238"/>
      <c r="C154" s="238"/>
      <c r="D154" s="238"/>
      <c r="E154" s="238"/>
      <c r="F154" s="238"/>
      <c r="G154" s="238"/>
      <c r="H154" s="238"/>
      <c r="I154" s="238"/>
      <c r="K154" s="238"/>
    </row>
    <row r="155" spans="1:11">
      <c r="G155" s="180"/>
      <c r="I155" s="238"/>
      <c r="K155" s="238"/>
    </row>
    <row r="156" spans="1:11">
      <c r="G156" s="180"/>
      <c r="I156" s="238"/>
      <c r="K156" s="238"/>
    </row>
    <row r="157" spans="1:11">
      <c r="A157" s="546" t="s">
        <v>556</v>
      </c>
      <c r="B157" s="547">
        <v>2018</v>
      </c>
      <c r="C157" s="547">
        <f>B157+1</f>
        <v>2019</v>
      </c>
      <c r="D157" s="547">
        <f>C157+1</f>
        <v>2020</v>
      </c>
      <c r="E157" s="548">
        <f>D157+1</f>
        <v>2021</v>
      </c>
      <c r="I157" s="238"/>
      <c r="K157" s="238"/>
    </row>
    <row r="158" spans="1:11">
      <c r="A158" s="570" t="s">
        <v>552</v>
      </c>
      <c r="B158" s="540"/>
      <c r="C158" s="540"/>
      <c r="D158" s="540"/>
      <c r="E158" s="544"/>
      <c r="I158" s="238"/>
      <c r="K158" s="238"/>
    </row>
    <row r="159" spans="1:11">
      <c r="A159" s="542" t="s">
        <v>548</v>
      </c>
      <c r="B159" s="540">
        <v>27841.478999999999</v>
      </c>
      <c r="C159" s="540">
        <f>B162</f>
        <v>20401.478999999999</v>
      </c>
      <c r="D159" s="540">
        <f t="shared" ref="D159:E159" si="26">C162</f>
        <v>19728.163410345296</v>
      </c>
      <c r="E159" s="544">
        <f t="shared" si="26"/>
        <v>4262.8178206905941</v>
      </c>
      <c r="I159" s="238"/>
      <c r="K159" s="238"/>
    </row>
    <row r="160" spans="1:11">
      <c r="A160" s="542" t="s">
        <v>549</v>
      </c>
      <c r="B160" s="540">
        <f>B107</f>
        <v>7440</v>
      </c>
      <c r="C160" s="540">
        <f>B117</f>
        <v>673.31558965470151</v>
      </c>
      <c r="D160" s="540">
        <f t="shared" ref="D160:E160" si="27">C117</f>
        <v>15465.345589654702</v>
      </c>
      <c r="E160" s="544">
        <f t="shared" si="27"/>
        <v>673.31558965470151</v>
      </c>
      <c r="I160" s="238"/>
      <c r="K160" s="238"/>
    </row>
    <row r="161" spans="1:11">
      <c r="A161" s="542" t="s">
        <v>550</v>
      </c>
      <c r="B161" s="571">
        <v>0</v>
      </c>
      <c r="C161" s="571">
        <v>0</v>
      </c>
      <c r="D161" s="571">
        <v>0</v>
      </c>
      <c r="E161" s="573">
        <v>0</v>
      </c>
      <c r="I161" s="238"/>
      <c r="K161" s="238"/>
    </row>
    <row r="162" spans="1:11">
      <c r="A162" s="542" t="s">
        <v>551</v>
      </c>
      <c r="B162" s="540">
        <f>B159-B160+B161</f>
        <v>20401.478999999999</v>
      </c>
      <c r="C162" s="540">
        <f t="shared" ref="C162:E162" si="28">C159-C160+C161</f>
        <v>19728.163410345296</v>
      </c>
      <c r="D162" s="540">
        <f t="shared" si="28"/>
        <v>4262.8178206905941</v>
      </c>
      <c r="E162" s="544">
        <f t="shared" si="28"/>
        <v>3589.5022310358927</v>
      </c>
      <c r="I162" s="238"/>
      <c r="K162" s="238"/>
    </row>
    <row r="163" spans="1:11">
      <c r="A163" s="542"/>
      <c r="B163" s="540"/>
      <c r="C163" s="540"/>
      <c r="D163" s="540"/>
      <c r="E163" s="544"/>
      <c r="I163" s="238"/>
      <c r="K163" s="238"/>
    </row>
    <row r="164" spans="1:11">
      <c r="A164" s="545" t="s">
        <v>552</v>
      </c>
      <c r="B164" s="540">
        <f>B121</f>
        <v>19728.163410345296</v>
      </c>
      <c r="C164" s="540">
        <f>C121</f>
        <v>4262.8178206905941</v>
      </c>
      <c r="D164" s="540">
        <f>D121</f>
        <v>3589.5022310358927</v>
      </c>
      <c r="E164" s="544">
        <f>E121</f>
        <v>2963.1546657557901</v>
      </c>
      <c r="K164" s="238"/>
    </row>
    <row r="165" spans="1:11">
      <c r="A165" s="542" t="s">
        <v>557</v>
      </c>
      <c r="B165" s="540">
        <f>B117</f>
        <v>673.31558965470151</v>
      </c>
      <c r="C165" s="540">
        <f>C117</f>
        <v>15465.345589654702</v>
      </c>
      <c r="D165" s="540">
        <f>D117</f>
        <v>673.31558965470151</v>
      </c>
      <c r="E165" s="544">
        <f>E117</f>
        <v>626.34756528010246</v>
      </c>
      <c r="K165" s="238"/>
    </row>
    <row r="166" spans="1:11">
      <c r="A166" s="542"/>
      <c r="B166" s="540"/>
      <c r="C166" s="540"/>
      <c r="D166" s="540"/>
      <c r="E166" s="544"/>
      <c r="K166" s="238"/>
    </row>
    <row r="167" spans="1:11">
      <c r="A167" s="545" t="s">
        <v>266</v>
      </c>
      <c r="B167" s="540">
        <f>J59</f>
        <v>155668.5</v>
      </c>
      <c r="C167" s="540">
        <f>K59</f>
        <v>101666.75</v>
      </c>
      <c r="D167" s="540">
        <f>L59</f>
        <v>59704.149999999994</v>
      </c>
      <c r="E167" s="544">
        <f>M59</f>
        <v>36489.149999999994</v>
      </c>
    </row>
    <row r="168" spans="1:11">
      <c r="A168" s="542" t="s">
        <v>356</v>
      </c>
      <c r="B168" s="540">
        <f>J49</f>
        <v>11000</v>
      </c>
      <c r="C168" s="540">
        <f>K49</f>
        <v>54001.75</v>
      </c>
      <c r="D168" s="540">
        <f>L49</f>
        <v>41962.600000000006</v>
      </c>
      <c r="E168" s="544">
        <f>M49</f>
        <v>23215</v>
      </c>
    </row>
    <row r="169" spans="1:11">
      <c r="A169" s="542"/>
      <c r="B169" s="540"/>
      <c r="C169" s="540"/>
      <c r="D169" s="540"/>
      <c r="E169" s="544"/>
    </row>
    <row r="170" spans="1:11">
      <c r="A170" s="541" t="s">
        <v>486</v>
      </c>
      <c r="B170" s="571">
        <f>FS!O97</f>
        <v>429795.20600000001</v>
      </c>
      <c r="C170" s="571">
        <f>FS!P97</f>
        <v>429795.20600000001</v>
      </c>
      <c r="D170" s="571">
        <f>FS!Q97</f>
        <v>429795.20600000001</v>
      </c>
      <c r="E170" s="573">
        <f>FS!R97</f>
        <v>429795.20600000001</v>
      </c>
    </row>
    <row r="171" spans="1:11">
      <c r="A171" s="542" t="s">
        <v>553</v>
      </c>
      <c r="B171" s="572">
        <f>FS!B122</f>
        <v>4.2000000000000003E-2</v>
      </c>
      <c r="C171" s="572">
        <f>B171</f>
        <v>4.2000000000000003E-2</v>
      </c>
      <c r="D171" s="572">
        <f t="shared" ref="D171:E171" si="29">C171</f>
        <v>4.2000000000000003E-2</v>
      </c>
      <c r="E171" s="574">
        <f t="shared" si="29"/>
        <v>4.2000000000000003E-2</v>
      </c>
    </row>
    <row r="172" spans="1:11">
      <c r="A172" s="542"/>
      <c r="B172" s="540"/>
      <c r="C172" s="540"/>
      <c r="D172" s="540"/>
      <c r="E172" s="544"/>
    </row>
    <row r="173" spans="1:11">
      <c r="A173" s="549" t="s">
        <v>355</v>
      </c>
      <c r="B173" s="550"/>
      <c r="C173" s="551"/>
      <c r="D173" s="551"/>
      <c r="E173" s="552"/>
    </row>
    <row r="174" spans="1:11">
      <c r="A174" s="543" t="s">
        <v>266</v>
      </c>
      <c r="B174" s="540">
        <f>K68</f>
        <v>2814.9350999999997</v>
      </c>
      <c r="C174" s="540">
        <f>L68</f>
        <v>2367.8880000000004</v>
      </c>
      <c r="D174" s="540">
        <f>M68</f>
        <v>2250.7280000000005</v>
      </c>
      <c r="E174" s="544">
        <f>N68</f>
        <v>1865.2197500000002</v>
      </c>
    </row>
    <row r="175" spans="1:11">
      <c r="A175" s="543" t="s">
        <v>552</v>
      </c>
      <c r="B175" s="540">
        <f>B123</f>
        <v>491.530592614</v>
      </c>
      <c r="C175" s="540">
        <f>C123</f>
        <v>301.07775261400002</v>
      </c>
      <c r="D175" s="540">
        <f>D123</f>
        <v>301.07775261400002</v>
      </c>
      <c r="E175" s="544">
        <f>E123</f>
        <v>186.654601614</v>
      </c>
    </row>
    <row r="176" spans="1:11">
      <c r="A176" s="559" t="s">
        <v>547</v>
      </c>
      <c r="B176" s="540">
        <f>B170*B171</f>
        <v>18051.398652</v>
      </c>
      <c r="C176" s="540">
        <f t="shared" ref="C176:E176" si="30">C170*C171</f>
        <v>18051.398652</v>
      </c>
      <c r="D176" s="540">
        <f t="shared" si="30"/>
        <v>18051.398652</v>
      </c>
      <c r="E176" s="544">
        <f t="shared" si="30"/>
        <v>18051.398652</v>
      </c>
    </row>
    <row r="177" spans="1:11">
      <c r="A177" s="541" t="s">
        <v>357</v>
      </c>
      <c r="B177" s="571">
        <f>SUM(B174:B176)</f>
        <v>21357.864344613998</v>
      </c>
      <c r="C177" s="571">
        <f t="shared" ref="C177:E177" si="31">SUM(C174:C176)</f>
        <v>20720.364404614</v>
      </c>
      <c r="D177" s="571">
        <f t="shared" si="31"/>
        <v>20603.204404614</v>
      </c>
      <c r="E177" s="573">
        <f t="shared" si="31"/>
        <v>20103.273003613998</v>
      </c>
    </row>
    <row r="181" spans="1:11">
      <c r="J181" s="180"/>
      <c r="K181" s="180"/>
    </row>
    <row r="185" spans="1:11">
      <c r="K185" s="238"/>
    </row>
    <row r="186" spans="1:11">
      <c r="K186" s="238"/>
    </row>
    <row r="187" spans="1:11">
      <c r="K187" s="238"/>
    </row>
    <row r="188" spans="1:11">
      <c r="K188" s="238"/>
    </row>
    <row r="189" spans="1:11">
      <c r="K189" s="238"/>
    </row>
    <row r="190" spans="1:11">
      <c r="G190" s="266"/>
      <c r="K190" s="238"/>
    </row>
    <row r="191" spans="1:11">
      <c r="G191" s="266"/>
      <c r="H191" s="265"/>
      <c r="K191" s="238"/>
    </row>
    <row r="192" spans="1:11">
      <c r="G192" s="266"/>
      <c r="H192" s="265"/>
      <c r="I192" s="238"/>
    </row>
    <row r="193" spans="8:9">
      <c r="H193" s="265"/>
      <c r="I193" s="238"/>
    </row>
    <row r="194" spans="8:9">
      <c r="I194" s="238"/>
    </row>
    <row r="195" spans="8:9">
      <c r="I195" s="238"/>
    </row>
    <row r="196" spans="8:9">
      <c r="I196" s="238"/>
    </row>
    <row r="197" spans="8:9">
      <c r="I197" s="238"/>
    </row>
    <row r="198" spans="8:9">
      <c r="I198" s="238"/>
    </row>
    <row r="199" spans="8:9">
      <c r="I199" s="238"/>
    </row>
    <row r="200" spans="8:9">
      <c r="I200" s="238"/>
    </row>
    <row r="201" spans="8:9">
      <c r="I201" s="238"/>
    </row>
    <row r="204" spans="8:9">
      <c r="I204" s="238"/>
    </row>
    <row r="205" spans="8:9">
      <c r="I205" s="238"/>
    </row>
    <row r="206" spans="8:9">
      <c r="I206" s="238"/>
    </row>
    <row r="207" spans="8:9">
      <c r="I207" s="238"/>
    </row>
    <row r="208" spans="8:9">
      <c r="I208" s="238"/>
    </row>
    <row r="209" spans="9:9">
      <c r="I209" s="238"/>
    </row>
    <row r="210" spans="9:9">
      <c r="I210" s="238"/>
    </row>
    <row r="211" spans="9:9">
      <c r="I211" s="238"/>
    </row>
    <row r="212" spans="9:9">
      <c r="I212" s="238"/>
    </row>
    <row r="213" spans="9:9">
      <c r="I213" s="238"/>
    </row>
  </sheetData>
  <phoneticPr fontId="49"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32"/>
  <sheetViews>
    <sheetView zoomScale="70" zoomScaleNormal="70" workbookViewId="0">
      <pane xSplit="2" ySplit="21" topLeftCell="C22" activePane="bottomRight" state="frozen"/>
      <selection pane="topRight" activeCell="C1" sqref="C1"/>
      <selection pane="bottomLeft" activeCell="A22" sqref="A22"/>
      <selection pane="bottomRight" activeCell="O27" sqref="O27"/>
    </sheetView>
  </sheetViews>
  <sheetFormatPr defaultRowHeight="15"/>
  <cols>
    <col min="1" max="1" width="23.875" style="2" bestFit="1" customWidth="1"/>
    <col min="2" max="2" width="22" style="2" bestFit="1" customWidth="1"/>
    <col min="3" max="3" width="10.75" style="2" bestFit="1" customWidth="1"/>
    <col min="4" max="4" width="6.5" style="2" bestFit="1" customWidth="1"/>
    <col min="5" max="5" width="10" style="2" bestFit="1" customWidth="1"/>
    <col min="6" max="6" width="6.5" style="2" bestFit="1" customWidth="1"/>
    <col min="7" max="7" width="9.375" style="2" bestFit="1" customWidth="1"/>
    <col min="8" max="8" width="6.5" style="2" bestFit="1" customWidth="1"/>
    <col min="9" max="9" width="9.375" style="2" bestFit="1" customWidth="1"/>
    <col min="10" max="10" width="6.5" style="2" bestFit="1" customWidth="1"/>
    <col min="11" max="11" width="9.375" style="2" bestFit="1" customWidth="1"/>
    <col min="12" max="12" width="6.5" style="2" bestFit="1" customWidth="1"/>
    <col min="13" max="13" width="9.375" style="2" bestFit="1" customWidth="1"/>
    <col min="14" max="14" width="6.5" style="2" customWidth="1"/>
    <col min="15" max="15" width="9.75" style="2" bestFit="1" customWidth="1"/>
    <col min="16" max="16" width="6.5" style="2" customWidth="1"/>
    <col min="17" max="17" width="9.75" style="2" bestFit="1" customWidth="1"/>
    <col min="18" max="18" width="6.5" style="2" customWidth="1"/>
    <col min="19" max="19" width="10.75" style="2" bestFit="1" customWidth="1"/>
    <col min="20" max="20" width="6.5" style="2" bestFit="1" customWidth="1"/>
    <col min="21" max="21" width="9.375" style="2" bestFit="1" customWidth="1"/>
    <col min="22" max="22" width="6.5" style="2" bestFit="1" customWidth="1"/>
    <col min="23" max="23" width="9.375" style="2" bestFit="1" customWidth="1"/>
    <col min="24" max="24" width="6.5" style="2" bestFit="1" customWidth="1"/>
    <col min="25" max="25" width="9.375" style="2" bestFit="1" customWidth="1"/>
    <col min="26" max="26" width="6.5" style="2" bestFit="1" customWidth="1"/>
    <col min="27" max="27" width="9.375" style="2" bestFit="1" customWidth="1"/>
    <col min="28" max="28" width="6.5" style="2" bestFit="1" customWidth="1"/>
    <col min="29" max="29" width="9.375" style="2" bestFit="1" customWidth="1"/>
    <col min="30" max="30" width="6.5" style="2" bestFit="1" customWidth="1"/>
    <col min="31" max="31" width="10" style="2" customWidth="1"/>
    <col min="32" max="32" width="6.5" style="2" customWidth="1"/>
    <col min="33" max="33" width="11" style="2" customWidth="1"/>
    <col min="34" max="34" width="6.5" style="2" customWidth="1"/>
    <col min="35" max="35" width="10.75" style="2" bestFit="1" customWidth="1"/>
    <col min="36" max="36" width="6.5" style="2" bestFit="1" customWidth="1"/>
    <col min="37" max="37" width="9.625" style="2" customWidth="1"/>
    <col min="38" max="38" width="6.25" style="2" customWidth="1"/>
    <col min="39" max="39" width="9.375" style="2" bestFit="1" customWidth="1"/>
    <col min="40" max="40" width="6.5" style="2" bestFit="1" customWidth="1"/>
    <col min="41" max="41" width="9.375" style="2" bestFit="1" customWidth="1"/>
    <col min="42" max="42" width="6.5" style="2" bestFit="1" customWidth="1"/>
    <col min="43" max="44" width="6.875" style="2" customWidth="1"/>
    <col min="45" max="45" width="8.625" style="2" bestFit="1" customWidth="1"/>
    <col min="46" max="46" width="5.75" style="2" bestFit="1" customWidth="1"/>
    <col min="47" max="47" width="8.625" style="2" bestFit="1" customWidth="1"/>
    <col min="48" max="48" width="5.75" style="2" customWidth="1"/>
    <col min="49" max="49" width="8.625" style="2" bestFit="1" customWidth="1"/>
    <col min="50" max="50" width="5.75" style="2" customWidth="1"/>
    <col min="51" max="51" width="10.75" style="2" bestFit="1" customWidth="1"/>
    <col min="52" max="52" width="6.5" style="2" bestFit="1" customWidth="1"/>
    <col min="53" max="54" width="6.75" style="2" customWidth="1"/>
    <col min="55" max="56" width="7.125" style="2" customWidth="1"/>
    <col min="57" max="58" width="7.75" style="2" customWidth="1"/>
    <col min="59" max="60" width="6.75" style="2" customWidth="1"/>
    <col min="61" max="61" width="3.375" style="2" bestFit="1" customWidth="1"/>
    <col min="62" max="62" width="4.25" style="2" bestFit="1" customWidth="1"/>
    <col min="63" max="63" width="10.625" style="2" customWidth="1"/>
    <col min="64" max="16384" width="9" style="2"/>
  </cols>
  <sheetData>
    <row r="1" spans="1:66">
      <c r="A1" s="2" t="s">
        <v>763</v>
      </c>
    </row>
    <row r="2" spans="1:66">
      <c r="A2" s="949" t="s">
        <v>759</v>
      </c>
    </row>
    <row r="3" spans="1:66" s="9" customFormat="1">
      <c r="A3" s="2" t="s">
        <v>556</v>
      </c>
      <c r="C3" s="969">
        <v>2018</v>
      </c>
      <c r="D3" s="969"/>
      <c r="E3" s="969"/>
      <c r="F3" s="969"/>
      <c r="G3" s="969"/>
      <c r="H3" s="969"/>
      <c r="I3" s="969"/>
      <c r="J3" s="969"/>
      <c r="K3" s="969"/>
      <c r="L3" s="969"/>
      <c r="M3" s="969"/>
      <c r="N3" s="969"/>
      <c r="O3" s="969"/>
      <c r="P3" s="969"/>
      <c r="Q3" s="969"/>
      <c r="R3" s="969"/>
      <c r="S3" s="970">
        <v>2019</v>
      </c>
      <c r="T3" s="970"/>
      <c r="U3" s="970"/>
      <c r="V3" s="970"/>
      <c r="W3" s="970"/>
      <c r="X3" s="970"/>
      <c r="Y3" s="970"/>
      <c r="Z3" s="970"/>
      <c r="AA3" s="970"/>
      <c r="AB3" s="970"/>
      <c r="AC3" s="970"/>
      <c r="AD3" s="970"/>
      <c r="AE3" s="970"/>
      <c r="AF3" s="970"/>
      <c r="AG3" s="970"/>
      <c r="AH3" s="970"/>
      <c r="AI3" s="969">
        <v>2020</v>
      </c>
      <c r="AJ3" s="969"/>
      <c r="AK3" s="969"/>
      <c r="AL3" s="969"/>
      <c r="AM3" s="969"/>
      <c r="AN3" s="969"/>
      <c r="AO3" s="969"/>
      <c r="AP3" s="969"/>
      <c r="AQ3" s="969"/>
      <c r="AR3" s="969"/>
      <c r="AS3" s="969"/>
      <c r="AT3" s="969"/>
      <c r="AU3" s="969"/>
      <c r="AV3" s="969"/>
      <c r="AW3" s="969"/>
      <c r="AX3" s="969"/>
      <c r="AY3" s="970">
        <v>2021</v>
      </c>
      <c r="AZ3" s="970"/>
      <c r="BA3" s="970"/>
      <c r="BB3" s="970"/>
      <c r="BC3" s="970"/>
      <c r="BD3" s="970"/>
      <c r="BE3" s="970"/>
      <c r="BF3" s="970"/>
      <c r="BG3" s="970"/>
      <c r="BH3" s="970"/>
      <c r="BI3" s="970"/>
      <c r="BJ3" s="970"/>
      <c r="BK3" s="970"/>
      <c r="BL3" s="970"/>
      <c r="BM3" s="970"/>
      <c r="BN3" s="970"/>
    </row>
    <row r="4" spans="1:66">
      <c r="C4" s="971" t="s">
        <v>558</v>
      </c>
      <c r="D4" s="971"/>
      <c r="E4" s="971" t="s">
        <v>559</v>
      </c>
      <c r="F4" s="971"/>
      <c r="G4" s="971" t="s">
        <v>560</v>
      </c>
      <c r="H4" s="971"/>
      <c r="I4" s="971" t="s">
        <v>561</v>
      </c>
      <c r="J4" s="971"/>
      <c r="K4" s="971" t="s">
        <v>562</v>
      </c>
      <c r="L4" s="971"/>
      <c r="M4" s="971" t="s">
        <v>563</v>
      </c>
      <c r="N4" s="971"/>
      <c r="O4" s="854"/>
      <c r="P4" s="854"/>
      <c r="Q4" s="856"/>
      <c r="R4" s="856"/>
      <c r="S4" s="968" t="s">
        <v>558</v>
      </c>
      <c r="T4" s="968"/>
      <c r="U4" s="968" t="s">
        <v>559</v>
      </c>
      <c r="V4" s="968"/>
      <c r="W4" s="968" t="s">
        <v>560</v>
      </c>
      <c r="X4" s="968"/>
      <c r="Y4" s="968" t="s">
        <v>561</v>
      </c>
      <c r="Z4" s="968"/>
      <c r="AA4" s="968" t="s">
        <v>562</v>
      </c>
      <c r="AB4" s="968"/>
      <c r="AC4" s="968" t="s">
        <v>563</v>
      </c>
      <c r="AD4" s="968"/>
      <c r="AE4" s="855"/>
      <c r="AF4" s="855"/>
      <c r="AG4" s="857"/>
      <c r="AH4" s="857"/>
      <c r="AI4" s="971" t="s">
        <v>558</v>
      </c>
      <c r="AJ4" s="971"/>
      <c r="AK4" s="971" t="s">
        <v>559</v>
      </c>
      <c r="AL4" s="971"/>
      <c r="AM4" s="971" t="s">
        <v>560</v>
      </c>
      <c r="AN4" s="971"/>
      <c r="AO4" s="971" t="s">
        <v>561</v>
      </c>
      <c r="AP4" s="971"/>
      <c r="AQ4" s="971" t="s">
        <v>562</v>
      </c>
      <c r="AR4" s="971"/>
      <c r="AS4" s="971" t="s">
        <v>563</v>
      </c>
      <c r="AT4" s="971"/>
      <c r="AU4" s="854"/>
      <c r="AV4" s="854"/>
      <c r="AW4" s="856"/>
      <c r="AX4" s="856"/>
      <c r="AY4" s="968" t="s">
        <v>558</v>
      </c>
      <c r="AZ4" s="968"/>
      <c r="BA4" s="968" t="s">
        <v>559</v>
      </c>
      <c r="BB4" s="968"/>
      <c r="BC4" s="968" t="s">
        <v>560</v>
      </c>
      <c r="BD4" s="968"/>
      <c r="BE4" s="968" t="s">
        <v>561</v>
      </c>
      <c r="BF4" s="968"/>
      <c r="BG4" s="968" t="s">
        <v>562</v>
      </c>
      <c r="BH4" s="968"/>
      <c r="BI4" s="968" t="s">
        <v>563</v>
      </c>
      <c r="BJ4" s="968"/>
      <c r="BK4" s="968"/>
      <c r="BL4" s="968"/>
      <c r="BM4" s="968"/>
      <c r="BN4" s="968"/>
    </row>
    <row r="5" spans="1:66">
      <c r="A5" s="2" t="s">
        <v>564</v>
      </c>
      <c r="C5" s="575">
        <v>4897481.3912619594</v>
      </c>
      <c r="D5" s="576"/>
      <c r="E5" s="577">
        <v>4984736</v>
      </c>
      <c r="F5" s="576"/>
      <c r="G5" s="577">
        <v>4622828</v>
      </c>
      <c r="H5" s="576"/>
      <c r="I5" s="577">
        <v>5513808</v>
      </c>
      <c r="J5" s="576"/>
      <c r="K5" s="577">
        <v>4995847</v>
      </c>
      <c r="L5" s="576"/>
      <c r="M5" s="577">
        <v>4675195</v>
      </c>
      <c r="N5" s="576"/>
      <c r="O5" s="576"/>
      <c r="P5" s="576"/>
      <c r="Q5" s="576"/>
      <c r="R5" s="576"/>
      <c r="S5" s="578">
        <v>4926105.9388088752</v>
      </c>
      <c r="T5" s="579"/>
      <c r="U5" s="580">
        <v>5156662</v>
      </c>
      <c r="V5" s="579"/>
      <c r="W5" s="580">
        <v>5008366</v>
      </c>
      <c r="X5" s="581"/>
      <c r="Y5" s="580">
        <v>6079518</v>
      </c>
      <c r="Z5" s="579"/>
      <c r="AA5" s="580">
        <v>5196138</v>
      </c>
      <c r="AB5" s="579"/>
      <c r="AC5" s="580">
        <v>4811018</v>
      </c>
      <c r="AD5" s="579"/>
      <c r="AE5" s="579"/>
      <c r="AF5" s="579"/>
      <c r="AG5" s="579"/>
      <c r="AH5" s="579"/>
      <c r="AI5" s="575">
        <v>5014255.7531733662</v>
      </c>
      <c r="AJ5" s="576"/>
      <c r="AK5" s="577"/>
      <c r="AM5" s="577">
        <v>5180359</v>
      </c>
      <c r="AO5" s="577">
        <v>7057471</v>
      </c>
      <c r="AQ5" s="577"/>
      <c r="AS5" s="577"/>
      <c r="AY5" s="578">
        <v>5101612.7580029881</v>
      </c>
      <c r="AZ5" s="579"/>
      <c r="BA5" s="580"/>
      <c r="BB5" s="581"/>
      <c r="BC5" s="580"/>
      <c r="BD5" s="581"/>
      <c r="BE5" s="580"/>
      <c r="BF5" s="581"/>
      <c r="BG5" s="580"/>
      <c r="BH5" s="581"/>
      <c r="BI5" s="580"/>
      <c r="BJ5" s="581"/>
      <c r="BK5" s="581"/>
      <c r="BL5" s="581"/>
      <c r="BM5" s="581"/>
      <c r="BN5" s="581"/>
    </row>
    <row r="6" spans="1:66">
      <c r="A6" s="2" t="s">
        <v>43</v>
      </c>
      <c r="B6" s="2" t="s">
        <v>565</v>
      </c>
      <c r="C6" s="575">
        <v>348093.2559309043</v>
      </c>
      <c r="D6" s="576">
        <v>7.1075973162852454E-2</v>
      </c>
      <c r="E6" s="577">
        <v>335248</v>
      </c>
      <c r="F6" s="576">
        <f>E6/$E$5</f>
        <v>6.725491580697554E-2</v>
      </c>
      <c r="G6" s="577">
        <v>347923</v>
      </c>
      <c r="H6" s="576">
        <f>G6/$G$5</f>
        <v>7.5261939228541491E-2</v>
      </c>
      <c r="I6" s="577">
        <v>421173</v>
      </c>
      <c r="J6" s="576">
        <f>I6/$I$5</f>
        <v>7.6385140723071968E-2</v>
      </c>
      <c r="K6" s="577">
        <v>395253</v>
      </c>
      <c r="L6" s="576">
        <f>K6/$K$5</f>
        <v>7.9116314010417049E-2</v>
      </c>
      <c r="M6" s="577">
        <v>329650</v>
      </c>
      <c r="N6" s="576">
        <f>M6/$M$5</f>
        <v>7.051042790728515E-2</v>
      </c>
      <c r="O6" s="576"/>
      <c r="P6" s="576"/>
      <c r="Q6" s="576"/>
      <c r="R6" s="576"/>
      <c r="S6" s="578">
        <v>324221.23963844683</v>
      </c>
      <c r="T6" s="579">
        <v>6.5816944187936613E-2</v>
      </c>
      <c r="U6" s="580">
        <v>359825</v>
      </c>
      <c r="V6" s="579">
        <f>U6/$U$5</f>
        <v>6.9778666897306829E-2</v>
      </c>
      <c r="W6" s="580">
        <v>388239</v>
      </c>
      <c r="X6" s="579">
        <f>W6/$W$5</f>
        <v>7.7518096720567142E-2</v>
      </c>
      <c r="Y6" s="580">
        <v>493838</v>
      </c>
      <c r="Z6" s="579">
        <f>Y6/$Y$5</f>
        <v>8.1229794862026888E-2</v>
      </c>
      <c r="AA6" s="580">
        <v>414469</v>
      </c>
      <c r="AB6" s="579">
        <f>AA6/$AA$5</f>
        <v>7.9764817639562308E-2</v>
      </c>
      <c r="AC6" s="580">
        <v>352795</v>
      </c>
      <c r="AD6" s="579">
        <f>AC6/$AC$5</f>
        <v>7.333063397393233E-2</v>
      </c>
      <c r="AE6" s="579"/>
      <c r="AF6" s="579"/>
      <c r="AG6" s="579"/>
      <c r="AH6" s="579"/>
      <c r="AI6" s="575">
        <v>306571.10526219383</v>
      </c>
      <c r="AJ6" s="576">
        <v>6.1139901982098649E-2</v>
      </c>
      <c r="AK6" s="577"/>
      <c r="AL6" s="577"/>
      <c r="AM6" s="577">
        <v>407123</v>
      </c>
      <c r="AN6" s="576">
        <f>AM6/$AM$5</f>
        <v>7.8589727082621103E-2</v>
      </c>
      <c r="AO6" s="577">
        <v>597189</v>
      </c>
      <c r="AP6" s="576">
        <f>AO6/$AO$5</f>
        <v>8.461798851174876E-2</v>
      </c>
      <c r="AQ6" s="577"/>
      <c r="AR6" s="577"/>
      <c r="AS6" s="577"/>
      <c r="AT6" s="577"/>
      <c r="AU6" s="577"/>
      <c r="AV6" s="577"/>
      <c r="AW6" s="577"/>
      <c r="AX6" s="577"/>
      <c r="AY6" s="578">
        <v>303305.08679126669</v>
      </c>
      <c r="AZ6" s="579">
        <v>5.9452785065951301E-2</v>
      </c>
      <c r="BA6" s="580"/>
      <c r="BB6" s="580"/>
      <c r="BC6" s="580"/>
      <c r="BD6" s="580"/>
      <c r="BE6" s="580"/>
      <c r="BF6" s="580"/>
      <c r="BG6" s="580"/>
      <c r="BH6" s="580"/>
      <c r="BI6" s="580"/>
      <c r="BJ6" s="580"/>
      <c r="BK6" s="581"/>
      <c r="BL6" s="581"/>
      <c r="BM6" s="581"/>
      <c r="BN6" s="581"/>
    </row>
    <row r="7" spans="1:66">
      <c r="A7" s="2" t="s">
        <v>50</v>
      </c>
      <c r="B7" s="2" t="s">
        <v>566</v>
      </c>
      <c r="C7" s="575">
        <v>152194.00028042591</v>
      </c>
      <c r="D7" s="576">
        <v>3.1075973162852447E-2</v>
      </c>
      <c r="E7" s="577">
        <v>166681</v>
      </c>
      <c r="F7" s="576">
        <f t="shared" ref="F7:F9" si="0">E7/$E$5</f>
        <v>3.3438280382351242E-2</v>
      </c>
      <c r="G7" s="577">
        <v>175167</v>
      </c>
      <c r="H7" s="576">
        <f t="shared" ref="H7:H9" si="1">G7/$G$5</f>
        <v>3.789174072667207E-2</v>
      </c>
      <c r="I7" s="577">
        <v>271963</v>
      </c>
      <c r="J7" s="576">
        <f t="shared" ref="J7:J9" si="2">I7/$I$5</f>
        <v>4.9323988067774577E-2</v>
      </c>
      <c r="K7" s="577">
        <v>134306</v>
      </c>
      <c r="L7" s="576">
        <f t="shared" ref="L7:L9" si="3">K7/$K$5</f>
        <v>2.6883529459569119E-2</v>
      </c>
      <c r="M7" s="577">
        <v>169873</v>
      </c>
      <c r="N7" s="576">
        <f t="shared" ref="N7:N9" si="4">M7/$M$5</f>
        <v>3.6334955012571668E-2</v>
      </c>
      <c r="O7" s="576"/>
      <c r="P7" s="576"/>
      <c r="Q7" s="576"/>
      <c r="R7" s="576"/>
      <c r="S7" s="578">
        <v>127177.00208609182</v>
      </c>
      <c r="T7" s="579">
        <v>2.5816944187936612E-2</v>
      </c>
      <c r="U7" s="580">
        <v>185978</v>
      </c>
      <c r="V7" s="579">
        <f t="shared" ref="V7:V9" si="5">U7/$U$5</f>
        <v>3.6065578857020296E-2</v>
      </c>
      <c r="W7" s="580">
        <v>209637</v>
      </c>
      <c r="X7" s="579">
        <f t="shared" ref="X7:X9" si="6">W7/$W$5</f>
        <v>4.1857364258123309E-2</v>
      </c>
      <c r="Y7" s="580">
        <v>312652</v>
      </c>
      <c r="Z7" s="579">
        <f>Y7/$Y$5</f>
        <v>5.142710326706821E-2</v>
      </c>
      <c r="AA7" s="580">
        <v>145986</v>
      </c>
      <c r="AB7" s="579">
        <f t="shared" ref="AB7:AB9" si="7">AA7/$AA$5</f>
        <v>2.8095096781494255E-2</v>
      </c>
      <c r="AC7" s="580">
        <v>198770</v>
      </c>
      <c r="AD7" s="579">
        <f t="shared" ref="AD7:AD9" si="8">AC7/$AC$5</f>
        <v>4.131558019529339E-2</v>
      </c>
      <c r="AE7" s="579"/>
      <c r="AF7" s="579"/>
      <c r="AG7" s="579"/>
      <c r="AH7" s="579"/>
      <c r="AI7" s="575">
        <v>124482.77937231786</v>
      </c>
      <c r="AJ7" s="576">
        <v>2.4825773853584671E-2</v>
      </c>
      <c r="AK7" s="577"/>
      <c r="AL7" s="577"/>
      <c r="AM7" s="577">
        <v>225672</v>
      </c>
      <c r="AN7" s="576">
        <f t="shared" ref="AN7:AN9" si="9">AM7/$AM$5</f>
        <v>4.3563004031187798E-2</v>
      </c>
      <c r="AO7" s="577">
        <v>406638</v>
      </c>
      <c r="AP7" s="576">
        <f t="shared" ref="AP7:AP9" si="10">AO7/$AO$5</f>
        <v>5.7618090106215103E-2</v>
      </c>
      <c r="AQ7" s="577"/>
      <c r="AR7" s="577"/>
      <c r="AS7" s="577"/>
      <c r="AT7" s="577"/>
      <c r="AU7" s="577"/>
      <c r="AV7" s="577"/>
      <c r="AW7" s="577"/>
      <c r="AX7" s="577"/>
      <c r="AY7" s="578">
        <v>118044.4674350846</v>
      </c>
      <c r="AZ7" s="579">
        <v>2.3138656937437326E-2</v>
      </c>
      <c r="BA7" s="580"/>
      <c r="BB7" s="580"/>
      <c r="BC7" s="580"/>
      <c r="BD7" s="580"/>
      <c r="BE7" s="580"/>
      <c r="BF7" s="580"/>
      <c r="BG7" s="580"/>
      <c r="BH7" s="580"/>
      <c r="BI7" s="580"/>
      <c r="BJ7" s="580"/>
      <c r="BK7" s="581"/>
      <c r="BL7" s="581"/>
      <c r="BM7" s="581"/>
      <c r="BN7" s="581"/>
    </row>
    <row r="8" spans="1:66">
      <c r="A8" s="2" t="s">
        <v>62</v>
      </c>
      <c r="B8" s="2" t="s">
        <v>63</v>
      </c>
      <c r="C8" s="575">
        <v>143345.11080882241</v>
      </c>
      <c r="D8" s="576">
        <v>2.9269148641294977E-2</v>
      </c>
      <c r="E8" s="577">
        <v>147166</v>
      </c>
      <c r="F8" s="576">
        <f t="shared" si="0"/>
        <v>2.952332881821625E-2</v>
      </c>
      <c r="G8" s="577">
        <v>138306</v>
      </c>
      <c r="H8" s="576">
        <f t="shared" si="1"/>
        <v>2.9918050163233414E-2</v>
      </c>
      <c r="I8" s="577">
        <v>231328</v>
      </c>
      <c r="J8" s="576">
        <f t="shared" si="2"/>
        <v>4.1954308165971683E-2</v>
      </c>
      <c r="K8" s="577">
        <v>131321</v>
      </c>
      <c r="L8" s="576">
        <f t="shared" si="3"/>
        <v>2.6286033179158608E-2</v>
      </c>
      <c r="M8" s="577">
        <v>143062</v>
      </c>
      <c r="N8" s="576">
        <f t="shared" si="4"/>
        <v>3.0600220953350608E-2</v>
      </c>
      <c r="O8" s="576"/>
      <c r="P8" s="576"/>
      <c r="Q8" s="576"/>
      <c r="R8" s="576"/>
      <c r="S8" s="578">
        <v>123068.63162576608</v>
      </c>
      <c r="T8" s="579">
        <v>2.4982944572142899E-2</v>
      </c>
      <c r="U8" s="580">
        <v>157093</v>
      </c>
      <c r="V8" s="579">
        <f t="shared" si="5"/>
        <v>3.046408703925136E-2</v>
      </c>
      <c r="W8" s="580">
        <v>161958</v>
      </c>
      <c r="X8" s="579">
        <f t="shared" si="6"/>
        <v>3.2337492906868229E-2</v>
      </c>
      <c r="Y8" s="580">
        <v>265467</v>
      </c>
      <c r="Z8" s="579">
        <f>Y8/$Y$5</f>
        <v>4.3665797189843009E-2</v>
      </c>
      <c r="AA8" s="580">
        <v>141327</v>
      </c>
      <c r="AB8" s="579">
        <f t="shared" si="7"/>
        <v>2.7198469324717704E-2</v>
      </c>
      <c r="AC8" s="580">
        <v>167331</v>
      </c>
      <c r="AD8" s="579">
        <f t="shared" si="8"/>
        <v>3.4780788598171949E-2</v>
      </c>
      <c r="AE8" s="579"/>
      <c r="AF8" s="579"/>
      <c r="AG8" s="579"/>
      <c r="AH8" s="579"/>
      <c r="AI8" s="575">
        <v>121846.2010130532</v>
      </c>
      <c r="AJ8" s="576">
        <v>2.429995736375045E-2</v>
      </c>
      <c r="AK8" s="577"/>
      <c r="AL8" s="577"/>
      <c r="AM8" s="577">
        <v>173686</v>
      </c>
      <c r="AN8" s="576">
        <f t="shared" si="9"/>
        <v>3.3527792185831136E-2</v>
      </c>
      <c r="AO8" s="577">
        <v>346475</v>
      </c>
      <c r="AP8" s="576">
        <f t="shared" si="10"/>
        <v>4.9093365031184687E-2</v>
      </c>
      <c r="AQ8" s="577"/>
      <c r="AR8" s="577"/>
      <c r="AS8" s="577"/>
      <c r="AT8" s="577"/>
      <c r="AU8" s="577"/>
      <c r="AV8" s="577"/>
      <c r="AW8" s="577"/>
      <c r="AX8" s="577"/>
      <c r="AY8" s="578">
        <v>121379.84124081687</v>
      </c>
      <c r="AZ8" s="579">
        <v>2.3792445055812246E-2</v>
      </c>
      <c r="BA8" s="580"/>
      <c r="BB8" s="580"/>
      <c r="BC8" s="580"/>
      <c r="BD8" s="580"/>
      <c r="BE8" s="580"/>
      <c r="BF8" s="580"/>
      <c r="BG8" s="580"/>
      <c r="BH8" s="580"/>
      <c r="BI8" s="580"/>
      <c r="BJ8" s="580"/>
      <c r="BK8" s="581"/>
      <c r="BL8" s="581"/>
      <c r="BM8" s="581"/>
      <c r="BN8" s="581"/>
    </row>
    <row r="9" spans="1:66">
      <c r="A9" s="2" t="s">
        <v>471</v>
      </c>
      <c r="B9" s="2" t="s">
        <v>54</v>
      </c>
      <c r="C9" s="575">
        <v>210591.69982426439</v>
      </c>
      <c r="D9" s="576">
        <v>4.3000000000000024E-2</v>
      </c>
      <c r="E9" s="577">
        <v>227400</v>
      </c>
      <c r="F9" s="576">
        <f t="shared" si="0"/>
        <v>4.5619266496761311E-2</v>
      </c>
      <c r="G9" s="577">
        <v>234000</v>
      </c>
      <c r="H9" s="576">
        <f t="shared" si="1"/>
        <v>5.0618366073753987E-2</v>
      </c>
      <c r="I9" s="577">
        <v>328525</v>
      </c>
      <c r="J9" s="576">
        <f t="shared" si="2"/>
        <v>5.9582234274388954E-2</v>
      </c>
      <c r="K9" s="577">
        <v>199104</v>
      </c>
      <c r="L9" s="576">
        <f t="shared" si="3"/>
        <v>3.9853902651542372E-2</v>
      </c>
      <c r="M9" s="577">
        <v>232434</v>
      </c>
      <c r="N9" s="576">
        <f t="shared" si="4"/>
        <v>4.9716428940397135E-2</v>
      </c>
      <c r="O9" s="576"/>
      <c r="P9" s="576"/>
      <c r="Q9" s="576"/>
      <c r="R9" s="576"/>
      <c r="S9" s="578">
        <v>211822.55536878097</v>
      </c>
      <c r="T9" s="579">
        <v>4.2999999999999865E-2</v>
      </c>
      <c r="U9" s="580">
        <v>252800</v>
      </c>
      <c r="V9" s="579">
        <f t="shared" si="5"/>
        <v>4.9023961624787511E-2</v>
      </c>
      <c r="W9" s="580">
        <v>266000</v>
      </c>
      <c r="X9" s="579">
        <f t="shared" si="6"/>
        <v>5.3111134449838532E-2</v>
      </c>
      <c r="Y9" s="580">
        <v>382825</v>
      </c>
      <c r="Z9" s="579">
        <f>Y9/$Y$5</f>
        <v>6.2969630158180301E-2</v>
      </c>
      <c r="AA9" s="580">
        <v>216358</v>
      </c>
      <c r="AB9" s="579">
        <f t="shared" si="7"/>
        <v>4.1638232086984604E-2</v>
      </c>
      <c r="AC9" s="580">
        <v>267246</v>
      </c>
      <c r="AD9" s="579">
        <f t="shared" si="8"/>
        <v>5.5548742490674534E-2</v>
      </c>
      <c r="AE9" s="579"/>
      <c r="AF9" s="579"/>
      <c r="AG9" s="579"/>
      <c r="AH9" s="579"/>
      <c r="AI9" s="575">
        <v>234094.90162351323</v>
      </c>
      <c r="AJ9" s="576">
        <v>4.6685871871485984E-2</v>
      </c>
      <c r="AK9" s="577"/>
      <c r="AL9" s="577"/>
      <c r="AM9" s="2">
        <v>282000</v>
      </c>
      <c r="AN9" s="576">
        <f t="shared" si="9"/>
        <v>5.4436381725668045E-2</v>
      </c>
      <c r="AO9" s="577">
        <v>487898</v>
      </c>
      <c r="AP9" s="576">
        <f t="shared" si="10"/>
        <v>6.9132129625470648E-2</v>
      </c>
      <c r="AQ9" s="577"/>
      <c r="AR9" s="577"/>
      <c r="AS9" s="577"/>
      <c r="AT9" s="577"/>
      <c r="AU9" s="577"/>
      <c r="AV9" s="577"/>
      <c r="AW9" s="577"/>
      <c r="AX9" s="577"/>
      <c r="AY9" s="578">
        <v>238173.23955806522</v>
      </c>
      <c r="AZ9" s="579">
        <v>4.6685871871485887E-2</v>
      </c>
      <c r="BA9" s="580"/>
      <c r="BB9" s="580"/>
      <c r="BC9" s="580"/>
      <c r="BD9" s="580"/>
      <c r="BE9" s="580"/>
      <c r="BF9" s="580"/>
      <c r="BG9" s="580"/>
      <c r="BH9" s="580"/>
      <c r="BI9" s="580"/>
      <c r="BJ9" s="580"/>
      <c r="BK9" s="581"/>
      <c r="BL9" s="581"/>
      <c r="BM9" s="581"/>
      <c r="BN9" s="581"/>
    </row>
    <row r="10" spans="1:66">
      <c r="A10" s="2" t="s">
        <v>73</v>
      </c>
      <c r="C10" s="575">
        <v>148355.07633995399</v>
      </c>
      <c r="D10" s="576"/>
      <c r="E10" s="577">
        <v>60000</v>
      </c>
      <c r="F10" s="576"/>
      <c r="G10" s="577">
        <v>59308</v>
      </c>
      <c r="H10" s="576"/>
      <c r="I10" s="577">
        <v>130000</v>
      </c>
      <c r="J10" s="576"/>
      <c r="K10" s="577">
        <v>58000</v>
      </c>
      <c r="L10" s="576"/>
      <c r="M10" s="577">
        <v>60000</v>
      </c>
      <c r="N10" s="576"/>
      <c r="O10" s="576"/>
      <c r="P10" s="576"/>
      <c r="Q10" s="576"/>
      <c r="R10" s="576"/>
      <c r="S10" s="578">
        <v>177969.12243310397</v>
      </c>
      <c r="T10" s="579"/>
      <c r="U10" s="580">
        <v>60000</v>
      </c>
      <c r="V10" s="579"/>
      <c r="W10" s="581">
        <v>64255</v>
      </c>
      <c r="X10" s="581"/>
      <c r="Y10" s="580">
        <v>130000</v>
      </c>
      <c r="Z10" s="579"/>
      <c r="AA10" s="581">
        <v>59000</v>
      </c>
      <c r="AB10" s="579"/>
      <c r="AC10" s="580">
        <v>60000</v>
      </c>
      <c r="AD10" s="579"/>
      <c r="AE10" s="579"/>
      <c r="AF10" s="579"/>
      <c r="AG10" s="579"/>
      <c r="AH10" s="579"/>
      <c r="AI10" s="575">
        <v>149799.41381103729</v>
      </c>
      <c r="AJ10" s="576"/>
      <c r="AK10" s="577"/>
      <c r="AM10" s="2">
        <v>66461</v>
      </c>
      <c r="AO10" s="577">
        <v>130000</v>
      </c>
      <c r="AP10" s="576"/>
      <c r="AQ10" s="577"/>
      <c r="AS10" s="577"/>
      <c r="AY10" s="578">
        <v>63099.899230711453</v>
      </c>
      <c r="AZ10" s="579"/>
      <c r="BA10" s="580"/>
      <c r="BB10" s="581"/>
      <c r="BC10" s="580"/>
      <c r="BD10" s="581"/>
      <c r="BE10" s="580"/>
      <c r="BF10" s="581"/>
      <c r="BG10" s="580"/>
      <c r="BH10" s="581"/>
      <c r="BI10" s="580"/>
      <c r="BJ10" s="581"/>
      <c r="BK10" s="581"/>
      <c r="BL10" s="581"/>
      <c r="BM10" s="581"/>
      <c r="BN10" s="581"/>
    </row>
    <row r="11" spans="1:66">
      <c r="C11" s="575"/>
      <c r="D11" s="576"/>
      <c r="E11" s="577"/>
      <c r="F11" s="576"/>
      <c r="G11" s="577"/>
      <c r="H11" s="576"/>
      <c r="I11" s="577"/>
      <c r="J11" s="576"/>
      <c r="K11" s="577"/>
      <c r="L11" s="576"/>
      <c r="M11" s="577"/>
      <c r="N11" s="576"/>
      <c r="O11" s="576"/>
      <c r="P11" s="576"/>
      <c r="Q11" s="576"/>
      <c r="R11" s="576"/>
      <c r="S11" s="578"/>
      <c r="T11" s="579"/>
      <c r="U11" s="580"/>
      <c r="V11" s="579"/>
      <c r="W11" s="581"/>
      <c r="X11" s="581"/>
      <c r="Y11" s="580"/>
      <c r="Z11" s="579"/>
      <c r="AA11" s="581"/>
      <c r="AB11" s="579"/>
      <c r="AC11" s="580"/>
      <c r="AD11" s="579"/>
      <c r="AE11" s="579"/>
      <c r="AF11" s="579"/>
      <c r="AG11" s="579"/>
      <c r="AH11" s="579"/>
      <c r="AI11" s="575"/>
      <c r="AJ11" s="576"/>
      <c r="AK11" s="577"/>
      <c r="AO11" s="577"/>
      <c r="AP11" s="576"/>
      <c r="AQ11" s="577"/>
      <c r="AS11" s="577"/>
      <c r="AY11" s="578"/>
      <c r="AZ11" s="579"/>
      <c r="BA11" s="580"/>
      <c r="BB11" s="581"/>
      <c r="BC11" s="580"/>
      <c r="BD11" s="581"/>
      <c r="BE11" s="580"/>
      <c r="BF11" s="581"/>
      <c r="BG11" s="580"/>
      <c r="BH11" s="581"/>
      <c r="BI11" s="580"/>
      <c r="BJ11" s="581"/>
      <c r="BK11" s="581"/>
      <c r="BL11" s="581"/>
      <c r="BM11" s="581"/>
      <c r="BN11" s="581"/>
    </row>
    <row r="12" spans="1:66">
      <c r="A12" s="2" t="s">
        <v>764</v>
      </c>
      <c r="C12" s="575"/>
      <c r="D12" s="576"/>
      <c r="E12" s="577"/>
      <c r="F12" s="576"/>
      <c r="G12" s="577"/>
      <c r="H12" s="576"/>
      <c r="I12" s="577"/>
      <c r="J12" s="576"/>
      <c r="K12" s="577"/>
      <c r="L12" s="576"/>
      <c r="M12" s="577"/>
      <c r="N12" s="576"/>
      <c r="O12" s="576"/>
      <c r="P12" s="576"/>
      <c r="Q12" s="576"/>
      <c r="R12" s="576"/>
      <c r="S12" s="578"/>
      <c r="T12" s="579"/>
      <c r="U12" s="580"/>
      <c r="V12" s="579"/>
      <c r="W12" s="581"/>
      <c r="X12" s="581"/>
      <c r="Y12" s="580"/>
      <c r="Z12" s="579"/>
      <c r="AA12" s="581"/>
      <c r="AB12" s="579"/>
      <c r="AC12" s="580"/>
      <c r="AD12" s="579"/>
      <c r="AE12" s="579"/>
      <c r="AF12" s="579"/>
      <c r="AG12" s="579"/>
      <c r="AH12" s="579"/>
      <c r="AI12" s="575"/>
      <c r="AJ12" s="576"/>
      <c r="AK12" s="577"/>
      <c r="AO12" s="577"/>
      <c r="AP12" s="576"/>
      <c r="AQ12" s="577"/>
      <c r="AS12" s="577"/>
      <c r="AY12" s="578"/>
      <c r="AZ12" s="579"/>
      <c r="BA12" s="580"/>
      <c r="BB12" s="581"/>
      <c r="BC12" s="580"/>
      <c r="BD12" s="581"/>
      <c r="BE12" s="580"/>
      <c r="BF12" s="581"/>
      <c r="BG12" s="580"/>
      <c r="BH12" s="581"/>
      <c r="BI12" s="580"/>
      <c r="BJ12" s="581"/>
      <c r="BK12" s="581"/>
      <c r="BL12" s="581"/>
      <c r="BM12" s="581"/>
      <c r="BN12" s="581"/>
    </row>
    <row r="13" spans="1:66">
      <c r="A13" s="949" t="s">
        <v>760</v>
      </c>
      <c r="C13" s="575"/>
      <c r="D13" s="576"/>
      <c r="E13" s="577"/>
      <c r="F13" s="576"/>
      <c r="G13" s="577"/>
      <c r="H13" s="576"/>
      <c r="I13" s="577"/>
      <c r="J13" s="576"/>
      <c r="K13" s="577"/>
      <c r="L13" s="576"/>
      <c r="M13" s="577"/>
      <c r="N13" s="576"/>
      <c r="O13" s="576"/>
      <c r="P13" s="576"/>
      <c r="Q13" s="576"/>
      <c r="R13" s="576"/>
      <c r="S13" s="578"/>
      <c r="T13" s="579"/>
      <c r="U13" s="580"/>
      <c r="V13" s="579"/>
      <c r="W13" s="581"/>
      <c r="X13" s="581"/>
      <c r="Y13" s="580"/>
      <c r="Z13" s="579"/>
      <c r="AA13" s="581"/>
      <c r="AB13" s="579"/>
      <c r="AC13" s="580"/>
      <c r="AD13" s="579"/>
      <c r="AE13" s="579"/>
      <c r="AF13" s="579"/>
      <c r="AG13" s="579"/>
      <c r="AH13" s="579"/>
      <c r="AI13" s="575"/>
      <c r="AJ13" s="576"/>
      <c r="AK13" s="577"/>
      <c r="AO13" s="577"/>
      <c r="AP13" s="576"/>
      <c r="AQ13" s="577"/>
      <c r="AS13" s="577"/>
      <c r="AY13" s="578"/>
      <c r="AZ13" s="579"/>
      <c r="BA13" s="580"/>
      <c r="BB13" s="581"/>
      <c r="BC13" s="580"/>
      <c r="BD13" s="581"/>
      <c r="BE13" s="580"/>
      <c r="BF13" s="581"/>
      <c r="BG13" s="580"/>
      <c r="BH13" s="581"/>
      <c r="BI13" s="580"/>
      <c r="BJ13" s="581"/>
      <c r="BK13" s="581"/>
      <c r="BL13" s="581"/>
      <c r="BM13" s="581"/>
      <c r="BN13" s="581"/>
    </row>
    <row r="14" spans="1:66">
      <c r="A14" s="2" t="s">
        <v>556</v>
      </c>
      <c r="C14" s="969">
        <v>2018</v>
      </c>
      <c r="D14" s="969"/>
      <c r="E14" s="969"/>
      <c r="F14" s="969"/>
      <c r="G14" s="969"/>
      <c r="H14" s="969"/>
      <c r="I14" s="969"/>
      <c r="J14" s="969"/>
      <c r="K14" s="969"/>
      <c r="L14" s="969"/>
      <c r="M14" s="969"/>
      <c r="N14" s="969"/>
      <c r="O14" s="969"/>
      <c r="P14" s="969"/>
      <c r="Q14" s="969"/>
      <c r="R14" s="969"/>
      <c r="S14" s="970">
        <v>2019</v>
      </c>
      <c r="T14" s="970"/>
      <c r="U14" s="970"/>
      <c r="V14" s="970"/>
      <c r="W14" s="970"/>
      <c r="X14" s="970"/>
      <c r="Y14" s="970"/>
      <c r="Z14" s="970"/>
      <c r="AA14" s="970"/>
      <c r="AB14" s="970"/>
      <c r="AC14" s="970"/>
      <c r="AD14" s="970"/>
      <c r="AE14" s="970"/>
      <c r="AF14" s="970"/>
      <c r="AG14" s="970"/>
      <c r="AH14" s="970"/>
      <c r="AI14" s="969">
        <v>2020</v>
      </c>
      <c r="AJ14" s="969"/>
      <c r="AK14" s="969"/>
      <c r="AL14" s="969"/>
      <c r="AM14" s="969"/>
      <c r="AN14" s="969"/>
      <c r="AO14" s="969"/>
      <c r="AP14" s="969"/>
      <c r="AQ14" s="969"/>
      <c r="AR14" s="969"/>
      <c r="AS14" s="969"/>
      <c r="AT14" s="969"/>
      <c r="AU14" s="969"/>
      <c r="AV14" s="969"/>
      <c r="AW14" s="969"/>
      <c r="AX14" s="969"/>
      <c r="AY14" s="970">
        <v>2021</v>
      </c>
      <c r="AZ14" s="970"/>
      <c r="BA14" s="970"/>
      <c r="BB14" s="970"/>
      <c r="BC14" s="970"/>
      <c r="BD14" s="970"/>
      <c r="BE14" s="970"/>
      <c r="BF14" s="970"/>
      <c r="BG14" s="970"/>
      <c r="BH14" s="970"/>
      <c r="BI14" s="970"/>
      <c r="BJ14" s="970"/>
      <c r="BK14" s="970"/>
      <c r="BL14" s="970"/>
      <c r="BM14" s="970"/>
      <c r="BN14" s="970"/>
    </row>
    <row r="15" spans="1:66">
      <c r="C15" s="971" t="s">
        <v>558</v>
      </c>
      <c r="D15" s="971"/>
      <c r="E15" s="971" t="s">
        <v>559</v>
      </c>
      <c r="F15" s="971"/>
      <c r="G15" s="971" t="s">
        <v>560</v>
      </c>
      <c r="H15" s="971"/>
      <c r="I15" s="971" t="s">
        <v>561</v>
      </c>
      <c r="J15" s="971"/>
      <c r="K15" s="971" t="s">
        <v>562</v>
      </c>
      <c r="L15" s="971"/>
      <c r="M15" s="971" t="s">
        <v>563</v>
      </c>
      <c r="N15" s="971"/>
      <c r="O15" s="971" t="s">
        <v>684</v>
      </c>
      <c r="P15" s="971"/>
      <c r="Q15" s="971" t="s">
        <v>742</v>
      </c>
      <c r="R15" s="971"/>
      <c r="S15" s="968" t="s">
        <v>558</v>
      </c>
      <c r="T15" s="968"/>
      <c r="U15" s="968" t="s">
        <v>559</v>
      </c>
      <c r="V15" s="968"/>
      <c r="W15" s="968" t="s">
        <v>560</v>
      </c>
      <c r="X15" s="968"/>
      <c r="Y15" s="968" t="s">
        <v>561</v>
      </c>
      <c r="Z15" s="968"/>
      <c r="AA15" s="968" t="s">
        <v>562</v>
      </c>
      <c r="AB15" s="968"/>
      <c r="AC15" s="968" t="s">
        <v>563</v>
      </c>
      <c r="AD15" s="968"/>
      <c r="AE15" s="968" t="s">
        <v>684</v>
      </c>
      <c r="AF15" s="968"/>
      <c r="AG15" s="968" t="s">
        <v>742</v>
      </c>
      <c r="AH15" s="968"/>
      <c r="AI15" s="971" t="s">
        <v>558</v>
      </c>
      <c r="AJ15" s="971"/>
      <c r="AK15" s="971" t="s">
        <v>559</v>
      </c>
      <c r="AL15" s="971"/>
      <c r="AM15" s="971" t="s">
        <v>560</v>
      </c>
      <c r="AN15" s="971"/>
      <c r="AO15" s="971" t="s">
        <v>561</v>
      </c>
      <c r="AP15" s="971"/>
      <c r="AQ15" s="971" t="s">
        <v>562</v>
      </c>
      <c r="AR15" s="971"/>
      <c r="AS15" s="971" t="s">
        <v>563</v>
      </c>
      <c r="AT15" s="971"/>
      <c r="AU15" s="971" t="s">
        <v>684</v>
      </c>
      <c r="AV15" s="971"/>
      <c r="AW15" s="971" t="s">
        <v>742</v>
      </c>
      <c r="AX15" s="971"/>
      <c r="AY15" s="968" t="s">
        <v>558</v>
      </c>
      <c r="AZ15" s="968"/>
      <c r="BA15" s="968" t="s">
        <v>559</v>
      </c>
      <c r="BB15" s="968"/>
      <c r="BC15" s="968" t="s">
        <v>560</v>
      </c>
      <c r="BD15" s="968"/>
      <c r="BE15" s="968" t="s">
        <v>561</v>
      </c>
      <c r="BF15" s="968"/>
      <c r="BG15" s="968" t="s">
        <v>562</v>
      </c>
      <c r="BH15" s="968"/>
      <c r="BI15" s="968" t="s">
        <v>563</v>
      </c>
      <c r="BJ15" s="968"/>
      <c r="BK15" s="968" t="s">
        <v>684</v>
      </c>
      <c r="BL15" s="968"/>
      <c r="BM15" s="968" t="s">
        <v>742</v>
      </c>
      <c r="BN15" s="968"/>
    </row>
    <row r="16" spans="1:66">
      <c r="A16" s="2" t="s">
        <v>564</v>
      </c>
      <c r="C16" s="575">
        <v>4863659.9982402064</v>
      </c>
      <c r="D16" s="576"/>
      <c r="E16" s="577">
        <v>4951887.4000000004</v>
      </c>
      <c r="F16" s="576"/>
      <c r="G16" s="577">
        <v>4820472</v>
      </c>
      <c r="H16" s="576"/>
      <c r="I16" s="577">
        <v>5513808</v>
      </c>
      <c r="J16" s="576"/>
      <c r="K16" s="577"/>
      <c r="L16" s="576"/>
      <c r="M16" s="577">
        <v>4684665</v>
      </c>
      <c r="N16" s="576"/>
      <c r="O16" s="577">
        <v>4568884</v>
      </c>
      <c r="P16" s="576"/>
      <c r="Q16" s="577">
        <v>4739442</v>
      </c>
      <c r="R16" s="576"/>
      <c r="S16" s="578">
        <v>4965983.8365392741</v>
      </c>
      <c r="T16" s="579"/>
      <c r="U16" s="580">
        <v>5095956.3</v>
      </c>
      <c r="V16" s="579"/>
      <c r="W16" s="580">
        <v>5071793</v>
      </c>
      <c r="X16" s="579"/>
      <c r="Y16" s="580">
        <v>6079518</v>
      </c>
      <c r="Z16" s="579"/>
      <c r="AA16" s="581"/>
      <c r="AB16" s="579"/>
      <c r="AC16" s="580">
        <v>4806531</v>
      </c>
      <c r="AD16" s="579"/>
      <c r="AE16" s="580">
        <v>4744019</v>
      </c>
      <c r="AF16" s="579"/>
      <c r="AG16" s="580">
        <v>4754345</v>
      </c>
      <c r="AH16" s="579"/>
      <c r="AI16" s="575">
        <v>5068521.1393565852</v>
      </c>
      <c r="AJ16" s="576"/>
      <c r="AK16" s="577">
        <v>5377558.7999999998</v>
      </c>
      <c r="AO16" s="577">
        <v>7057471</v>
      </c>
      <c r="AQ16" s="577"/>
      <c r="AS16" s="577">
        <v>4958768</v>
      </c>
      <c r="AU16" s="577">
        <v>4838899</v>
      </c>
      <c r="AW16" s="577">
        <v>4789002</v>
      </c>
      <c r="AY16" s="580">
        <v>5173871.7408279255</v>
      </c>
      <c r="AZ16" s="579"/>
      <c r="BA16" s="580"/>
      <c r="BB16" s="581"/>
      <c r="BC16" s="580"/>
      <c r="BD16" s="581"/>
      <c r="BE16" s="580"/>
      <c r="BF16" s="581"/>
      <c r="BG16" s="580"/>
      <c r="BH16" s="581"/>
      <c r="BI16" s="580"/>
      <c r="BJ16" s="581"/>
      <c r="BK16" s="578">
        <v>4984066</v>
      </c>
      <c r="BL16" s="579"/>
      <c r="BM16" s="580"/>
      <c r="BN16" s="581"/>
    </row>
    <row r="17" spans="1:66">
      <c r="A17" s="2" t="s">
        <v>43</v>
      </c>
      <c r="B17" s="2" t="s">
        <v>565</v>
      </c>
      <c r="C17" s="575">
        <v>315560.05051081162</v>
      </c>
      <c r="D17" s="576">
        <f>C17/$C$16</f>
        <v>6.4881190425520929E-2</v>
      </c>
      <c r="E17" s="577">
        <f>E16-4624225</f>
        <v>327662.40000000037</v>
      </c>
      <c r="F17" s="576">
        <f>E17/$E$16</f>
        <v>6.6169194396463932E-2</v>
      </c>
      <c r="G17" s="577">
        <v>348730</v>
      </c>
      <c r="H17" s="576">
        <f>G17/$G$16</f>
        <v>7.234353814315278E-2</v>
      </c>
      <c r="I17" s="577">
        <v>421173</v>
      </c>
      <c r="J17" s="576">
        <f>I17/$I$16</f>
        <v>7.6385140723071968E-2</v>
      </c>
      <c r="K17" s="577"/>
      <c r="L17" s="576"/>
      <c r="M17" s="577"/>
      <c r="N17" s="576"/>
      <c r="O17" s="577">
        <v>296651</v>
      </c>
      <c r="P17" s="576">
        <f>O17/$O$16</f>
        <v>6.4928547102530945E-2</v>
      </c>
      <c r="Q17" s="577">
        <v>298705</v>
      </c>
      <c r="R17" s="576">
        <f>Q17/$Q$16</f>
        <v>6.3025351929615336E-2</v>
      </c>
      <c r="S17" s="578">
        <v>291254.44764057919</v>
      </c>
      <c r="T17" s="579">
        <f>S17/$S$16</f>
        <v>5.8649898434536676E-2</v>
      </c>
      <c r="U17" s="580">
        <f>U16-4754213</f>
        <v>341743.29999999981</v>
      </c>
      <c r="V17" s="579"/>
      <c r="W17" s="580">
        <v>392948</v>
      </c>
      <c r="X17" s="579">
        <f>W17/$W$16</f>
        <v>7.7477136783776462E-2</v>
      </c>
      <c r="Y17" s="580">
        <v>493838</v>
      </c>
      <c r="Z17" s="579">
        <f>Y17/$Y$16</f>
        <v>8.1229794862026888E-2</v>
      </c>
      <c r="AA17" s="581"/>
      <c r="AB17" s="579"/>
      <c r="AC17" s="579"/>
      <c r="AD17" s="579"/>
      <c r="AE17" s="580">
        <v>316861</v>
      </c>
      <c r="AF17" s="579">
        <f>AE17/$AE$16</f>
        <v>6.6791680218818691E-2</v>
      </c>
      <c r="AG17" s="580">
        <v>313963</v>
      </c>
      <c r="AH17" s="579">
        <f>AG17/$AG$16</f>
        <v>6.6037067145947551E-2</v>
      </c>
      <c r="AI17" s="575">
        <v>304847.33597641904</v>
      </c>
      <c r="AJ17" s="576">
        <f>AI17/$AI$16</f>
        <v>6.0145223349135989E-2</v>
      </c>
      <c r="AK17" s="577">
        <f>AK16-5010086</f>
        <v>367472.79999999981</v>
      </c>
      <c r="AL17" s="576">
        <f>AK17/$AK$16</f>
        <v>6.8334501521396626E-2</v>
      </c>
      <c r="AO17" s="577">
        <v>597189</v>
      </c>
      <c r="AP17" s="576">
        <f>AO17/$AO$16</f>
        <v>8.461798851174876E-2</v>
      </c>
      <c r="AQ17" s="577"/>
      <c r="AS17" s="577"/>
      <c r="AU17" s="577">
        <v>329045</v>
      </c>
      <c r="AV17" s="576">
        <f>AU17/$AU$16</f>
        <v>6.7999972721067337E-2</v>
      </c>
      <c r="AW17" s="577">
        <v>318707</v>
      </c>
      <c r="AX17" s="576">
        <f>AW17/$AW$16</f>
        <v>6.6549773835968329E-2</v>
      </c>
      <c r="AY17" s="580">
        <v>303195.40644303057</v>
      </c>
      <c r="AZ17" s="579">
        <f>AY17/$AY$16</f>
        <v>5.8601260647894046E-2</v>
      </c>
      <c r="BA17" s="580"/>
      <c r="BB17" s="580"/>
      <c r="BC17" s="580"/>
      <c r="BD17" s="580"/>
      <c r="BE17" s="580"/>
      <c r="BF17" s="580"/>
      <c r="BG17" s="580"/>
      <c r="BH17" s="580"/>
      <c r="BI17" s="580"/>
      <c r="BJ17" s="580"/>
      <c r="BK17" s="578">
        <v>341907</v>
      </c>
      <c r="BL17" s="579">
        <f>BK17/$BK$16</f>
        <v>6.8600014526292385E-2</v>
      </c>
      <c r="BM17" s="580"/>
      <c r="BN17" s="580"/>
    </row>
    <row r="18" spans="1:66">
      <c r="A18" s="2" t="s">
        <v>50</v>
      </c>
      <c r="B18" s="2" t="s">
        <v>566</v>
      </c>
      <c r="C18" s="575">
        <v>121013.65058120337</v>
      </c>
      <c r="D18" s="576">
        <f t="shared" ref="D18:D20" si="11">C18/$C$16</f>
        <v>2.4881190425520932E-2</v>
      </c>
      <c r="E18" s="577">
        <v>156385.70000000001</v>
      </c>
      <c r="F18" s="576">
        <f t="shared" ref="F18:F20" si="12">E18/$E$16</f>
        <v>3.1581029083981194E-2</v>
      </c>
      <c r="G18" s="577">
        <v>171106</v>
      </c>
      <c r="H18" s="576">
        <f t="shared" ref="H18:H20" si="13">G18/$G$16</f>
        <v>3.5495694197580654E-2</v>
      </c>
      <c r="I18" s="577">
        <v>271963</v>
      </c>
      <c r="J18" s="576">
        <f>I18/$I$16</f>
        <v>4.9323988067774577E-2</v>
      </c>
      <c r="K18" s="577"/>
      <c r="L18" s="576"/>
      <c r="M18" s="577">
        <v>168889</v>
      </c>
      <c r="N18" s="576">
        <f>M18/$M$16</f>
        <v>3.6051457254680966E-2</v>
      </c>
      <c r="O18" s="577">
        <v>128936</v>
      </c>
      <c r="P18" s="576">
        <f t="shared" ref="P18:P19" si="14">O18/$O$16</f>
        <v>2.8220458212552563E-2</v>
      </c>
      <c r="Q18" s="577">
        <v>132588</v>
      </c>
      <c r="R18" s="576">
        <f>Q18/$Q$16</f>
        <v>2.797544521063872E-2</v>
      </c>
      <c r="S18" s="578">
        <v>92615.094179008214</v>
      </c>
      <c r="T18" s="579">
        <f t="shared" ref="T18:T20" si="15">S18/$S$16</f>
        <v>1.8649898434536669E-2</v>
      </c>
      <c r="U18" s="580">
        <v>163458.9</v>
      </c>
      <c r="V18" s="579"/>
      <c r="W18" s="580">
        <v>208697</v>
      </c>
      <c r="X18" s="579">
        <f t="shared" ref="X18:X20" si="16">W18/$W$16</f>
        <v>4.1148564225708742E-2</v>
      </c>
      <c r="Y18" s="580">
        <v>312652</v>
      </c>
      <c r="Z18" s="579">
        <f t="shared" ref="Z18:Z20" si="17">Y18/$Y$16</f>
        <v>5.142710326706821E-2</v>
      </c>
      <c r="AA18" s="581"/>
      <c r="AB18" s="579"/>
      <c r="AC18" s="580">
        <v>198658</v>
      </c>
      <c r="AD18" s="579">
        <f>AC18/$AC$16</f>
        <v>4.1330847548887127E-2</v>
      </c>
      <c r="AE18" s="580">
        <v>141214</v>
      </c>
      <c r="AF18" s="579">
        <f t="shared" ref="AF18:AF20" si="18">AE18/$AE$16</f>
        <v>2.9766744188840729E-2</v>
      </c>
      <c r="AG18" s="580">
        <v>150262</v>
      </c>
      <c r="AH18" s="579">
        <f>AG18/$AG$16</f>
        <v>3.1605194827047677E-2</v>
      </c>
      <c r="AI18" s="575">
        <v>120788.40989974234</v>
      </c>
      <c r="AJ18" s="576">
        <f t="shared" ref="AJ18:AJ20" si="19">AI18/$AI$16</f>
        <v>2.383109522062201E-2</v>
      </c>
      <c r="AK18" s="577">
        <v>186776.9</v>
      </c>
      <c r="AL18" s="576">
        <f t="shared" ref="AL18:AL20" si="20">AK18/$AK$16</f>
        <v>3.4732656014844508E-2</v>
      </c>
      <c r="AO18" s="577">
        <v>406638</v>
      </c>
      <c r="AP18" s="576">
        <f t="shared" ref="AP18:AP20" si="21">AO18/$AO$16</f>
        <v>5.7618090106215103E-2</v>
      </c>
      <c r="AQ18" s="577"/>
      <c r="AS18" s="577">
        <v>206535</v>
      </c>
      <c r="AT18" s="576">
        <f>AS18/$AS$16</f>
        <v>4.1650466406171857E-2</v>
      </c>
      <c r="AU18" s="577">
        <v>149764</v>
      </c>
      <c r="AV18" s="576">
        <f t="shared" ref="AV18:AV20" si="22">AU18/$AU$16</f>
        <v>3.0950015695719212E-2</v>
      </c>
      <c r="AW18" s="577">
        <v>157158</v>
      </c>
      <c r="AX18" s="576">
        <f>AW18/$AW$16</f>
        <v>3.2816440669684414E-2</v>
      </c>
      <c r="AY18" s="580">
        <v>115310.76512610761</v>
      </c>
      <c r="AZ18" s="579">
        <f t="shared" ref="AZ18:AZ20" si="23">AY18/$AY$16</f>
        <v>2.2287132519380064E-2</v>
      </c>
      <c r="BA18" s="580"/>
      <c r="BB18" s="580"/>
      <c r="BC18" s="580"/>
      <c r="BD18" s="580"/>
      <c r="BE18" s="580"/>
      <c r="BF18" s="580"/>
      <c r="BG18" s="580"/>
      <c r="BH18" s="580"/>
      <c r="BI18" s="580"/>
      <c r="BJ18" s="580"/>
      <c r="BK18" s="578">
        <v>158992</v>
      </c>
      <c r="BL18" s="579">
        <f t="shared" ref="BL18:BL20" si="24">BK18/$BK$16</f>
        <v>3.1900059108366539E-2</v>
      </c>
      <c r="BM18" s="580"/>
      <c r="BN18" s="580"/>
    </row>
    <row r="19" spans="1:66">
      <c r="A19" s="2" t="s">
        <v>62</v>
      </c>
      <c r="B19" s="2" t="s">
        <v>63</v>
      </c>
      <c r="C19" s="575">
        <v>100346.10888708066</v>
      </c>
      <c r="D19" s="576">
        <f t="shared" si="11"/>
        <v>2.0631809979190237E-2</v>
      </c>
      <c r="E19" s="577">
        <v>137323.79999999999</v>
      </c>
      <c r="F19" s="576">
        <f t="shared" si="12"/>
        <v>2.7731607952151734E-2</v>
      </c>
      <c r="G19" s="577">
        <v>136912</v>
      </c>
      <c r="H19" s="576">
        <f t="shared" si="13"/>
        <v>2.8402197959038037E-2</v>
      </c>
      <c r="I19" s="577">
        <v>231328</v>
      </c>
      <c r="J19" s="576">
        <f t="shared" ref="J19:J20" si="25">I19/$I$16</f>
        <v>4.1954308165971683E-2</v>
      </c>
      <c r="K19" s="577"/>
      <c r="L19" s="576"/>
      <c r="M19" s="577">
        <v>141551</v>
      </c>
      <c r="N19" s="576">
        <f t="shared" ref="N19:N20" si="26">M19/$M$16</f>
        <v>3.02158211953256E-2</v>
      </c>
      <c r="O19" s="577">
        <v>123883</v>
      </c>
      <c r="P19" s="576">
        <f t="shared" si="14"/>
        <v>2.7114498857926793E-2</v>
      </c>
      <c r="Q19" s="577">
        <v>127440</v>
      </c>
      <c r="R19" s="576">
        <f>Q19/$Q$16</f>
        <v>2.6889241391708139E-2</v>
      </c>
      <c r="S19" s="578">
        <v>75103.238582050864</v>
      </c>
      <c r="T19" s="579">
        <f t="shared" si="15"/>
        <v>1.5123536655405081E-2</v>
      </c>
      <c r="U19" s="580">
        <v>141869.79999999999</v>
      </c>
      <c r="V19" s="579"/>
      <c r="W19" s="580">
        <v>161958</v>
      </c>
      <c r="X19" s="579">
        <f t="shared" si="16"/>
        <v>3.1933085597144834E-2</v>
      </c>
      <c r="Y19" s="580">
        <v>265467</v>
      </c>
      <c r="Z19" s="579">
        <f t="shared" si="17"/>
        <v>4.3665797189843009E-2</v>
      </c>
      <c r="AA19" s="581"/>
      <c r="AB19" s="579"/>
      <c r="AC19" s="580">
        <v>165571</v>
      </c>
      <c r="AD19" s="579">
        <f t="shared" ref="AD19:AD20" si="27">AC19/$AC$16</f>
        <v>3.4447088763184926E-2</v>
      </c>
      <c r="AE19" s="580">
        <v>126631</v>
      </c>
      <c r="AF19" s="579">
        <f t="shared" si="18"/>
        <v>2.6692768304680061E-2</v>
      </c>
      <c r="AG19" s="580">
        <v>140173</v>
      </c>
      <c r="AH19" s="579">
        <f>AG19/$AG$16</f>
        <v>2.9483135952481362E-2</v>
      </c>
      <c r="AI19" s="575">
        <v>97928.683307159285</v>
      </c>
      <c r="AJ19" s="576">
        <f t="shared" si="19"/>
        <v>1.9320957852331396E-2</v>
      </c>
      <c r="AK19" s="577">
        <v>161336.29999999999</v>
      </c>
      <c r="AL19" s="576">
        <f t="shared" si="20"/>
        <v>3.0001773295347322E-2</v>
      </c>
      <c r="AO19" s="577">
        <v>346475</v>
      </c>
      <c r="AP19" s="576">
        <f t="shared" si="21"/>
        <v>4.9093365031184687E-2</v>
      </c>
      <c r="AQ19" s="577"/>
      <c r="AS19" s="577">
        <v>177643</v>
      </c>
      <c r="AT19" s="576">
        <f t="shared" ref="AT19:AT20" si="28">AS19/$AS$16</f>
        <v>3.5824019191863787E-2</v>
      </c>
      <c r="AU19" s="577">
        <v>133627</v>
      </c>
      <c r="AV19" s="576">
        <f t="shared" si="22"/>
        <v>2.7615166177264703E-2</v>
      </c>
      <c r="AW19" s="577">
        <v>152404</v>
      </c>
      <c r="AX19" s="576">
        <f>AW19/$AW$16</f>
        <v>3.1823749499373777E-2</v>
      </c>
      <c r="AY19" s="580">
        <v>94619.280564343702</v>
      </c>
      <c r="AZ19" s="579">
        <f t="shared" si="23"/>
        <v>1.8287906098963844E-2</v>
      </c>
      <c r="BA19" s="580"/>
      <c r="BB19" s="580"/>
      <c r="BC19" s="580"/>
      <c r="BD19" s="580"/>
      <c r="BE19" s="580"/>
      <c r="BF19" s="580"/>
      <c r="BG19" s="580"/>
      <c r="BH19" s="580"/>
      <c r="BI19" s="580"/>
      <c r="BJ19" s="580"/>
      <c r="BK19" s="578">
        <v>141095</v>
      </c>
      <c r="BL19" s="579">
        <f t="shared" si="24"/>
        <v>2.8309215808939931E-2</v>
      </c>
      <c r="BM19" s="580"/>
      <c r="BN19" s="580"/>
    </row>
    <row r="20" spans="1:66" ht="14.25" customHeight="1">
      <c r="A20" s="2" t="s">
        <v>471</v>
      </c>
      <c r="B20" s="2" t="s">
        <v>54</v>
      </c>
      <c r="C20" s="575">
        <v>179955.41993488715</v>
      </c>
      <c r="D20" s="576">
        <f t="shared" si="11"/>
        <v>3.6999999999999901E-2</v>
      </c>
      <c r="E20" s="577">
        <v>213825.1</v>
      </c>
      <c r="F20" s="576">
        <f t="shared" si="12"/>
        <v>4.3180525469945052E-2</v>
      </c>
      <c r="G20" s="577">
        <v>230000</v>
      </c>
      <c r="H20" s="576">
        <f t="shared" si="13"/>
        <v>4.7713169996631034E-2</v>
      </c>
      <c r="I20" s="577">
        <v>328525</v>
      </c>
      <c r="J20" s="576">
        <f t="shared" si="25"/>
        <v>5.9582234274388954E-2</v>
      </c>
      <c r="K20" s="577"/>
      <c r="L20" s="576"/>
      <c r="M20" s="577">
        <v>233514</v>
      </c>
      <c r="N20" s="576">
        <f t="shared" si="26"/>
        <v>4.9846467143328285E-2</v>
      </c>
      <c r="O20" s="577">
        <v>206607</v>
      </c>
      <c r="P20" s="576">
        <f>O20/$O$16</f>
        <v>4.5220452084141334E-2</v>
      </c>
      <c r="Q20" s="577">
        <v>190601</v>
      </c>
      <c r="R20" s="576">
        <f>Q20/$Q$16</f>
        <v>4.0215915713284388E-2</v>
      </c>
      <c r="S20" s="578">
        <v>183741.40195195319</v>
      </c>
      <c r="T20" s="579">
        <f t="shared" si="15"/>
        <v>3.7000000000000012E-2</v>
      </c>
      <c r="U20" s="580">
        <v>230207.4</v>
      </c>
      <c r="V20" s="579"/>
      <c r="W20" s="580">
        <v>266000</v>
      </c>
      <c r="X20" s="579">
        <f t="shared" si="16"/>
        <v>5.2446935432893256E-2</v>
      </c>
      <c r="Y20" s="580">
        <v>382825</v>
      </c>
      <c r="Z20" s="579">
        <f t="shared" si="17"/>
        <v>6.2969630158180301E-2</v>
      </c>
      <c r="AA20" s="581"/>
      <c r="AB20" s="579"/>
      <c r="AC20" s="580">
        <v>269950</v>
      </c>
      <c r="AD20" s="579">
        <f t="shared" si="27"/>
        <v>5.6163166325152176E-2</v>
      </c>
      <c r="AE20" s="580">
        <v>221862</v>
      </c>
      <c r="AF20" s="579">
        <f t="shared" si="18"/>
        <v>4.6766676103110041E-2</v>
      </c>
      <c r="AG20" s="580">
        <v>205438</v>
      </c>
      <c r="AH20" s="579">
        <f>AG20/$AG$16</f>
        <v>4.3210578954619404E-2</v>
      </c>
      <c r="AI20" s="575">
        <v>241696.84962927597</v>
      </c>
      <c r="AJ20" s="576">
        <f t="shared" si="19"/>
        <v>4.7685871871485923E-2</v>
      </c>
      <c r="AK20" s="577">
        <v>253441.2</v>
      </c>
      <c r="AL20" s="576">
        <f t="shared" si="20"/>
        <v>4.7129414930804664E-2</v>
      </c>
      <c r="AO20" s="577">
        <v>487898</v>
      </c>
      <c r="AP20" s="576">
        <f t="shared" si="21"/>
        <v>6.9132129625470648E-2</v>
      </c>
      <c r="AQ20" s="577"/>
      <c r="AS20" s="577">
        <v>284138</v>
      </c>
      <c r="AT20" s="576">
        <f t="shared" si="28"/>
        <v>5.7300119707153069E-2</v>
      </c>
      <c r="AU20" s="577">
        <v>232025</v>
      </c>
      <c r="AV20" s="576">
        <f t="shared" si="22"/>
        <v>4.7949957211340842E-2</v>
      </c>
      <c r="AW20" s="577">
        <v>209638</v>
      </c>
      <c r="AX20" s="576">
        <f>AW20/$AW$16</f>
        <v>4.3774882532936925E-2</v>
      </c>
      <c r="AY20" s="580">
        <v>246720.58491262284</v>
      </c>
      <c r="AZ20" s="579">
        <f t="shared" si="23"/>
        <v>4.7685871871486034E-2</v>
      </c>
      <c r="BA20" s="580"/>
      <c r="BB20" s="580"/>
      <c r="BC20" s="580"/>
      <c r="BD20" s="580"/>
      <c r="BE20" s="580"/>
      <c r="BF20" s="580"/>
      <c r="BG20" s="580"/>
      <c r="BH20" s="580"/>
      <c r="BI20" s="580"/>
      <c r="BJ20" s="580"/>
      <c r="BK20" s="578">
        <v>243721</v>
      </c>
      <c r="BL20" s="579">
        <f t="shared" si="24"/>
        <v>4.890003463036003E-2</v>
      </c>
      <c r="BM20" s="580"/>
      <c r="BN20" s="580"/>
    </row>
    <row r="21" spans="1:66">
      <c r="A21" s="2" t="s">
        <v>73</v>
      </c>
      <c r="C21" s="575">
        <v>158706.3670526784</v>
      </c>
      <c r="D21" s="576"/>
      <c r="E21" s="577">
        <v>68000</v>
      </c>
      <c r="F21" s="576"/>
      <c r="G21" s="577"/>
      <c r="H21" s="576"/>
      <c r="I21" s="577">
        <v>130000</v>
      </c>
      <c r="J21" s="576"/>
      <c r="K21" s="577"/>
      <c r="L21" s="576"/>
      <c r="M21" s="577">
        <v>60000</v>
      </c>
      <c r="N21" s="576"/>
      <c r="O21" s="577">
        <f>0.013*O16</f>
        <v>59395.491999999998</v>
      </c>
      <c r="P21" s="576"/>
      <c r="Q21" s="577">
        <v>50390</v>
      </c>
      <c r="R21" s="576"/>
      <c r="S21" s="578">
        <v>202505.11034689622</v>
      </c>
      <c r="T21" s="579"/>
      <c r="U21" s="580">
        <v>70000</v>
      </c>
      <c r="V21" s="579"/>
      <c r="W21" s="580"/>
      <c r="X21" s="579"/>
      <c r="Y21" s="580">
        <v>130000</v>
      </c>
      <c r="Z21" s="579"/>
      <c r="AA21" s="581"/>
      <c r="AB21" s="579"/>
      <c r="AC21" s="580">
        <v>60000</v>
      </c>
      <c r="AD21" s="579"/>
      <c r="AE21" s="580">
        <f>0.013*AE16</f>
        <v>61672.246999999996</v>
      </c>
      <c r="AF21" s="579"/>
      <c r="AG21" s="580">
        <v>50390</v>
      </c>
      <c r="AH21" s="579"/>
      <c r="AI21" s="575">
        <v>178692.79173953185</v>
      </c>
      <c r="AJ21" s="576"/>
      <c r="AK21" s="577">
        <v>65000</v>
      </c>
      <c r="AL21" s="576"/>
      <c r="AO21" s="577">
        <v>130000</v>
      </c>
      <c r="AP21" s="576"/>
      <c r="AQ21" s="577"/>
      <c r="AS21" s="577">
        <v>60000</v>
      </c>
      <c r="AT21" s="576"/>
      <c r="AU21" s="577">
        <f>0.012*AU16</f>
        <v>58066.788</v>
      </c>
      <c r="AW21" s="577">
        <v>50390</v>
      </c>
      <c r="AX21" s="576"/>
      <c r="AY21" s="580">
        <v>63008.280341889498</v>
      </c>
      <c r="AZ21" s="579"/>
      <c r="BA21" s="580"/>
      <c r="BB21" s="581"/>
      <c r="BC21" s="580"/>
      <c r="BD21" s="581"/>
      <c r="BE21" s="580"/>
      <c r="BF21" s="581"/>
      <c r="BG21" s="580"/>
      <c r="BH21" s="581"/>
      <c r="BI21" s="580"/>
      <c r="BJ21" s="581"/>
      <c r="BK21" s="578">
        <f>0.012*BK16</f>
        <v>59808.792000000001</v>
      </c>
      <c r="BL21" s="579"/>
      <c r="BM21" s="580"/>
      <c r="BN21" s="581"/>
    </row>
    <row r="23" spans="1:66" s="582" customFormat="1">
      <c r="B23" s="967" t="s">
        <v>762</v>
      </c>
      <c r="C23" s="967"/>
      <c r="E23" s="583"/>
      <c r="AX23" s="583"/>
    </row>
    <row r="24" spans="1:66">
      <c r="A24" s="582" t="s">
        <v>761</v>
      </c>
      <c r="B24" s="582" t="s">
        <v>763</v>
      </c>
      <c r="C24" s="582" t="s">
        <v>764</v>
      </c>
    </row>
    <row r="25" spans="1:66">
      <c r="A25" s="582" t="s">
        <v>685</v>
      </c>
      <c r="B25" s="582" t="s">
        <v>793</v>
      </c>
      <c r="C25" s="691" t="s">
        <v>786</v>
      </c>
    </row>
    <row r="26" spans="1:66">
      <c r="A26" s="582" t="s">
        <v>686</v>
      </c>
      <c r="B26" s="691" t="s">
        <v>794</v>
      </c>
      <c r="C26" s="691" t="s">
        <v>787</v>
      </c>
    </row>
    <row r="27" spans="1:66">
      <c r="A27" s="582" t="s">
        <v>687</v>
      </c>
      <c r="B27" s="582" t="s">
        <v>795</v>
      </c>
      <c r="C27" s="691" t="s">
        <v>788</v>
      </c>
    </row>
    <row r="28" spans="1:66">
      <c r="A28" s="582" t="s">
        <v>688</v>
      </c>
      <c r="B28" s="582" t="s">
        <v>795</v>
      </c>
      <c r="C28" s="691" t="s">
        <v>789</v>
      </c>
    </row>
    <row r="29" spans="1:66">
      <c r="A29" s="582" t="s">
        <v>689</v>
      </c>
      <c r="B29" s="582" t="s">
        <v>794</v>
      </c>
      <c r="C29" s="691"/>
    </row>
    <row r="30" spans="1:66">
      <c r="A30" s="582" t="s">
        <v>690</v>
      </c>
      <c r="B30" s="582" t="s">
        <v>796</v>
      </c>
      <c r="C30" s="691" t="s">
        <v>790</v>
      </c>
    </row>
    <row r="31" spans="1:66">
      <c r="A31" s="582" t="s">
        <v>684</v>
      </c>
      <c r="B31" s="582"/>
      <c r="C31" s="691" t="s">
        <v>791</v>
      </c>
    </row>
    <row r="32" spans="1:66">
      <c r="A32" s="582" t="s">
        <v>742</v>
      </c>
      <c r="B32" s="582"/>
      <c r="C32" s="691" t="s">
        <v>792</v>
      </c>
    </row>
  </sheetData>
  <mergeCells count="67">
    <mergeCell ref="BG15:BH15"/>
    <mergeCell ref="BI15:BJ15"/>
    <mergeCell ref="BK15:BL15"/>
    <mergeCell ref="AY15:AZ15"/>
    <mergeCell ref="BA15:BB15"/>
    <mergeCell ref="AW15:AX15"/>
    <mergeCell ref="BC15:BD15"/>
    <mergeCell ref="BE15:BF15"/>
    <mergeCell ref="AM15:AN15"/>
    <mergeCell ref="AO15:AP15"/>
    <mergeCell ref="AQ15:AR15"/>
    <mergeCell ref="AS15:AT15"/>
    <mergeCell ref="AU15:AV15"/>
    <mergeCell ref="AA15:AB15"/>
    <mergeCell ref="AC15:AD15"/>
    <mergeCell ref="AE15:AF15"/>
    <mergeCell ref="AI15:AJ15"/>
    <mergeCell ref="AK15:AL15"/>
    <mergeCell ref="O15:P15"/>
    <mergeCell ref="S15:T15"/>
    <mergeCell ref="U15:V15"/>
    <mergeCell ref="W15:X15"/>
    <mergeCell ref="Y15:Z15"/>
    <mergeCell ref="M4:N4"/>
    <mergeCell ref="C15:D15"/>
    <mergeCell ref="E15:F15"/>
    <mergeCell ref="G15:H15"/>
    <mergeCell ref="I15:J15"/>
    <mergeCell ref="K15:L15"/>
    <mergeCell ref="M15:N15"/>
    <mergeCell ref="C4:D4"/>
    <mergeCell ref="E4:F4"/>
    <mergeCell ref="G4:H4"/>
    <mergeCell ref="I4:J4"/>
    <mergeCell ref="K4:L4"/>
    <mergeCell ref="U4:V4"/>
    <mergeCell ref="W4:X4"/>
    <mergeCell ref="Y4:Z4"/>
    <mergeCell ref="AA4:AB4"/>
    <mergeCell ref="AC4:AD4"/>
    <mergeCell ref="BK4:BL4"/>
    <mergeCell ref="AM4:AN4"/>
    <mergeCell ref="AO4:AP4"/>
    <mergeCell ref="AQ4:AR4"/>
    <mergeCell ref="AS4:AT4"/>
    <mergeCell ref="AY4:AZ4"/>
    <mergeCell ref="BA4:BB4"/>
    <mergeCell ref="BC4:BD4"/>
    <mergeCell ref="BE4:BF4"/>
    <mergeCell ref="BG4:BH4"/>
    <mergeCell ref="BI4:BJ4"/>
    <mergeCell ref="B23:C23"/>
    <mergeCell ref="BM15:BN15"/>
    <mergeCell ref="BM4:BN4"/>
    <mergeCell ref="C3:R3"/>
    <mergeCell ref="S3:AH3"/>
    <mergeCell ref="AI3:AX3"/>
    <mergeCell ref="AY3:BN3"/>
    <mergeCell ref="C14:R14"/>
    <mergeCell ref="S14:AH14"/>
    <mergeCell ref="AI14:AX14"/>
    <mergeCell ref="AY14:BN14"/>
    <mergeCell ref="S4:T4"/>
    <mergeCell ref="AK4:AL4"/>
    <mergeCell ref="AI4:AJ4"/>
    <mergeCell ref="Q15:R15"/>
    <mergeCell ref="AG15:AH15"/>
  </mergeCells>
  <phoneticPr fontId="49"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DC1085"/>
  <sheetViews>
    <sheetView showGridLines="0" topLeftCell="A13" zoomScaleNormal="100" zoomScaleSheetLayoutView="100" workbookViewId="0">
      <selection activeCell="F43" sqref="F43"/>
    </sheetView>
  </sheetViews>
  <sheetFormatPr defaultColWidth="8" defaultRowHeight="12.75"/>
  <cols>
    <col min="1" max="1" width="18.375" style="801" customWidth="1"/>
    <col min="2" max="2" width="13.5" style="803" customWidth="1"/>
    <col min="3" max="7" width="12.25" style="803" customWidth="1"/>
    <col min="8" max="10" width="12.25" style="801" customWidth="1"/>
    <col min="11" max="11" width="9.75" style="801" customWidth="1"/>
    <col min="12" max="37" width="6.75" style="801" customWidth="1"/>
    <col min="38" max="38" width="8.875" style="801" customWidth="1"/>
    <col min="39" max="104" width="18.875" style="801" customWidth="1"/>
    <col min="105" max="105" width="22.75" style="801" customWidth="1"/>
    <col min="106" max="106" width="19.75" style="801" bestFit="1" customWidth="1"/>
    <col min="107" max="107" width="16.125" style="801" bestFit="1" customWidth="1"/>
    <col min="108" max="16384" width="8" style="801"/>
  </cols>
  <sheetData>
    <row r="1" spans="1:12">
      <c r="A1" s="799" t="s">
        <v>295</v>
      </c>
      <c r="B1" s="800"/>
      <c r="C1" s="800"/>
      <c r="D1" s="800"/>
      <c r="E1" s="800"/>
      <c r="F1" s="800"/>
      <c r="G1" s="800"/>
      <c r="H1" s="800"/>
      <c r="I1" s="800"/>
      <c r="J1" s="800"/>
    </row>
    <row r="2" spans="1:12">
      <c r="A2" s="802" t="str">
        <f>"Smartphone Units (K) by Region and OS, " &amp;StartYear&amp; "-" &amp;EndYear</f>
        <v>Smartphone Units (K) by Region and OS, 2016-2022</v>
      </c>
      <c r="B2" s="802"/>
      <c r="C2" s="802"/>
      <c r="D2" s="802"/>
      <c r="E2" s="802"/>
      <c r="F2" s="802"/>
      <c r="G2" s="802"/>
      <c r="H2" s="802"/>
      <c r="I2" s="802"/>
      <c r="J2" s="802"/>
    </row>
    <row r="3" spans="1:12">
      <c r="G3" s="804"/>
    </row>
    <row r="4" spans="1:12">
      <c r="B4" s="805" t="s">
        <v>296</v>
      </c>
      <c r="G4" s="804"/>
    </row>
    <row r="5" spans="1:12">
      <c r="A5" s="806" t="s">
        <v>305</v>
      </c>
      <c r="B5" s="972" t="str">
        <f>"Pivot Table: Smartphone Units (K) by Region and OS, "&amp;StartYear&amp;"-"&amp;EndYear</f>
        <v>Pivot Table: Smartphone Units (K) by Region and OS, 2016-2022</v>
      </c>
      <c r="C5" s="972"/>
      <c r="D5" s="972"/>
      <c r="E5" s="972"/>
      <c r="F5" s="972"/>
      <c r="G5" s="972"/>
      <c r="H5" s="972"/>
      <c r="I5" s="972"/>
      <c r="J5" s="972"/>
      <c r="K5" s="972"/>
      <c r="L5" s="972"/>
    </row>
    <row r="6" spans="1:12">
      <c r="B6" s="807"/>
      <c r="G6" s="804"/>
    </row>
    <row r="7" spans="1:12">
      <c r="B7" s="808"/>
      <c r="C7" s="808" t="s">
        <v>297</v>
      </c>
    </row>
    <row r="8" spans="1:12" ht="12" customHeight="1">
      <c r="A8" s="809" t="s">
        <v>306</v>
      </c>
      <c r="D8" s="810"/>
      <c r="E8" s="810"/>
      <c r="F8" s="810"/>
      <c r="G8" s="811"/>
    </row>
    <row r="9" spans="1:12" ht="12" customHeight="1">
      <c r="A9" s="812" t="str">
        <f>B5</f>
        <v>Pivot Table: Smartphone Units (K) by Region and OS, 2016-2022</v>
      </c>
      <c r="B9" s="810"/>
      <c r="C9" s="810"/>
      <c r="D9" s="810"/>
      <c r="E9" s="810"/>
      <c r="F9" s="810"/>
      <c r="G9" s="811"/>
    </row>
    <row r="10" spans="1:12">
      <c r="A10" s="801" t="str">
        <f>"Source: Gartner ("&amp;UpdatePeriodMOYR&amp;")"</f>
        <v>Source: Gartner (March 2018)</v>
      </c>
    </row>
    <row r="11" spans="1:12">
      <c r="G11" s="813"/>
    </row>
    <row r="12" spans="1:12">
      <c r="A12" s="814"/>
      <c r="B12" s="814"/>
      <c r="C12" s="814"/>
    </row>
    <row r="13" spans="1:12">
      <c r="A13" s="800"/>
      <c r="B13" s="800"/>
      <c r="C13" s="814"/>
    </row>
    <row r="14" spans="1:12">
      <c r="A14" s="800"/>
      <c r="B14" s="800"/>
      <c r="C14" s="814"/>
    </row>
    <row r="15" spans="1:12">
      <c r="A15" s="815" t="s">
        <v>274</v>
      </c>
      <c r="B15" s="816" t="s">
        <v>618</v>
      </c>
      <c r="C15" s="814"/>
    </row>
    <row r="16" spans="1:12">
      <c r="A16" s="815" t="s">
        <v>273</v>
      </c>
      <c r="B16" s="816" t="s">
        <v>618</v>
      </c>
      <c r="C16" s="814"/>
    </row>
    <row r="17" spans="1:107">
      <c r="A17" s="815" t="s">
        <v>276</v>
      </c>
      <c r="B17" s="816" t="s">
        <v>618</v>
      </c>
      <c r="C17" s="814"/>
    </row>
    <row r="18" spans="1:107">
      <c r="A18" s="800"/>
      <c r="B18" s="800"/>
      <c r="C18" s="800"/>
      <c r="D18" s="800"/>
      <c r="E18" s="800"/>
      <c r="F18" s="800"/>
      <c r="G18" s="800"/>
      <c r="H18" s="800"/>
      <c r="I18" s="800"/>
      <c r="J18" s="800"/>
    </row>
    <row r="19" spans="1:107">
      <c r="A19" s="817" t="s">
        <v>300</v>
      </c>
      <c r="B19" s="818"/>
      <c r="C19" s="817" t="s">
        <v>272</v>
      </c>
      <c r="D19" s="819"/>
      <c r="E19" s="819"/>
      <c r="F19" s="819"/>
      <c r="G19" s="819"/>
      <c r="H19" s="819"/>
      <c r="I19" s="819"/>
      <c r="J19" s="820"/>
      <c r="K19" s="800"/>
      <c r="L19" s="800"/>
      <c r="M19" s="800"/>
      <c r="N19" s="800"/>
      <c r="O19" s="800"/>
      <c r="P19" s="800"/>
      <c r="Q19" s="800"/>
      <c r="R19" s="800"/>
      <c r="S19" s="800"/>
    </row>
    <row r="20" spans="1:107">
      <c r="A20" s="817" t="s">
        <v>275</v>
      </c>
      <c r="B20" s="817" t="s">
        <v>277</v>
      </c>
      <c r="C20" s="821" t="s">
        <v>287</v>
      </c>
      <c r="D20" s="822" t="s">
        <v>20</v>
      </c>
      <c r="E20" s="822" t="s">
        <v>21</v>
      </c>
      <c r="F20" s="822" t="s">
        <v>22</v>
      </c>
      <c r="G20" s="822" t="s">
        <v>23</v>
      </c>
      <c r="H20" s="822" t="s">
        <v>24</v>
      </c>
      <c r="I20" s="822" t="s">
        <v>25</v>
      </c>
      <c r="J20" s="823" t="s">
        <v>619</v>
      </c>
      <c r="K20" s="800"/>
      <c r="L20" s="800"/>
      <c r="M20" s="800"/>
      <c r="N20" s="800"/>
      <c r="O20" s="800"/>
      <c r="P20" s="800"/>
      <c r="Q20" s="800"/>
      <c r="R20" s="800"/>
      <c r="S20" s="800"/>
    </row>
    <row r="21" spans="1:107">
      <c r="A21" s="824" t="s">
        <v>620</v>
      </c>
      <c r="B21" s="825" t="s">
        <v>291</v>
      </c>
      <c r="C21" s="826">
        <v>553930.99934700876</v>
      </c>
      <c r="D21" s="827">
        <v>635450.64264212537</v>
      </c>
      <c r="E21" s="827">
        <v>695807.15575774293</v>
      </c>
      <c r="F21" s="827">
        <v>730066.52079999994</v>
      </c>
      <c r="G21" s="827">
        <v>761181.16940000001</v>
      </c>
      <c r="H21" s="827">
        <v>765103.53419999999</v>
      </c>
      <c r="I21" s="827">
        <v>783591.99959999986</v>
      </c>
      <c r="J21" s="828">
        <v>801595.19209999987</v>
      </c>
      <c r="K21" s="800"/>
      <c r="L21" s="800"/>
      <c r="M21" s="800"/>
      <c r="N21" s="800"/>
      <c r="O21" s="800"/>
      <c r="P21" s="800"/>
      <c r="Q21" s="800"/>
      <c r="R21" s="800"/>
      <c r="S21" s="800"/>
    </row>
    <row r="22" spans="1:107">
      <c r="A22" s="825" t="s">
        <v>621</v>
      </c>
      <c r="B22" s="829"/>
      <c r="C22" s="826">
        <v>553930.99934700876</v>
      </c>
      <c r="D22" s="827">
        <v>635450.64264212537</v>
      </c>
      <c r="E22" s="827">
        <v>695807.15575774293</v>
      </c>
      <c r="F22" s="827">
        <v>730066.52079999994</v>
      </c>
      <c r="G22" s="827">
        <v>761181.16940000001</v>
      </c>
      <c r="H22" s="827">
        <v>765103.53419999999</v>
      </c>
      <c r="I22" s="827">
        <v>783591.99959999986</v>
      </c>
      <c r="J22" s="828">
        <v>801595.19209999987</v>
      </c>
      <c r="K22" s="800"/>
      <c r="L22" s="800"/>
      <c r="M22" s="800"/>
      <c r="N22" s="800"/>
      <c r="O22" s="800"/>
      <c r="P22" s="800"/>
      <c r="Q22" s="800"/>
      <c r="R22" s="800"/>
      <c r="S22" s="800"/>
      <c r="T22" s="800"/>
      <c r="U22" s="800"/>
      <c r="V22" s="800"/>
      <c r="W22" s="800"/>
      <c r="X22" s="800"/>
      <c r="Y22" s="800"/>
      <c r="Z22" s="800"/>
      <c r="AA22" s="800"/>
      <c r="AB22" s="800"/>
      <c r="AC22" s="800"/>
      <c r="AD22" s="800"/>
      <c r="AE22" s="800"/>
      <c r="AF22" s="800"/>
      <c r="AG22" s="800"/>
      <c r="AH22" s="800"/>
      <c r="AI22" s="800"/>
      <c r="AJ22" s="800"/>
      <c r="AK22" s="800"/>
      <c r="AL22" s="800"/>
      <c r="AM22" s="800"/>
      <c r="AN22" s="800"/>
      <c r="AO22" s="800"/>
      <c r="AP22" s="800"/>
      <c r="AQ22" s="800"/>
      <c r="AR22" s="800"/>
      <c r="AS22" s="800"/>
      <c r="AT22" s="800"/>
      <c r="AU22" s="800"/>
      <c r="AV22" s="800"/>
      <c r="AW22" s="800"/>
      <c r="AX22" s="800"/>
      <c r="AY22" s="800"/>
      <c r="AZ22" s="800"/>
      <c r="BA22" s="800"/>
      <c r="BB22" s="800"/>
      <c r="BC22" s="800"/>
      <c r="BD22" s="800"/>
      <c r="BE22" s="800"/>
      <c r="BF22" s="800"/>
      <c r="BG22" s="800"/>
      <c r="BH22" s="800"/>
      <c r="BI22" s="800"/>
      <c r="BJ22" s="800"/>
      <c r="BK22" s="800"/>
      <c r="BL22" s="800"/>
      <c r="BM22" s="800"/>
      <c r="BN22" s="800"/>
      <c r="BO22" s="800"/>
      <c r="BP22" s="800"/>
      <c r="BQ22" s="800"/>
      <c r="BR22" s="800"/>
      <c r="BS22" s="800"/>
      <c r="BT22" s="800"/>
      <c r="BU22" s="800"/>
      <c r="BV22" s="800"/>
      <c r="BW22" s="800"/>
      <c r="BX22" s="800"/>
      <c r="BY22" s="800"/>
      <c r="BZ22" s="800"/>
      <c r="CA22" s="800"/>
      <c r="CB22" s="800"/>
      <c r="CC22" s="800"/>
      <c r="CD22" s="800"/>
      <c r="CE22" s="800"/>
      <c r="CF22" s="800"/>
      <c r="CG22" s="800"/>
      <c r="CH22" s="800"/>
      <c r="CI22" s="800"/>
      <c r="CJ22" s="800"/>
      <c r="CK22" s="800"/>
      <c r="CL22" s="800"/>
      <c r="CM22" s="800"/>
      <c r="CN22" s="800"/>
      <c r="CO22" s="800"/>
      <c r="CP22" s="800"/>
      <c r="CQ22" s="800"/>
      <c r="CR22" s="800"/>
      <c r="CS22" s="800"/>
      <c r="CT22" s="800"/>
      <c r="CU22" s="800"/>
      <c r="CV22" s="800"/>
      <c r="CW22" s="800"/>
      <c r="CX22" s="800"/>
      <c r="CY22" s="800"/>
      <c r="CZ22" s="800"/>
      <c r="DA22" s="800"/>
      <c r="DB22" s="800"/>
      <c r="DC22" s="800"/>
    </row>
    <row r="23" spans="1:107">
      <c r="A23" s="824" t="s">
        <v>6</v>
      </c>
      <c r="B23" s="825" t="s">
        <v>291</v>
      </c>
      <c r="C23" s="826">
        <v>326410.621738924</v>
      </c>
      <c r="D23" s="827">
        <v>335503.28159022023</v>
      </c>
      <c r="E23" s="827">
        <v>373412.27092166932</v>
      </c>
      <c r="F23" s="827">
        <v>378340.18849999993</v>
      </c>
      <c r="G23" s="827">
        <v>377893.94589999999</v>
      </c>
      <c r="H23" s="827">
        <v>388222.13010000001</v>
      </c>
      <c r="I23" s="827">
        <v>401706.90170000005</v>
      </c>
      <c r="J23" s="828">
        <v>416127.7597</v>
      </c>
      <c r="K23" s="800"/>
      <c r="L23" s="800"/>
      <c r="M23" s="800"/>
      <c r="N23" s="800"/>
      <c r="O23" s="800"/>
      <c r="P23" s="800"/>
      <c r="Q23" s="800"/>
      <c r="R23" s="800"/>
      <c r="S23" s="800"/>
      <c r="T23" s="800"/>
      <c r="U23" s="800"/>
      <c r="V23" s="800"/>
      <c r="W23" s="800"/>
      <c r="X23" s="800"/>
      <c r="Y23" s="800"/>
      <c r="Z23" s="800"/>
      <c r="AA23" s="800"/>
      <c r="AB23" s="800"/>
      <c r="AC23" s="800"/>
      <c r="AD23" s="800"/>
      <c r="AE23" s="800"/>
      <c r="AF23" s="800"/>
      <c r="AG23" s="800"/>
      <c r="AH23" s="800"/>
      <c r="AI23" s="800"/>
      <c r="AJ23" s="800"/>
      <c r="AK23" s="800"/>
      <c r="AL23" s="800"/>
      <c r="AM23" s="800"/>
      <c r="AN23" s="800"/>
      <c r="AO23" s="800"/>
      <c r="AP23" s="800"/>
      <c r="AQ23" s="800"/>
      <c r="AR23" s="800"/>
      <c r="AS23" s="800"/>
      <c r="AT23" s="800"/>
      <c r="AU23" s="800"/>
      <c r="AV23" s="800"/>
      <c r="AW23" s="800"/>
      <c r="AX23" s="800"/>
      <c r="AY23" s="800"/>
      <c r="AZ23" s="800"/>
      <c r="BA23" s="800"/>
      <c r="BB23" s="800"/>
      <c r="BC23" s="800"/>
      <c r="BD23" s="800"/>
      <c r="BE23" s="800"/>
      <c r="BF23" s="800"/>
      <c r="BG23" s="800"/>
      <c r="BH23" s="800"/>
      <c r="BI23" s="800"/>
      <c r="BJ23" s="800"/>
      <c r="BK23" s="800"/>
      <c r="BL23" s="800"/>
      <c r="BM23" s="800"/>
      <c r="BN23" s="800"/>
      <c r="BO23" s="800"/>
      <c r="BP23" s="800"/>
      <c r="BQ23" s="800"/>
      <c r="BR23" s="800"/>
      <c r="BS23" s="800"/>
      <c r="BT23" s="800"/>
      <c r="BU23" s="800"/>
      <c r="BV23" s="800"/>
      <c r="BW23" s="800"/>
      <c r="BX23" s="800"/>
      <c r="BY23" s="800"/>
      <c r="BZ23" s="800"/>
      <c r="CA23" s="800"/>
      <c r="CB23" s="800"/>
      <c r="CC23" s="800"/>
      <c r="CD23" s="800"/>
      <c r="CE23" s="800"/>
      <c r="CF23" s="800"/>
      <c r="CG23" s="800"/>
      <c r="CH23" s="800"/>
      <c r="CI23" s="800"/>
      <c r="CJ23" s="800"/>
      <c r="CK23" s="800"/>
      <c r="CL23" s="800"/>
      <c r="CM23" s="800"/>
      <c r="CN23" s="800"/>
      <c r="CO23" s="800"/>
      <c r="CP23" s="800"/>
      <c r="CQ23" s="800"/>
      <c r="CR23" s="800"/>
      <c r="CS23" s="800"/>
      <c r="CT23" s="800"/>
      <c r="CU23" s="800"/>
      <c r="CV23" s="800"/>
      <c r="CW23" s="800"/>
      <c r="CX23" s="800"/>
      <c r="CY23" s="800"/>
      <c r="CZ23" s="800"/>
      <c r="DA23" s="800"/>
      <c r="DB23" s="800"/>
      <c r="DC23" s="800"/>
    </row>
    <row r="24" spans="1:107">
      <c r="A24" s="830"/>
      <c r="B24" s="831" t="s">
        <v>279</v>
      </c>
      <c r="C24" s="832">
        <v>225850.57500000001</v>
      </c>
      <c r="D24" s="833">
        <v>216064.04320000001</v>
      </c>
      <c r="E24" s="833">
        <v>214924.35200000001</v>
      </c>
      <c r="F24" s="833">
        <v>226205.94200000001</v>
      </c>
      <c r="G24" s="833">
        <v>233561.63759999999</v>
      </c>
      <c r="H24" s="833">
        <v>243179.15569999997</v>
      </c>
      <c r="I24" s="833">
        <v>253513.69019999995</v>
      </c>
      <c r="J24" s="834">
        <v>264622.3922</v>
      </c>
      <c r="K24" s="800"/>
      <c r="L24" s="800"/>
      <c r="M24" s="800"/>
      <c r="N24" s="800"/>
      <c r="O24" s="800"/>
      <c r="P24" s="800"/>
      <c r="Q24" s="800"/>
      <c r="R24" s="800"/>
      <c r="S24" s="800"/>
      <c r="T24" s="800"/>
      <c r="U24" s="800"/>
      <c r="V24" s="800"/>
      <c r="W24" s="800"/>
      <c r="X24" s="800"/>
      <c r="Y24" s="800"/>
      <c r="Z24" s="800"/>
      <c r="AA24" s="800"/>
      <c r="AB24" s="800"/>
      <c r="AC24" s="800"/>
      <c r="AD24" s="800"/>
      <c r="AE24" s="800"/>
      <c r="AF24" s="800"/>
      <c r="AG24" s="800"/>
      <c r="AH24" s="800"/>
      <c r="AI24" s="800"/>
      <c r="AJ24" s="800"/>
      <c r="AK24" s="800"/>
      <c r="AL24" s="800"/>
      <c r="AM24" s="800"/>
      <c r="AN24" s="800"/>
      <c r="AO24" s="800"/>
      <c r="AP24" s="800"/>
      <c r="AQ24" s="800"/>
      <c r="AR24" s="800"/>
      <c r="AS24" s="800"/>
      <c r="AT24" s="800"/>
      <c r="AU24" s="800"/>
      <c r="AV24" s="800"/>
      <c r="AW24" s="800"/>
      <c r="AX24" s="800"/>
      <c r="AY24" s="800"/>
      <c r="AZ24" s="800"/>
      <c r="BA24" s="800"/>
      <c r="BB24" s="800"/>
      <c r="BC24" s="800"/>
      <c r="BD24" s="800"/>
      <c r="BE24" s="800"/>
      <c r="BF24" s="800"/>
      <c r="BG24" s="800"/>
      <c r="BH24" s="800"/>
      <c r="BI24" s="800"/>
      <c r="BJ24" s="800"/>
      <c r="BK24" s="800"/>
      <c r="BL24" s="800"/>
      <c r="BM24" s="800"/>
      <c r="BN24" s="800"/>
      <c r="BO24" s="800"/>
      <c r="BP24" s="800"/>
      <c r="BQ24" s="800"/>
      <c r="BR24" s="800"/>
      <c r="BS24" s="800"/>
      <c r="BT24" s="800"/>
      <c r="BU24" s="800"/>
      <c r="BV24" s="800"/>
      <c r="BW24" s="800"/>
      <c r="BX24" s="800"/>
      <c r="BY24" s="800"/>
      <c r="BZ24" s="800"/>
      <c r="CA24" s="800"/>
      <c r="CB24" s="800"/>
      <c r="CC24" s="800"/>
      <c r="CD24" s="800"/>
      <c r="CE24" s="800"/>
      <c r="CF24" s="800"/>
      <c r="CG24" s="800"/>
      <c r="CH24" s="800"/>
      <c r="CI24" s="800"/>
      <c r="CJ24" s="800"/>
      <c r="CK24" s="800"/>
      <c r="CL24" s="800"/>
      <c r="CM24" s="800"/>
      <c r="CN24" s="800"/>
      <c r="CO24" s="800"/>
      <c r="CP24" s="800"/>
      <c r="CQ24" s="800"/>
      <c r="CR24" s="800"/>
      <c r="CS24" s="800"/>
      <c r="CT24" s="800"/>
      <c r="CU24" s="800"/>
      <c r="CV24" s="800"/>
      <c r="CW24" s="800"/>
      <c r="CX24" s="800"/>
      <c r="CY24" s="800"/>
      <c r="CZ24" s="800"/>
      <c r="DA24" s="800"/>
      <c r="DB24" s="800"/>
      <c r="DC24" s="800"/>
    </row>
    <row r="25" spans="1:107">
      <c r="A25" s="825" t="s">
        <v>622</v>
      </c>
      <c r="B25" s="829"/>
      <c r="C25" s="826">
        <v>552261.19673892402</v>
      </c>
      <c r="D25" s="827">
        <v>551567.32479022024</v>
      </c>
      <c r="E25" s="827">
        <v>588336.62292166939</v>
      </c>
      <c r="F25" s="827">
        <v>604546.13049999997</v>
      </c>
      <c r="G25" s="827">
        <v>611455.58349999995</v>
      </c>
      <c r="H25" s="827">
        <v>631401.28579999995</v>
      </c>
      <c r="I25" s="827">
        <v>655220.5919</v>
      </c>
      <c r="J25" s="828">
        <v>680750.15189999994</v>
      </c>
      <c r="K25" s="800"/>
      <c r="L25" s="800"/>
      <c r="M25" s="800"/>
      <c r="N25" s="800"/>
      <c r="O25" s="800"/>
      <c r="P25" s="800"/>
      <c r="Q25" s="800"/>
      <c r="R25" s="800"/>
      <c r="S25" s="800"/>
      <c r="T25" s="800"/>
      <c r="U25" s="800"/>
      <c r="V25" s="800"/>
      <c r="W25" s="800"/>
      <c r="X25" s="800"/>
      <c r="Y25" s="800"/>
      <c r="Z25" s="800"/>
      <c r="AA25" s="800"/>
      <c r="AB25" s="800"/>
      <c r="AC25" s="800"/>
      <c r="AD25" s="800"/>
      <c r="AE25" s="800"/>
      <c r="AF25" s="800"/>
      <c r="AG25" s="800"/>
      <c r="AH25" s="800"/>
      <c r="AI25" s="800"/>
      <c r="AJ25" s="800"/>
      <c r="AK25" s="800"/>
      <c r="AL25" s="800"/>
      <c r="AM25" s="800"/>
      <c r="AN25" s="800"/>
      <c r="AO25" s="800"/>
      <c r="AP25" s="800"/>
      <c r="AQ25" s="800"/>
      <c r="AR25" s="800"/>
      <c r="AS25" s="800"/>
      <c r="AT25" s="800"/>
      <c r="AU25" s="800"/>
      <c r="AV25" s="800"/>
      <c r="AW25" s="800"/>
      <c r="AX25" s="800"/>
      <c r="AY25" s="800"/>
      <c r="AZ25" s="800"/>
      <c r="BA25" s="800"/>
      <c r="BB25" s="800"/>
      <c r="BC25" s="800"/>
      <c r="BD25" s="800"/>
      <c r="BE25" s="800"/>
      <c r="BF25" s="800"/>
      <c r="BG25" s="800"/>
      <c r="BH25" s="800"/>
      <c r="BI25" s="800"/>
      <c r="BJ25" s="800"/>
      <c r="BK25" s="800"/>
      <c r="BL25" s="800"/>
      <c r="BM25" s="800"/>
      <c r="BN25" s="800"/>
      <c r="BO25" s="800"/>
      <c r="BP25" s="800"/>
      <c r="BQ25" s="800"/>
      <c r="BR25" s="800"/>
      <c r="BS25" s="800"/>
      <c r="BT25" s="800"/>
      <c r="BU25" s="800"/>
      <c r="BV25" s="800"/>
      <c r="BW25" s="800"/>
      <c r="BX25" s="800"/>
      <c r="BY25" s="800"/>
      <c r="BZ25" s="800"/>
      <c r="CA25" s="800"/>
      <c r="CB25" s="800"/>
      <c r="CC25" s="800"/>
      <c r="CD25" s="800"/>
      <c r="CE25" s="800"/>
      <c r="CF25" s="800"/>
      <c r="CG25" s="800"/>
      <c r="CH25" s="800"/>
      <c r="CI25" s="800"/>
      <c r="CJ25" s="800"/>
      <c r="CK25" s="800"/>
      <c r="CL25" s="800"/>
      <c r="CM25" s="800"/>
      <c r="CN25" s="800"/>
      <c r="CO25" s="800"/>
      <c r="CP25" s="800"/>
      <c r="CQ25" s="800"/>
      <c r="CR25" s="800"/>
      <c r="CS25" s="800"/>
      <c r="CT25" s="800"/>
      <c r="CU25" s="800"/>
      <c r="CV25" s="800"/>
      <c r="CW25" s="800"/>
      <c r="CX25" s="800"/>
      <c r="CY25" s="800"/>
      <c r="CZ25" s="800"/>
      <c r="DA25" s="800"/>
      <c r="DB25" s="800"/>
      <c r="DC25" s="800"/>
    </row>
    <row r="26" spans="1:107">
      <c r="A26" s="824" t="s">
        <v>623</v>
      </c>
      <c r="B26" s="825" t="s">
        <v>291</v>
      </c>
      <c r="C26" s="826">
        <v>281774.8375679641</v>
      </c>
      <c r="D26" s="827">
        <v>297000.8084331401</v>
      </c>
      <c r="E26" s="827">
        <v>250898.72194526327</v>
      </c>
      <c r="F26" s="827">
        <v>277881.45170000003</v>
      </c>
      <c r="G26" s="827">
        <v>309086.09409999993</v>
      </c>
      <c r="H26" s="827">
        <v>333221.42099999997</v>
      </c>
      <c r="I26" s="827">
        <v>352665.74789999996</v>
      </c>
      <c r="J26" s="828">
        <v>361363.57760000002</v>
      </c>
      <c r="K26" s="800"/>
      <c r="L26" s="800"/>
      <c r="M26" s="800"/>
      <c r="N26" s="800"/>
      <c r="O26" s="800"/>
      <c r="P26" s="800"/>
      <c r="Q26" s="800"/>
      <c r="R26" s="800"/>
      <c r="S26" s="800"/>
      <c r="T26" s="800"/>
      <c r="U26" s="800"/>
      <c r="V26" s="800"/>
      <c r="W26" s="800"/>
      <c r="X26" s="800"/>
      <c r="Y26" s="800"/>
      <c r="Z26" s="800"/>
      <c r="AA26" s="800"/>
      <c r="AB26" s="800"/>
      <c r="AC26" s="800"/>
      <c r="AD26" s="800"/>
      <c r="AE26" s="800"/>
      <c r="AF26" s="800"/>
      <c r="AG26" s="800"/>
      <c r="AH26" s="800"/>
      <c r="AI26" s="800"/>
      <c r="AJ26" s="800"/>
      <c r="AK26" s="800"/>
      <c r="AL26" s="800"/>
      <c r="AM26" s="800"/>
      <c r="AN26" s="800"/>
      <c r="AO26" s="800"/>
      <c r="AP26" s="800"/>
      <c r="AQ26" s="800"/>
      <c r="AR26" s="800"/>
      <c r="AS26" s="800"/>
      <c r="AT26" s="800"/>
      <c r="AU26" s="800"/>
      <c r="AV26" s="800"/>
      <c r="AW26" s="800"/>
      <c r="AX26" s="800"/>
      <c r="AY26" s="800"/>
      <c r="AZ26" s="800"/>
      <c r="BA26" s="800"/>
      <c r="BB26" s="800"/>
      <c r="BC26" s="800"/>
      <c r="BD26" s="800"/>
      <c r="BE26" s="800"/>
      <c r="BF26" s="800"/>
      <c r="BG26" s="800"/>
      <c r="BH26" s="800"/>
      <c r="BI26" s="800"/>
      <c r="BJ26" s="800"/>
      <c r="BK26" s="800"/>
      <c r="BL26" s="800"/>
      <c r="BM26" s="800"/>
      <c r="BN26" s="800"/>
      <c r="BO26" s="800"/>
      <c r="BP26" s="800"/>
      <c r="BQ26" s="800"/>
      <c r="BR26" s="800"/>
      <c r="BS26" s="800"/>
      <c r="BT26" s="800"/>
      <c r="BU26" s="800"/>
      <c r="BV26" s="800"/>
      <c r="BW26" s="800"/>
      <c r="BX26" s="800"/>
      <c r="BY26" s="800"/>
      <c r="BZ26" s="800"/>
      <c r="CA26" s="800"/>
      <c r="CB26" s="800"/>
      <c r="CC26" s="800"/>
      <c r="CD26" s="800"/>
      <c r="CE26" s="800"/>
      <c r="CF26" s="800"/>
      <c r="CG26" s="800"/>
      <c r="CH26" s="800"/>
      <c r="CI26" s="800"/>
      <c r="CJ26" s="800"/>
      <c r="CK26" s="800"/>
      <c r="CL26" s="800"/>
      <c r="CM26" s="800"/>
      <c r="CN26" s="800"/>
      <c r="CO26" s="800"/>
      <c r="CP26" s="800"/>
      <c r="CQ26" s="800"/>
      <c r="CR26" s="800"/>
      <c r="CS26" s="800"/>
      <c r="CT26" s="800"/>
      <c r="CU26" s="800"/>
      <c r="CV26" s="800"/>
      <c r="CW26" s="800"/>
      <c r="CX26" s="800"/>
      <c r="CY26" s="800"/>
      <c r="CZ26" s="800"/>
      <c r="DA26" s="800"/>
      <c r="DB26" s="800"/>
      <c r="DC26" s="800"/>
    </row>
    <row r="27" spans="1:107">
      <c r="A27" s="825" t="s">
        <v>624</v>
      </c>
      <c r="B27" s="829"/>
      <c r="C27" s="826">
        <v>281774.8375679641</v>
      </c>
      <c r="D27" s="827">
        <v>297000.8084331401</v>
      </c>
      <c r="E27" s="827">
        <v>250898.72194526327</v>
      </c>
      <c r="F27" s="827">
        <v>277881.45170000003</v>
      </c>
      <c r="G27" s="827">
        <v>309086.09409999993</v>
      </c>
      <c r="H27" s="827">
        <v>333221.42099999997</v>
      </c>
      <c r="I27" s="827">
        <v>352665.74789999996</v>
      </c>
      <c r="J27" s="828">
        <v>361363.57760000002</v>
      </c>
      <c r="K27" s="800"/>
      <c r="L27" s="800"/>
      <c r="M27" s="800"/>
      <c r="N27" s="800"/>
      <c r="O27" s="800"/>
      <c r="P27" s="800"/>
      <c r="Q27" s="800"/>
      <c r="R27" s="800"/>
      <c r="S27" s="800"/>
      <c r="T27" s="800"/>
      <c r="U27" s="800"/>
      <c r="V27" s="800"/>
      <c r="W27" s="800"/>
      <c r="X27" s="800"/>
      <c r="Y27" s="800"/>
      <c r="Z27" s="800"/>
      <c r="AA27" s="800"/>
      <c r="AB27" s="800"/>
      <c r="AC27" s="800"/>
      <c r="AD27" s="800"/>
      <c r="AE27" s="800"/>
      <c r="AF27" s="800"/>
      <c r="AG27" s="800"/>
      <c r="AH27" s="800"/>
      <c r="AI27" s="800"/>
      <c r="AJ27" s="800"/>
      <c r="AK27" s="800"/>
      <c r="AL27" s="800"/>
      <c r="AM27" s="800"/>
      <c r="AN27" s="800"/>
      <c r="AO27" s="800"/>
      <c r="AP27" s="800"/>
      <c r="AQ27" s="800"/>
      <c r="AR27" s="800"/>
      <c r="AS27" s="800"/>
      <c r="AT27" s="800"/>
      <c r="AU27" s="800"/>
      <c r="AV27" s="800"/>
      <c r="AW27" s="800"/>
      <c r="AX27" s="800"/>
      <c r="AY27" s="800"/>
      <c r="AZ27" s="800"/>
      <c r="BA27" s="800"/>
      <c r="BB27" s="800"/>
      <c r="BC27" s="800"/>
      <c r="BD27" s="800"/>
      <c r="BE27" s="800"/>
      <c r="BF27" s="800"/>
      <c r="BG27" s="800"/>
      <c r="BH27" s="800"/>
      <c r="BI27" s="800"/>
      <c r="BJ27" s="800"/>
      <c r="BK27" s="800"/>
      <c r="BL27" s="800"/>
      <c r="BM27" s="800"/>
      <c r="BN27" s="800"/>
      <c r="BO27" s="800"/>
      <c r="BP27" s="800"/>
      <c r="BQ27" s="800"/>
      <c r="BR27" s="800"/>
      <c r="BS27" s="800"/>
      <c r="BT27" s="800"/>
      <c r="BU27" s="800"/>
      <c r="BV27" s="800"/>
      <c r="BW27" s="800"/>
      <c r="BX27" s="800"/>
      <c r="BY27" s="800"/>
      <c r="BZ27" s="800"/>
      <c r="CA27" s="800"/>
      <c r="CB27" s="800"/>
      <c r="CC27" s="800"/>
      <c r="CD27" s="800"/>
      <c r="CE27" s="800"/>
      <c r="CF27" s="800"/>
      <c r="CG27" s="800"/>
      <c r="CH27" s="800"/>
      <c r="CI27" s="800"/>
      <c r="CJ27" s="800"/>
      <c r="CK27" s="800"/>
      <c r="CL27" s="800"/>
      <c r="CM27" s="800"/>
      <c r="CN27" s="800"/>
      <c r="CO27" s="800"/>
      <c r="CP27" s="800"/>
      <c r="CQ27" s="800"/>
      <c r="CR27" s="800"/>
      <c r="CS27" s="800"/>
      <c r="CT27" s="800"/>
      <c r="CU27" s="800"/>
      <c r="CV27" s="800"/>
      <c r="CW27" s="800"/>
      <c r="CX27" s="800"/>
      <c r="CY27" s="800"/>
      <c r="CZ27" s="800"/>
      <c r="DA27" s="800"/>
      <c r="DB27" s="800"/>
      <c r="DC27" s="800"/>
    </row>
    <row r="28" spans="1:107">
      <c r="A28" s="835" t="s">
        <v>307</v>
      </c>
      <c r="B28" s="836"/>
      <c r="C28" s="837">
        <v>1387967.0336538968</v>
      </c>
      <c r="D28" s="838">
        <v>1484018.7758654857</v>
      </c>
      <c r="E28" s="838">
        <v>1535042.5006246755</v>
      </c>
      <c r="F28" s="838">
        <v>1612494.1029999999</v>
      </c>
      <c r="G28" s="838">
        <v>1681722.8469999998</v>
      </c>
      <c r="H28" s="838">
        <v>1729726.2409999999</v>
      </c>
      <c r="I28" s="838">
        <v>1791478.3393999999</v>
      </c>
      <c r="J28" s="839">
        <v>1843708.9216</v>
      </c>
      <c r="K28" s="800"/>
      <c r="L28" s="800"/>
      <c r="M28" s="800"/>
      <c r="N28" s="800"/>
      <c r="O28" s="800"/>
      <c r="P28" s="800"/>
      <c r="Q28" s="800"/>
      <c r="R28" s="800"/>
      <c r="S28" s="800"/>
      <c r="T28" s="800"/>
      <c r="U28" s="800"/>
      <c r="V28" s="800"/>
      <c r="W28" s="800"/>
      <c r="X28" s="800"/>
      <c r="Y28" s="800"/>
      <c r="Z28" s="800"/>
      <c r="AA28" s="800"/>
      <c r="AB28" s="800"/>
      <c r="AC28" s="800"/>
      <c r="AD28" s="800"/>
      <c r="AE28" s="800"/>
      <c r="AF28" s="800"/>
      <c r="AG28" s="800"/>
      <c r="AH28" s="800"/>
      <c r="AI28" s="800"/>
      <c r="AJ28" s="800"/>
      <c r="AK28" s="800"/>
      <c r="AL28" s="800"/>
      <c r="AM28" s="800"/>
      <c r="AN28" s="800"/>
      <c r="AO28" s="800"/>
      <c r="AP28" s="800"/>
      <c r="AQ28" s="800"/>
      <c r="AR28" s="800"/>
      <c r="AS28" s="800"/>
      <c r="AT28" s="800"/>
      <c r="AU28" s="800"/>
      <c r="AV28" s="800"/>
      <c r="AW28" s="800"/>
      <c r="AX28" s="800"/>
      <c r="AY28" s="800"/>
      <c r="AZ28" s="800"/>
      <c r="BA28" s="800"/>
      <c r="BB28" s="800"/>
      <c r="BC28" s="800"/>
      <c r="BD28" s="800"/>
      <c r="BE28" s="800"/>
      <c r="BF28" s="800"/>
      <c r="BG28" s="800"/>
      <c r="BH28" s="800"/>
      <c r="BI28" s="800"/>
      <c r="BJ28" s="800"/>
      <c r="BK28" s="800"/>
      <c r="BL28" s="800"/>
      <c r="BM28" s="800"/>
      <c r="BN28" s="800"/>
      <c r="BO28" s="800"/>
      <c r="BP28" s="800"/>
      <c r="BQ28" s="800"/>
      <c r="BR28" s="800"/>
      <c r="BS28" s="800"/>
      <c r="BT28" s="800"/>
      <c r="BU28" s="800"/>
      <c r="BV28" s="800"/>
      <c r="BW28" s="800"/>
      <c r="BX28" s="800"/>
      <c r="BY28" s="800"/>
      <c r="BZ28" s="800"/>
      <c r="CA28" s="800"/>
      <c r="CB28" s="800"/>
      <c r="CC28" s="800"/>
      <c r="CD28" s="800"/>
      <c r="CE28" s="800"/>
      <c r="CF28" s="800"/>
      <c r="CG28" s="800"/>
      <c r="CH28" s="800"/>
      <c r="CI28" s="800"/>
      <c r="CJ28" s="800"/>
      <c r="CK28" s="800"/>
      <c r="CL28" s="800"/>
      <c r="CM28" s="800"/>
      <c r="CN28" s="800"/>
      <c r="CO28" s="800"/>
      <c r="CP28" s="800"/>
      <c r="CQ28" s="800"/>
      <c r="CR28" s="800"/>
      <c r="CS28" s="800"/>
      <c r="CT28" s="800"/>
      <c r="CU28" s="800"/>
      <c r="CV28" s="800"/>
      <c r="CW28" s="800"/>
      <c r="CX28" s="800"/>
      <c r="CY28" s="800"/>
      <c r="CZ28" s="800"/>
      <c r="DA28" s="800"/>
      <c r="DB28" s="800"/>
      <c r="DC28" s="800"/>
    </row>
    <row r="29" spans="1:107">
      <c r="A29" s="840"/>
      <c r="B29" s="840"/>
      <c r="C29" s="840"/>
      <c r="D29" s="840"/>
      <c r="E29" s="840"/>
      <c r="F29" s="840"/>
      <c r="G29" s="840"/>
      <c r="H29" s="840"/>
      <c r="I29" s="840"/>
      <c r="J29" s="840"/>
      <c r="K29" s="800"/>
      <c r="L29" s="800"/>
      <c r="M29" s="800"/>
      <c r="N29" s="800"/>
      <c r="O29" s="800"/>
      <c r="P29" s="800"/>
      <c r="Q29" s="800"/>
      <c r="R29" s="800"/>
      <c r="S29" s="800"/>
      <c r="T29" s="800"/>
      <c r="U29" s="800"/>
      <c r="V29" s="800"/>
      <c r="W29" s="800"/>
      <c r="X29" s="800"/>
      <c r="Y29" s="800"/>
      <c r="Z29" s="800"/>
      <c r="AA29" s="800"/>
      <c r="AB29" s="800"/>
      <c r="AC29" s="800"/>
      <c r="AD29" s="800"/>
      <c r="AE29" s="800"/>
      <c r="AF29" s="800"/>
      <c r="AG29" s="800"/>
      <c r="AH29" s="800"/>
      <c r="AI29" s="800"/>
      <c r="AJ29" s="800"/>
      <c r="AK29" s="800"/>
      <c r="AL29" s="800"/>
      <c r="AM29" s="800"/>
      <c r="AN29" s="800"/>
      <c r="AO29" s="800"/>
      <c r="AP29" s="800"/>
      <c r="AQ29" s="800"/>
      <c r="AR29" s="800"/>
      <c r="AS29" s="800"/>
      <c r="AT29" s="800"/>
      <c r="AU29" s="800"/>
      <c r="AV29" s="800"/>
      <c r="AW29" s="800"/>
      <c r="AX29" s="800"/>
      <c r="AY29" s="800"/>
      <c r="AZ29" s="800"/>
      <c r="BA29" s="800"/>
      <c r="BB29" s="800"/>
      <c r="BC29" s="800"/>
      <c r="BD29" s="800"/>
      <c r="BE29" s="800"/>
      <c r="BF29" s="800"/>
      <c r="BG29" s="800"/>
      <c r="BH29" s="800"/>
      <c r="BI29" s="800"/>
      <c r="BJ29" s="800"/>
      <c r="BK29" s="800"/>
      <c r="BL29" s="800"/>
      <c r="BM29" s="800"/>
      <c r="BN29" s="800"/>
      <c r="BO29" s="800"/>
      <c r="BP29" s="800"/>
      <c r="BQ29" s="800"/>
      <c r="BR29" s="800"/>
      <c r="BS29" s="800"/>
      <c r="BT29" s="800"/>
      <c r="BU29" s="800"/>
      <c r="BV29" s="800"/>
      <c r="BW29" s="800"/>
      <c r="BX29" s="800"/>
      <c r="BY29" s="800"/>
      <c r="BZ29" s="800"/>
      <c r="CA29" s="800"/>
      <c r="CB29" s="800"/>
      <c r="CC29" s="800"/>
      <c r="CD29" s="800"/>
      <c r="CE29" s="800"/>
      <c r="CF29" s="800"/>
      <c r="CG29" s="800"/>
      <c r="CH29" s="800"/>
      <c r="CI29" s="800"/>
      <c r="CJ29" s="800"/>
      <c r="CK29" s="800"/>
      <c r="CL29" s="800"/>
      <c r="CM29" s="800"/>
      <c r="CN29" s="800"/>
      <c r="CO29" s="800"/>
      <c r="CP29" s="800"/>
      <c r="CQ29" s="800"/>
      <c r="CR29" s="800"/>
      <c r="CS29" s="800"/>
      <c r="CT29" s="800"/>
      <c r="CU29" s="800"/>
      <c r="CV29" s="800"/>
      <c r="CW29" s="800"/>
      <c r="CX29" s="800"/>
      <c r="CY29" s="800"/>
      <c r="CZ29" s="800"/>
      <c r="DA29" s="800"/>
      <c r="DB29" s="800"/>
      <c r="DC29" s="800"/>
    </row>
    <row r="30" spans="1:107">
      <c r="A30" s="840"/>
      <c r="B30" s="840"/>
      <c r="C30" s="840"/>
      <c r="D30" s="840"/>
      <c r="E30" s="840"/>
      <c r="F30" s="840"/>
      <c r="G30" s="840"/>
      <c r="H30" s="840"/>
      <c r="I30" s="840"/>
      <c r="J30" s="840"/>
      <c r="K30" s="800"/>
      <c r="L30" s="800"/>
      <c r="M30" s="800"/>
      <c r="N30" s="800"/>
      <c r="O30" s="800"/>
      <c r="P30" s="800"/>
      <c r="Q30" s="800"/>
      <c r="R30" s="800"/>
      <c r="S30" s="800"/>
      <c r="T30" s="800"/>
      <c r="U30" s="800"/>
      <c r="V30" s="800"/>
      <c r="W30" s="800"/>
      <c r="X30" s="800"/>
      <c r="Y30" s="800"/>
      <c r="Z30" s="800"/>
      <c r="AA30" s="800"/>
      <c r="AB30" s="800"/>
      <c r="AC30" s="800"/>
      <c r="AD30" s="800"/>
      <c r="AE30" s="800"/>
      <c r="AF30" s="800"/>
      <c r="AG30" s="800"/>
      <c r="AH30" s="800"/>
      <c r="AI30" s="800"/>
      <c r="AJ30" s="800"/>
      <c r="AK30" s="800"/>
      <c r="AL30" s="800"/>
      <c r="AM30" s="800"/>
      <c r="AN30" s="800"/>
      <c r="AO30" s="800"/>
      <c r="AP30" s="800"/>
      <c r="AQ30" s="800"/>
      <c r="AR30" s="800"/>
      <c r="AS30" s="800"/>
      <c r="AT30" s="800"/>
      <c r="AU30" s="800"/>
      <c r="AV30" s="800"/>
      <c r="AW30" s="800"/>
      <c r="AX30" s="800"/>
      <c r="AY30" s="800"/>
      <c r="AZ30" s="800"/>
      <c r="BA30" s="800"/>
      <c r="BB30" s="800"/>
      <c r="BC30" s="800"/>
      <c r="BD30" s="800"/>
      <c r="BE30" s="800"/>
      <c r="BF30" s="800"/>
      <c r="BG30" s="800"/>
      <c r="BH30" s="800"/>
      <c r="BI30" s="800"/>
      <c r="BJ30" s="800"/>
      <c r="BK30" s="800"/>
      <c r="BL30" s="800"/>
      <c r="BM30" s="800"/>
      <c r="BN30" s="800"/>
      <c r="BO30" s="800"/>
      <c r="BP30" s="800"/>
      <c r="BQ30" s="800"/>
      <c r="BR30" s="800"/>
      <c r="BS30" s="800"/>
      <c r="BT30" s="800"/>
      <c r="BU30" s="800"/>
      <c r="BV30" s="800"/>
      <c r="BW30" s="800"/>
      <c r="BX30" s="800"/>
      <c r="BY30" s="800"/>
      <c r="BZ30" s="800"/>
      <c r="CA30" s="800"/>
      <c r="CB30" s="800"/>
      <c r="CC30" s="800"/>
      <c r="CD30" s="800"/>
      <c r="CE30" s="800"/>
      <c r="CF30" s="800"/>
      <c r="CG30" s="800"/>
      <c r="CH30" s="800"/>
      <c r="CI30" s="800"/>
      <c r="CJ30" s="800"/>
      <c r="CK30" s="800"/>
      <c r="CL30" s="800"/>
      <c r="CM30" s="800"/>
      <c r="CN30" s="800"/>
      <c r="CO30" s="800"/>
      <c r="CP30" s="800"/>
      <c r="CQ30" s="800"/>
      <c r="CR30" s="800"/>
      <c r="CS30" s="800"/>
      <c r="CT30" s="800"/>
      <c r="CU30" s="800"/>
      <c r="CV30" s="800"/>
      <c r="CW30" s="800"/>
      <c r="CX30" s="800"/>
      <c r="CY30" s="800"/>
      <c r="CZ30" s="800"/>
      <c r="DA30" s="800"/>
      <c r="DB30" s="800"/>
      <c r="DC30" s="800"/>
    </row>
    <row r="31" spans="1:107">
      <c r="A31" s="840"/>
      <c r="B31" s="840"/>
      <c r="C31" s="840"/>
      <c r="D31" s="840"/>
      <c r="E31" s="840"/>
      <c r="F31" s="840"/>
      <c r="G31" s="840"/>
      <c r="H31" s="840"/>
      <c r="I31" s="840"/>
      <c r="J31" s="840"/>
      <c r="K31" s="800"/>
      <c r="L31" s="800"/>
      <c r="M31" s="800"/>
      <c r="N31" s="800"/>
      <c r="O31" s="800"/>
      <c r="P31" s="800"/>
      <c r="Q31" s="800"/>
      <c r="R31" s="800"/>
      <c r="S31" s="800"/>
      <c r="T31" s="800"/>
      <c r="U31" s="800"/>
      <c r="V31" s="800"/>
      <c r="W31" s="800"/>
      <c r="X31" s="800"/>
      <c r="Y31" s="800"/>
      <c r="Z31" s="800"/>
      <c r="AA31" s="800"/>
      <c r="AB31" s="800"/>
      <c r="AC31" s="800"/>
      <c r="AD31" s="800"/>
      <c r="AE31" s="800"/>
      <c r="AF31" s="800"/>
      <c r="AG31" s="800"/>
      <c r="AH31" s="800"/>
      <c r="AI31" s="800"/>
      <c r="AJ31" s="800"/>
      <c r="AK31" s="800"/>
      <c r="AL31" s="800"/>
      <c r="AM31" s="800"/>
      <c r="AN31" s="800"/>
      <c r="AO31" s="800"/>
      <c r="AP31" s="800"/>
      <c r="AQ31" s="800"/>
      <c r="AR31" s="800"/>
      <c r="AS31" s="800"/>
      <c r="AT31" s="800"/>
      <c r="AU31" s="800"/>
      <c r="AV31" s="800"/>
      <c r="AW31" s="800"/>
      <c r="AX31" s="800"/>
      <c r="AY31" s="800"/>
      <c r="AZ31" s="800"/>
      <c r="BA31" s="800"/>
      <c r="BB31" s="800"/>
      <c r="BC31" s="800"/>
      <c r="BD31" s="800"/>
      <c r="BE31" s="800"/>
      <c r="BF31" s="800"/>
      <c r="BG31" s="800"/>
      <c r="BH31" s="800"/>
      <c r="BI31" s="800"/>
      <c r="BJ31" s="800"/>
      <c r="BK31" s="800"/>
      <c r="BL31" s="800"/>
      <c r="BM31" s="800"/>
      <c r="BN31" s="800"/>
      <c r="BO31" s="800"/>
      <c r="BP31" s="800"/>
      <c r="BQ31" s="800"/>
      <c r="BR31" s="800"/>
      <c r="BS31" s="800"/>
      <c r="BT31" s="800"/>
      <c r="BU31" s="800"/>
      <c r="BV31" s="800"/>
      <c r="BW31" s="800"/>
      <c r="BX31" s="800"/>
      <c r="BY31" s="800"/>
      <c r="BZ31" s="800"/>
      <c r="CA31" s="800"/>
      <c r="CB31" s="800"/>
      <c r="CC31" s="800"/>
      <c r="CD31" s="800"/>
      <c r="CE31" s="800"/>
      <c r="CF31" s="800"/>
      <c r="CG31" s="800"/>
      <c r="CH31" s="800"/>
      <c r="CI31" s="800"/>
      <c r="CJ31" s="800"/>
      <c r="CK31" s="800"/>
      <c r="CL31" s="800"/>
      <c r="CM31" s="800"/>
      <c r="CN31" s="800"/>
      <c r="CO31" s="800"/>
      <c r="CP31" s="800"/>
      <c r="CQ31" s="800"/>
      <c r="CR31" s="800"/>
      <c r="CS31" s="800"/>
      <c r="CT31" s="800"/>
      <c r="CU31" s="800"/>
      <c r="CV31" s="800"/>
      <c r="CW31" s="800"/>
      <c r="CX31" s="800"/>
      <c r="CY31" s="800"/>
      <c r="CZ31" s="800"/>
      <c r="DA31" s="800"/>
      <c r="DB31" s="800"/>
      <c r="DC31" s="800"/>
    </row>
    <row r="32" spans="1:107">
      <c r="A32" s="840"/>
      <c r="B32" s="840" t="s">
        <v>625</v>
      </c>
      <c r="C32" s="843">
        <v>326410.621738924</v>
      </c>
      <c r="D32" s="843">
        <v>335503.28159022023</v>
      </c>
      <c r="E32" s="843">
        <v>373412.27092166932</v>
      </c>
      <c r="F32" s="843">
        <v>378340.18849999993</v>
      </c>
      <c r="G32" s="843">
        <v>377893.94589999999</v>
      </c>
      <c r="H32" s="843">
        <v>388222.13010000001</v>
      </c>
      <c r="I32" s="843">
        <v>401706.90170000005</v>
      </c>
      <c r="J32" s="843">
        <v>416127.7597</v>
      </c>
      <c r="K32" s="800"/>
      <c r="L32" s="800"/>
      <c r="M32" s="800"/>
      <c r="N32" s="800"/>
      <c r="O32" s="800"/>
      <c r="P32" s="800"/>
      <c r="Q32" s="800"/>
      <c r="R32" s="800"/>
      <c r="S32" s="800"/>
      <c r="T32" s="800"/>
      <c r="U32" s="800"/>
      <c r="V32" s="800"/>
      <c r="W32" s="800"/>
      <c r="X32" s="800"/>
      <c r="Y32" s="800"/>
      <c r="Z32" s="800"/>
      <c r="AA32" s="800"/>
      <c r="AB32" s="800"/>
      <c r="AC32" s="800"/>
      <c r="AD32" s="800"/>
      <c r="AE32" s="800"/>
      <c r="AF32" s="800"/>
      <c r="AG32" s="800"/>
      <c r="AH32" s="800"/>
      <c r="AI32" s="800"/>
      <c r="AJ32" s="800"/>
      <c r="AK32" s="800"/>
      <c r="AL32" s="800"/>
      <c r="AM32" s="800"/>
      <c r="AN32" s="800"/>
      <c r="AO32" s="800"/>
      <c r="AP32" s="800"/>
      <c r="AQ32" s="800"/>
      <c r="AR32" s="800"/>
      <c r="AS32" s="800"/>
      <c r="AT32" s="800"/>
      <c r="AU32" s="800"/>
      <c r="AV32" s="800"/>
      <c r="AW32" s="800"/>
      <c r="AX32" s="800"/>
      <c r="AY32" s="800"/>
      <c r="AZ32" s="800"/>
      <c r="BA32" s="800"/>
      <c r="BB32" s="800"/>
      <c r="BC32" s="800"/>
      <c r="BD32" s="800"/>
      <c r="BE32" s="800"/>
      <c r="BF32" s="800"/>
      <c r="BG32" s="800"/>
      <c r="BH32" s="800"/>
      <c r="BI32" s="800"/>
      <c r="BJ32" s="800"/>
      <c r="BK32" s="800"/>
      <c r="BL32" s="800"/>
      <c r="BM32" s="800"/>
      <c r="BN32" s="800"/>
      <c r="BO32" s="800"/>
      <c r="BP32" s="800"/>
      <c r="BQ32" s="800"/>
      <c r="BR32" s="800"/>
      <c r="BS32" s="800"/>
      <c r="BT32" s="800"/>
      <c r="BU32" s="800"/>
      <c r="BV32" s="800"/>
      <c r="BW32" s="800"/>
      <c r="BX32" s="800"/>
      <c r="BY32" s="800"/>
      <c r="BZ32" s="800"/>
      <c r="CA32" s="800"/>
      <c r="CB32" s="800"/>
      <c r="CC32" s="800"/>
      <c r="CD32" s="800"/>
      <c r="CE32" s="800"/>
      <c r="CF32" s="800"/>
      <c r="CG32" s="800"/>
      <c r="CH32" s="800"/>
      <c r="CI32" s="800"/>
      <c r="CJ32" s="800"/>
      <c r="CK32" s="800"/>
      <c r="CL32" s="800"/>
      <c r="CM32" s="800"/>
      <c r="CN32" s="800"/>
      <c r="CO32" s="800"/>
      <c r="CP32" s="800"/>
      <c r="CQ32" s="800"/>
      <c r="CR32" s="800"/>
      <c r="CS32" s="800"/>
      <c r="CT32" s="800"/>
      <c r="CU32" s="800"/>
      <c r="CV32" s="800"/>
      <c r="CW32" s="800"/>
      <c r="CX32" s="800"/>
      <c r="CY32" s="800"/>
      <c r="CZ32" s="800"/>
      <c r="DA32" s="800"/>
      <c r="DB32" s="800"/>
      <c r="DC32" s="800"/>
    </row>
    <row r="33" spans="1:107">
      <c r="A33" s="840"/>
      <c r="B33" s="840" t="s">
        <v>626</v>
      </c>
      <c r="C33" s="843">
        <v>225850.57500000001</v>
      </c>
      <c r="D33" s="843">
        <v>216064.04320000001</v>
      </c>
      <c r="E33" s="843">
        <v>214924.35200000001</v>
      </c>
      <c r="F33" s="843">
        <v>226205.94200000001</v>
      </c>
      <c r="G33" s="843">
        <v>233561.63759999999</v>
      </c>
      <c r="H33" s="843">
        <v>243179.15569999997</v>
      </c>
      <c r="I33" s="843">
        <v>253513.69019999995</v>
      </c>
      <c r="J33" s="843">
        <v>264622.3922</v>
      </c>
      <c r="K33" s="800"/>
      <c r="L33" s="800"/>
      <c r="M33" s="800"/>
      <c r="N33" s="800"/>
      <c r="O33" s="800"/>
      <c r="P33" s="800"/>
      <c r="Q33" s="800"/>
      <c r="R33" s="800"/>
      <c r="S33" s="800"/>
      <c r="T33" s="800"/>
      <c r="U33" s="800"/>
      <c r="V33" s="800"/>
      <c r="W33" s="800"/>
      <c r="X33" s="800"/>
      <c r="Y33" s="800"/>
      <c r="Z33" s="800"/>
      <c r="AA33" s="800"/>
      <c r="AB33" s="800"/>
      <c r="AC33" s="800"/>
      <c r="AD33" s="800"/>
      <c r="AE33" s="800"/>
      <c r="AF33" s="800"/>
      <c r="AG33" s="800"/>
      <c r="AH33" s="800"/>
      <c r="AI33" s="800"/>
      <c r="AJ33" s="800"/>
      <c r="AK33" s="800"/>
      <c r="AL33" s="800"/>
      <c r="AM33" s="800"/>
      <c r="AN33" s="800"/>
      <c r="AO33" s="800"/>
      <c r="AP33" s="800"/>
      <c r="AQ33" s="800"/>
      <c r="AR33" s="800"/>
      <c r="AS33" s="800"/>
      <c r="AT33" s="800"/>
      <c r="AU33" s="800"/>
      <c r="AV33" s="800"/>
      <c r="AW33" s="800"/>
      <c r="AX33" s="800"/>
      <c r="AY33" s="800"/>
      <c r="AZ33" s="800"/>
      <c r="BA33" s="800"/>
      <c r="BB33" s="800"/>
      <c r="BC33" s="800"/>
      <c r="BD33" s="800"/>
      <c r="BE33" s="800"/>
      <c r="BF33" s="800"/>
      <c r="BG33" s="800"/>
      <c r="BH33" s="800"/>
      <c r="BI33" s="800"/>
      <c r="BJ33" s="800"/>
      <c r="BK33" s="800"/>
      <c r="BL33" s="800"/>
      <c r="BM33" s="800"/>
      <c r="BN33" s="800"/>
      <c r="BO33" s="800"/>
      <c r="BP33" s="800"/>
      <c r="BQ33" s="800"/>
      <c r="BR33" s="800"/>
      <c r="BS33" s="800"/>
      <c r="BT33" s="800"/>
      <c r="BU33" s="800"/>
      <c r="BV33" s="800"/>
      <c r="BW33" s="800"/>
      <c r="BX33" s="800"/>
      <c r="BY33" s="800"/>
      <c r="BZ33" s="800"/>
      <c r="CA33" s="800"/>
      <c r="CB33" s="800"/>
      <c r="CC33" s="800"/>
      <c r="CD33" s="800"/>
      <c r="CE33" s="800"/>
      <c r="CF33" s="800"/>
      <c r="CG33" s="800"/>
      <c r="CH33" s="800"/>
      <c r="CI33" s="800"/>
      <c r="CJ33" s="800"/>
      <c r="CK33" s="800"/>
      <c r="CL33" s="800"/>
      <c r="CM33" s="800"/>
      <c r="CN33" s="800"/>
      <c r="CO33" s="800"/>
      <c r="CP33" s="800"/>
      <c r="CQ33" s="800"/>
      <c r="CR33" s="800"/>
      <c r="CS33" s="800"/>
      <c r="CT33" s="800"/>
      <c r="CU33" s="800"/>
      <c r="CV33" s="800"/>
      <c r="CW33" s="800"/>
      <c r="CX33" s="800"/>
      <c r="CY33" s="800"/>
      <c r="CZ33" s="800"/>
      <c r="DA33" s="800"/>
      <c r="DB33" s="800"/>
      <c r="DC33" s="800"/>
    </row>
    <row r="34" spans="1:107">
      <c r="A34" s="840"/>
      <c r="B34" s="840" t="s">
        <v>627</v>
      </c>
      <c r="C34" s="840"/>
      <c r="D34" s="840"/>
      <c r="E34" s="840"/>
      <c r="F34" s="840"/>
      <c r="G34" s="840"/>
      <c r="H34" s="840"/>
      <c r="I34" s="840"/>
      <c r="J34" s="840"/>
      <c r="K34" s="800"/>
      <c r="L34" s="800"/>
      <c r="M34" s="800"/>
      <c r="N34" s="800"/>
      <c r="O34" s="800"/>
      <c r="P34" s="800"/>
      <c r="Q34" s="800"/>
      <c r="R34" s="800"/>
      <c r="S34" s="800"/>
      <c r="T34" s="800"/>
      <c r="U34" s="800"/>
      <c r="V34" s="800"/>
      <c r="W34" s="800"/>
      <c r="X34" s="800"/>
      <c r="Y34" s="800"/>
      <c r="Z34" s="800"/>
      <c r="AA34" s="800"/>
      <c r="AB34" s="800"/>
      <c r="AC34" s="800"/>
      <c r="AD34" s="800"/>
      <c r="AE34" s="800"/>
      <c r="AF34" s="800"/>
      <c r="AG34" s="800"/>
      <c r="AH34" s="800"/>
      <c r="AI34" s="800"/>
      <c r="AJ34" s="800"/>
      <c r="AK34" s="800"/>
      <c r="AL34" s="800"/>
      <c r="AM34" s="800"/>
      <c r="AN34" s="800"/>
      <c r="AO34" s="800"/>
      <c r="AP34" s="800"/>
      <c r="AQ34" s="800"/>
      <c r="AR34" s="800"/>
      <c r="AS34" s="800"/>
      <c r="AT34" s="800"/>
      <c r="AU34" s="800"/>
      <c r="AV34" s="800"/>
      <c r="AW34" s="800"/>
      <c r="AX34" s="800"/>
      <c r="AY34" s="800"/>
      <c r="AZ34" s="800"/>
      <c r="BA34" s="800"/>
      <c r="BB34" s="800"/>
      <c r="BC34" s="800"/>
      <c r="BD34" s="800"/>
      <c r="BE34" s="800"/>
      <c r="BF34" s="800"/>
      <c r="BG34" s="800"/>
      <c r="BH34" s="800"/>
      <c r="BI34" s="800"/>
      <c r="BJ34" s="800"/>
      <c r="BK34" s="800"/>
      <c r="BL34" s="800"/>
      <c r="BM34" s="800"/>
      <c r="BN34" s="800"/>
      <c r="BO34" s="800"/>
      <c r="BP34" s="800"/>
      <c r="BQ34" s="800"/>
      <c r="BR34" s="800"/>
      <c r="BS34" s="800"/>
      <c r="BT34" s="800"/>
      <c r="BU34" s="800"/>
      <c r="BV34" s="800"/>
      <c r="BW34" s="800"/>
      <c r="BX34" s="800"/>
      <c r="BY34" s="800"/>
      <c r="BZ34" s="800"/>
      <c r="CA34" s="800"/>
      <c r="CB34" s="800"/>
      <c r="CC34" s="800"/>
      <c r="CD34" s="800"/>
      <c r="CE34" s="800"/>
      <c r="CF34" s="800"/>
      <c r="CG34" s="800"/>
      <c r="CH34" s="800"/>
      <c r="CI34" s="800"/>
      <c r="CJ34" s="800"/>
      <c r="CK34" s="800"/>
      <c r="CL34" s="800"/>
      <c r="CM34" s="800"/>
      <c r="CN34" s="800"/>
      <c r="CO34" s="800"/>
      <c r="CP34" s="800"/>
      <c r="CQ34" s="800"/>
      <c r="CR34" s="800"/>
      <c r="CS34" s="800"/>
      <c r="CT34" s="800"/>
      <c r="CU34" s="800"/>
      <c r="CV34" s="800"/>
      <c r="CW34" s="800"/>
      <c r="CX34" s="800"/>
      <c r="CY34" s="800"/>
      <c r="CZ34" s="800"/>
      <c r="DA34" s="800"/>
      <c r="DB34" s="800"/>
      <c r="DC34" s="800"/>
    </row>
    <row r="35" spans="1:107">
      <c r="A35" s="840"/>
      <c r="B35" s="840" t="s">
        <v>625</v>
      </c>
      <c r="C35" s="847"/>
      <c r="D35" s="847">
        <f>D32/C32-1</f>
        <v>2.7856507251068807E-2</v>
      </c>
      <c r="E35" s="847">
        <f t="shared" ref="E35" si="0">E32/D32-1</f>
        <v>0.1129914114454198</v>
      </c>
      <c r="F35" s="847">
        <f>F32/E32-1</f>
        <v>1.3196988856759795E-2</v>
      </c>
      <c r="G35" s="847">
        <f t="shared" ref="G35:J35" si="1">G32/F32-1</f>
        <v>-1.1794744876804097E-3</v>
      </c>
      <c r="H35" s="847">
        <f t="shared" si="1"/>
        <v>2.7330906758514573E-2</v>
      </c>
      <c r="I35" s="847">
        <f t="shared" si="1"/>
        <v>3.4734680365919868E-2</v>
      </c>
      <c r="J35" s="847">
        <f t="shared" si="1"/>
        <v>3.5898955031570923E-2</v>
      </c>
      <c r="K35" s="800"/>
      <c r="L35" s="800"/>
      <c r="M35" s="800"/>
      <c r="N35" s="800"/>
      <c r="O35" s="800"/>
      <c r="P35" s="800"/>
      <c r="Q35" s="800"/>
      <c r="R35" s="800"/>
      <c r="S35" s="800"/>
      <c r="T35" s="800"/>
      <c r="U35" s="800"/>
      <c r="V35" s="800"/>
      <c r="W35" s="800"/>
      <c r="X35" s="800"/>
      <c r="Y35" s="800"/>
      <c r="Z35" s="800"/>
      <c r="AA35" s="800"/>
      <c r="AB35" s="800"/>
      <c r="AC35" s="800"/>
      <c r="AD35" s="800"/>
      <c r="AE35" s="800"/>
      <c r="AF35" s="800"/>
      <c r="AG35" s="800"/>
      <c r="AH35" s="800"/>
      <c r="AI35" s="800"/>
      <c r="AJ35" s="800"/>
      <c r="AK35" s="800"/>
      <c r="AL35" s="800"/>
      <c r="AM35" s="800"/>
      <c r="AN35" s="800"/>
      <c r="AO35" s="800"/>
      <c r="AP35" s="800"/>
      <c r="AQ35" s="800"/>
      <c r="AR35" s="800"/>
      <c r="AS35" s="800"/>
      <c r="AT35" s="800"/>
      <c r="AU35" s="800"/>
      <c r="AV35" s="800"/>
      <c r="AW35" s="800"/>
      <c r="AX35" s="800"/>
      <c r="AY35" s="800"/>
      <c r="AZ35" s="800"/>
      <c r="BA35" s="800"/>
      <c r="BB35" s="800"/>
      <c r="BC35" s="800"/>
      <c r="BD35" s="800"/>
      <c r="BE35" s="800"/>
      <c r="BF35" s="800"/>
      <c r="BG35" s="800"/>
      <c r="BH35" s="800"/>
      <c r="BI35" s="800"/>
      <c r="BJ35" s="800"/>
      <c r="BK35" s="800"/>
      <c r="BL35" s="800"/>
      <c r="BM35" s="800"/>
      <c r="BN35" s="800"/>
      <c r="BO35" s="800"/>
      <c r="BP35" s="800"/>
      <c r="BQ35" s="800"/>
      <c r="BR35" s="800"/>
      <c r="BS35" s="800"/>
      <c r="BT35" s="800"/>
      <c r="BU35" s="800"/>
      <c r="BV35" s="800"/>
      <c r="BW35" s="800"/>
      <c r="BX35" s="800"/>
      <c r="BY35" s="800"/>
      <c r="BZ35" s="800"/>
      <c r="CA35" s="800"/>
      <c r="CB35" s="800"/>
      <c r="CC35" s="800"/>
      <c r="CD35" s="800"/>
      <c r="CE35" s="800"/>
      <c r="CF35" s="800"/>
      <c r="CG35" s="800"/>
      <c r="CH35" s="800"/>
      <c r="CI35" s="800"/>
      <c r="CJ35" s="800"/>
      <c r="CK35" s="800"/>
      <c r="CL35" s="800"/>
      <c r="CM35" s="800"/>
      <c r="CN35" s="800"/>
      <c r="CO35" s="800"/>
      <c r="CP35" s="800"/>
      <c r="CQ35" s="800"/>
      <c r="CR35" s="800"/>
      <c r="CS35" s="800"/>
      <c r="CT35" s="800"/>
      <c r="CU35" s="800"/>
      <c r="CV35" s="800"/>
      <c r="CW35" s="800"/>
      <c r="CX35" s="800"/>
      <c r="CY35" s="800"/>
      <c r="CZ35" s="800"/>
      <c r="DA35" s="800"/>
      <c r="DB35" s="800"/>
      <c r="DC35" s="800"/>
    </row>
    <row r="36" spans="1:107">
      <c r="A36" s="840"/>
      <c r="B36" s="840" t="s">
        <v>626</v>
      </c>
      <c r="C36" s="847"/>
      <c r="D36" s="847">
        <f t="shared" ref="D36:E36" si="2">D33/C33-1</f>
        <v>-4.3331887908631628E-2</v>
      </c>
      <c r="E36" s="847">
        <f t="shared" si="2"/>
        <v>-5.2747841941708229E-3</v>
      </c>
      <c r="F36" s="847">
        <f>F33/E33-1</f>
        <v>5.2490980640481411E-2</v>
      </c>
      <c r="G36" s="847">
        <f t="shared" ref="G36:J36" si="3">G33/F33-1</f>
        <v>3.2517693987012875E-2</v>
      </c>
      <c r="H36" s="847">
        <f t="shared" si="3"/>
        <v>4.1177644577364392E-2</v>
      </c>
      <c r="I36" s="847">
        <f t="shared" si="3"/>
        <v>4.2497616501100399E-2</v>
      </c>
      <c r="J36" s="847">
        <f t="shared" si="3"/>
        <v>4.3818943234332774E-2</v>
      </c>
      <c r="K36" s="800"/>
      <c r="L36" s="800"/>
      <c r="M36" s="800"/>
      <c r="N36" s="800"/>
      <c r="O36" s="800"/>
      <c r="P36" s="800"/>
      <c r="Q36" s="800"/>
      <c r="R36" s="800"/>
      <c r="S36" s="800"/>
      <c r="T36" s="800"/>
      <c r="U36" s="800"/>
      <c r="V36" s="800"/>
      <c r="W36" s="800"/>
      <c r="X36" s="800"/>
      <c r="Y36" s="800"/>
      <c r="Z36" s="800"/>
      <c r="AA36" s="800"/>
      <c r="AB36" s="800"/>
      <c r="AC36" s="800"/>
      <c r="AD36" s="800"/>
      <c r="AE36" s="800"/>
      <c r="AF36" s="800"/>
      <c r="AG36" s="800"/>
      <c r="AH36" s="800"/>
      <c r="AI36" s="800"/>
      <c r="AJ36" s="800"/>
      <c r="AK36" s="800"/>
      <c r="AL36" s="800"/>
    </row>
    <row r="37" spans="1:107">
      <c r="A37" s="840"/>
      <c r="B37" s="840"/>
      <c r="C37" s="840"/>
      <c r="D37" s="840"/>
      <c r="E37" s="840"/>
      <c r="K37" s="800"/>
      <c r="L37" s="845"/>
      <c r="N37" s="800"/>
      <c r="O37" s="800"/>
      <c r="P37" s="800"/>
      <c r="Q37" s="800"/>
      <c r="R37" s="800"/>
      <c r="S37" s="800"/>
      <c r="T37" s="800"/>
      <c r="U37" s="800"/>
      <c r="V37" s="800"/>
      <c r="W37" s="800"/>
      <c r="X37" s="800"/>
      <c r="Y37" s="800"/>
      <c r="Z37" s="800"/>
      <c r="AA37" s="800"/>
      <c r="AB37" s="800"/>
      <c r="AC37" s="800"/>
      <c r="AD37" s="800"/>
      <c r="AE37" s="800"/>
      <c r="AF37" s="800"/>
      <c r="AG37" s="800"/>
      <c r="AH37" s="800"/>
      <c r="AI37" s="800"/>
      <c r="AJ37" s="800"/>
      <c r="AK37" s="800"/>
      <c r="AL37" s="800"/>
    </row>
    <row r="38" spans="1:107">
      <c r="A38" s="840"/>
      <c r="B38" s="840" t="s">
        <v>628</v>
      </c>
      <c r="C38" s="840"/>
      <c r="D38" s="840"/>
      <c r="E38" s="840"/>
      <c r="F38" s="803">
        <f>F33*(1-$M$38)</f>
        <v>218741.14591399999</v>
      </c>
      <c r="G38" s="803">
        <f>G33*(1-$M$38)</f>
        <v>225854.10355919998</v>
      </c>
      <c r="H38" s="803">
        <f t="shared" ref="H38:J38" si="4">H33*(1-$M$38)</f>
        <v>235154.24356189996</v>
      </c>
      <c r="I38" s="803">
        <f t="shared" si="4"/>
        <v>245147.73842339995</v>
      </c>
      <c r="J38" s="803">
        <f t="shared" si="4"/>
        <v>255889.85325739998</v>
      </c>
      <c r="K38" s="800"/>
      <c r="L38" s="800"/>
      <c r="M38" s="846">
        <v>3.3000000000000002E-2</v>
      </c>
      <c r="N38" s="800"/>
      <c r="O38" s="800"/>
      <c r="P38" s="800"/>
      <c r="Q38" s="800"/>
      <c r="R38" s="800"/>
      <c r="S38" s="800"/>
      <c r="T38" s="800"/>
      <c r="U38" s="800"/>
      <c r="V38" s="800"/>
      <c r="W38" s="800"/>
      <c r="X38" s="800"/>
      <c r="Y38" s="800"/>
      <c r="Z38" s="800"/>
      <c r="AA38" s="800"/>
      <c r="AB38" s="800"/>
      <c r="AC38" s="800"/>
      <c r="AD38" s="800"/>
      <c r="AE38" s="800"/>
      <c r="AF38" s="800"/>
      <c r="AG38" s="800"/>
      <c r="AH38" s="800"/>
      <c r="AI38" s="800"/>
      <c r="AJ38" s="800"/>
      <c r="AK38" s="800"/>
      <c r="AL38" s="800"/>
    </row>
    <row r="39" spans="1:107">
      <c r="A39" s="800"/>
      <c r="B39" s="800"/>
      <c r="C39" s="800"/>
      <c r="D39" s="800"/>
      <c r="E39" s="800"/>
      <c r="F39" s="848">
        <f>F38/E33-1</f>
        <v>1.7758778279345355E-2</v>
      </c>
      <c r="G39" s="848">
        <f>G38/F38-1</f>
        <v>3.2517693987012875E-2</v>
      </c>
      <c r="H39" s="848">
        <f t="shared" ref="H39:J39" si="5">H38/G38-1</f>
        <v>4.1177644577364392E-2</v>
      </c>
      <c r="I39" s="848">
        <f t="shared" si="5"/>
        <v>4.2497616501100399E-2</v>
      </c>
      <c r="J39" s="848">
        <f t="shared" si="5"/>
        <v>4.3818943234332774E-2</v>
      </c>
      <c r="K39" s="800"/>
      <c r="L39" s="800"/>
      <c r="M39" s="800"/>
      <c r="N39" s="800"/>
      <c r="O39" s="800"/>
      <c r="P39" s="800"/>
      <c r="Q39" s="800"/>
      <c r="R39" s="800"/>
      <c r="S39" s="800"/>
      <c r="T39" s="800"/>
      <c r="U39" s="800"/>
      <c r="V39" s="800"/>
      <c r="W39" s="800"/>
      <c r="X39" s="800"/>
      <c r="Y39" s="800"/>
      <c r="Z39" s="800"/>
      <c r="AA39" s="800"/>
      <c r="AB39" s="800"/>
      <c r="AC39" s="800"/>
      <c r="AD39" s="800"/>
      <c r="AE39" s="800"/>
      <c r="AF39" s="800"/>
      <c r="AG39" s="800"/>
      <c r="AH39" s="800"/>
      <c r="AI39" s="800"/>
      <c r="AJ39" s="800"/>
      <c r="AK39" s="800"/>
      <c r="AL39" s="800"/>
    </row>
    <row r="40" spans="1:107">
      <c r="A40" s="800"/>
      <c r="B40" s="800"/>
      <c r="C40" s="800"/>
      <c r="D40" s="800"/>
      <c r="E40" s="800"/>
      <c r="F40" s="800"/>
      <c r="G40" s="800"/>
      <c r="H40" s="800"/>
      <c r="I40" s="800"/>
      <c r="J40" s="800"/>
      <c r="K40" s="800"/>
      <c r="L40" s="800"/>
      <c r="M40" s="800"/>
      <c r="N40" s="800"/>
      <c r="O40" s="800"/>
      <c r="P40" s="800"/>
      <c r="Q40" s="800"/>
      <c r="R40" s="800"/>
      <c r="S40" s="800"/>
      <c r="T40" s="800"/>
      <c r="U40" s="800"/>
      <c r="V40" s="800"/>
      <c r="W40" s="800"/>
      <c r="X40" s="800"/>
      <c r="Y40" s="800"/>
      <c r="Z40" s="800"/>
      <c r="AA40" s="800"/>
      <c r="AB40" s="800"/>
      <c r="AC40" s="800"/>
      <c r="AD40" s="800"/>
      <c r="AE40" s="800"/>
      <c r="AF40" s="800"/>
      <c r="AG40" s="800"/>
      <c r="AH40" s="800"/>
      <c r="AI40" s="800"/>
      <c r="AJ40" s="800"/>
      <c r="AK40" s="800"/>
      <c r="AL40" s="800"/>
    </row>
    <row r="41" spans="1:107">
      <c r="A41" s="800"/>
      <c r="B41" s="800"/>
      <c r="C41" s="800"/>
      <c r="D41" s="800"/>
      <c r="E41" s="800"/>
      <c r="F41" s="800"/>
      <c r="G41" s="800"/>
      <c r="H41" s="800"/>
      <c r="I41" s="800"/>
      <c r="J41" s="800"/>
      <c r="K41" s="800"/>
      <c r="L41" s="800"/>
      <c r="M41" s="800"/>
      <c r="N41" s="800"/>
      <c r="O41" s="800"/>
      <c r="P41" s="800"/>
      <c r="Q41" s="800"/>
      <c r="R41" s="800"/>
      <c r="S41" s="800"/>
      <c r="T41" s="800"/>
      <c r="U41" s="800"/>
      <c r="V41" s="800"/>
      <c r="W41" s="800"/>
      <c r="X41" s="800"/>
      <c r="Y41" s="800"/>
      <c r="Z41" s="800"/>
      <c r="AA41" s="800"/>
      <c r="AB41" s="800"/>
      <c r="AC41" s="800"/>
      <c r="AD41" s="800"/>
      <c r="AE41" s="800"/>
      <c r="AF41" s="800"/>
      <c r="AG41" s="800"/>
      <c r="AH41" s="800"/>
      <c r="AI41" s="800"/>
      <c r="AJ41" s="800"/>
      <c r="AK41" s="800"/>
      <c r="AL41" s="800"/>
    </row>
    <row r="42" spans="1:107">
      <c r="A42" s="800"/>
      <c r="B42" s="800"/>
      <c r="C42" s="800"/>
      <c r="D42" s="800"/>
      <c r="E42" s="800"/>
      <c r="F42" s="800"/>
      <c r="G42" s="800"/>
      <c r="H42" s="800"/>
      <c r="I42" s="800"/>
      <c r="J42" s="800"/>
      <c r="K42" s="800"/>
      <c r="L42" s="800"/>
      <c r="M42" s="800"/>
      <c r="N42" s="800"/>
      <c r="O42" s="800"/>
      <c r="P42" s="800"/>
      <c r="Q42" s="800"/>
      <c r="R42" s="800"/>
      <c r="S42" s="800"/>
      <c r="T42" s="800"/>
      <c r="U42" s="800"/>
      <c r="V42" s="800"/>
      <c r="W42" s="800"/>
      <c r="X42" s="800"/>
      <c r="Y42" s="800"/>
      <c r="Z42" s="800"/>
      <c r="AA42" s="800"/>
      <c r="AB42" s="800"/>
      <c r="AC42" s="800"/>
      <c r="AD42" s="800"/>
      <c r="AE42" s="800"/>
      <c r="AF42" s="800"/>
      <c r="AG42" s="800"/>
      <c r="AH42" s="800"/>
      <c r="AI42" s="800"/>
      <c r="AJ42" s="800"/>
      <c r="AK42" s="800"/>
      <c r="AL42" s="800"/>
    </row>
    <row r="43" spans="1:107">
      <c r="A43" s="800"/>
      <c r="B43" s="800"/>
      <c r="C43" s="800"/>
      <c r="D43" s="800"/>
      <c r="E43" s="800"/>
      <c r="F43" s="800"/>
      <c r="G43" s="800"/>
      <c r="H43" s="800"/>
      <c r="I43" s="800"/>
      <c r="J43" s="800"/>
      <c r="K43" s="800"/>
      <c r="L43" s="800"/>
      <c r="M43" s="800"/>
      <c r="N43" s="800"/>
      <c r="O43" s="800"/>
      <c r="P43" s="800"/>
      <c r="Q43" s="800"/>
      <c r="R43" s="800"/>
      <c r="S43" s="800"/>
      <c r="T43" s="800"/>
      <c r="U43" s="800"/>
      <c r="V43" s="800"/>
      <c r="W43" s="800"/>
      <c r="X43" s="800"/>
      <c r="Y43" s="800"/>
      <c r="Z43" s="800"/>
      <c r="AA43" s="800"/>
      <c r="AB43" s="800"/>
      <c r="AC43" s="800"/>
      <c r="AD43" s="800"/>
      <c r="AE43" s="800"/>
      <c r="AF43" s="800"/>
      <c r="AG43" s="800"/>
      <c r="AH43" s="800"/>
      <c r="AI43" s="800"/>
      <c r="AJ43" s="800"/>
      <c r="AK43" s="800"/>
      <c r="AL43" s="800"/>
    </row>
    <row r="44" spans="1:107">
      <c r="A44" s="800"/>
      <c r="B44" s="800"/>
      <c r="C44" s="800"/>
      <c r="D44" s="800"/>
      <c r="E44" s="800"/>
      <c r="F44" s="800"/>
      <c r="G44" s="800"/>
      <c r="H44" s="800"/>
      <c r="I44" s="800"/>
      <c r="J44" s="800"/>
      <c r="K44" s="800"/>
      <c r="L44" s="800"/>
      <c r="M44" s="800"/>
      <c r="N44" s="800"/>
      <c r="O44" s="800"/>
      <c r="P44" s="800"/>
      <c r="Q44" s="800"/>
      <c r="R44" s="800"/>
      <c r="S44" s="800"/>
      <c r="T44" s="800"/>
      <c r="U44" s="800"/>
      <c r="V44" s="800"/>
      <c r="W44" s="800"/>
      <c r="X44" s="800"/>
      <c r="Y44" s="800"/>
      <c r="Z44" s="800"/>
      <c r="AA44" s="800"/>
      <c r="AB44" s="800"/>
      <c r="AC44" s="800"/>
      <c r="AD44" s="800"/>
      <c r="AE44" s="800"/>
      <c r="AF44" s="800"/>
      <c r="AG44" s="800"/>
      <c r="AH44" s="800"/>
      <c r="AI44" s="800"/>
      <c r="AJ44" s="800"/>
      <c r="AK44" s="800"/>
      <c r="AL44" s="800"/>
    </row>
    <row r="45" spans="1:107">
      <c r="A45" s="800"/>
      <c r="B45" s="800"/>
      <c r="C45" s="800"/>
      <c r="D45" s="800"/>
      <c r="E45" s="800"/>
      <c r="F45" s="800"/>
      <c r="G45" s="800"/>
      <c r="H45" s="800"/>
      <c r="I45" s="800"/>
      <c r="J45" s="800"/>
      <c r="K45" s="800"/>
      <c r="L45" s="800"/>
      <c r="M45" s="800"/>
      <c r="N45" s="800"/>
      <c r="O45" s="800"/>
      <c r="P45" s="800"/>
      <c r="Q45" s="800"/>
      <c r="R45" s="800"/>
      <c r="S45" s="800"/>
      <c r="T45" s="800"/>
      <c r="U45" s="800"/>
      <c r="V45" s="800"/>
      <c r="W45" s="800"/>
      <c r="X45" s="800"/>
      <c r="Y45" s="800"/>
      <c r="Z45" s="800"/>
      <c r="AA45" s="800"/>
      <c r="AB45" s="800"/>
      <c r="AC45" s="800"/>
      <c r="AD45" s="800"/>
      <c r="AE45" s="800"/>
      <c r="AF45" s="800"/>
      <c r="AG45" s="800"/>
      <c r="AH45" s="800"/>
      <c r="AI45" s="800"/>
      <c r="AJ45" s="800"/>
      <c r="AK45" s="800"/>
      <c r="AL45" s="800"/>
    </row>
    <row r="46" spans="1:107">
      <c r="A46" s="800"/>
      <c r="B46" s="800"/>
      <c r="C46" s="800"/>
      <c r="D46" s="800"/>
      <c r="E46" s="800"/>
      <c r="F46" s="800"/>
      <c r="G46" s="800"/>
      <c r="H46" s="800"/>
      <c r="I46" s="800"/>
      <c r="J46" s="800"/>
      <c r="K46" s="800"/>
      <c r="L46" s="800"/>
      <c r="M46" s="800"/>
      <c r="N46" s="800"/>
      <c r="O46" s="800"/>
      <c r="P46" s="800"/>
      <c r="Q46" s="800"/>
      <c r="R46" s="800"/>
      <c r="S46" s="800"/>
      <c r="T46" s="800"/>
      <c r="U46" s="800"/>
      <c r="V46" s="800"/>
      <c r="W46" s="800"/>
      <c r="X46" s="800"/>
      <c r="Y46" s="800"/>
      <c r="Z46" s="800"/>
      <c r="AA46" s="800"/>
      <c r="AB46" s="800"/>
      <c r="AC46" s="800"/>
      <c r="AD46" s="800"/>
      <c r="AE46" s="800"/>
      <c r="AF46" s="800"/>
      <c r="AG46" s="800"/>
      <c r="AH46" s="800"/>
      <c r="AI46" s="800"/>
      <c r="AJ46" s="800"/>
      <c r="AK46" s="800"/>
      <c r="AL46" s="800"/>
    </row>
    <row r="47" spans="1:107">
      <c r="A47" s="800"/>
      <c r="B47" s="800"/>
      <c r="C47" s="800"/>
      <c r="D47" s="800"/>
      <c r="E47" s="800"/>
      <c r="F47" s="800"/>
      <c r="G47" s="800"/>
      <c r="H47" s="800"/>
      <c r="I47" s="800"/>
      <c r="J47" s="800"/>
      <c r="K47" s="800"/>
      <c r="L47" s="800"/>
      <c r="M47" s="800"/>
      <c r="N47" s="800"/>
      <c r="O47" s="800"/>
      <c r="P47" s="800"/>
      <c r="Q47" s="800"/>
      <c r="R47" s="800"/>
      <c r="S47" s="800"/>
      <c r="T47" s="800"/>
      <c r="U47" s="800"/>
      <c r="V47" s="800"/>
      <c r="W47" s="800"/>
      <c r="X47" s="800"/>
      <c r="Y47" s="800"/>
      <c r="Z47" s="800"/>
      <c r="AA47" s="800"/>
      <c r="AB47" s="800"/>
      <c r="AC47" s="800"/>
      <c r="AD47" s="800"/>
      <c r="AE47" s="800"/>
      <c r="AF47" s="800"/>
      <c r="AG47" s="800"/>
      <c r="AH47" s="800"/>
      <c r="AI47" s="800"/>
      <c r="AJ47" s="800"/>
      <c r="AK47" s="800"/>
      <c r="AL47" s="800"/>
    </row>
    <row r="48" spans="1:107">
      <c r="A48" s="800"/>
      <c r="B48" s="800"/>
      <c r="C48" s="800"/>
      <c r="D48" s="800"/>
      <c r="E48" s="800"/>
      <c r="F48" s="800"/>
      <c r="G48" s="800"/>
      <c r="H48" s="800"/>
      <c r="I48" s="800"/>
      <c r="J48" s="800"/>
      <c r="K48" s="800"/>
      <c r="L48" s="800"/>
      <c r="M48" s="800"/>
      <c r="N48" s="800"/>
      <c r="O48" s="800"/>
      <c r="P48" s="800"/>
      <c r="Q48" s="800"/>
      <c r="R48" s="800"/>
      <c r="S48" s="800"/>
      <c r="T48" s="800"/>
      <c r="U48" s="800"/>
      <c r="V48" s="800"/>
      <c r="W48" s="800"/>
      <c r="X48" s="800"/>
      <c r="Y48" s="800"/>
      <c r="Z48" s="800"/>
      <c r="AA48" s="800"/>
      <c r="AB48" s="800"/>
      <c r="AC48" s="800"/>
      <c r="AD48" s="800"/>
      <c r="AE48" s="800"/>
      <c r="AF48" s="800"/>
      <c r="AG48" s="800"/>
      <c r="AH48" s="800"/>
      <c r="AI48" s="800"/>
      <c r="AJ48" s="800"/>
      <c r="AK48" s="800"/>
      <c r="AL48" s="800"/>
    </row>
    <row r="49" spans="1:38">
      <c r="A49" s="800"/>
      <c r="B49" s="800"/>
      <c r="C49" s="800"/>
      <c r="D49" s="800"/>
      <c r="E49" s="800"/>
      <c r="F49" s="800"/>
      <c r="G49" s="800"/>
      <c r="H49" s="800"/>
      <c r="I49" s="800"/>
      <c r="J49" s="800"/>
      <c r="K49" s="800"/>
      <c r="L49" s="800"/>
      <c r="M49" s="800"/>
      <c r="N49" s="800"/>
      <c r="O49" s="800"/>
      <c r="P49" s="800"/>
      <c r="Q49" s="800"/>
      <c r="R49" s="800"/>
      <c r="S49" s="800"/>
      <c r="T49" s="800"/>
      <c r="U49" s="800"/>
      <c r="V49" s="800"/>
      <c r="W49" s="800"/>
      <c r="X49" s="800"/>
      <c r="Y49" s="800"/>
      <c r="Z49" s="800"/>
      <c r="AA49" s="800"/>
      <c r="AB49" s="800"/>
      <c r="AC49" s="800"/>
      <c r="AD49" s="800"/>
      <c r="AE49" s="800"/>
      <c r="AF49" s="800"/>
      <c r="AG49" s="800"/>
      <c r="AH49" s="800"/>
      <c r="AI49" s="800"/>
      <c r="AJ49" s="800"/>
      <c r="AK49" s="800"/>
      <c r="AL49" s="800"/>
    </row>
    <row r="50" spans="1:38">
      <c r="A50" s="800"/>
      <c r="B50" s="800"/>
      <c r="C50" s="800"/>
      <c r="D50" s="800"/>
      <c r="E50" s="800"/>
      <c r="F50" s="800"/>
      <c r="G50" s="800"/>
      <c r="H50" s="800"/>
      <c r="I50" s="800"/>
      <c r="J50" s="800"/>
      <c r="K50" s="800"/>
      <c r="L50" s="800"/>
      <c r="M50" s="800"/>
      <c r="N50" s="800"/>
      <c r="O50" s="800"/>
      <c r="P50" s="800"/>
      <c r="Q50" s="800"/>
      <c r="R50" s="800"/>
      <c r="S50" s="800"/>
      <c r="T50" s="800"/>
      <c r="U50" s="800"/>
      <c r="V50" s="800"/>
      <c r="W50" s="800"/>
      <c r="X50" s="800"/>
      <c r="Y50" s="800"/>
      <c r="Z50" s="800"/>
      <c r="AA50" s="800"/>
      <c r="AB50" s="800"/>
      <c r="AC50" s="800"/>
      <c r="AD50" s="800"/>
      <c r="AE50" s="800"/>
      <c r="AF50" s="800"/>
      <c r="AG50" s="800"/>
      <c r="AH50" s="800"/>
      <c r="AI50" s="800"/>
      <c r="AJ50" s="800"/>
      <c r="AK50" s="800"/>
      <c r="AL50" s="800"/>
    </row>
    <row r="51" spans="1:38">
      <c r="A51" s="800"/>
      <c r="B51" s="800"/>
      <c r="C51" s="800"/>
      <c r="D51" s="800"/>
      <c r="E51" s="800"/>
      <c r="F51" s="800"/>
      <c r="G51" s="800"/>
      <c r="H51" s="800"/>
      <c r="I51" s="800"/>
      <c r="J51" s="800"/>
      <c r="K51" s="800"/>
      <c r="L51" s="800"/>
      <c r="M51" s="800"/>
      <c r="N51" s="800"/>
      <c r="O51" s="800"/>
      <c r="P51" s="800"/>
      <c r="Q51" s="800"/>
      <c r="R51" s="800"/>
      <c r="S51" s="800"/>
      <c r="T51" s="800"/>
      <c r="U51" s="800"/>
      <c r="V51" s="800"/>
      <c r="W51" s="800"/>
      <c r="X51" s="800"/>
      <c r="Y51" s="800"/>
      <c r="Z51" s="800"/>
      <c r="AA51" s="800"/>
      <c r="AB51" s="800"/>
      <c r="AC51" s="800"/>
      <c r="AD51" s="800"/>
      <c r="AE51" s="800"/>
      <c r="AF51" s="800"/>
      <c r="AG51" s="800"/>
      <c r="AH51" s="800"/>
      <c r="AI51" s="800"/>
      <c r="AJ51" s="800"/>
      <c r="AK51" s="800"/>
      <c r="AL51" s="800"/>
    </row>
    <row r="52" spans="1:38">
      <c r="A52" s="800"/>
      <c r="B52" s="800"/>
      <c r="C52" s="800"/>
      <c r="D52" s="800"/>
      <c r="E52" s="800"/>
      <c r="F52" s="800"/>
      <c r="G52" s="800"/>
      <c r="H52" s="800"/>
      <c r="I52" s="800"/>
      <c r="J52" s="800"/>
      <c r="K52" s="800"/>
      <c r="L52" s="800"/>
      <c r="M52" s="800"/>
      <c r="N52" s="800"/>
      <c r="O52" s="800"/>
      <c r="P52" s="800"/>
      <c r="Q52" s="800"/>
      <c r="R52" s="800"/>
      <c r="S52" s="800"/>
      <c r="T52" s="800"/>
      <c r="U52" s="800"/>
      <c r="V52" s="800"/>
      <c r="W52" s="800"/>
      <c r="X52" s="800"/>
      <c r="Y52" s="800"/>
      <c r="Z52" s="800"/>
      <c r="AA52" s="800"/>
      <c r="AB52" s="800"/>
      <c r="AC52" s="800"/>
      <c r="AD52" s="800"/>
      <c r="AE52" s="800"/>
      <c r="AF52" s="800"/>
      <c r="AG52" s="800"/>
      <c r="AH52" s="800"/>
      <c r="AI52" s="800"/>
      <c r="AJ52" s="800"/>
      <c r="AK52" s="800"/>
      <c r="AL52" s="800"/>
    </row>
    <row r="53" spans="1:38">
      <c r="A53" s="800"/>
      <c r="B53" s="800"/>
      <c r="C53" s="800"/>
      <c r="D53" s="800"/>
      <c r="E53" s="800"/>
      <c r="F53" s="800"/>
      <c r="G53" s="800"/>
      <c r="H53" s="800"/>
      <c r="I53" s="800"/>
      <c r="J53" s="800"/>
      <c r="K53" s="800"/>
      <c r="L53" s="800"/>
      <c r="M53" s="800"/>
      <c r="N53" s="800"/>
      <c r="O53" s="800"/>
      <c r="P53" s="800"/>
      <c r="Q53" s="800"/>
      <c r="R53" s="800"/>
      <c r="S53" s="800"/>
      <c r="T53" s="800"/>
      <c r="U53" s="800"/>
      <c r="V53" s="800"/>
      <c r="W53" s="800"/>
      <c r="X53" s="800"/>
      <c r="Y53" s="800"/>
      <c r="Z53" s="800"/>
      <c r="AA53" s="800"/>
      <c r="AB53" s="800"/>
      <c r="AC53" s="800"/>
      <c r="AD53" s="800"/>
      <c r="AE53" s="800"/>
      <c r="AF53" s="800"/>
      <c r="AG53" s="800"/>
      <c r="AH53" s="800"/>
      <c r="AI53" s="800"/>
      <c r="AJ53" s="800"/>
      <c r="AK53" s="800"/>
      <c r="AL53" s="800"/>
    </row>
    <row r="54" spans="1:38">
      <c r="A54" s="800"/>
      <c r="B54" s="800"/>
      <c r="C54" s="800"/>
      <c r="D54" s="800"/>
      <c r="E54" s="800"/>
      <c r="F54" s="800"/>
      <c r="G54" s="800"/>
      <c r="H54" s="800"/>
      <c r="I54" s="800"/>
      <c r="J54" s="800"/>
      <c r="K54" s="800"/>
      <c r="L54" s="800"/>
      <c r="M54" s="800"/>
      <c r="N54" s="800"/>
      <c r="O54" s="800"/>
      <c r="P54" s="800"/>
      <c r="Q54" s="800"/>
      <c r="R54" s="800"/>
      <c r="S54" s="800"/>
      <c r="T54" s="800"/>
      <c r="U54" s="800"/>
      <c r="V54" s="800"/>
      <c r="W54" s="800"/>
      <c r="X54" s="800"/>
      <c r="Y54" s="800"/>
      <c r="Z54" s="800"/>
      <c r="AA54" s="800"/>
      <c r="AB54" s="800"/>
      <c r="AC54" s="800"/>
      <c r="AD54" s="800"/>
      <c r="AE54" s="800"/>
      <c r="AF54" s="800"/>
      <c r="AG54" s="800"/>
      <c r="AH54" s="800"/>
      <c r="AI54" s="800"/>
      <c r="AJ54" s="800"/>
      <c r="AK54" s="800"/>
      <c r="AL54" s="800"/>
    </row>
    <row r="55" spans="1:38">
      <c r="A55" s="800"/>
      <c r="B55" s="800"/>
      <c r="C55" s="800"/>
      <c r="D55" s="800"/>
      <c r="E55" s="800"/>
      <c r="F55" s="800"/>
      <c r="G55" s="800"/>
      <c r="H55" s="800"/>
      <c r="I55" s="800"/>
      <c r="J55" s="800"/>
      <c r="K55" s="800"/>
      <c r="L55" s="800"/>
      <c r="M55" s="800"/>
      <c r="N55" s="800"/>
      <c r="O55" s="800"/>
      <c r="P55" s="800"/>
      <c r="Q55" s="800"/>
      <c r="R55" s="800"/>
      <c r="S55" s="800"/>
      <c r="T55" s="800"/>
      <c r="U55" s="800"/>
      <c r="V55" s="800"/>
      <c r="W55" s="800"/>
      <c r="X55" s="800"/>
      <c r="Y55" s="800"/>
      <c r="Z55" s="800"/>
      <c r="AA55" s="800"/>
      <c r="AB55" s="800"/>
      <c r="AC55" s="800"/>
      <c r="AD55" s="800"/>
      <c r="AE55" s="800"/>
      <c r="AF55" s="800"/>
      <c r="AG55" s="800"/>
      <c r="AH55" s="800"/>
      <c r="AI55" s="800"/>
      <c r="AJ55" s="800"/>
      <c r="AK55" s="800"/>
    </row>
    <row r="56" spans="1:38">
      <c r="A56" s="800"/>
      <c r="B56" s="800"/>
      <c r="C56" s="800"/>
      <c r="D56" s="800"/>
      <c r="E56" s="800"/>
      <c r="F56" s="800"/>
      <c r="G56" s="800"/>
      <c r="H56" s="800"/>
      <c r="I56" s="800"/>
      <c r="J56" s="800"/>
      <c r="K56" s="800"/>
      <c r="L56" s="800"/>
      <c r="M56" s="800"/>
      <c r="N56" s="800"/>
      <c r="O56" s="800"/>
      <c r="P56" s="800"/>
      <c r="Q56" s="800"/>
      <c r="R56" s="800"/>
      <c r="S56" s="800"/>
      <c r="T56" s="800"/>
      <c r="U56" s="800"/>
      <c r="V56" s="800"/>
      <c r="W56" s="800"/>
      <c r="X56" s="800"/>
      <c r="Y56" s="800"/>
      <c r="Z56" s="800"/>
      <c r="AA56" s="800"/>
      <c r="AB56" s="800"/>
      <c r="AC56" s="800"/>
      <c r="AD56" s="800"/>
      <c r="AE56" s="800"/>
      <c r="AF56" s="800"/>
      <c r="AG56" s="800"/>
      <c r="AH56" s="800"/>
      <c r="AI56" s="800"/>
      <c r="AJ56" s="800"/>
      <c r="AK56" s="800"/>
    </row>
    <row r="57" spans="1:38">
      <c r="A57" s="800"/>
      <c r="B57" s="800"/>
      <c r="C57" s="800"/>
      <c r="D57" s="800"/>
      <c r="E57" s="800"/>
      <c r="F57" s="800"/>
      <c r="G57" s="800"/>
      <c r="H57" s="800"/>
      <c r="I57" s="800"/>
      <c r="J57" s="800"/>
      <c r="K57" s="800"/>
      <c r="L57" s="800"/>
      <c r="M57" s="800"/>
      <c r="N57" s="800"/>
      <c r="O57" s="800"/>
      <c r="P57" s="800"/>
      <c r="Q57" s="800"/>
      <c r="R57" s="800"/>
      <c r="S57" s="800"/>
      <c r="T57" s="800"/>
      <c r="U57" s="800"/>
      <c r="V57" s="800"/>
      <c r="W57" s="800"/>
      <c r="X57" s="800"/>
      <c r="Y57" s="800"/>
      <c r="Z57" s="800"/>
      <c r="AA57" s="800"/>
      <c r="AB57" s="800"/>
      <c r="AC57" s="800"/>
      <c r="AD57" s="800"/>
      <c r="AE57" s="800"/>
      <c r="AF57" s="800"/>
      <c r="AG57" s="800"/>
      <c r="AH57" s="800"/>
      <c r="AI57" s="800"/>
      <c r="AJ57" s="800"/>
      <c r="AK57" s="800"/>
    </row>
    <row r="58" spans="1:38">
      <c r="A58" s="800"/>
      <c r="B58" s="800"/>
      <c r="C58" s="800"/>
      <c r="D58" s="800"/>
      <c r="E58" s="800"/>
      <c r="F58" s="800"/>
      <c r="G58" s="800"/>
      <c r="H58" s="800"/>
      <c r="I58" s="800"/>
      <c r="J58" s="800"/>
      <c r="K58" s="800"/>
      <c r="L58" s="800"/>
      <c r="M58" s="800"/>
      <c r="N58" s="800"/>
      <c r="O58" s="800"/>
      <c r="P58" s="800"/>
      <c r="Q58" s="800"/>
      <c r="R58" s="800"/>
      <c r="S58" s="800"/>
      <c r="T58" s="800"/>
      <c r="U58" s="800"/>
      <c r="V58" s="800"/>
      <c r="W58" s="800"/>
      <c r="X58" s="800"/>
      <c r="Y58" s="800"/>
      <c r="Z58" s="800"/>
      <c r="AA58" s="800"/>
      <c r="AB58" s="800"/>
      <c r="AC58" s="800"/>
      <c r="AD58" s="800"/>
      <c r="AE58" s="800"/>
      <c r="AF58" s="800"/>
      <c r="AG58" s="800"/>
      <c r="AH58" s="800"/>
      <c r="AI58" s="800"/>
      <c r="AJ58" s="800"/>
      <c r="AK58" s="800"/>
    </row>
    <row r="59" spans="1:38">
      <c r="A59" s="800"/>
      <c r="B59" s="800"/>
      <c r="C59" s="800"/>
      <c r="D59" s="800"/>
      <c r="E59" s="800"/>
      <c r="F59" s="800"/>
      <c r="G59" s="800"/>
      <c r="H59" s="800"/>
      <c r="I59" s="800"/>
      <c r="J59" s="800"/>
      <c r="K59" s="800"/>
      <c r="L59" s="800"/>
      <c r="M59" s="800"/>
      <c r="N59" s="800"/>
      <c r="O59" s="800"/>
      <c r="P59" s="800"/>
      <c r="Q59" s="800"/>
      <c r="R59" s="800"/>
      <c r="S59" s="800"/>
      <c r="T59" s="800"/>
      <c r="U59" s="800"/>
      <c r="V59" s="800"/>
      <c r="W59" s="800"/>
      <c r="X59" s="800"/>
      <c r="Y59" s="800"/>
      <c r="Z59" s="800"/>
      <c r="AA59" s="800"/>
      <c r="AB59" s="800"/>
      <c r="AC59" s="800"/>
      <c r="AD59" s="800"/>
      <c r="AE59" s="800"/>
      <c r="AF59" s="800"/>
      <c r="AG59" s="800"/>
      <c r="AH59" s="800"/>
      <c r="AI59" s="800"/>
      <c r="AJ59" s="800"/>
      <c r="AK59" s="800"/>
    </row>
    <row r="60" spans="1:38">
      <c r="A60" s="800"/>
      <c r="B60" s="800"/>
      <c r="C60" s="800"/>
      <c r="D60" s="800"/>
      <c r="E60" s="800"/>
      <c r="F60" s="800"/>
      <c r="G60" s="800"/>
      <c r="H60" s="800"/>
      <c r="I60" s="800"/>
      <c r="J60" s="800"/>
      <c r="K60" s="800"/>
      <c r="L60" s="800"/>
      <c r="M60" s="800"/>
      <c r="N60" s="800"/>
      <c r="O60" s="800"/>
      <c r="P60" s="800"/>
      <c r="Q60" s="800"/>
      <c r="R60" s="800"/>
      <c r="S60" s="800"/>
      <c r="T60" s="800"/>
      <c r="U60" s="800"/>
      <c r="V60" s="800"/>
      <c r="W60" s="800"/>
      <c r="X60" s="800"/>
      <c r="Y60" s="800"/>
      <c r="Z60" s="800"/>
      <c r="AA60" s="800"/>
      <c r="AB60" s="800"/>
      <c r="AC60" s="800"/>
      <c r="AD60" s="800"/>
      <c r="AE60" s="800"/>
      <c r="AF60" s="800"/>
      <c r="AG60" s="800"/>
      <c r="AH60" s="800"/>
      <c r="AI60" s="800"/>
      <c r="AJ60" s="800"/>
      <c r="AK60" s="800"/>
    </row>
    <row r="61" spans="1:38">
      <c r="A61" s="800"/>
      <c r="B61" s="800"/>
      <c r="C61" s="800"/>
      <c r="D61" s="800"/>
      <c r="E61" s="800"/>
      <c r="F61" s="800"/>
      <c r="G61" s="800"/>
      <c r="H61" s="800"/>
      <c r="I61" s="800"/>
      <c r="J61" s="800"/>
      <c r="K61" s="800"/>
      <c r="L61" s="800"/>
      <c r="M61" s="800"/>
      <c r="N61" s="800"/>
      <c r="O61" s="800"/>
      <c r="P61" s="800"/>
      <c r="Q61" s="800"/>
      <c r="R61" s="800"/>
      <c r="S61" s="800"/>
    </row>
    <row r="62" spans="1:38">
      <c r="A62" s="800"/>
      <c r="B62" s="800"/>
      <c r="C62" s="800"/>
      <c r="D62" s="800"/>
      <c r="E62" s="800"/>
      <c r="F62" s="800"/>
      <c r="G62" s="800"/>
      <c r="H62" s="800"/>
      <c r="I62" s="800"/>
      <c r="J62" s="800"/>
      <c r="K62" s="800"/>
      <c r="L62" s="800"/>
      <c r="M62" s="800"/>
      <c r="N62" s="800"/>
      <c r="O62" s="800"/>
      <c r="P62" s="800"/>
      <c r="Q62" s="800"/>
      <c r="R62" s="800"/>
      <c r="S62" s="800"/>
    </row>
    <row r="63" spans="1:38">
      <c r="A63" s="800"/>
      <c r="B63" s="800"/>
      <c r="C63" s="800"/>
      <c r="D63" s="800"/>
      <c r="E63" s="800"/>
      <c r="F63" s="800"/>
      <c r="G63" s="800"/>
      <c r="H63" s="800"/>
      <c r="I63" s="800"/>
      <c r="J63" s="800"/>
      <c r="K63" s="800"/>
      <c r="L63" s="800"/>
      <c r="M63" s="800"/>
      <c r="N63" s="800"/>
      <c r="O63" s="800"/>
      <c r="P63" s="800"/>
      <c r="Q63" s="800"/>
      <c r="R63" s="800"/>
      <c r="S63" s="800"/>
    </row>
    <row r="64" spans="1:38">
      <c r="A64" s="800"/>
      <c r="B64" s="800"/>
      <c r="C64" s="800"/>
      <c r="D64" s="800"/>
      <c r="E64" s="800"/>
      <c r="F64" s="800"/>
      <c r="G64" s="800"/>
      <c r="H64" s="800"/>
      <c r="I64" s="800"/>
      <c r="J64" s="800"/>
      <c r="K64" s="800"/>
      <c r="L64" s="800"/>
      <c r="M64" s="800"/>
      <c r="N64" s="800"/>
      <c r="O64" s="800"/>
      <c r="P64" s="800"/>
      <c r="Q64" s="800"/>
      <c r="R64" s="800"/>
      <c r="S64" s="800"/>
    </row>
    <row r="65" spans="1:19">
      <c r="A65" s="800"/>
      <c r="B65" s="800"/>
      <c r="C65" s="800"/>
      <c r="D65" s="800"/>
      <c r="E65" s="800"/>
      <c r="F65" s="800"/>
      <c r="G65" s="800"/>
      <c r="H65" s="800"/>
      <c r="I65" s="800"/>
      <c r="J65" s="800"/>
      <c r="K65" s="800"/>
      <c r="L65" s="800"/>
      <c r="M65" s="800"/>
      <c r="N65" s="800"/>
      <c r="O65" s="800"/>
      <c r="P65" s="800"/>
      <c r="Q65" s="800"/>
      <c r="R65" s="800"/>
      <c r="S65" s="800"/>
    </row>
    <row r="66" spans="1:19">
      <c r="A66" s="800"/>
      <c r="B66" s="800"/>
      <c r="C66" s="800"/>
      <c r="D66" s="800"/>
      <c r="E66" s="800"/>
      <c r="F66" s="800"/>
      <c r="G66" s="800"/>
      <c r="H66" s="800"/>
      <c r="I66" s="800"/>
      <c r="J66" s="800"/>
      <c r="K66" s="800"/>
      <c r="L66" s="800"/>
      <c r="M66" s="800"/>
      <c r="N66" s="800"/>
      <c r="O66" s="800"/>
      <c r="P66" s="800"/>
      <c r="Q66" s="800"/>
      <c r="R66" s="800"/>
      <c r="S66" s="800"/>
    </row>
    <row r="67" spans="1:19">
      <c r="A67" s="800"/>
      <c r="B67" s="800"/>
      <c r="C67" s="800"/>
      <c r="D67" s="800"/>
      <c r="E67" s="800"/>
      <c r="F67" s="800"/>
      <c r="G67" s="800"/>
      <c r="H67" s="800"/>
      <c r="I67" s="800"/>
      <c r="J67" s="800"/>
      <c r="K67" s="800"/>
      <c r="L67" s="800"/>
      <c r="M67" s="800"/>
      <c r="N67" s="800"/>
      <c r="O67" s="800"/>
      <c r="P67" s="800"/>
      <c r="Q67" s="800"/>
      <c r="R67" s="800"/>
      <c r="S67" s="800"/>
    </row>
    <row r="68" spans="1:19">
      <c r="A68" s="800"/>
      <c r="B68" s="800"/>
      <c r="C68" s="800"/>
      <c r="D68" s="800"/>
      <c r="E68" s="800"/>
      <c r="F68" s="800"/>
      <c r="G68" s="800"/>
      <c r="H68" s="800"/>
      <c r="I68" s="800"/>
      <c r="J68" s="800"/>
      <c r="K68" s="800"/>
      <c r="L68" s="800"/>
      <c r="M68" s="800"/>
      <c r="N68" s="800"/>
      <c r="O68" s="800"/>
      <c r="P68" s="800"/>
      <c r="Q68" s="800"/>
      <c r="R68" s="800"/>
      <c r="S68" s="800"/>
    </row>
    <row r="69" spans="1:19">
      <c r="A69" s="800"/>
      <c r="B69" s="800"/>
      <c r="C69" s="800"/>
      <c r="D69" s="800"/>
      <c r="E69" s="800"/>
      <c r="F69" s="800"/>
      <c r="G69" s="800"/>
      <c r="H69" s="800"/>
      <c r="I69" s="800"/>
      <c r="J69" s="800"/>
      <c r="K69" s="800"/>
      <c r="L69" s="800"/>
      <c r="M69" s="800"/>
      <c r="N69" s="800"/>
      <c r="O69" s="800"/>
      <c r="P69" s="800"/>
      <c r="Q69" s="800"/>
      <c r="R69" s="800"/>
      <c r="S69" s="800"/>
    </row>
    <row r="70" spans="1:19">
      <c r="A70" s="800"/>
      <c r="B70" s="800"/>
      <c r="C70" s="800"/>
      <c r="D70" s="800"/>
      <c r="E70" s="800"/>
      <c r="F70" s="800"/>
      <c r="G70" s="800"/>
      <c r="H70" s="800"/>
      <c r="I70" s="800"/>
      <c r="J70" s="800"/>
      <c r="K70" s="800"/>
      <c r="L70" s="800"/>
      <c r="M70" s="800"/>
      <c r="N70" s="800"/>
      <c r="O70" s="800"/>
      <c r="P70" s="800"/>
      <c r="Q70" s="800"/>
      <c r="R70" s="800"/>
      <c r="S70" s="800"/>
    </row>
    <row r="71" spans="1:19">
      <c r="A71" s="800"/>
      <c r="B71" s="800"/>
      <c r="C71" s="800"/>
      <c r="D71" s="800"/>
      <c r="E71" s="800"/>
      <c r="F71" s="800"/>
      <c r="G71" s="800"/>
      <c r="H71" s="800"/>
      <c r="I71" s="800"/>
      <c r="J71" s="800"/>
      <c r="K71" s="800"/>
      <c r="L71" s="800"/>
      <c r="M71" s="800"/>
      <c r="N71" s="800"/>
      <c r="O71" s="800"/>
      <c r="P71" s="800"/>
      <c r="Q71" s="800"/>
      <c r="R71" s="800"/>
      <c r="S71" s="800"/>
    </row>
    <row r="72" spans="1:19">
      <c r="A72" s="800"/>
      <c r="B72" s="800"/>
      <c r="C72" s="800"/>
      <c r="D72" s="800"/>
      <c r="E72" s="800"/>
      <c r="F72" s="800"/>
      <c r="G72" s="800"/>
      <c r="H72" s="800"/>
      <c r="I72" s="800"/>
      <c r="J72" s="800"/>
      <c r="K72" s="800"/>
      <c r="L72" s="800"/>
      <c r="M72" s="800"/>
      <c r="N72" s="800"/>
      <c r="O72" s="800"/>
      <c r="P72" s="800"/>
      <c r="Q72" s="800"/>
      <c r="R72" s="800"/>
      <c r="S72" s="800"/>
    </row>
    <row r="73" spans="1:19">
      <c r="A73" s="800"/>
      <c r="B73" s="800"/>
      <c r="C73" s="800"/>
      <c r="D73" s="800"/>
      <c r="E73" s="800"/>
      <c r="F73" s="800"/>
      <c r="G73" s="800"/>
      <c r="H73" s="800"/>
      <c r="I73" s="800"/>
      <c r="J73" s="800"/>
      <c r="K73" s="800"/>
      <c r="L73" s="800"/>
      <c r="M73" s="800"/>
      <c r="N73" s="800"/>
      <c r="O73" s="800"/>
      <c r="P73" s="800"/>
      <c r="Q73" s="800"/>
      <c r="R73" s="800"/>
      <c r="S73" s="800"/>
    </row>
    <row r="74" spans="1:19">
      <c r="A74" s="800"/>
      <c r="B74" s="800"/>
      <c r="C74" s="800"/>
      <c r="D74" s="800"/>
      <c r="E74" s="800"/>
      <c r="F74" s="800"/>
      <c r="G74" s="800"/>
      <c r="H74" s="800"/>
      <c r="I74" s="800"/>
      <c r="J74" s="800"/>
      <c r="K74" s="800"/>
      <c r="L74" s="800"/>
      <c r="M74" s="800"/>
      <c r="N74" s="800"/>
      <c r="O74" s="800"/>
      <c r="P74" s="800"/>
      <c r="Q74" s="800"/>
      <c r="R74" s="800"/>
      <c r="S74" s="800"/>
    </row>
    <row r="75" spans="1:19">
      <c r="A75" s="800"/>
      <c r="B75" s="800"/>
      <c r="C75" s="800"/>
      <c r="D75" s="800"/>
      <c r="E75" s="800"/>
      <c r="F75" s="800"/>
      <c r="G75" s="800"/>
      <c r="H75" s="800"/>
      <c r="I75" s="800"/>
      <c r="J75" s="800"/>
      <c r="K75" s="800"/>
      <c r="L75" s="800"/>
      <c r="M75" s="800"/>
      <c r="N75" s="800"/>
      <c r="O75" s="800"/>
      <c r="P75" s="800"/>
      <c r="Q75" s="800"/>
      <c r="R75" s="800"/>
      <c r="S75" s="800"/>
    </row>
    <row r="76" spans="1:19">
      <c r="A76" s="800"/>
      <c r="B76" s="800"/>
      <c r="C76" s="800"/>
      <c r="D76" s="800"/>
      <c r="E76" s="800"/>
      <c r="F76" s="800"/>
      <c r="G76" s="800"/>
      <c r="H76" s="800"/>
      <c r="I76" s="800"/>
      <c r="J76" s="800"/>
      <c r="K76" s="800"/>
      <c r="L76" s="800"/>
      <c r="M76" s="800"/>
      <c r="N76" s="800"/>
      <c r="O76" s="800"/>
      <c r="P76" s="800"/>
      <c r="Q76" s="800"/>
      <c r="R76" s="800"/>
      <c r="S76" s="800"/>
    </row>
    <row r="77" spans="1:19">
      <c r="A77" s="800"/>
      <c r="B77" s="800"/>
      <c r="C77" s="800"/>
      <c r="D77" s="800"/>
      <c r="E77" s="800"/>
      <c r="F77" s="800"/>
      <c r="G77" s="800"/>
      <c r="H77" s="800"/>
      <c r="I77" s="800"/>
      <c r="J77" s="800"/>
      <c r="K77" s="800"/>
      <c r="L77" s="800"/>
      <c r="M77" s="800"/>
      <c r="N77" s="800"/>
      <c r="O77" s="800"/>
      <c r="P77" s="800"/>
      <c r="Q77" s="800"/>
      <c r="R77" s="800"/>
      <c r="S77" s="800"/>
    </row>
    <row r="78" spans="1:19">
      <c r="A78" s="800"/>
      <c r="B78" s="800"/>
      <c r="C78" s="800"/>
      <c r="D78" s="800"/>
      <c r="E78" s="800"/>
      <c r="F78" s="800"/>
      <c r="G78" s="800"/>
      <c r="H78" s="800"/>
      <c r="I78" s="800"/>
      <c r="J78" s="800"/>
      <c r="K78" s="800"/>
      <c r="L78" s="800"/>
      <c r="M78" s="800"/>
      <c r="N78" s="800"/>
      <c r="O78" s="800"/>
      <c r="P78" s="800"/>
      <c r="Q78" s="800"/>
      <c r="R78" s="800"/>
      <c r="S78" s="800"/>
    </row>
    <row r="79" spans="1:19">
      <c r="A79" s="800"/>
      <c r="B79" s="800"/>
      <c r="C79" s="800"/>
      <c r="D79" s="800"/>
      <c r="E79" s="800"/>
      <c r="F79" s="800"/>
      <c r="G79" s="800"/>
      <c r="H79" s="800"/>
      <c r="I79" s="800"/>
      <c r="J79" s="800"/>
      <c r="K79" s="800"/>
      <c r="L79" s="800"/>
      <c r="M79" s="800"/>
      <c r="N79" s="800"/>
      <c r="O79" s="800"/>
      <c r="P79" s="800"/>
      <c r="Q79" s="800"/>
      <c r="R79" s="800"/>
      <c r="S79" s="800"/>
    </row>
    <row r="80" spans="1:19">
      <c r="A80" s="800"/>
      <c r="B80" s="800"/>
      <c r="C80" s="800"/>
      <c r="D80" s="800"/>
      <c r="E80" s="800"/>
      <c r="F80" s="800"/>
      <c r="G80" s="800"/>
      <c r="H80" s="800"/>
      <c r="I80" s="800"/>
      <c r="J80" s="800"/>
      <c r="K80" s="800"/>
      <c r="L80" s="800"/>
      <c r="M80" s="800"/>
      <c r="N80" s="800"/>
      <c r="O80" s="800"/>
      <c r="P80" s="800"/>
      <c r="Q80" s="800"/>
      <c r="R80" s="800"/>
      <c r="S80" s="800"/>
    </row>
    <row r="81" spans="1:19">
      <c r="A81" s="800"/>
      <c r="B81" s="800"/>
      <c r="C81" s="800"/>
      <c r="D81" s="800"/>
      <c r="E81" s="800"/>
      <c r="F81" s="800"/>
      <c r="G81" s="800"/>
      <c r="H81" s="800"/>
      <c r="I81" s="800"/>
      <c r="J81" s="800"/>
      <c r="K81" s="800"/>
      <c r="L81" s="800"/>
      <c r="M81" s="800"/>
      <c r="N81" s="800"/>
      <c r="O81" s="800"/>
      <c r="P81" s="800"/>
      <c r="Q81" s="800"/>
      <c r="R81" s="800"/>
      <c r="S81" s="800"/>
    </row>
    <row r="82" spans="1:19">
      <c r="A82" s="800"/>
      <c r="B82" s="800"/>
      <c r="C82" s="800"/>
      <c r="D82" s="800"/>
      <c r="E82" s="800"/>
      <c r="F82" s="800"/>
      <c r="G82" s="800"/>
      <c r="H82" s="800"/>
      <c r="I82" s="800"/>
      <c r="J82" s="800"/>
      <c r="K82" s="800"/>
      <c r="L82" s="800"/>
      <c r="M82" s="800"/>
      <c r="N82" s="800"/>
      <c r="O82" s="800"/>
      <c r="P82" s="800"/>
      <c r="Q82" s="800"/>
      <c r="R82" s="800"/>
      <c r="S82" s="800"/>
    </row>
    <row r="83" spans="1:19">
      <c r="A83" s="800"/>
      <c r="B83" s="800"/>
      <c r="C83" s="800"/>
      <c r="D83" s="800"/>
      <c r="E83" s="800"/>
      <c r="F83" s="800"/>
      <c r="G83" s="800"/>
      <c r="H83" s="800"/>
      <c r="I83" s="800"/>
      <c r="J83" s="800"/>
      <c r="K83" s="800"/>
      <c r="L83" s="800"/>
      <c r="M83" s="800"/>
      <c r="N83" s="800"/>
      <c r="O83" s="800"/>
      <c r="P83" s="800"/>
      <c r="Q83" s="800"/>
      <c r="R83" s="800"/>
      <c r="S83" s="800"/>
    </row>
    <row r="84" spans="1:19">
      <c r="A84" s="800"/>
      <c r="B84" s="800"/>
      <c r="C84" s="800"/>
      <c r="D84" s="800"/>
      <c r="E84" s="800"/>
      <c r="F84" s="800"/>
      <c r="G84" s="800"/>
      <c r="H84" s="800"/>
      <c r="I84" s="800"/>
      <c r="J84" s="800"/>
      <c r="K84" s="800"/>
      <c r="L84" s="800"/>
      <c r="M84" s="800"/>
      <c r="N84" s="800"/>
      <c r="O84" s="800"/>
      <c r="P84" s="800"/>
      <c r="Q84" s="800"/>
      <c r="R84" s="800"/>
      <c r="S84" s="800"/>
    </row>
    <row r="85" spans="1:19">
      <c r="A85" s="800"/>
      <c r="B85" s="800"/>
      <c r="C85" s="800"/>
      <c r="D85" s="800"/>
      <c r="E85" s="800"/>
      <c r="F85" s="800"/>
      <c r="G85" s="800"/>
      <c r="H85" s="800"/>
      <c r="I85" s="800"/>
      <c r="J85" s="800"/>
      <c r="K85" s="800"/>
      <c r="L85" s="800"/>
      <c r="M85" s="800"/>
      <c r="N85" s="800"/>
      <c r="O85" s="800"/>
      <c r="P85" s="800"/>
      <c r="Q85" s="800"/>
      <c r="R85" s="800"/>
      <c r="S85" s="800"/>
    </row>
    <row r="86" spans="1:19">
      <c r="A86" s="800"/>
      <c r="B86" s="800"/>
      <c r="C86" s="800"/>
      <c r="D86" s="800"/>
      <c r="E86" s="800"/>
      <c r="F86" s="800"/>
      <c r="G86" s="800"/>
      <c r="H86" s="800"/>
      <c r="I86" s="800"/>
      <c r="J86" s="800"/>
      <c r="K86" s="800"/>
      <c r="L86" s="800"/>
      <c r="M86" s="800"/>
      <c r="N86" s="800"/>
      <c r="O86" s="800"/>
      <c r="P86" s="800"/>
      <c r="Q86" s="800"/>
      <c r="R86" s="800"/>
      <c r="S86" s="800"/>
    </row>
    <row r="87" spans="1:19">
      <c r="A87" s="800"/>
      <c r="B87" s="800"/>
      <c r="C87" s="800"/>
      <c r="D87" s="800"/>
      <c r="E87" s="800"/>
      <c r="F87" s="800"/>
      <c r="G87" s="800"/>
      <c r="H87" s="800"/>
      <c r="I87" s="800"/>
      <c r="J87" s="800"/>
      <c r="K87" s="800"/>
      <c r="L87" s="800"/>
      <c r="M87" s="800"/>
      <c r="N87" s="800"/>
      <c r="O87" s="800"/>
      <c r="P87" s="800"/>
      <c r="Q87" s="800"/>
      <c r="R87" s="800"/>
      <c r="S87" s="800"/>
    </row>
    <row r="88" spans="1:19">
      <c r="A88" s="800"/>
      <c r="B88" s="800"/>
      <c r="C88" s="800"/>
      <c r="D88" s="800"/>
      <c r="E88" s="800"/>
      <c r="F88" s="800"/>
      <c r="G88" s="800"/>
      <c r="H88" s="800"/>
      <c r="I88" s="800"/>
      <c r="J88" s="800"/>
      <c r="K88" s="800"/>
      <c r="L88" s="800"/>
      <c r="M88" s="800"/>
      <c r="N88" s="800"/>
      <c r="O88" s="800"/>
      <c r="P88" s="800"/>
      <c r="Q88" s="800"/>
      <c r="R88" s="800"/>
      <c r="S88" s="800"/>
    </row>
    <row r="89" spans="1:19">
      <c r="A89" s="800"/>
      <c r="B89" s="800"/>
      <c r="C89" s="800"/>
      <c r="D89" s="800"/>
      <c r="E89" s="800"/>
      <c r="F89" s="800"/>
      <c r="G89" s="800"/>
      <c r="H89" s="800"/>
      <c r="I89" s="800"/>
      <c r="J89" s="800"/>
      <c r="K89" s="800"/>
      <c r="L89" s="800"/>
      <c r="M89" s="800"/>
      <c r="N89" s="800"/>
      <c r="O89" s="800"/>
      <c r="P89" s="800"/>
      <c r="Q89" s="800"/>
      <c r="R89" s="800"/>
      <c r="S89" s="800"/>
    </row>
    <row r="90" spans="1:19">
      <c r="A90" s="800"/>
      <c r="B90" s="800"/>
      <c r="C90" s="800"/>
      <c r="D90" s="800"/>
      <c r="E90" s="800"/>
      <c r="F90" s="800"/>
      <c r="G90" s="800"/>
      <c r="H90" s="800"/>
      <c r="I90" s="800"/>
      <c r="J90" s="800"/>
      <c r="K90" s="800"/>
      <c r="L90" s="800"/>
      <c r="M90" s="800"/>
      <c r="N90" s="800"/>
      <c r="O90" s="800"/>
      <c r="P90" s="800"/>
      <c r="Q90" s="800"/>
      <c r="R90" s="800"/>
      <c r="S90" s="800"/>
    </row>
    <row r="91" spans="1:19">
      <c r="A91" s="800"/>
      <c r="B91" s="800"/>
      <c r="C91" s="800"/>
      <c r="D91" s="800"/>
      <c r="E91" s="800"/>
      <c r="F91" s="800"/>
      <c r="G91" s="800"/>
      <c r="H91" s="800"/>
      <c r="I91" s="800"/>
      <c r="J91" s="800"/>
      <c r="K91" s="800"/>
      <c r="L91" s="800"/>
      <c r="M91" s="800"/>
      <c r="N91" s="800"/>
      <c r="O91" s="800"/>
      <c r="P91" s="800"/>
      <c r="Q91" s="800"/>
      <c r="R91" s="800"/>
      <c r="S91" s="800"/>
    </row>
    <row r="92" spans="1:19">
      <c r="A92" s="800"/>
      <c r="B92" s="800"/>
      <c r="C92" s="800"/>
      <c r="D92" s="800"/>
      <c r="E92" s="800"/>
      <c r="F92" s="800"/>
      <c r="G92" s="800"/>
      <c r="H92" s="800"/>
      <c r="I92" s="800"/>
      <c r="J92" s="800"/>
      <c r="K92" s="800"/>
      <c r="L92" s="800"/>
      <c r="M92" s="800"/>
      <c r="N92" s="800"/>
      <c r="O92" s="800"/>
      <c r="P92" s="800"/>
      <c r="Q92" s="800"/>
      <c r="R92" s="800"/>
      <c r="S92" s="800"/>
    </row>
    <row r="93" spans="1:19">
      <c r="A93" s="800"/>
      <c r="B93" s="800"/>
      <c r="C93" s="800"/>
      <c r="D93" s="800"/>
      <c r="E93" s="800"/>
      <c r="F93" s="800"/>
      <c r="G93" s="800"/>
      <c r="H93" s="800"/>
      <c r="I93" s="800"/>
      <c r="J93" s="800"/>
      <c r="K93" s="800"/>
      <c r="L93" s="841"/>
    </row>
    <row r="94" spans="1:19">
      <c r="A94" s="800"/>
      <c r="B94" s="800"/>
      <c r="C94" s="800"/>
      <c r="D94" s="800"/>
      <c r="E94" s="800"/>
      <c r="F94" s="800"/>
      <c r="G94" s="800"/>
      <c r="H94" s="800"/>
      <c r="I94" s="800"/>
      <c r="J94" s="800"/>
      <c r="K94" s="800"/>
      <c r="L94" s="841"/>
    </row>
    <row r="95" spans="1:19">
      <c r="A95" s="800"/>
      <c r="B95" s="800"/>
      <c r="C95" s="800"/>
      <c r="D95" s="800"/>
      <c r="E95" s="800"/>
      <c r="F95" s="800"/>
      <c r="G95" s="800"/>
      <c r="H95" s="800"/>
      <c r="I95" s="800"/>
      <c r="J95" s="800"/>
      <c r="K95" s="800"/>
      <c r="L95" s="841"/>
    </row>
    <row r="96" spans="1:19">
      <c r="A96" s="800"/>
      <c r="B96" s="800"/>
      <c r="C96" s="800"/>
      <c r="D96" s="800"/>
      <c r="E96" s="800"/>
      <c r="F96" s="800"/>
      <c r="G96" s="800"/>
      <c r="H96" s="800"/>
      <c r="I96" s="800"/>
      <c r="J96" s="800"/>
      <c r="K96" s="800"/>
      <c r="L96" s="841"/>
    </row>
    <row r="97" spans="1:12">
      <c r="A97" s="800"/>
      <c r="B97" s="800"/>
      <c r="C97" s="800"/>
      <c r="D97" s="800"/>
      <c r="E97" s="800"/>
      <c r="F97" s="800"/>
      <c r="G97" s="800"/>
      <c r="H97" s="800"/>
      <c r="I97" s="800"/>
      <c r="J97" s="800"/>
      <c r="K97" s="800"/>
      <c r="L97" s="841"/>
    </row>
    <row r="98" spans="1:12">
      <c r="A98" s="800"/>
      <c r="B98" s="800"/>
      <c r="C98" s="800"/>
      <c r="D98" s="800"/>
      <c r="E98" s="800"/>
      <c r="F98" s="800"/>
      <c r="G98" s="800"/>
      <c r="H98" s="800"/>
      <c r="I98" s="800"/>
      <c r="J98" s="800"/>
      <c r="K98" s="800"/>
      <c r="L98" s="841"/>
    </row>
    <row r="99" spans="1:12">
      <c r="A99" s="800"/>
      <c r="B99" s="800"/>
      <c r="C99" s="800"/>
      <c r="D99" s="800"/>
      <c r="E99" s="800"/>
      <c r="F99" s="800"/>
      <c r="G99" s="800"/>
      <c r="H99" s="800"/>
      <c r="I99" s="800"/>
      <c r="J99" s="800"/>
      <c r="K99" s="800"/>
      <c r="L99" s="841"/>
    </row>
    <row r="100" spans="1:12">
      <c r="A100" s="800"/>
      <c r="B100" s="800"/>
      <c r="C100" s="800"/>
      <c r="D100" s="800"/>
      <c r="E100" s="800"/>
      <c r="F100" s="800"/>
      <c r="G100" s="800"/>
      <c r="H100" s="800"/>
      <c r="I100" s="800"/>
      <c r="J100" s="800"/>
      <c r="K100" s="800"/>
      <c r="L100" s="842"/>
    </row>
    <row r="101" spans="1:12">
      <c r="A101" s="800"/>
      <c r="B101" s="800"/>
      <c r="C101" s="800"/>
      <c r="D101" s="800"/>
      <c r="E101" s="800"/>
      <c r="F101" s="800"/>
      <c r="G101" s="800"/>
      <c r="H101" s="800"/>
      <c r="I101" s="800"/>
      <c r="J101" s="800"/>
      <c r="K101" s="800"/>
      <c r="L101" s="842"/>
    </row>
    <row r="102" spans="1:12">
      <c r="A102" s="800"/>
      <c r="B102" s="800"/>
      <c r="C102" s="800"/>
      <c r="D102" s="800"/>
      <c r="E102" s="800"/>
      <c r="F102" s="800"/>
      <c r="G102" s="800"/>
      <c r="H102" s="800"/>
      <c r="I102" s="800"/>
      <c r="J102" s="800"/>
      <c r="K102" s="800"/>
      <c r="L102" s="842"/>
    </row>
    <row r="103" spans="1:12">
      <c r="A103" s="800"/>
      <c r="B103" s="800"/>
      <c r="C103" s="800"/>
      <c r="D103" s="800"/>
      <c r="E103" s="800"/>
      <c r="F103" s="800"/>
      <c r="G103" s="800"/>
      <c r="H103" s="800"/>
      <c r="I103" s="800"/>
      <c r="J103" s="800"/>
      <c r="K103" s="800"/>
      <c r="L103" s="842"/>
    </row>
    <row r="104" spans="1:12">
      <c r="A104" s="800"/>
      <c r="B104" s="800"/>
      <c r="C104" s="800"/>
      <c r="D104" s="800"/>
      <c r="E104" s="800"/>
      <c r="F104" s="800"/>
      <c r="G104" s="800"/>
      <c r="H104" s="800"/>
      <c r="I104" s="800"/>
      <c r="J104" s="800"/>
      <c r="K104" s="800"/>
    </row>
    <row r="105" spans="1:12">
      <c r="A105" s="800"/>
      <c r="B105" s="800"/>
      <c r="C105" s="800"/>
      <c r="D105" s="800"/>
      <c r="E105" s="800"/>
      <c r="F105" s="800"/>
      <c r="G105" s="800"/>
      <c r="H105" s="800"/>
      <c r="I105" s="800"/>
      <c r="J105" s="800"/>
      <c r="K105" s="800"/>
    </row>
    <row r="106" spans="1:12">
      <c r="A106" s="800"/>
      <c r="B106" s="800"/>
      <c r="C106" s="800"/>
      <c r="D106" s="800"/>
      <c r="E106" s="800"/>
      <c r="F106" s="800"/>
      <c r="G106" s="800"/>
      <c r="H106" s="800"/>
      <c r="I106" s="800"/>
      <c r="J106" s="800"/>
      <c r="K106" s="800"/>
    </row>
    <row r="107" spans="1:12">
      <c r="A107" s="800"/>
      <c r="B107" s="800"/>
      <c r="C107" s="800"/>
      <c r="D107" s="800"/>
      <c r="E107" s="800"/>
      <c r="F107" s="800"/>
      <c r="G107" s="800"/>
      <c r="H107" s="800"/>
      <c r="I107" s="800"/>
      <c r="J107" s="800"/>
      <c r="K107" s="800"/>
    </row>
    <row r="108" spans="1:12">
      <c r="A108" s="800"/>
      <c r="B108" s="800"/>
      <c r="C108" s="800"/>
      <c r="D108" s="800"/>
      <c r="E108" s="800"/>
      <c r="F108" s="800"/>
      <c r="G108" s="800"/>
      <c r="H108" s="800"/>
      <c r="I108" s="800"/>
      <c r="J108" s="800"/>
      <c r="K108" s="800"/>
    </row>
    <row r="109" spans="1:12">
      <c r="A109" s="800"/>
      <c r="B109" s="800"/>
      <c r="C109" s="800"/>
      <c r="D109" s="800"/>
      <c r="E109" s="800"/>
      <c r="F109" s="800"/>
      <c r="G109" s="800"/>
      <c r="H109" s="800"/>
      <c r="I109" s="800"/>
      <c r="J109" s="800"/>
      <c r="K109" s="800"/>
    </row>
    <row r="110" spans="1:12">
      <c r="A110" s="800"/>
      <c r="B110" s="800"/>
      <c r="C110" s="800"/>
      <c r="D110" s="800"/>
      <c r="E110" s="800"/>
      <c r="F110" s="800"/>
      <c r="G110" s="800"/>
      <c r="H110" s="800"/>
      <c r="I110" s="800"/>
      <c r="J110" s="800"/>
      <c r="K110" s="800"/>
    </row>
    <row r="111" spans="1:12">
      <c r="A111" s="800"/>
      <c r="B111" s="800"/>
      <c r="C111" s="800"/>
      <c r="D111" s="800"/>
      <c r="E111" s="800"/>
      <c r="F111" s="800"/>
      <c r="G111" s="800"/>
      <c r="H111" s="800"/>
      <c r="I111" s="800"/>
      <c r="J111" s="800"/>
      <c r="K111" s="800"/>
    </row>
    <row r="112" spans="1:12">
      <c r="A112" s="800"/>
      <c r="B112" s="800"/>
      <c r="C112" s="800"/>
      <c r="D112" s="800"/>
      <c r="E112" s="800"/>
      <c r="F112" s="800"/>
      <c r="G112" s="800"/>
      <c r="H112" s="800"/>
      <c r="I112" s="800"/>
      <c r="J112" s="800"/>
      <c r="K112" s="800"/>
    </row>
    <row r="113" spans="1:11">
      <c r="A113" s="800"/>
      <c r="B113" s="800"/>
      <c r="C113" s="800"/>
      <c r="D113" s="800"/>
      <c r="E113" s="800"/>
      <c r="F113" s="800"/>
      <c r="G113" s="800"/>
      <c r="H113" s="800"/>
      <c r="I113" s="800"/>
      <c r="J113" s="800"/>
      <c r="K113" s="800"/>
    </row>
    <row r="114" spans="1:11">
      <c r="A114" s="800"/>
      <c r="B114" s="800"/>
      <c r="C114" s="800"/>
      <c r="D114" s="800"/>
      <c r="E114" s="800"/>
      <c r="F114" s="800"/>
      <c r="G114" s="800"/>
      <c r="H114" s="800"/>
      <c r="I114" s="800"/>
      <c r="J114" s="800"/>
      <c r="K114" s="800"/>
    </row>
    <row r="115" spans="1:11">
      <c r="A115" s="800"/>
      <c r="B115" s="800"/>
      <c r="C115" s="800"/>
      <c r="D115" s="800"/>
      <c r="E115" s="800"/>
      <c r="F115" s="800"/>
      <c r="G115" s="800"/>
      <c r="H115" s="800"/>
      <c r="I115" s="800"/>
      <c r="J115" s="800"/>
      <c r="K115" s="800"/>
    </row>
    <row r="116" spans="1:11">
      <c r="A116" s="800"/>
      <c r="B116" s="800"/>
      <c r="C116" s="800"/>
      <c r="D116" s="800"/>
      <c r="E116" s="800"/>
      <c r="F116" s="800"/>
      <c r="G116" s="800"/>
      <c r="H116" s="800"/>
      <c r="I116" s="800"/>
      <c r="J116" s="800"/>
      <c r="K116" s="800"/>
    </row>
    <row r="117" spans="1:11">
      <c r="A117" s="800"/>
      <c r="B117" s="800"/>
      <c r="C117" s="800"/>
      <c r="D117" s="800"/>
      <c r="E117" s="800"/>
      <c r="F117" s="800"/>
      <c r="G117" s="800"/>
      <c r="H117" s="800"/>
      <c r="I117" s="800"/>
      <c r="J117" s="800"/>
      <c r="K117" s="800"/>
    </row>
    <row r="118" spans="1:11">
      <c r="A118" s="800"/>
      <c r="B118" s="800"/>
      <c r="C118" s="800"/>
      <c r="D118" s="800"/>
      <c r="E118" s="800"/>
      <c r="F118" s="800"/>
      <c r="G118" s="800"/>
      <c r="H118" s="800"/>
      <c r="I118" s="800"/>
      <c r="J118" s="800"/>
      <c r="K118" s="800"/>
    </row>
    <row r="119" spans="1:11">
      <c r="A119" s="800"/>
      <c r="B119" s="800"/>
      <c r="C119" s="800"/>
      <c r="D119" s="800"/>
      <c r="E119" s="800"/>
      <c r="F119" s="800"/>
      <c r="G119" s="800"/>
      <c r="H119" s="800"/>
      <c r="I119" s="800"/>
      <c r="J119" s="800"/>
      <c r="K119" s="800"/>
    </row>
    <row r="120" spans="1:11">
      <c r="A120" s="800"/>
      <c r="B120" s="800"/>
      <c r="C120" s="800"/>
      <c r="D120" s="800"/>
      <c r="E120" s="800"/>
      <c r="F120" s="800"/>
      <c r="G120" s="800"/>
      <c r="H120" s="800"/>
      <c r="I120" s="800"/>
      <c r="J120" s="800"/>
      <c r="K120" s="800"/>
    </row>
    <row r="121" spans="1:11">
      <c r="A121" s="800"/>
      <c r="B121" s="800"/>
      <c r="C121" s="800"/>
      <c r="D121" s="800"/>
      <c r="E121" s="800"/>
      <c r="F121" s="800"/>
      <c r="G121" s="800"/>
      <c r="H121" s="800"/>
      <c r="I121" s="800"/>
      <c r="J121" s="800"/>
      <c r="K121" s="800"/>
    </row>
    <row r="122" spans="1:11">
      <c r="A122" s="800"/>
      <c r="B122" s="800"/>
      <c r="C122" s="800"/>
      <c r="D122" s="800"/>
      <c r="E122" s="800"/>
      <c r="F122" s="800"/>
      <c r="G122" s="800"/>
      <c r="H122" s="800"/>
      <c r="I122" s="800"/>
      <c r="J122" s="800"/>
      <c r="K122" s="800"/>
    </row>
    <row r="123" spans="1:11">
      <c r="A123" s="800"/>
      <c r="B123" s="800"/>
      <c r="C123" s="800"/>
      <c r="D123" s="800"/>
      <c r="E123" s="800"/>
      <c r="F123" s="800"/>
      <c r="G123" s="800"/>
      <c r="H123" s="800"/>
      <c r="I123" s="800"/>
      <c r="J123" s="800"/>
      <c r="K123" s="800"/>
    </row>
    <row r="124" spans="1:11">
      <c r="A124" s="800"/>
      <c r="B124" s="800"/>
      <c r="C124" s="800"/>
      <c r="D124" s="800"/>
      <c r="E124" s="800"/>
      <c r="F124" s="800"/>
      <c r="G124" s="800"/>
      <c r="H124" s="800"/>
      <c r="I124" s="800"/>
      <c r="J124" s="800"/>
      <c r="K124" s="800"/>
    </row>
    <row r="125" spans="1:11">
      <c r="A125" s="800"/>
      <c r="B125" s="800"/>
      <c r="C125" s="800"/>
      <c r="D125" s="800"/>
      <c r="E125" s="800"/>
      <c r="F125" s="800"/>
      <c r="G125" s="800"/>
      <c r="H125" s="800"/>
      <c r="I125" s="800"/>
      <c r="J125" s="800"/>
      <c r="K125" s="800"/>
    </row>
    <row r="126" spans="1:11">
      <c r="A126" s="800"/>
      <c r="B126" s="800"/>
      <c r="C126" s="800"/>
      <c r="D126" s="800"/>
      <c r="E126" s="800"/>
      <c r="F126" s="800"/>
      <c r="G126" s="800"/>
      <c r="H126" s="800"/>
      <c r="I126" s="800"/>
      <c r="J126" s="800"/>
      <c r="K126" s="800"/>
    </row>
    <row r="127" spans="1:11">
      <c r="A127" s="800"/>
      <c r="B127" s="800"/>
      <c r="C127" s="800"/>
      <c r="D127" s="800"/>
      <c r="E127" s="800"/>
      <c r="F127" s="800"/>
      <c r="G127" s="800"/>
      <c r="H127" s="800"/>
      <c r="I127" s="800"/>
      <c r="J127" s="800"/>
      <c r="K127" s="800"/>
    </row>
    <row r="128" spans="1:11">
      <c r="A128" s="800"/>
      <c r="B128" s="800"/>
      <c r="C128" s="800"/>
      <c r="D128" s="800"/>
      <c r="E128" s="800"/>
      <c r="F128" s="800"/>
      <c r="G128" s="800"/>
      <c r="H128" s="800"/>
      <c r="I128" s="800"/>
      <c r="J128" s="800"/>
      <c r="K128" s="800"/>
    </row>
    <row r="129" spans="1:11">
      <c r="A129" s="800"/>
      <c r="B129" s="800"/>
      <c r="C129" s="800"/>
      <c r="D129" s="800"/>
      <c r="E129" s="800"/>
      <c r="F129" s="800"/>
      <c r="G129" s="800"/>
      <c r="H129" s="800"/>
      <c r="I129" s="800"/>
      <c r="J129" s="800"/>
      <c r="K129" s="800"/>
    </row>
    <row r="130" spans="1:11">
      <c r="A130" s="800"/>
      <c r="B130" s="800"/>
      <c r="C130" s="800"/>
      <c r="D130" s="800"/>
      <c r="E130" s="800"/>
      <c r="F130" s="800"/>
      <c r="G130" s="800"/>
      <c r="H130" s="800"/>
      <c r="I130" s="800"/>
      <c r="J130" s="800"/>
      <c r="K130" s="800"/>
    </row>
    <row r="131" spans="1:11">
      <c r="A131" s="800"/>
      <c r="B131" s="800"/>
      <c r="C131" s="800"/>
      <c r="D131" s="800"/>
      <c r="E131" s="800"/>
      <c r="F131" s="800"/>
      <c r="G131" s="800"/>
      <c r="H131" s="800"/>
      <c r="I131" s="800"/>
      <c r="J131" s="800"/>
      <c r="K131" s="800"/>
    </row>
    <row r="132" spans="1:11">
      <c r="A132" s="800"/>
      <c r="B132" s="800"/>
      <c r="C132" s="800"/>
      <c r="D132" s="800"/>
      <c r="E132" s="800"/>
      <c r="F132" s="800"/>
      <c r="G132" s="800"/>
      <c r="H132" s="800"/>
      <c r="I132" s="800"/>
      <c r="J132" s="800"/>
      <c r="K132" s="800"/>
    </row>
    <row r="133" spans="1:11">
      <c r="A133" s="800"/>
      <c r="B133" s="800"/>
      <c r="C133" s="800"/>
      <c r="D133" s="800"/>
      <c r="E133" s="800"/>
      <c r="F133" s="800"/>
      <c r="G133" s="800"/>
      <c r="H133" s="800"/>
      <c r="I133" s="800"/>
      <c r="J133" s="800"/>
      <c r="K133" s="800"/>
    </row>
    <row r="134" spans="1:11">
      <c r="A134" s="800"/>
      <c r="B134" s="800"/>
      <c r="C134" s="800"/>
      <c r="D134" s="800"/>
      <c r="E134" s="800"/>
      <c r="F134" s="800"/>
      <c r="G134" s="800"/>
      <c r="H134" s="800"/>
      <c r="I134" s="800"/>
      <c r="J134" s="800"/>
      <c r="K134" s="800"/>
    </row>
    <row r="135" spans="1:11">
      <c r="A135" s="800"/>
      <c r="B135" s="800"/>
      <c r="C135" s="800"/>
      <c r="D135" s="800"/>
      <c r="E135" s="800"/>
      <c r="F135" s="800"/>
      <c r="G135" s="800"/>
      <c r="H135" s="800"/>
      <c r="I135" s="800"/>
      <c r="J135" s="800"/>
      <c r="K135" s="800"/>
    </row>
    <row r="136" spans="1:11">
      <c r="A136" s="800"/>
      <c r="B136" s="800"/>
      <c r="C136" s="800"/>
      <c r="D136" s="800"/>
      <c r="E136" s="800"/>
      <c r="F136" s="800"/>
      <c r="G136" s="800"/>
      <c r="H136" s="800"/>
      <c r="I136" s="800"/>
      <c r="J136" s="800"/>
      <c r="K136" s="800"/>
    </row>
    <row r="137" spans="1:11">
      <c r="A137" s="800"/>
      <c r="B137" s="800"/>
      <c r="C137" s="800"/>
      <c r="D137" s="800"/>
      <c r="E137" s="800"/>
      <c r="F137" s="800"/>
      <c r="G137" s="800"/>
      <c r="H137" s="800"/>
      <c r="I137" s="800"/>
      <c r="J137" s="800"/>
      <c r="K137" s="800"/>
    </row>
    <row r="138" spans="1:11">
      <c r="A138" s="800"/>
      <c r="B138" s="800"/>
      <c r="C138" s="800"/>
      <c r="D138" s="800"/>
      <c r="E138" s="800"/>
      <c r="F138" s="800"/>
      <c r="G138" s="800"/>
      <c r="H138" s="800"/>
      <c r="I138" s="800"/>
      <c r="J138" s="800"/>
      <c r="K138" s="800"/>
    </row>
    <row r="139" spans="1:11">
      <c r="A139" s="800"/>
      <c r="B139" s="800"/>
      <c r="C139" s="800"/>
      <c r="D139" s="800"/>
      <c r="E139" s="800"/>
      <c r="F139" s="800"/>
      <c r="G139" s="800"/>
      <c r="H139" s="800"/>
      <c r="I139" s="800"/>
      <c r="J139" s="800"/>
      <c r="K139" s="800"/>
    </row>
    <row r="140" spans="1:11">
      <c r="A140" s="800"/>
      <c r="B140" s="800"/>
      <c r="C140" s="800"/>
      <c r="D140" s="800"/>
      <c r="E140" s="800"/>
      <c r="F140" s="800"/>
      <c r="G140" s="800"/>
      <c r="H140" s="800"/>
      <c r="I140" s="800"/>
      <c r="J140" s="800"/>
      <c r="K140" s="800"/>
    </row>
    <row r="141" spans="1:11">
      <c r="A141" s="800"/>
      <c r="B141" s="800"/>
      <c r="C141" s="800"/>
      <c r="D141" s="800"/>
      <c r="E141" s="800"/>
      <c r="F141" s="800"/>
      <c r="G141" s="800"/>
      <c r="H141" s="800"/>
      <c r="I141" s="800"/>
      <c r="J141" s="800"/>
      <c r="K141" s="800"/>
    </row>
    <row r="142" spans="1:11">
      <c r="A142" s="800"/>
      <c r="B142" s="800"/>
      <c r="C142" s="800"/>
      <c r="D142" s="800"/>
      <c r="E142" s="800"/>
      <c r="F142" s="800"/>
      <c r="G142" s="800"/>
      <c r="H142" s="800"/>
      <c r="I142" s="800"/>
      <c r="J142" s="800"/>
      <c r="K142" s="800"/>
    </row>
    <row r="143" spans="1:11">
      <c r="A143" s="800"/>
      <c r="B143" s="800"/>
      <c r="C143" s="800"/>
      <c r="D143" s="800"/>
      <c r="E143" s="800"/>
      <c r="F143" s="800"/>
      <c r="G143" s="800"/>
      <c r="H143" s="800"/>
      <c r="I143" s="800"/>
      <c r="J143" s="800"/>
      <c r="K143" s="800"/>
    </row>
    <row r="144" spans="1:11">
      <c r="A144" s="800"/>
      <c r="B144" s="800"/>
      <c r="C144" s="800"/>
      <c r="D144" s="800"/>
      <c r="E144" s="800"/>
      <c r="F144" s="800"/>
      <c r="G144" s="800"/>
      <c r="H144" s="800"/>
      <c r="I144" s="800"/>
      <c r="J144" s="800"/>
      <c r="K144" s="800"/>
    </row>
    <row r="145" spans="1:11">
      <c r="A145" s="800"/>
      <c r="B145" s="800"/>
      <c r="C145" s="800"/>
      <c r="D145" s="800"/>
      <c r="E145" s="800"/>
      <c r="F145" s="800"/>
      <c r="G145" s="800"/>
      <c r="H145" s="800"/>
      <c r="I145" s="800"/>
      <c r="J145" s="800"/>
      <c r="K145" s="800"/>
    </row>
    <row r="146" spans="1:11">
      <c r="A146" s="800"/>
      <c r="B146" s="800"/>
      <c r="C146" s="800"/>
      <c r="D146" s="800"/>
      <c r="E146" s="800"/>
      <c r="F146" s="800"/>
      <c r="G146" s="800"/>
      <c r="H146" s="800"/>
      <c r="I146" s="800"/>
      <c r="J146" s="800"/>
      <c r="K146" s="800"/>
    </row>
    <row r="147" spans="1:11">
      <c r="A147" s="800"/>
      <c r="B147" s="800"/>
      <c r="C147" s="800"/>
      <c r="D147" s="800"/>
      <c r="E147" s="800"/>
      <c r="F147" s="800"/>
      <c r="G147" s="800"/>
      <c r="H147" s="800"/>
      <c r="I147" s="800"/>
      <c r="J147" s="800"/>
      <c r="K147" s="800"/>
    </row>
    <row r="148" spans="1:11">
      <c r="A148" s="800"/>
      <c r="B148" s="800"/>
      <c r="C148" s="800"/>
      <c r="D148" s="800"/>
      <c r="E148" s="800"/>
      <c r="F148" s="800"/>
      <c r="G148" s="800"/>
      <c r="H148" s="800"/>
      <c r="I148" s="800"/>
      <c r="J148" s="800"/>
      <c r="K148" s="800"/>
    </row>
    <row r="149" spans="1:11">
      <c r="A149" s="800"/>
      <c r="B149" s="800"/>
      <c r="C149" s="800"/>
      <c r="D149" s="800"/>
      <c r="E149" s="800"/>
      <c r="F149" s="800"/>
      <c r="G149" s="800"/>
      <c r="H149" s="800"/>
      <c r="I149" s="800"/>
      <c r="J149" s="800"/>
      <c r="K149" s="800"/>
    </row>
    <row r="150" spans="1:11">
      <c r="A150" s="800"/>
      <c r="B150" s="800"/>
      <c r="C150" s="800"/>
      <c r="D150" s="800"/>
      <c r="E150" s="800"/>
      <c r="F150" s="800"/>
      <c r="G150" s="800"/>
      <c r="H150" s="800"/>
      <c r="I150" s="800"/>
      <c r="J150" s="800"/>
      <c r="K150" s="800"/>
    </row>
    <row r="151" spans="1:11">
      <c r="A151" s="800"/>
      <c r="B151" s="800"/>
      <c r="C151" s="800"/>
      <c r="D151" s="800"/>
      <c r="E151" s="800"/>
      <c r="F151" s="800"/>
      <c r="G151" s="800"/>
      <c r="H151" s="800"/>
      <c r="I151" s="800"/>
      <c r="J151" s="800"/>
      <c r="K151" s="800"/>
    </row>
    <row r="152" spans="1:11">
      <c r="A152" s="800"/>
      <c r="B152" s="800"/>
      <c r="C152" s="800"/>
      <c r="D152" s="800"/>
      <c r="E152" s="800"/>
      <c r="F152" s="800"/>
      <c r="G152" s="800"/>
      <c r="H152" s="800"/>
      <c r="I152" s="800"/>
      <c r="J152" s="800"/>
      <c r="K152" s="800"/>
    </row>
    <row r="153" spans="1:11">
      <c r="A153" s="800"/>
      <c r="B153" s="800"/>
      <c r="C153" s="800"/>
      <c r="D153" s="800"/>
      <c r="E153" s="800"/>
      <c r="F153" s="800"/>
      <c r="G153" s="800"/>
      <c r="H153" s="800"/>
      <c r="I153" s="800"/>
      <c r="J153" s="800"/>
      <c r="K153" s="800"/>
    </row>
    <row r="154" spans="1:11">
      <c r="A154" s="800"/>
      <c r="B154" s="800"/>
      <c r="C154" s="800"/>
      <c r="D154" s="800"/>
      <c r="E154" s="800"/>
      <c r="F154" s="800"/>
      <c r="G154" s="800"/>
      <c r="H154" s="800"/>
      <c r="I154" s="800"/>
      <c r="J154" s="800"/>
      <c r="K154" s="800"/>
    </row>
    <row r="155" spans="1:11">
      <c r="A155" s="800"/>
      <c r="B155" s="800"/>
      <c r="C155" s="800"/>
      <c r="D155" s="800"/>
      <c r="E155" s="800"/>
      <c r="F155" s="800"/>
      <c r="G155" s="800"/>
      <c r="H155" s="800"/>
      <c r="I155" s="800"/>
      <c r="J155" s="800"/>
      <c r="K155" s="800"/>
    </row>
    <row r="156" spans="1:11">
      <c r="A156" s="800"/>
      <c r="B156" s="800"/>
      <c r="C156" s="800"/>
      <c r="D156" s="800"/>
      <c r="E156" s="800"/>
      <c r="F156" s="800"/>
      <c r="G156" s="800"/>
      <c r="H156" s="800"/>
      <c r="I156" s="800"/>
      <c r="J156" s="800"/>
      <c r="K156" s="800"/>
    </row>
    <row r="157" spans="1:11">
      <c r="A157" s="800"/>
      <c r="B157" s="800"/>
      <c r="C157" s="800"/>
      <c r="D157" s="800"/>
      <c r="E157" s="800"/>
      <c r="F157" s="800"/>
      <c r="G157" s="800"/>
      <c r="H157" s="800"/>
      <c r="I157" s="800"/>
      <c r="J157" s="800"/>
      <c r="K157" s="800"/>
    </row>
    <row r="158" spans="1:11">
      <c r="A158" s="800"/>
      <c r="B158" s="800"/>
      <c r="C158" s="800"/>
      <c r="D158" s="800"/>
      <c r="E158" s="800"/>
      <c r="F158" s="800"/>
      <c r="G158" s="800"/>
      <c r="H158" s="800"/>
      <c r="I158" s="800"/>
      <c r="J158" s="800"/>
      <c r="K158" s="800"/>
    </row>
    <row r="159" spans="1:11">
      <c r="A159" s="800"/>
      <c r="B159" s="800"/>
      <c r="C159" s="800"/>
      <c r="D159" s="800"/>
      <c r="E159" s="800"/>
      <c r="F159" s="800"/>
      <c r="G159" s="800"/>
      <c r="H159" s="800"/>
      <c r="I159" s="800"/>
      <c r="J159" s="800"/>
      <c r="K159" s="800"/>
    </row>
    <row r="160" spans="1:11">
      <c r="A160" s="800"/>
      <c r="B160" s="800"/>
      <c r="C160" s="800"/>
      <c r="D160" s="800"/>
      <c r="E160" s="800"/>
      <c r="F160" s="800"/>
      <c r="G160" s="800"/>
      <c r="H160" s="800"/>
      <c r="I160" s="800"/>
      <c r="J160" s="800"/>
      <c r="K160" s="800"/>
    </row>
    <row r="161" spans="1:11">
      <c r="A161" s="800"/>
      <c r="B161" s="800"/>
      <c r="C161" s="800"/>
      <c r="D161" s="800"/>
      <c r="E161" s="800"/>
      <c r="F161" s="800"/>
      <c r="G161" s="800"/>
      <c r="H161" s="800"/>
      <c r="I161" s="800"/>
      <c r="J161" s="800"/>
      <c r="K161" s="800"/>
    </row>
    <row r="162" spans="1:11">
      <c r="A162" s="800"/>
      <c r="B162" s="800"/>
      <c r="C162" s="800"/>
      <c r="D162" s="800"/>
      <c r="E162" s="800"/>
      <c r="F162" s="800"/>
      <c r="G162" s="800"/>
      <c r="H162" s="800"/>
      <c r="I162" s="800"/>
      <c r="J162" s="800"/>
      <c r="K162" s="800"/>
    </row>
    <row r="163" spans="1:11">
      <c r="A163" s="800"/>
      <c r="B163" s="800"/>
      <c r="C163" s="800"/>
      <c r="D163" s="800"/>
      <c r="E163" s="800"/>
      <c r="F163" s="800"/>
      <c r="G163" s="800"/>
      <c r="H163" s="800"/>
      <c r="I163" s="800"/>
      <c r="J163" s="800"/>
      <c r="K163" s="800"/>
    </row>
    <row r="164" spans="1:11">
      <c r="A164" s="800"/>
      <c r="B164" s="800"/>
      <c r="C164" s="800"/>
      <c r="D164" s="800"/>
      <c r="E164" s="800"/>
      <c r="F164" s="800"/>
      <c r="G164" s="800"/>
      <c r="H164" s="800"/>
      <c r="I164" s="800"/>
      <c r="J164" s="800"/>
      <c r="K164" s="800"/>
    </row>
    <row r="165" spans="1:11">
      <c r="A165" s="800"/>
      <c r="B165" s="800"/>
      <c r="C165" s="800"/>
      <c r="D165" s="800"/>
      <c r="E165" s="800"/>
      <c r="F165" s="800"/>
      <c r="G165" s="800"/>
      <c r="H165" s="800"/>
      <c r="I165" s="800"/>
      <c r="J165" s="800"/>
      <c r="K165" s="800"/>
    </row>
    <row r="166" spans="1:11">
      <c r="A166" s="800"/>
      <c r="B166" s="800"/>
      <c r="C166" s="800"/>
      <c r="D166" s="800"/>
      <c r="E166" s="800"/>
      <c r="F166" s="800"/>
      <c r="G166" s="800"/>
      <c r="H166" s="800"/>
      <c r="I166" s="800"/>
      <c r="J166" s="800"/>
      <c r="K166" s="800"/>
    </row>
    <row r="167" spans="1:11">
      <c r="A167" s="800"/>
      <c r="B167" s="800"/>
      <c r="C167" s="800"/>
      <c r="D167" s="800"/>
      <c r="E167" s="800"/>
      <c r="F167" s="800"/>
      <c r="G167" s="800"/>
      <c r="H167" s="800"/>
      <c r="I167" s="800"/>
      <c r="J167" s="800"/>
      <c r="K167" s="800"/>
    </row>
    <row r="168" spans="1:11">
      <c r="A168" s="800"/>
      <c r="B168" s="800"/>
      <c r="C168" s="800"/>
      <c r="D168" s="800"/>
      <c r="E168" s="800"/>
      <c r="F168" s="800"/>
      <c r="G168" s="800"/>
      <c r="H168" s="800"/>
      <c r="I168" s="800"/>
      <c r="J168" s="800"/>
      <c r="K168" s="800"/>
    </row>
    <row r="169" spans="1:11">
      <c r="A169" s="800"/>
      <c r="B169" s="800"/>
      <c r="C169" s="800"/>
      <c r="D169" s="800"/>
      <c r="E169" s="800"/>
      <c r="F169" s="800"/>
      <c r="G169" s="800"/>
      <c r="H169" s="800"/>
      <c r="I169" s="800"/>
      <c r="J169" s="800"/>
      <c r="K169" s="800"/>
    </row>
    <row r="170" spans="1:11">
      <c r="A170" s="800"/>
      <c r="B170" s="800"/>
      <c r="C170" s="800"/>
      <c r="D170" s="800"/>
      <c r="E170" s="800"/>
      <c r="F170" s="800"/>
      <c r="G170" s="800"/>
      <c r="H170" s="800"/>
      <c r="I170" s="800"/>
      <c r="J170" s="800"/>
      <c r="K170" s="800"/>
    </row>
    <row r="171" spans="1:11">
      <c r="A171" s="800"/>
      <c r="B171" s="800"/>
      <c r="C171" s="800"/>
      <c r="D171" s="800"/>
      <c r="E171" s="800"/>
      <c r="F171" s="800"/>
      <c r="G171" s="800"/>
      <c r="H171" s="800"/>
      <c r="I171" s="800"/>
      <c r="J171" s="800"/>
      <c r="K171" s="800"/>
    </row>
    <row r="172" spans="1:11">
      <c r="A172" s="800"/>
      <c r="B172" s="800"/>
      <c r="C172" s="800"/>
      <c r="D172" s="800"/>
      <c r="E172" s="800"/>
      <c r="F172" s="800"/>
      <c r="G172" s="800"/>
      <c r="H172" s="800"/>
      <c r="I172" s="800"/>
      <c r="J172" s="800"/>
      <c r="K172" s="800"/>
    </row>
    <row r="173" spans="1:11">
      <c r="A173" s="800"/>
      <c r="B173" s="800"/>
      <c r="C173" s="800"/>
      <c r="D173" s="800"/>
      <c r="E173" s="800"/>
      <c r="F173" s="800"/>
      <c r="G173" s="800"/>
      <c r="H173" s="800"/>
      <c r="I173" s="800"/>
      <c r="J173" s="800"/>
      <c r="K173" s="800"/>
    </row>
    <row r="174" spans="1:11">
      <c r="A174" s="800"/>
      <c r="B174" s="800"/>
      <c r="C174" s="800"/>
      <c r="D174" s="800"/>
      <c r="E174" s="800"/>
      <c r="F174" s="800"/>
      <c r="G174" s="800"/>
      <c r="H174" s="800"/>
      <c r="I174" s="800"/>
      <c r="J174" s="800"/>
      <c r="K174" s="800"/>
    </row>
    <row r="175" spans="1:11">
      <c r="A175" s="800"/>
      <c r="B175" s="800"/>
      <c r="C175" s="800"/>
      <c r="D175" s="800"/>
      <c r="E175" s="800"/>
      <c r="F175" s="800"/>
      <c r="G175" s="800"/>
      <c r="H175" s="800"/>
      <c r="I175" s="800"/>
      <c r="J175" s="800"/>
      <c r="K175" s="800"/>
    </row>
    <row r="176" spans="1:11">
      <c r="A176" s="800"/>
      <c r="B176" s="800"/>
      <c r="C176" s="800"/>
      <c r="D176" s="800"/>
      <c r="E176" s="800"/>
      <c r="F176" s="800"/>
      <c r="G176" s="800"/>
      <c r="H176" s="800"/>
      <c r="I176" s="800"/>
      <c r="J176" s="800"/>
      <c r="K176" s="800"/>
    </row>
    <row r="177" spans="1:11">
      <c r="A177" s="800"/>
      <c r="B177" s="800"/>
      <c r="C177" s="800"/>
      <c r="D177" s="800"/>
      <c r="E177" s="800"/>
      <c r="F177" s="800"/>
      <c r="G177" s="800"/>
      <c r="H177" s="800"/>
      <c r="I177" s="800"/>
      <c r="J177" s="800"/>
      <c r="K177" s="800"/>
    </row>
    <row r="178" spans="1:11">
      <c r="A178" s="800"/>
      <c r="B178" s="800"/>
      <c r="C178" s="800"/>
      <c r="D178" s="800"/>
      <c r="E178" s="800"/>
      <c r="F178" s="800"/>
      <c r="G178" s="800"/>
      <c r="H178" s="800"/>
      <c r="I178" s="800"/>
      <c r="J178" s="800"/>
      <c r="K178" s="800"/>
    </row>
    <row r="179" spans="1:11">
      <c r="A179" s="800"/>
      <c r="B179" s="800"/>
      <c r="C179" s="800"/>
      <c r="D179" s="800"/>
      <c r="E179" s="800"/>
      <c r="F179" s="800"/>
      <c r="G179" s="800"/>
      <c r="H179" s="800"/>
      <c r="I179" s="800"/>
      <c r="J179" s="800"/>
      <c r="K179" s="800"/>
    </row>
    <row r="180" spans="1:11">
      <c r="A180" s="800"/>
      <c r="B180" s="800"/>
      <c r="C180" s="800"/>
      <c r="D180" s="800"/>
      <c r="E180" s="800"/>
      <c r="F180" s="800"/>
      <c r="G180" s="800"/>
      <c r="H180" s="800"/>
      <c r="I180" s="800"/>
      <c r="J180" s="800"/>
      <c r="K180" s="800"/>
    </row>
    <row r="181" spans="1:11">
      <c r="A181" s="800"/>
      <c r="B181" s="800"/>
      <c r="C181" s="800"/>
      <c r="D181" s="800"/>
      <c r="E181" s="800"/>
      <c r="F181" s="800"/>
      <c r="G181" s="800"/>
      <c r="H181" s="800"/>
      <c r="I181" s="800"/>
      <c r="J181" s="800"/>
      <c r="K181" s="800"/>
    </row>
    <row r="182" spans="1:11">
      <c r="A182" s="800"/>
      <c r="B182" s="800"/>
      <c r="C182" s="800"/>
      <c r="D182" s="800"/>
      <c r="E182" s="800"/>
      <c r="F182" s="800"/>
      <c r="G182" s="800"/>
      <c r="H182" s="800"/>
      <c r="I182" s="800"/>
      <c r="J182" s="800"/>
      <c r="K182" s="800"/>
    </row>
    <row r="183" spans="1:11">
      <c r="A183" s="800"/>
      <c r="B183" s="800"/>
      <c r="C183" s="800"/>
      <c r="D183" s="800"/>
      <c r="E183" s="800"/>
      <c r="F183" s="800"/>
      <c r="G183" s="800"/>
      <c r="H183" s="800"/>
      <c r="I183" s="800"/>
      <c r="J183" s="800"/>
      <c r="K183" s="800"/>
    </row>
    <row r="184" spans="1:11">
      <c r="A184" s="800"/>
      <c r="B184" s="800"/>
      <c r="C184" s="800"/>
      <c r="D184" s="800"/>
      <c r="E184" s="800"/>
      <c r="F184" s="800"/>
      <c r="G184" s="800"/>
      <c r="H184" s="800"/>
      <c r="I184" s="800"/>
      <c r="J184" s="800"/>
      <c r="K184" s="800"/>
    </row>
    <row r="185" spans="1:11">
      <c r="A185" s="800"/>
      <c r="B185" s="800"/>
      <c r="C185" s="800"/>
      <c r="D185" s="800"/>
      <c r="E185" s="800"/>
      <c r="F185" s="800"/>
      <c r="G185" s="800"/>
      <c r="H185" s="800"/>
      <c r="I185" s="800"/>
      <c r="J185" s="800"/>
      <c r="K185" s="800"/>
    </row>
    <row r="186" spans="1:11">
      <c r="A186" s="800"/>
      <c r="B186" s="800"/>
      <c r="C186" s="800"/>
      <c r="D186" s="800"/>
      <c r="E186" s="800"/>
      <c r="F186" s="800"/>
      <c r="G186" s="800"/>
      <c r="H186" s="800"/>
      <c r="I186" s="800"/>
      <c r="J186" s="800"/>
      <c r="K186" s="800"/>
    </row>
    <row r="187" spans="1:11">
      <c r="A187" s="800"/>
      <c r="B187" s="800"/>
      <c r="C187" s="800"/>
      <c r="D187" s="800"/>
      <c r="E187" s="800"/>
      <c r="F187" s="800"/>
      <c r="G187" s="800"/>
      <c r="H187" s="800"/>
      <c r="I187" s="800"/>
      <c r="J187" s="800"/>
      <c r="K187" s="800"/>
    </row>
    <row r="188" spans="1:11">
      <c r="A188" s="800"/>
      <c r="B188" s="800"/>
      <c r="C188" s="800"/>
      <c r="D188" s="800"/>
      <c r="E188" s="800"/>
      <c r="F188" s="800"/>
      <c r="G188" s="800"/>
      <c r="H188" s="800"/>
      <c r="I188" s="800"/>
      <c r="J188" s="800"/>
      <c r="K188" s="800"/>
    </row>
    <row r="189" spans="1:11">
      <c r="A189" s="800"/>
      <c r="B189" s="800"/>
      <c r="C189" s="800"/>
      <c r="D189" s="800"/>
      <c r="E189" s="800"/>
      <c r="F189" s="800"/>
      <c r="G189" s="800"/>
      <c r="H189" s="800"/>
      <c r="I189" s="800"/>
      <c r="J189" s="800"/>
      <c r="K189" s="800"/>
    </row>
    <row r="190" spans="1:11">
      <c r="A190" s="800"/>
      <c r="B190" s="800"/>
      <c r="C190" s="800"/>
      <c r="D190" s="800"/>
      <c r="E190" s="800"/>
      <c r="F190" s="800"/>
      <c r="G190" s="800"/>
      <c r="H190" s="800"/>
      <c r="I190" s="800"/>
      <c r="J190" s="800"/>
      <c r="K190" s="800"/>
    </row>
    <row r="191" spans="1:11">
      <c r="A191" s="800"/>
      <c r="B191" s="800"/>
      <c r="C191" s="800"/>
      <c r="D191" s="800"/>
      <c r="E191" s="800"/>
      <c r="F191" s="800"/>
      <c r="G191" s="800"/>
      <c r="H191" s="800"/>
      <c r="I191" s="800"/>
      <c r="J191" s="800"/>
      <c r="K191" s="800"/>
    </row>
    <row r="192" spans="1:11">
      <c r="A192" s="800"/>
      <c r="B192" s="800"/>
      <c r="C192" s="800"/>
      <c r="D192" s="800"/>
      <c r="E192" s="800"/>
      <c r="F192" s="800"/>
      <c r="G192" s="800"/>
      <c r="H192" s="800"/>
      <c r="I192" s="800"/>
      <c r="J192" s="800"/>
      <c r="K192" s="800"/>
    </row>
    <row r="193" spans="1:11">
      <c r="A193" s="800"/>
      <c r="B193" s="800"/>
      <c r="C193" s="800"/>
      <c r="D193" s="800"/>
      <c r="E193" s="800"/>
      <c r="F193" s="800"/>
      <c r="G193" s="800"/>
      <c r="H193" s="800"/>
      <c r="I193" s="800"/>
      <c r="J193" s="800"/>
      <c r="K193" s="800"/>
    </row>
    <row r="194" spans="1:11">
      <c r="A194" s="800"/>
      <c r="B194" s="800"/>
      <c r="C194" s="800"/>
      <c r="D194" s="800"/>
      <c r="E194" s="800"/>
      <c r="F194" s="800"/>
      <c r="G194" s="800"/>
      <c r="H194" s="800"/>
      <c r="I194" s="800"/>
      <c r="J194" s="800"/>
      <c r="K194" s="800"/>
    </row>
    <row r="195" spans="1:11">
      <c r="A195" s="800"/>
      <c r="B195" s="800"/>
      <c r="C195" s="800"/>
      <c r="D195" s="800"/>
      <c r="E195" s="800"/>
      <c r="F195" s="800"/>
      <c r="G195" s="800"/>
      <c r="H195" s="800"/>
      <c r="I195" s="800"/>
      <c r="J195" s="800"/>
      <c r="K195" s="800"/>
    </row>
    <row r="196" spans="1:11">
      <c r="A196" s="800"/>
      <c r="B196" s="800"/>
      <c r="C196" s="800"/>
      <c r="D196" s="800"/>
      <c r="E196" s="800"/>
      <c r="F196" s="800"/>
      <c r="G196" s="800"/>
      <c r="H196" s="800"/>
      <c r="I196" s="800"/>
      <c r="J196" s="800"/>
      <c r="K196" s="800"/>
    </row>
    <row r="197" spans="1:11">
      <c r="A197" s="800"/>
      <c r="B197" s="800"/>
      <c r="C197" s="800"/>
      <c r="D197" s="800"/>
      <c r="E197" s="800"/>
      <c r="F197" s="800"/>
      <c r="G197" s="800"/>
      <c r="H197" s="800"/>
      <c r="I197" s="800"/>
      <c r="J197" s="800"/>
      <c r="K197" s="800"/>
    </row>
    <row r="198" spans="1:11">
      <c r="A198" s="800"/>
      <c r="B198" s="800"/>
      <c r="C198" s="800"/>
      <c r="D198" s="800"/>
      <c r="E198" s="800"/>
      <c r="F198" s="800"/>
      <c r="G198" s="800"/>
      <c r="H198" s="800"/>
      <c r="I198" s="800"/>
      <c r="J198" s="800"/>
      <c r="K198" s="800"/>
    </row>
    <row r="199" spans="1:11">
      <c r="A199" s="800"/>
      <c r="B199" s="800"/>
      <c r="C199" s="800"/>
      <c r="D199" s="800"/>
      <c r="E199" s="800"/>
      <c r="F199" s="800"/>
      <c r="G199" s="800"/>
      <c r="H199" s="800"/>
      <c r="I199" s="800"/>
      <c r="J199" s="800"/>
      <c r="K199" s="800"/>
    </row>
    <row r="200" spans="1:11">
      <c r="A200" s="800"/>
      <c r="B200" s="800"/>
      <c r="C200" s="800"/>
      <c r="D200" s="800"/>
      <c r="E200" s="800"/>
      <c r="F200" s="800"/>
      <c r="G200" s="800"/>
      <c r="H200" s="800"/>
      <c r="I200" s="800"/>
      <c r="J200" s="800"/>
      <c r="K200" s="800"/>
    </row>
    <row r="201" spans="1:11">
      <c r="A201" s="800"/>
      <c r="B201" s="800"/>
      <c r="C201" s="800"/>
      <c r="D201" s="800"/>
      <c r="E201" s="800"/>
      <c r="F201" s="800"/>
      <c r="G201" s="800"/>
      <c r="H201" s="800"/>
      <c r="I201" s="800"/>
      <c r="J201" s="800"/>
      <c r="K201" s="800"/>
    </row>
    <row r="202" spans="1:11">
      <c r="A202" s="800"/>
      <c r="B202" s="800"/>
      <c r="C202" s="800"/>
      <c r="D202" s="800"/>
      <c r="E202" s="800"/>
      <c r="F202" s="800"/>
      <c r="G202" s="800"/>
      <c r="H202" s="800"/>
      <c r="I202" s="800"/>
      <c r="J202" s="800"/>
      <c r="K202" s="800"/>
    </row>
    <row r="203" spans="1:11">
      <c r="A203" s="800"/>
      <c r="B203" s="800"/>
      <c r="C203" s="800"/>
      <c r="D203" s="800"/>
      <c r="E203" s="800"/>
      <c r="F203" s="800"/>
      <c r="G203" s="800"/>
      <c r="H203" s="800"/>
      <c r="I203" s="800"/>
      <c r="J203" s="800"/>
      <c r="K203" s="800"/>
    </row>
    <row r="204" spans="1:11">
      <c r="A204" s="800"/>
      <c r="B204" s="800"/>
      <c r="C204" s="800"/>
      <c r="D204" s="800"/>
      <c r="E204" s="800"/>
      <c r="F204" s="800"/>
      <c r="G204" s="800"/>
      <c r="H204" s="800"/>
      <c r="I204" s="800"/>
      <c r="J204" s="800"/>
      <c r="K204" s="800"/>
    </row>
    <row r="205" spans="1:11">
      <c r="A205" s="800"/>
      <c r="B205" s="800"/>
      <c r="C205" s="800"/>
      <c r="D205" s="800"/>
      <c r="E205" s="800"/>
      <c r="F205" s="800"/>
      <c r="G205" s="800"/>
      <c r="H205" s="800"/>
      <c r="I205" s="800"/>
      <c r="J205" s="800"/>
      <c r="K205" s="800"/>
    </row>
    <row r="206" spans="1:11">
      <c r="A206" s="800"/>
      <c r="B206" s="800"/>
      <c r="C206" s="800"/>
      <c r="D206" s="800"/>
      <c r="E206" s="800"/>
      <c r="F206" s="800"/>
      <c r="G206" s="800"/>
      <c r="H206" s="800"/>
      <c r="I206" s="800"/>
      <c r="J206" s="800"/>
      <c r="K206" s="800"/>
    </row>
    <row r="207" spans="1:11">
      <c r="A207" s="800"/>
      <c r="B207" s="800"/>
      <c r="C207" s="800"/>
      <c r="D207" s="800"/>
      <c r="E207" s="800"/>
      <c r="F207" s="800"/>
      <c r="G207" s="800"/>
      <c r="H207" s="800"/>
      <c r="I207" s="800"/>
      <c r="J207" s="800"/>
      <c r="K207" s="800"/>
    </row>
    <row r="208" spans="1:11">
      <c r="A208" s="800"/>
      <c r="B208" s="800"/>
      <c r="C208" s="800"/>
      <c r="D208" s="800"/>
      <c r="E208" s="800"/>
      <c r="F208" s="800"/>
      <c r="G208" s="800"/>
      <c r="H208" s="800"/>
      <c r="I208" s="800"/>
      <c r="J208" s="800"/>
      <c r="K208" s="800"/>
    </row>
    <row r="209" spans="1:11">
      <c r="A209" s="800"/>
      <c r="B209" s="800"/>
      <c r="C209" s="800"/>
      <c r="D209" s="800"/>
      <c r="E209" s="800"/>
      <c r="F209" s="800"/>
      <c r="G209" s="800"/>
      <c r="H209" s="800"/>
      <c r="I209" s="800"/>
      <c r="J209" s="800"/>
      <c r="K209" s="800"/>
    </row>
    <row r="210" spans="1:11">
      <c r="A210" s="800"/>
      <c r="B210" s="800"/>
      <c r="C210" s="800"/>
      <c r="D210" s="800"/>
      <c r="E210" s="800"/>
      <c r="F210" s="800"/>
      <c r="G210" s="800"/>
      <c r="H210" s="800"/>
      <c r="I210" s="800"/>
      <c r="J210" s="800"/>
      <c r="K210" s="800"/>
    </row>
    <row r="211" spans="1:11">
      <c r="A211" s="800"/>
      <c r="B211" s="800"/>
      <c r="C211" s="800"/>
      <c r="D211" s="800"/>
      <c r="E211" s="800"/>
      <c r="F211" s="800"/>
      <c r="G211" s="800"/>
      <c r="H211" s="800"/>
      <c r="I211" s="800"/>
      <c r="J211" s="800"/>
      <c r="K211" s="800"/>
    </row>
    <row r="212" spans="1:11">
      <c r="A212" s="800"/>
      <c r="B212" s="800"/>
      <c r="C212" s="800"/>
      <c r="D212" s="800"/>
      <c r="E212" s="800"/>
      <c r="F212" s="800"/>
      <c r="G212" s="800"/>
      <c r="H212" s="800"/>
      <c r="I212" s="800"/>
      <c r="J212" s="800"/>
      <c r="K212" s="800"/>
    </row>
    <row r="213" spans="1:11">
      <c r="A213" s="800"/>
      <c r="B213" s="800"/>
      <c r="C213" s="800"/>
      <c r="D213" s="800"/>
      <c r="E213" s="800"/>
      <c r="F213" s="800"/>
      <c r="G213" s="800"/>
      <c r="H213" s="800"/>
      <c r="I213" s="800"/>
      <c r="J213" s="800"/>
      <c r="K213" s="800"/>
    </row>
    <row r="214" spans="1:11">
      <c r="A214" s="800"/>
      <c r="B214" s="800"/>
      <c r="C214" s="800"/>
      <c r="D214" s="800"/>
      <c r="E214" s="800"/>
      <c r="F214" s="800"/>
      <c r="G214" s="800"/>
      <c r="H214" s="800"/>
      <c r="I214" s="800"/>
      <c r="J214" s="800"/>
      <c r="K214" s="800"/>
    </row>
    <row r="215" spans="1:11">
      <c r="A215" s="800"/>
      <c r="B215" s="800"/>
      <c r="C215" s="800"/>
      <c r="D215" s="800"/>
      <c r="E215" s="800"/>
      <c r="F215" s="800"/>
      <c r="G215" s="800"/>
      <c r="H215" s="800"/>
      <c r="I215" s="800"/>
      <c r="J215" s="800"/>
      <c r="K215" s="800"/>
    </row>
    <row r="216" spans="1:11">
      <c r="A216" s="800"/>
      <c r="B216" s="800"/>
      <c r="C216" s="800"/>
      <c r="D216" s="800"/>
      <c r="E216" s="800"/>
      <c r="F216" s="800"/>
      <c r="G216" s="800"/>
      <c r="H216" s="800"/>
      <c r="I216" s="800"/>
      <c r="J216" s="800"/>
      <c r="K216" s="800"/>
    </row>
    <row r="217" spans="1:11">
      <c r="A217" s="800"/>
      <c r="B217" s="800"/>
      <c r="C217" s="800"/>
      <c r="D217" s="800"/>
      <c r="E217" s="800"/>
      <c r="F217" s="800"/>
      <c r="G217" s="800"/>
      <c r="H217" s="800"/>
      <c r="I217" s="800"/>
      <c r="J217" s="800"/>
      <c r="K217" s="800"/>
    </row>
    <row r="218" spans="1:11">
      <c r="A218" s="800"/>
      <c r="B218" s="800"/>
      <c r="C218" s="800"/>
      <c r="D218" s="800"/>
      <c r="E218" s="800"/>
      <c r="F218" s="800"/>
      <c r="G218" s="800"/>
      <c r="H218" s="800"/>
      <c r="I218" s="800"/>
      <c r="J218" s="800"/>
      <c r="K218" s="800"/>
    </row>
    <row r="219" spans="1:11">
      <c r="A219" s="800"/>
      <c r="B219" s="800"/>
      <c r="C219" s="800"/>
      <c r="D219" s="800"/>
      <c r="E219" s="800"/>
      <c r="F219" s="800"/>
      <c r="G219" s="800"/>
      <c r="H219" s="800"/>
      <c r="I219" s="800"/>
      <c r="J219" s="800"/>
      <c r="K219" s="800"/>
    </row>
    <row r="220" spans="1:11">
      <c r="A220" s="800"/>
      <c r="B220" s="800"/>
      <c r="C220" s="800"/>
      <c r="D220" s="800"/>
      <c r="E220" s="800"/>
      <c r="F220" s="800"/>
      <c r="G220" s="800"/>
      <c r="H220" s="800"/>
      <c r="I220" s="800"/>
      <c r="J220" s="800"/>
      <c r="K220" s="800"/>
    </row>
    <row r="221" spans="1:11">
      <c r="A221" s="800"/>
      <c r="B221" s="800"/>
      <c r="C221" s="800"/>
      <c r="D221" s="800"/>
      <c r="E221" s="800"/>
      <c r="F221" s="800"/>
      <c r="G221" s="800"/>
      <c r="H221" s="800"/>
      <c r="I221" s="800"/>
      <c r="J221" s="800"/>
      <c r="K221" s="800"/>
    </row>
    <row r="222" spans="1:11">
      <c r="A222" s="800"/>
      <c r="B222" s="800"/>
      <c r="C222" s="800"/>
      <c r="D222" s="800"/>
      <c r="E222" s="800"/>
      <c r="F222" s="800"/>
      <c r="G222" s="800"/>
      <c r="H222" s="800"/>
      <c r="I222" s="800"/>
      <c r="J222" s="800"/>
      <c r="K222" s="800"/>
    </row>
    <row r="223" spans="1:11">
      <c r="A223" s="800"/>
      <c r="B223" s="800"/>
      <c r="C223" s="800"/>
      <c r="D223" s="800"/>
      <c r="E223" s="800"/>
      <c r="F223" s="800"/>
      <c r="G223" s="800"/>
      <c r="H223" s="800"/>
      <c r="I223" s="800"/>
      <c r="J223" s="800"/>
      <c r="K223" s="800"/>
    </row>
    <row r="224" spans="1:11">
      <c r="A224" s="800"/>
      <c r="B224" s="800"/>
      <c r="C224" s="800"/>
      <c r="D224" s="800"/>
      <c r="E224" s="800"/>
      <c r="F224" s="800"/>
      <c r="G224" s="800"/>
      <c r="H224" s="800"/>
      <c r="I224" s="800"/>
      <c r="J224" s="800"/>
      <c r="K224" s="800"/>
    </row>
    <row r="225" spans="1:11">
      <c r="A225" s="800"/>
      <c r="B225" s="800"/>
      <c r="C225" s="800"/>
      <c r="D225" s="800"/>
      <c r="E225" s="800"/>
      <c r="F225" s="800"/>
      <c r="G225" s="800"/>
      <c r="H225" s="800"/>
      <c r="I225" s="800"/>
      <c r="J225" s="800"/>
      <c r="K225" s="800"/>
    </row>
    <row r="226" spans="1:11">
      <c r="A226" s="800"/>
      <c r="B226" s="800"/>
      <c r="C226" s="800"/>
      <c r="D226" s="800"/>
      <c r="E226" s="800"/>
      <c r="F226" s="800"/>
      <c r="G226" s="800"/>
      <c r="H226" s="800"/>
      <c r="I226" s="800"/>
      <c r="J226" s="800"/>
      <c r="K226" s="800"/>
    </row>
    <row r="227" spans="1:11">
      <c r="A227" s="800"/>
      <c r="B227" s="800"/>
      <c r="C227" s="800"/>
      <c r="D227" s="800"/>
      <c r="E227" s="800"/>
      <c r="F227" s="800"/>
      <c r="G227" s="800"/>
      <c r="H227" s="800"/>
      <c r="I227" s="800"/>
      <c r="J227" s="800"/>
      <c r="K227" s="800"/>
    </row>
    <row r="228" spans="1:11">
      <c r="A228" s="800"/>
      <c r="B228" s="800"/>
      <c r="C228" s="800"/>
      <c r="D228" s="800"/>
      <c r="E228" s="800"/>
      <c r="F228" s="800"/>
      <c r="G228" s="800"/>
      <c r="H228" s="800"/>
      <c r="I228" s="800"/>
      <c r="J228" s="800"/>
      <c r="K228" s="800"/>
    </row>
    <row r="229" spans="1:11">
      <c r="A229" s="800"/>
      <c r="B229" s="800"/>
      <c r="C229" s="800"/>
      <c r="D229" s="800"/>
      <c r="E229" s="800"/>
      <c r="F229" s="800"/>
      <c r="G229" s="800"/>
      <c r="H229" s="800"/>
      <c r="I229" s="800"/>
      <c r="J229" s="800"/>
      <c r="K229" s="800"/>
    </row>
    <row r="230" spans="1:11">
      <c r="A230" s="800"/>
      <c r="B230" s="800"/>
      <c r="C230" s="800"/>
      <c r="D230" s="800"/>
      <c r="E230" s="800"/>
      <c r="F230" s="800"/>
      <c r="G230" s="800"/>
      <c r="H230" s="800"/>
      <c r="I230" s="800"/>
      <c r="J230" s="800"/>
      <c r="K230" s="800"/>
    </row>
    <row r="231" spans="1:11">
      <c r="A231" s="800"/>
      <c r="B231" s="800"/>
      <c r="C231" s="800"/>
      <c r="D231" s="800"/>
      <c r="E231" s="800"/>
      <c r="F231" s="800"/>
      <c r="G231" s="800"/>
      <c r="H231" s="800"/>
      <c r="I231" s="800"/>
      <c r="J231" s="800"/>
      <c r="K231" s="800"/>
    </row>
    <row r="232" spans="1:11">
      <c r="A232" s="800"/>
      <c r="B232" s="800"/>
      <c r="C232" s="800"/>
      <c r="D232" s="800"/>
      <c r="E232" s="800"/>
      <c r="F232" s="800"/>
      <c r="G232" s="800"/>
      <c r="H232" s="800"/>
      <c r="I232" s="800"/>
      <c r="J232" s="800"/>
      <c r="K232" s="800"/>
    </row>
    <row r="233" spans="1:11">
      <c r="A233" s="800"/>
      <c r="B233" s="800"/>
      <c r="C233" s="800"/>
      <c r="D233" s="800"/>
      <c r="E233" s="800"/>
      <c r="F233" s="800"/>
      <c r="G233" s="800"/>
      <c r="H233" s="800"/>
      <c r="I233" s="800"/>
      <c r="J233" s="800"/>
      <c r="K233" s="800"/>
    </row>
    <row r="234" spans="1:11">
      <c r="A234" s="800"/>
      <c r="B234" s="800"/>
      <c r="C234" s="800"/>
      <c r="D234" s="800"/>
      <c r="E234" s="800"/>
      <c r="F234" s="800"/>
      <c r="G234" s="800"/>
      <c r="H234" s="800"/>
      <c r="I234" s="800"/>
      <c r="J234" s="800"/>
      <c r="K234" s="800"/>
    </row>
    <row r="235" spans="1:11">
      <c r="A235" s="800"/>
      <c r="B235" s="800"/>
      <c r="C235" s="800"/>
      <c r="D235" s="800"/>
      <c r="E235" s="800"/>
      <c r="F235" s="800"/>
      <c r="G235" s="800"/>
      <c r="H235" s="800"/>
      <c r="I235" s="800"/>
      <c r="J235" s="800"/>
      <c r="K235" s="800"/>
    </row>
    <row r="236" spans="1:11">
      <c r="A236" s="800"/>
      <c r="B236" s="800"/>
      <c r="C236" s="800"/>
      <c r="D236" s="800"/>
      <c r="E236" s="800"/>
      <c r="F236" s="800"/>
      <c r="G236" s="800"/>
      <c r="H236" s="800"/>
      <c r="I236" s="800"/>
      <c r="J236" s="800"/>
      <c r="K236" s="800"/>
    </row>
    <row r="237" spans="1:11">
      <c r="A237" s="800"/>
      <c r="B237" s="800"/>
      <c r="C237" s="800"/>
      <c r="D237" s="800"/>
      <c r="E237" s="800"/>
      <c r="F237" s="800"/>
      <c r="G237" s="800"/>
      <c r="H237" s="800"/>
      <c r="I237" s="800"/>
      <c r="J237" s="800"/>
      <c r="K237" s="800"/>
    </row>
    <row r="238" spans="1:11">
      <c r="A238" s="800"/>
      <c r="B238" s="800"/>
      <c r="C238" s="800"/>
      <c r="D238" s="800"/>
      <c r="E238" s="800"/>
      <c r="F238" s="800"/>
      <c r="G238" s="800"/>
      <c r="H238" s="800"/>
      <c r="I238" s="800"/>
      <c r="J238" s="800"/>
      <c r="K238" s="800"/>
    </row>
    <row r="239" spans="1:11">
      <c r="A239" s="800"/>
      <c r="B239" s="800"/>
      <c r="C239" s="800"/>
      <c r="D239" s="800"/>
      <c r="E239" s="800"/>
      <c r="F239" s="800"/>
      <c r="G239" s="800"/>
      <c r="H239" s="800"/>
      <c r="I239" s="800"/>
      <c r="J239" s="800"/>
      <c r="K239" s="800"/>
    </row>
    <row r="240" spans="1:11">
      <c r="A240" s="800"/>
      <c r="B240" s="800"/>
      <c r="C240" s="800"/>
      <c r="D240" s="800"/>
      <c r="E240" s="800"/>
      <c r="F240" s="800"/>
      <c r="G240" s="800"/>
      <c r="H240" s="800"/>
      <c r="I240" s="800"/>
      <c r="J240" s="800"/>
      <c r="K240" s="800"/>
    </row>
    <row r="241" spans="1:11">
      <c r="A241" s="800"/>
      <c r="B241" s="800"/>
      <c r="C241" s="800"/>
      <c r="D241" s="800"/>
      <c r="E241" s="800"/>
      <c r="F241" s="800"/>
      <c r="G241" s="800"/>
      <c r="H241" s="800"/>
      <c r="I241" s="800"/>
      <c r="J241" s="800"/>
      <c r="K241" s="800"/>
    </row>
    <row r="242" spans="1:11">
      <c r="A242" s="800"/>
      <c r="B242" s="800"/>
      <c r="C242" s="800"/>
      <c r="D242" s="800"/>
      <c r="E242" s="800"/>
      <c r="F242" s="800"/>
      <c r="G242" s="800"/>
      <c r="H242" s="800"/>
      <c r="I242" s="800"/>
      <c r="J242" s="800"/>
      <c r="K242" s="800"/>
    </row>
    <row r="243" spans="1:11">
      <c r="A243" s="800"/>
      <c r="B243" s="800"/>
      <c r="C243" s="800"/>
      <c r="D243" s="800"/>
      <c r="E243" s="800"/>
      <c r="F243" s="800"/>
      <c r="G243" s="800"/>
      <c r="H243" s="800"/>
      <c r="I243" s="800"/>
      <c r="J243" s="800"/>
      <c r="K243" s="800"/>
    </row>
    <row r="244" spans="1:11">
      <c r="A244" s="800"/>
      <c r="B244" s="800"/>
      <c r="C244" s="800"/>
      <c r="D244" s="800"/>
      <c r="E244" s="800"/>
      <c r="F244" s="800"/>
      <c r="G244" s="800"/>
      <c r="H244" s="800"/>
      <c r="I244" s="800"/>
      <c r="J244" s="800"/>
      <c r="K244" s="800"/>
    </row>
    <row r="245" spans="1:11">
      <c r="A245" s="800"/>
      <c r="B245" s="800"/>
      <c r="C245" s="800"/>
      <c r="D245" s="800"/>
      <c r="E245" s="800"/>
      <c r="F245" s="800"/>
      <c r="G245" s="800"/>
      <c r="H245" s="800"/>
      <c r="I245" s="800"/>
      <c r="J245" s="800"/>
      <c r="K245" s="800"/>
    </row>
    <row r="246" spans="1:11">
      <c r="A246" s="800"/>
      <c r="B246" s="800"/>
      <c r="C246" s="800"/>
      <c r="D246" s="800"/>
      <c r="E246" s="800"/>
      <c r="F246" s="800"/>
      <c r="G246" s="800"/>
      <c r="H246" s="800"/>
      <c r="I246" s="800"/>
      <c r="J246" s="800"/>
      <c r="K246" s="800"/>
    </row>
    <row r="247" spans="1:11">
      <c r="A247" s="800"/>
      <c r="B247" s="800"/>
      <c r="C247" s="800"/>
      <c r="D247" s="800"/>
      <c r="E247" s="800"/>
      <c r="F247" s="800"/>
      <c r="G247" s="800"/>
      <c r="H247" s="800"/>
      <c r="I247" s="800"/>
      <c r="J247" s="800"/>
      <c r="K247" s="800"/>
    </row>
    <row r="248" spans="1:11">
      <c r="A248" s="800"/>
      <c r="B248" s="800"/>
      <c r="C248" s="800"/>
      <c r="D248" s="800"/>
      <c r="E248" s="800"/>
      <c r="F248" s="800"/>
      <c r="G248" s="800"/>
      <c r="H248" s="800"/>
      <c r="I248" s="800"/>
      <c r="J248" s="800"/>
      <c r="K248" s="800"/>
    </row>
    <row r="249" spans="1:11">
      <c r="A249" s="800"/>
      <c r="B249" s="800"/>
      <c r="C249" s="800"/>
      <c r="D249" s="800"/>
      <c r="E249" s="800"/>
      <c r="F249" s="800"/>
      <c r="G249" s="800"/>
      <c r="H249" s="800"/>
      <c r="I249" s="800"/>
      <c r="J249" s="800"/>
      <c r="K249" s="800"/>
    </row>
    <row r="250" spans="1:11">
      <c r="A250" s="800"/>
      <c r="B250" s="800"/>
      <c r="C250" s="800"/>
      <c r="D250" s="800"/>
      <c r="E250" s="800"/>
      <c r="F250" s="800"/>
      <c r="G250" s="800"/>
      <c r="H250" s="800"/>
      <c r="I250" s="800"/>
      <c r="J250" s="800"/>
      <c r="K250" s="800"/>
    </row>
    <row r="251" spans="1:11">
      <c r="A251" s="800"/>
      <c r="B251" s="800"/>
      <c r="C251" s="800"/>
      <c r="D251" s="800"/>
      <c r="E251" s="800"/>
      <c r="F251" s="800"/>
      <c r="G251" s="800"/>
      <c r="H251" s="800"/>
      <c r="I251" s="800"/>
      <c r="J251" s="800"/>
      <c r="K251" s="800"/>
    </row>
    <row r="252" spans="1:11">
      <c r="A252" s="800"/>
      <c r="B252" s="800"/>
      <c r="C252" s="800"/>
      <c r="D252" s="800"/>
      <c r="E252" s="800"/>
      <c r="F252" s="800"/>
      <c r="G252" s="800"/>
      <c r="H252" s="800"/>
      <c r="I252" s="800"/>
      <c r="J252" s="800"/>
      <c r="K252" s="800"/>
    </row>
    <row r="253" spans="1:11">
      <c r="A253" s="800"/>
      <c r="B253" s="800"/>
      <c r="C253" s="800"/>
      <c r="D253" s="800"/>
      <c r="E253" s="800"/>
      <c r="F253" s="800"/>
      <c r="G253" s="800"/>
      <c r="H253" s="800"/>
      <c r="I253" s="800"/>
      <c r="J253" s="800"/>
      <c r="K253" s="800"/>
    </row>
    <row r="254" spans="1:11">
      <c r="A254" s="800"/>
      <c r="B254" s="800"/>
      <c r="C254" s="800"/>
      <c r="D254" s="800"/>
      <c r="E254" s="800"/>
      <c r="F254" s="800"/>
      <c r="G254" s="800"/>
      <c r="H254" s="800"/>
      <c r="I254" s="800"/>
      <c r="J254" s="800"/>
      <c r="K254" s="800"/>
    </row>
    <row r="255" spans="1:11">
      <c r="A255" s="800"/>
      <c r="B255" s="800"/>
      <c r="C255" s="800"/>
      <c r="D255" s="800"/>
      <c r="E255" s="800"/>
      <c r="F255" s="800"/>
      <c r="G255" s="800"/>
      <c r="H255" s="800"/>
      <c r="I255" s="800"/>
      <c r="J255" s="800"/>
      <c r="K255" s="800"/>
    </row>
    <row r="256" spans="1:11">
      <c r="A256" s="800"/>
      <c r="B256" s="800"/>
      <c r="C256" s="800"/>
      <c r="D256" s="800"/>
      <c r="E256" s="800"/>
      <c r="F256" s="800"/>
      <c r="G256" s="800"/>
      <c r="H256" s="800"/>
      <c r="I256" s="800"/>
      <c r="J256" s="800"/>
      <c r="K256" s="800"/>
    </row>
    <row r="257" spans="1:11">
      <c r="A257" s="800"/>
      <c r="B257" s="800"/>
      <c r="C257" s="800"/>
      <c r="D257" s="800"/>
      <c r="E257" s="800"/>
      <c r="F257" s="800"/>
      <c r="G257" s="800"/>
      <c r="H257" s="800"/>
      <c r="I257" s="800"/>
      <c r="J257" s="800"/>
      <c r="K257" s="800"/>
    </row>
    <row r="258" spans="1:11">
      <c r="A258" s="800"/>
      <c r="B258" s="800"/>
      <c r="C258" s="800"/>
      <c r="D258" s="800"/>
      <c r="E258" s="800"/>
      <c r="F258" s="800"/>
      <c r="G258" s="800"/>
      <c r="H258" s="800"/>
      <c r="I258" s="800"/>
      <c r="J258" s="800"/>
      <c r="K258" s="800"/>
    </row>
    <row r="259" spans="1:11">
      <c r="A259" s="800"/>
      <c r="B259" s="800"/>
      <c r="C259" s="800"/>
      <c r="D259" s="800"/>
      <c r="E259" s="800"/>
      <c r="F259" s="800"/>
      <c r="G259" s="800"/>
      <c r="H259" s="800"/>
      <c r="I259" s="800"/>
      <c r="J259" s="800"/>
      <c r="K259" s="800"/>
    </row>
    <row r="260" spans="1:11">
      <c r="A260" s="800"/>
      <c r="B260" s="800"/>
      <c r="C260" s="800"/>
      <c r="D260" s="800"/>
      <c r="E260" s="800"/>
      <c r="F260" s="800"/>
      <c r="G260" s="800"/>
      <c r="H260" s="800"/>
      <c r="I260" s="800"/>
      <c r="J260" s="800"/>
      <c r="K260" s="800"/>
    </row>
    <row r="261" spans="1:11">
      <c r="A261" s="800"/>
      <c r="B261" s="800"/>
      <c r="C261" s="800"/>
      <c r="D261" s="800"/>
      <c r="E261" s="800"/>
      <c r="F261" s="800"/>
      <c r="G261" s="800"/>
      <c r="H261" s="800"/>
      <c r="I261" s="800"/>
      <c r="J261" s="800"/>
      <c r="K261" s="800"/>
    </row>
    <row r="262" spans="1:11">
      <c r="A262" s="800"/>
      <c r="B262" s="800"/>
      <c r="C262" s="800"/>
      <c r="D262" s="800"/>
      <c r="E262" s="800"/>
      <c r="F262" s="800"/>
      <c r="G262" s="800"/>
      <c r="H262" s="800"/>
      <c r="I262" s="800"/>
      <c r="J262" s="800"/>
      <c r="K262" s="800"/>
    </row>
    <row r="263" spans="1:11">
      <c r="A263" s="800"/>
      <c r="B263" s="800"/>
      <c r="C263" s="800"/>
      <c r="D263" s="800"/>
      <c r="E263" s="800"/>
      <c r="F263" s="800"/>
      <c r="G263" s="800"/>
      <c r="H263" s="800"/>
      <c r="I263" s="800"/>
      <c r="J263" s="800"/>
      <c r="K263" s="800"/>
    </row>
    <row r="264" spans="1:11">
      <c r="A264" s="800"/>
      <c r="B264" s="800"/>
      <c r="C264" s="800"/>
      <c r="D264" s="800"/>
      <c r="E264" s="800"/>
      <c r="F264" s="800"/>
      <c r="G264" s="800"/>
      <c r="H264" s="800"/>
      <c r="I264" s="800"/>
      <c r="J264" s="800"/>
      <c r="K264" s="800"/>
    </row>
    <row r="265" spans="1:11">
      <c r="A265" s="800"/>
      <c r="B265" s="800"/>
      <c r="C265" s="800"/>
      <c r="D265" s="800"/>
      <c r="E265" s="800"/>
      <c r="F265" s="800"/>
      <c r="G265" s="800"/>
      <c r="H265" s="800"/>
      <c r="I265" s="800"/>
      <c r="J265" s="800"/>
      <c r="K265" s="800"/>
    </row>
    <row r="266" spans="1:11">
      <c r="A266" s="800"/>
      <c r="B266" s="800"/>
      <c r="C266" s="800"/>
      <c r="D266" s="800"/>
      <c r="E266" s="800"/>
      <c r="F266" s="800"/>
      <c r="G266" s="800"/>
      <c r="H266" s="800"/>
      <c r="I266" s="800"/>
      <c r="J266" s="800"/>
      <c r="K266" s="800"/>
    </row>
    <row r="267" spans="1:11">
      <c r="A267" s="800"/>
      <c r="B267" s="800"/>
      <c r="C267" s="800"/>
      <c r="D267" s="800"/>
      <c r="E267" s="800"/>
      <c r="F267" s="800"/>
      <c r="G267" s="800"/>
      <c r="H267" s="800"/>
      <c r="I267" s="800"/>
      <c r="J267" s="800"/>
      <c r="K267" s="800"/>
    </row>
    <row r="268" spans="1:11">
      <c r="A268" s="800"/>
      <c r="B268" s="800"/>
      <c r="C268" s="800"/>
      <c r="D268" s="800"/>
      <c r="E268" s="800"/>
      <c r="F268" s="800"/>
      <c r="G268" s="800"/>
      <c r="H268" s="800"/>
      <c r="I268" s="800"/>
      <c r="J268" s="800"/>
      <c r="K268" s="800"/>
    </row>
    <row r="269" spans="1:11">
      <c r="A269" s="800"/>
      <c r="B269" s="800"/>
      <c r="C269" s="800"/>
      <c r="D269" s="800"/>
      <c r="E269" s="800"/>
      <c r="F269" s="800"/>
      <c r="G269" s="800"/>
      <c r="H269" s="800"/>
      <c r="I269" s="800"/>
      <c r="J269" s="800"/>
      <c r="K269" s="800"/>
    </row>
    <row r="270" spans="1:11">
      <c r="A270" s="800"/>
      <c r="B270" s="800"/>
      <c r="C270" s="800"/>
      <c r="D270" s="800"/>
      <c r="E270" s="800"/>
      <c r="F270" s="800"/>
      <c r="G270" s="800"/>
      <c r="H270" s="800"/>
      <c r="I270" s="800"/>
      <c r="J270" s="800"/>
      <c r="K270" s="800"/>
    </row>
    <row r="271" spans="1:11">
      <c r="A271" s="800"/>
      <c r="B271" s="800"/>
      <c r="C271" s="800"/>
      <c r="D271" s="800"/>
      <c r="E271" s="800"/>
      <c r="F271" s="800"/>
      <c r="G271" s="800"/>
      <c r="H271" s="800"/>
      <c r="I271" s="800"/>
      <c r="J271" s="800"/>
      <c r="K271" s="800"/>
    </row>
    <row r="272" spans="1:11">
      <c r="A272" s="800"/>
      <c r="B272" s="800"/>
      <c r="C272" s="800"/>
      <c r="D272" s="800"/>
      <c r="E272" s="800"/>
      <c r="F272" s="800"/>
      <c r="G272" s="800"/>
      <c r="H272" s="800"/>
      <c r="I272" s="800"/>
      <c r="J272" s="800"/>
      <c r="K272" s="800"/>
    </row>
    <row r="273" spans="1:11">
      <c r="A273" s="800"/>
      <c r="B273" s="800"/>
      <c r="C273" s="800"/>
      <c r="D273" s="800"/>
      <c r="E273" s="800"/>
      <c r="F273" s="800"/>
      <c r="G273" s="800"/>
      <c r="H273" s="800"/>
      <c r="I273" s="800"/>
      <c r="J273" s="800"/>
      <c r="K273" s="800"/>
    </row>
    <row r="274" spans="1:11">
      <c r="A274" s="800"/>
      <c r="B274" s="800"/>
      <c r="C274" s="800"/>
      <c r="D274" s="800"/>
      <c r="E274" s="800"/>
      <c r="F274" s="800"/>
      <c r="G274" s="800"/>
      <c r="H274" s="800"/>
      <c r="I274" s="800"/>
      <c r="J274" s="800"/>
      <c r="K274" s="800"/>
    </row>
    <row r="275" spans="1:11">
      <c r="A275" s="800"/>
      <c r="B275" s="800"/>
      <c r="C275" s="800"/>
      <c r="D275" s="800"/>
      <c r="E275" s="800"/>
      <c r="F275" s="800"/>
      <c r="G275" s="800"/>
      <c r="H275" s="800"/>
      <c r="I275" s="800"/>
      <c r="J275" s="800"/>
      <c r="K275" s="800"/>
    </row>
    <row r="276" spans="1:11">
      <c r="A276" s="800"/>
      <c r="B276" s="800"/>
      <c r="C276" s="800"/>
      <c r="D276" s="800"/>
      <c r="E276" s="800"/>
      <c r="F276" s="800"/>
      <c r="G276" s="800"/>
      <c r="H276" s="800"/>
      <c r="I276" s="800"/>
      <c r="J276" s="800"/>
      <c r="K276" s="800"/>
    </row>
    <row r="277" spans="1:11">
      <c r="A277" s="800"/>
      <c r="B277" s="800"/>
      <c r="C277" s="800"/>
      <c r="D277" s="800"/>
      <c r="E277" s="800"/>
      <c r="F277" s="800"/>
      <c r="G277" s="800"/>
      <c r="H277" s="800"/>
      <c r="I277" s="800"/>
      <c r="J277" s="800"/>
      <c r="K277" s="800"/>
    </row>
    <row r="278" spans="1:11">
      <c r="A278" s="800"/>
      <c r="B278" s="800"/>
      <c r="C278" s="800"/>
      <c r="D278" s="800"/>
      <c r="E278" s="800"/>
      <c r="F278" s="800"/>
      <c r="G278" s="800"/>
      <c r="H278" s="800"/>
      <c r="I278" s="800"/>
      <c r="J278" s="800"/>
      <c r="K278" s="800"/>
    </row>
    <row r="279" spans="1:11">
      <c r="A279" s="800"/>
      <c r="B279" s="800"/>
      <c r="C279" s="800"/>
      <c r="D279" s="800"/>
      <c r="E279" s="800"/>
      <c r="F279" s="800"/>
      <c r="G279" s="800"/>
      <c r="H279" s="800"/>
      <c r="I279" s="800"/>
      <c r="J279" s="800"/>
      <c r="K279" s="800"/>
    </row>
    <row r="280" spans="1:11">
      <c r="A280" s="800"/>
      <c r="B280" s="800"/>
      <c r="C280" s="800"/>
      <c r="D280" s="800"/>
      <c r="E280" s="800"/>
      <c r="F280" s="800"/>
      <c r="G280" s="800"/>
      <c r="H280" s="800"/>
      <c r="I280" s="800"/>
      <c r="J280" s="800"/>
      <c r="K280" s="800"/>
    </row>
    <row r="281" spans="1:11">
      <c r="A281" s="800"/>
      <c r="B281" s="800"/>
      <c r="C281" s="800"/>
      <c r="D281" s="800"/>
      <c r="E281" s="800"/>
      <c r="F281" s="800"/>
      <c r="G281" s="800"/>
      <c r="H281" s="800"/>
      <c r="I281" s="800"/>
      <c r="J281" s="800"/>
      <c r="K281" s="800"/>
    </row>
    <row r="282" spans="1:11">
      <c r="A282" s="800"/>
      <c r="B282" s="800"/>
      <c r="C282" s="800"/>
      <c r="D282" s="800"/>
      <c r="E282" s="800"/>
      <c r="F282" s="800"/>
      <c r="G282" s="800"/>
      <c r="H282" s="800"/>
      <c r="I282" s="800"/>
      <c r="J282" s="800"/>
      <c r="K282" s="800"/>
    </row>
    <row r="283" spans="1:11">
      <c r="A283" s="800"/>
      <c r="B283" s="800"/>
      <c r="C283" s="800"/>
      <c r="D283" s="800"/>
      <c r="E283" s="800"/>
      <c r="F283" s="800"/>
      <c r="G283" s="800"/>
      <c r="H283" s="800"/>
      <c r="I283" s="800"/>
      <c r="J283" s="800"/>
      <c r="K283" s="800"/>
    </row>
    <row r="284" spans="1:11">
      <c r="A284" s="800"/>
      <c r="B284" s="800"/>
      <c r="C284" s="800"/>
      <c r="D284" s="800"/>
      <c r="E284" s="800"/>
      <c r="F284" s="800"/>
      <c r="G284" s="800"/>
      <c r="H284" s="800"/>
      <c r="I284" s="800"/>
      <c r="J284" s="800"/>
      <c r="K284" s="800"/>
    </row>
    <row r="285" spans="1:11">
      <c r="A285" s="800"/>
      <c r="B285" s="800"/>
      <c r="C285" s="800"/>
      <c r="D285" s="800"/>
      <c r="E285" s="800"/>
      <c r="F285" s="800"/>
      <c r="G285" s="800"/>
      <c r="H285" s="800"/>
      <c r="I285" s="800"/>
      <c r="J285" s="800"/>
      <c r="K285" s="800"/>
    </row>
    <row r="286" spans="1:11">
      <c r="A286" s="800"/>
      <c r="B286" s="800"/>
      <c r="C286" s="800"/>
      <c r="D286" s="800"/>
      <c r="E286" s="800"/>
      <c r="F286" s="800"/>
      <c r="G286" s="800"/>
      <c r="H286" s="800"/>
      <c r="I286" s="800"/>
      <c r="J286" s="800"/>
      <c r="K286" s="800"/>
    </row>
    <row r="287" spans="1:11">
      <c r="A287" s="800"/>
      <c r="B287" s="800"/>
      <c r="C287" s="800"/>
      <c r="D287" s="800"/>
      <c r="E287" s="800"/>
      <c r="F287" s="800"/>
      <c r="G287" s="800"/>
      <c r="H287" s="800"/>
      <c r="I287" s="800"/>
      <c r="J287" s="800"/>
      <c r="K287" s="800"/>
    </row>
    <row r="288" spans="1:11">
      <c r="A288" s="800"/>
      <c r="B288" s="800"/>
      <c r="C288" s="800"/>
      <c r="D288" s="800"/>
      <c r="E288" s="800"/>
      <c r="F288" s="800"/>
      <c r="G288" s="800"/>
      <c r="H288" s="800"/>
      <c r="I288" s="800"/>
      <c r="J288" s="800"/>
      <c r="K288" s="800"/>
    </row>
    <row r="289" spans="1:11">
      <c r="A289" s="800"/>
      <c r="B289" s="800"/>
      <c r="C289" s="800"/>
      <c r="D289" s="800"/>
      <c r="E289" s="800"/>
      <c r="F289" s="800"/>
      <c r="G289" s="800"/>
      <c r="H289" s="800"/>
      <c r="I289" s="800"/>
      <c r="J289" s="800"/>
      <c r="K289" s="800"/>
    </row>
    <row r="290" spans="1:11">
      <c r="A290" s="800"/>
      <c r="B290" s="800"/>
      <c r="C290" s="800"/>
      <c r="D290" s="800"/>
      <c r="E290" s="800"/>
      <c r="F290" s="800"/>
      <c r="G290" s="800"/>
      <c r="H290" s="800"/>
      <c r="I290" s="800"/>
      <c r="J290" s="800"/>
      <c r="K290" s="800"/>
    </row>
    <row r="291" spans="1:11">
      <c r="A291" s="800"/>
      <c r="B291" s="800"/>
      <c r="C291" s="800"/>
      <c r="D291" s="800"/>
      <c r="E291" s="800"/>
      <c r="F291" s="800"/>
      <c r="G291" s="800"/>
      <c r="H291" s="800"/>
      <c r="I291" s="800"/>
      <c r="J291" s="800"/>
      <c r="K291" s="800"/>
    </row>
    <row r="292" spans="1:11">
      <c r="A292" s="800"/>
      <c r="B292" s="800"/>
      <c r="C292" s="800"/>
      <c r="D292" s="800"/>
      <c r="E292" s="800"/>
      <c r="F292" s="800"/>
      <c r="G292" s="800"/>
      <c r="H292" s="800"/>
      <c r="I292" s="800"/>
      <c r="J292" s="800"/>
      <c r="K292" s="800"/>
    </row>
    <row r="293" spans="1:11">
      <c r="A293" s="800"/>
      <c r="B293" s="800"/>
      <c r="C293" s="800"/>
      <c r="D293" s="800"/>
      <c r="E293" s="800"/>
      <c r="F293" s="800"/>
      <c r="G293" s="800"/>
      <c r="H293" s="800"/>
      <c r="I293" s="800"/>
      <c r="J293" s="800"/>
      <c r="K293" s="800"/>
    </row>
    <row r="294" spans="1:11">
      <c r="A294" s="800"/>
      <c r="B294" s="800"/>
      <c r="C294" s="800"/>
      <c r="D294" s="800"/>
      <c r="E294" s="800"/>
      <c r="F294" s="800"/>
      <c r="G294" s="800"/>
      <c r="H294" s="800"/>
      <c r="I294" s="800"/>
      <c r="J294" s="800"/>
      <c r="K294" s="800"/>
    </row>
    <row r="295" spans="1:11">
      <c r="A295" s="800"/>
      <c r="B295" s="800"/>
      <c r="C295" s="800"/>
      <c r="D295" s="800"/>
      <c r="E295" s="800"/>
      <c r="F295" s="800"/>
      <c r="G295" s="800"/>
      <c r="H295" s="800"/>
      <c r="I295" s="800"/>
      <c r="J295" s="800"/>
      <c r="K295" s="800"/>
    </row>
    <row r="296" spans="1:11">
      <c r="A296" s="800"/>
      <c r="B296" s="800"/>
      <c r="C296" s="800"/>
      <c r="D296" s="800"/>
      <c r="E296" s="800"/>
      <c r="F296" s="800"/>
      <c r="G296" s="800"/>
      <c r="H296" s="800"/>
      <c r="I296" s="800"/>
      <c r="J296" s="800"/>
      <c r="K296" s="800"/>
    </row>
    <row r="297" spans="1:11">
      <c r="A297" s="800"/>
      <c r="B297" s="800"/>
      <c r="C297" s="800"/>
      <c r="D297" s="800"/>
      <c r="E297" s="800"/>
      <c r="F297" s="800"/>
      <c r="G297" s="800"/>
      <c r="H297" s="800"/>
      <c r="I297" s="800"/>
      <c r="J297" s="800"/>
      <c r="K297" s="800"/>
    </row>
    <row r="298" spans="1:11">
      <c r="A298" s="800"/>
      <c r="B298" s="800"/>
      <c r="C298" s="800"/>
      <c r="D298" s="800"/>
      <c r="E298" s="800"/>
      <c r="F298" s="800"/>
      <c r="G298" s="800"/>
      <c r="H298" s="800"/>
      <c r="I298" s="800"/>
      <c r="J298" s="800"/>
      <c r="K298" s="800"/>
    </row>
    <row r="299" spans="1:11">
      <c r="A299" s="800"/>
      <c r="B299" s="800"/>
      <c r="C299" s="800"/>
      <c r="D299" s="800"/>
      <c r="E299" s="800"/>
      <c r="F299" s="800"/>
      <c r="G299" s="800"/>
      <c r="H299" s="800"/>
      <c r="I299" s="800"/>
      <c r="J299" s="800"/>
      <c r="K299" s="800"/>
    </row>
    <row r="300" spans="1:11">
      <c r="A300" s="800"/>
      <c r="B300" s="800"/>
      <c r="C300" s="800"/>
      <c r="D300" s="800"/>
      <c r="E300" s="800"/>
      <c r="F300" s="800"/>
      <c r="G300" s="800"/>
      <c r="H300" s="800"/>
      <c r="I300" s="800"/>
      <c r="J300" s="800"/>
      <c r="K300" s="800"/>
    </row>
    <row r="301" spans="1:11">
      <c r="A301" s="800"/>
      <c r="B301" s="800"/>
      <c r="C301" s="800"/>
      <c r="D301" s="800"/>
      <c r="E301" s="800"/>
      <c r="F301" s="800"/>
      <c r="G301" s="800"/>
      <c r="H301" s="800"/>
      <c r="I301" s="800"/>
      <c r="J301" s="800"/>
      <c r="K301" s="800"/>
    </row>
    <row r="302" spans="1:11">
      <c r="A302" s="800"/>
      <c r="B302" s="800"/>
      <c r="C302" s="800"/>
      <c r="D302" s="800"/>
      <c r="E302" s="800"/>
      <c r="F302" s="800"/>
      <c r="G302" s="800"/>
      <c r="H302" s="800"/>
      <c r="I302" s="800"/>
      <c r="J302" s="800"/>
      <c r="K302" s="800"/>
    </row>
    <row r="303" spans="1:11">
      <c r="A303" s="800"/>
      <c r="B303" s="800"/>
      <c r="C303" s="800"/>
      <c r="D303" s="800"/>
      <c r="E303" s="800"/>
      <c r="F303" s="800"/>
      <c r="G303" s="800"/>
      <c r="H303" s="800"/>
      <c r="I303" s="800"/>
      <c r="J303" s="800"/>
      <c r="K303" s="800"/>
    </row>
    <row r="304" spans="1:11">
      <c r="A304" s="800"/>
      <c r="B304" s="800"/>
      <c r="C304" s="800"/>
      <c r="D304" s="800"/>
      <c r="E304" s="800"/>
      <c r="F304" s="800"/>
      <c r="G304" s="800"/>
      <c r="H304" s="800"/>
      <c r="I304" s="800"/>
      <c r="J304" s="800"/>
      <c r="K304" s="800"/>
    </row>
    <row r="305" spans="1:11">
      <c r="A305" s="800"/>
      <c r="B305" s="800"/>
      <c r="C305" s="800"/>
      <c r="D305" s="800"/>
      <c r="E305" s="800"/>
      <c r="F305" s="800"/>
      <c r="G305" s="800"/>
      <c r="H305" s="800"/>
      <c r="I305" s="800"/>
      <c r="J305" s="800"/>
      <c r="K305" s="800"/>
    </row>
    <row r="306" spans="1:11">
      <c r="A306" s="800"/>
      <c r="B306" s="800"/>
      <c r="C306" s="800"/>
      <c r="D306" s="800"/>
      <c r="E306" s="800"/>
      <c r="F306" s="800"/>
      <c r="G306" s="800"/>
      <c r="H306" s="800"/>
      <c r="I306" s="800"/>
      <c r="J306" s="800"/>
      <c r="K306" s="800"/>
    </row>
    <row r="307" spans="1:11">
      <c r="A307" s="800"/>
      <c r="B307" s="800"/>
      <c r="C307" s="800"/>
      <c r="D307" s="800"/>
      <c r="E307" s="800"/>
      <c r="F307" s="800"/>
      <c r="G307" s="800"/>
      <c r="H307" s="800"/>
      <c r="I307" s="800"/>
      <c r="J307" s="800"/>
      <c r="K307" s="800"/>
    </row>
    <row r="308" spans="1:11">
      <c r="A308" s="800"/>
      <c r="B308" s="800"/>
      <c r="C308" s="800"/>
      <c r="D308" s="800"/>
      <c r="E308" s="800"/>
      <c r="F308" s="800"/>
      <c r="G308" s="800"/>
      <c r="H308" s="800"/>
      <c r="I308" s="800"/>
      <c r="J308" s="800"/>
      <c r="K308" s="800"/>
    </row>
    <row r="309" spans="1:11">
      <c r="A309" s="800"/>
      <c r="B309" s="800"/>
      <c r="C309" s="800"/>
      <c r="D309" s="800"/>
      <c r="E309" s="800"/>
      <c r="F309" s="800"/>
      <c r="G309" s="800"/>
      <c r="H309" s="800"/>
      <c r="I309" s="800"/>
      <c r="J309" s="800"/>
      <c r="K309" s="800"/>
    </row>
    <row r="310" spans="1:11">
      <c r="A310" s="800"/>
      <c r="B310" s="800"/>
      <c r="C310" s="800"/>
      <c r="D310" s="800"/>
      <c r="E310" s="800"/>
      <c r="F310" s="800"/>
      <c r="G310" s="800"/>
      <c r="H310" s="800"/>
      <c r="I310" s="800"/>
      <c r="J310" s="800"/>
      <c r="K310" s="800"/>
    </row>
    <row r="311" spans="1:11">
      <c r="A311" s="800"/>
      <c r="B311" s="800"/>
      <c r="C311" s="800"/>
      <c r="D311" s="800"/>
      <c r="E311" s="800"/>
      <c r="F311" s="800"/>
      <c r="G311" s="800"/>
      <c r="H311" s="800"/>
      <c r="I311" s="800"/>
      <c r="J311" s="800"/>
      <c r="K311" s="800"/>
    </row>
    <row r="312" spans="1:11">
      <c r="A312" s="800"/>
      <c r="B312" s="800"/>
      <c r="C312" s="800"/>
      <c r="D312" s="800"/>
      <c r="E312" s="800"/>
      <c r="F312" s="800"/>
      <c r="G312" s="800"/>
      <c r="H312" s="800"/>
      <c r="I312" s="800"/>
      <c r="J312" s="800"/>
      <c r="K312" s="800"/>
    </row>
    <row r="313" spans="1:11">
      <c r="A313" s="800"/>
      <c r="B313" s="800"/>
      <c r="C313" s="800"/>
      <c r="D313" s="800"/>
      <c r="E313" s="800"/>
      <c r="F313" s="800"/>
      <c r="G313" s="800"/>
      <c r="H313" s="800"/>
      <c r="I313" s="800"/>
      <c r="J313" s="800"/>
      <c r="K313" s="800"/>
    </row>
    <row r="314" spans="1:11">
      <c r="A314" s="800"/>
      <c r="B314" s="800"/>
      <c r="C314" s="800"/>
      <c r="D314" s="800"/>
      <c r="E314" s="800"/>
      <c r="F314" s="800"/>
      <c r="G314" s="800"/>
      <c r="H314" s="800"/>
      <c r="I314" s="800"/>
      <c r="J314" s="800"/>
      <c r="K314" s="800"/>
    </row>
    <row r="315" spans="1:11">
      <c r="A315" s="800"/>
      <c r="B315" s="800"/>
      <c r="C315" s="800"/>
      <c r="D315" s="800"/>
      <c r="E315" s="800"/>
      <c r="F315" s="800"/>
      <c r="G315" s="800"/>
      <c r="H315" s="800"/>
      <c r="I315" s="800"/>
      <c r="J315" s="800"/>
      <c r="K315" s="800"/>
    </row>
    <row r="316" spans="1:11">
      <c r="A316" s="800"/>
      <c r="B316" s="800"/>
      <c r="C316" s="800"/>
      <c r="D316" s="800"/>
      <c r="E316" s="800"/>
      <c r="F316" s="800"/>
      <c r="G316" s="800"/>
      <c r="H316" s="800"/>
      <c r="I316" s="800"/>
      <c r="J316" s="800"/>
      <c r="K316" s="800"/>
    </row>
    <row r="317" spans="1:11">
      <c r="A317" s="800"/>
      <c r="B317" s="800"/>
      <c r="C317" s="800"/>
      <c r="D317" s="800"/>
      <c r="E317" s="800"/>
      <c r="F317" s="800"/>
      <c r="G317" s="800"/>
      <c r="H317" s="800"/>
      <c r="I317" s="800"/>
      <c r="J317" s="800"/>
      <c r="K317" s="800"/>
    </row>
    <row r="318" spans="1:11">
      <c r="A318" s="800"/>
      <c r="B318" s="800"/>
      <c r="C318" s="800"/>
      <c r="D318" s="800"/>
      <c r="E318" s="800"/>
      <c r="F318" s="800"/>
      <c r="G318" s="800"/>
      <c r="H318" s="800"/>
      <c r="I318" s="800"/>
      <c r="J318" s="800"/>
      <c r="K318" s="800"/>
    </row>
    <row r="319" spans="1:11">
      <c r="A319" s="800"/>
      <c r="B319" s="800"/>
      <c r="C319" s="800"/>
      <c r="D319" s="800"/>
      <c r="E319" s="800"/>
      <c r="F319" s="800"/>
      <c r="G319" s="800"/>
      <c r="H319" s="800"/>
      <c r="I319" s="800"/>
      <c r="J319" s="800"/>
      <c r="K319" s="800"/>
    </row>
    <row r="320" spans="1:11">
      <c r="A320" s="800"/>
      <c r="B320" s="800"/>
      <c r="C320" s="800"/>
      <c r="D320" s="800"/>
      <c r="E320" s="800"/>
      <c r="F320" s="800"/>
      <c r="G320" s="800"/>
      <c r="H320" s="800"/>
      <c r="I320" s="800"/>
      <c r="J320" s="800"/>
      <c r="K320" s="800"/>
    </row>
    <row r="321" spans="1:11">
      <c r="A321" s="800"/>
      <c r="B321" s="800"/>
      <c r="C321" s="800"/>
      <c r="D321" s="800"/>
      <c r="E321" s="800"/>
      <c r="F321" s="800"/>
      <c r="G321" s="800"/>
      <c r="H321" s="800"/>
      <c r="I321" s="800"/>
      <c r="J321" s="800"/>
      <c r="K321" s="800"/>
    </row>
    <row r="322" spans="1:11">
      <c r="A322" s="800"/>
      <c r="B322" s="800"/>
      <c r="C322" s="800"/>
      <c r="D322" s="800"/>
      <c r="E322" s="800"/>
      <c r="F322" s="800"/>
      <c r="G322" s="800"/>
      <c r="H322" s="800"/>
      <c r="I322" s="800"/>
      <c r="J322" s="800"/>
      <c r="K322" s="800"/>
    </row>
    <row r="323" spans="1:11">
      <c r="A323" s="800"/>
      <c r="B323" s="800"/>
      <c r="C323" s="800"/>
      <c r="D323" s="800"/>
      <c r="E323" s="800"/>
      <c r="F323" s="800"/>
      <c r="G323" s="800"/>
      <c r="H323" s="800"/>
      <c r="I323" s="800"/>
      <c r="J323" s="800"/>
      <c r="K323" s="800"/>
    </row>
    <row r="324" spans="1:11">
      <c r="A324" s="800"/>
      <c r="B324" s="800"/>
      <c r="C324" s="800"/>
      <c r="D324" s="800"/>
      <c r="E324" s="800"/>
      <c r="F324" s="800"/>
      <c r="G324" s="800"/>
      <c r="H324" s="800"/>
      <c r="I324" s="800"/>
      <c r="J324" s="800"/>
      <c r="K324" s="800"/>
    </row>
    <row r="325" spans="1:11">
      <c r="A325" s="800"/>
      <c r="B325" s="800"/>
      <c r="C325" s="800"/>
      <c r="D325" s="800"/>
      <c r="E325" s="800"/>
      <c r="F325" s="800"/>
      <c r="G325" s="800"/>
      <c r="H325" s="800"/>
      <c r="I325" s="800"/>
      <c r="J325" s="800"/>
      <c r="K325" s="800"/>
    </row>
    <row r="326" spans="1:11">
      <c r="A326" s="800"/>
      <c r="B326" s="800"/>
      <c r="C326" s="800"/>
      <c r="D326" s="800"/>
      <c r="E326" s="800"/>
      <c r="F326" s="800"/>
      <c r="G326" s="800"/>
      <c r="H326" s="800"/>
      <c r="I326" s="800"/>
      <c r="J326" s="800"/>
      <c r="K326" s="800"/>
    </row>
    <row r="327" spans="1:11">
      <c r="A327" s="800"/>
      <c r="B327" s="800"/>
      <c r="C327" s="800"/>
      <c r="D327" s="800"/>
      <c r="E327" s="800"/>
      <c r="F327" s="800"/>
      <c r="G327" s="800"/>
      <c r="H327" s="800"/>
      <c r="I327" s="800"/>
      <c r="J327" s="800"/>
      <c r="K327" s="800"/>
    </row>
    <row r="328" spans="1:11">
      <c r="A328" s="800"/>
      <c r="B328" s="800"/>
      <c r="C328" s="800"/>
      <c r="D328" s="800"/>
      <c r="E328" s="800"/>
      <c r="F328" s="800"/>
      <c r="G328" s="800"/>
      <c r="H328" s="800"/>
      <c r="I328" s="800"/>
      <c r="J328" s="800"/>
      <c r="K328" s="800"/>
    </row>
    <row r="329" spans="1:11">
      <c r="A329" s="800"/>
      <c r="B329" s="800"/>
      <c r="C329" s="800"/>
      <c r="D329" s="800"/>
      <c r="E329" s="800"/>
      <c r="F329" s="800"/>
      <c r="G329" s="800"/>
      <c r="H329" s="800"/>
      <c r="I329" s="800"/>
      <c r="J329" s="800"/>
      <c r="K329" s="800"/>
    </row>
    <row r="330" spans="1:11">
      <c r="A330" s="800"/>
      <c r="B330" s="800"/>
      <c r="C330" s="800"/>
      <c r="D330" s="800"/>
      <c r="E330" s="800"/>
      <c r="F330" s="800"/>
      <c r="G330" s="800"/>
      <c r="H330" s="800"/>
      <c r="I330" s="800"/>
      <c r="J330" s="800"/>
      <c r="K330" s="800"/>
    </row>
    <row r="331" spans="1:11">
      <c r="A331" s="800"/>
      <c r="B331" s="800"/>
      <c r="C331" s="800"/>
      <c r="D331" s="800"/>
      <c r="E331" s="800"/>
      <c r="F331" s="800"/>
      <c r="G331" s="800"/>
      <c r="H331" s="800"/>
      <c r="I331" s="800"/>
      <c r="J331" s="800"/>
      <c r="K331" s="800"/>
    </row>
    <row r="332" spans="1:11">
      <c r="A332" s="800"/>
      <c r="B332" s="800"/>
      <c r="C332" s="800"/>
      <c r="D332" s="800"/>
      <c r="E332" s="800"/>
      <c r="F332" s="800"/>
      <c r="G332" s="800"/>
      <c r="H332" s="800"/>
      <c r="I332" s="800"/>
      <c r="J332" s="800"/>
      <c r="K332" s="800"/>
    </row>
    <row r="333" spans="1:11">
      <c r="A333" s="800"/>
      <c r="B333" s="800"/>
      <c r="C333" s="800"/>
      <c r="D333" s="800"/>
      <c r="E333" s="800"/>
      <c r="F333" s="800"/>
      <c r="G333" s="800"/>
      <c r="H333" s="800"/>
      <c r="I333" s="800"/>
      <c r="J333" s="800"/>
      <c r="K333" s="800"/>
    </row>
    <row r="334" spans="1:11">
      <c r="A334" s="800"/>
      <c r="B334" s="800"/>
      <c r="C334" s="800"/>
      <c r="D334" s="800"/>
      <c r="E334" s="800"/>
      <c r="F334" s="800"/>
      <c r="G334" s="800"/>
      <c r="H334" s="800"/>
      <c r="I334" s="800"/>
      <c r="J334" s="800"/>
      <c r="K334" s="800"/>
    </row>
    <row r="335" spans="1:11">
      <c r="A335" s="800"/>
      <c r="B335" s="800"/>
      <c r="C335" s="800"/>
      <c r="D335" s="800"/>
      <c r="E335" s="800"/>
      <c r="F335" s="800"/>
      <c r="G335" s="800"/>
      <c r="H335" s="800"/>
      <c r="I335" s="800"/>
      <c r="J335" s="800"/>
      <c r="K335" s="800"/>
    </row>
    <row r="336" spans="1:11">
      <c r="A336" s="800"/>
      <c r="B336" s="800"/>
      <c r="C336" s="800"/>
      <c r="D336" s="800"/>
      <c r="E336" s="800"/>
      <c r="F336" s="800"/>
      <c r="G336" s="800"/>
      <c r="H336" s="800"/>
      <c r="I336" s="800"/>
      <c r="J336" s="800"/>
      <c r="K336" s="800"/>
    </row>
    <row r="337" spans="1:11">
      <c r="A337" s="800"/>
      <c r="B337" s="800"/>
      <c r="C337" s="800"/>
      <c r="D337" s="800"/>
      <c r="E337" s="800"/>
      <c r="F337" s="800"/>
      <c r="G337" s="800"/>
      <c r="H337" s="800"/>
      <c r="I337" s="800"/>
      <c r="J337" s="800"/>
      <c r="K337" s="800"/>
    </row>
    <row r="338" spans="1:11">
      <c r="A338" s="800"/>
      <c r="B338" s="800"/>
      <c r="C338" s="800"/>
      <c r="D338" s="800"/>
      <c r="E338" s="800"/>
      <c r="F338" s="800"/>
      <c r="G338" s="800"/>
      <c r="H338" s="800"/>
      <c r="I338" s="800"/>
      <c r="J338" s="800"/>
      <c r="K338" s="800"/>
    </row>
    <row r="339" spans="1:11">
      <c r="A339" s="800"/>
      <c r="B339" s="800"/>
      <c r="C339" s="800"/>
      <c r="D339" s="800"/>
      <c r="E339" s="800"/>
      <c r="F339" s="800"/>
      <c r="G339" s="800"/>
      <c r="H339" s="800"/>
      <c r="I339" s="800"/>
      <c r="J339" s="800"/>
      <c r="K339" s="800"/>
    </row>
    <row r="340" spans="1:11">
      <c r="A340" s="800"/>
      <c r="B340" s="800"/>
      <c r="C340" s="800"/>
      <c r="D340" s="800"/>
      <c r="E340" s="800"/>
      <c r="F340" s="800"/>
      <c r="G340" s="800"/>
      <c r="H340" s="800"/>
      <c r="I340" s="800"/>
      <c r="J340" s="800"/>
      <c r="K340" s="800"/>
    </row>
    <row r="341" spans="1:11">
      <c r="A341" s="800"/>
      <c r="B341" s="800"/>
      <c r="C341" s="800"/>
      <c r="D341" s="800"/>
      <c r="E341" s="800"/>
      <c r="F341" s="800"/>
      <c r="G341" s="800"/>
      <c r="H341" s="800"/>
      <c r="I341" s="800"/>
      <c r="J341" s="800"/>
      <c r="K341" s="800"/>
    </row>
    <row r="342" spans="1:11">
      <c r="A342" s="800"/>
      <c r="B342" s="800"/>
      <c r="C342" s="800"/>
      <c r="D342" s="800"/>
      <c r="E342" s="800"/>
      <c r="F342" s="800"/>
      <c r="G342" s="800"/>
      <c r="H342" s="800"/>
      <c r="I342" s="800"/>
      <c r="J342" s="800"/>
      <c r="K342" s="800"/>
    </row>
    <row r="343" spans="1:11">
      <c r="A343" s="800"/>
      <c r="B343" s="800"/>
      <c r="C343" s="800"/>
      <c r="D343" s="800"/>
      <c r="E343" s="800"/>
      <c r="F343" s="800"/>
      <c r="G343" s="800"/>
      <c r="H343" s="800"/>
      <c r="I343" s="800"/>
      <c r="J343" s="800"/>
      <c r="K343" s="800"/>
    </row>
    <row r="344" spans="1:11">
      <c r="A344" s="800"/>
      <c r="B344" s="800"/>
      <c r="C344" s="800"/>
      <c r="D344" s="800"/>
      <c r="E344" s="800"/>
      <c r="F344" s="800"/>
      <c r="G344" s="800"/>
      <c r="H344" s="800"/>
      <c r="I344" s="800"/>
      <c r="J344" s="800"/>
      <c r="K344" s="800"/>
    </row>
    <row r="345" spans="1:11">
      <c r="A345" s="800"/>
      <c r="B345" s="800"/>
      <c r="C345" s="800"/>
      <c r="D345" s="800"/>
      <c r="E345" s="800"/>
      <c r="F345" s="800"/>
      <c r="G345" s="800"/>
      <c r="H345" s="800"/>
      <c r="I345" s="800"/>
      <c r="J345" s="800"/>
      <c r="K345" s="800"/>
    </row>
    <row r="346" spans="1:11">
      <c r="A346" s="800"/>
      <c r="B346" s="800"/>
      <c r="C346" s="800"/>
      <c r="D346" s="800"/>
      <c r="E346" s="800"/>
      <c r="F346" s="800"/>
      <c r="G346" s="800"/>
      <c r="H346" s="800"/>
      <c r="I346" s="800"/>
      <c r="J346" s="800"/>
      <c r="K346" s="800"/>
    </row>
    <row r="347" spans="1:11">
      <c r="A347" s="800"/>
      <c r="B347" s="800"/>
      <c r="C347" s="800"/>
      <c r="D347" s="800"/>
      <c r="E347" s="800"/>
      <c r="F347" s="800"/>
      <c r="G347" s="800"/>
      <c r="H347" s="800"/>
      <c r="I347" s="800"/>
      <c r="J347" s="800"/>
      <c r="K347" s="800"/>
    </row>
    <row r="348" spans="1:11">
      <c r="A348" s="800"/>
      <c r="B348" s="800"/>
      <c r="C348" s="800"/>
      <c r="D348" s="800"/>
      <c r="E348" s="800"/>
      <c r="F348" s="800"/>
      <c r="G348" s="800"/>
      <c r="H348" s="800"/>
      <c r="I348" s="800"/>
      <c r="J348" s="800"/>
      <c r="K348" s="800"/>
    </row>
    <row r="349" spans="1:11">
      <c r="A349" s="800"/>
      <c r="B349" s="800"/>
      <c r="C349" s="800"/>
      <c r="D349" s="800"/>
      <c r="E349" s="800"/>
      <c r="F349" s="800"/>
      <c r="G349" s="800"/>
      <c r="H349" s="800"/>
      <c r="I349" s="800"/>
      <c r="J349" s="800"/>
      <c r="K349" s="800"/>
    </row>
    <row r="350" spans="1:11">
      <c r="A350" s="800"/>
      <c r="B350" s="800"/>
      <c r="C350" s="800"/>
      <c r="D350" s="800"/>
      <c r="E350" s="800"/>
      <c r="F350" s="800"/>
      <c r="G350" s="800"/>
      <c r="H350" s="800"/>
      <c r="I350" s="800"/>
      <c r="J350" s="800"/>
      <c r="K350" s="800"/>
    </row>
    <row r="351" spans="1:11">
      <c r="A351" s="800"/>
      <c r="B351" s="800"/>
      <c r="C351" s="800"/>
      <c r="D351" s="800"/>
      <c r="E351" s="800"/>
      <c r="F351" s="800"/>
      <c r="G351" s="800"/>
      <c r="H351" s="800"/>
      <c r="I351" s="800"/>
      <c r="J351" s="800"/>
      <c r="K351" s="800"/>
    </row>
    <row r="352" spans="1:11">
      <c r="A352" s="800"/>
      <c r="B352" s="800"/>
      <c r="C352" s="800"/>
      <c r="D352" s="800"/>
      <c r="E352" s="800"/>
      <c r="F352" s="800"/>
      <c r="G352" s="800"/>
      <c r="H352" s="800"/>
      <c r="I352" s="800"/>
      <c r="J352" s="800"/>
      <c r="K352" s="800"/>
    </row>
    <row r="353" spans="1:11">
      <c r="A353" s="800"/>
      <c r="B353" s="800"/>
      <c r="C353" s="800"/>
      <c r="D353" s="800"/>
      <c r="E353" s="800"/>
      <c r="F353" s="800"/>
      <c r="G353" s="800"/>
      <c r="H353" s="800"/>
      <c r="I353" s="800"/>
      <c r="J353" s="800"/>
      <c r="K353" s="800"/>
    </row>
    <row r="354" spans="1:11">
      <c r="A354" s="800"/>
      <c r="B354" s="800"/>
      <c r="C354" s="800"/>
      <c r="D354" s="800"/>
      <c r="E354" s="800"/>
      <c r="F354" s="800"/>
      <c r="G354" s="800"/>
      <c r="H354" s="800"/>
      <c r="I354" s="800"/>
      <c r="J354" s="800"/>
      <c r="K354" s="800"/>
    </row>
    <row r="355" spans="1:11">
      <c r="A355" s="800"/>
      <c r="B355" s="800"/>
      <c r="C355" s="800"/>
      <c r="D355" s="800"/>
      <c r="E355" s="800"/>
      <c r="F355" s="800"/>
      <c r="G355" s="800"/>
      <c r="H355" s="800"/>
      <c r="I355" s="800"/>
      <c r="J355" s="800"/>
      <c r="K355" s="800"/>
    </row>
    <row r="356" spans="1:11">
      <c r="A356" s="800"/>
      <c r="B356" s="800"/>
      <c r="C356" s="800"/>
      <c r="D356" s="800"/>
      <c r="E356" s="800"/>
      <c r="F356" s="800"/>
      <c r="G356" s="800"/>
      <c r="H356" s="800"/>
      <c r="I356" s="800"/>
      <c r="J356" s="800"/>
      <c r="K356" s="800"/>
    </row>
    <row r="357" spans="1:11">
      <c r="A357" s="800"/>
      <c r="B357" s="800"/>
      <c r="C357" s="800"/>
      <c r="D357" s="800"/>
      <c r="E357" s="800"/>
      <c r="F357" s="800"/>
      <c r="G357" s="800"/>
      <c r="H357" s="800"/>
      <c r="I357" s="800"/>
      <c r="J357" s="800"/>
      <c r="K357" s="800"/>
    </row>
    <row r="358" spans="1:11">
      <c r="A358" s="800"/>
      <c r="B358" s="800"/>
      <c r="C358" s="800"/>
      <c r="D358" s="800"/>
      <c r="E358" s="800"/>
      <c r="F358" s="800"/>
      <c r="G358" s="800"/>
      <c r="H358" s="800"/>
      <c r="I358" s="800"/>
      <c r="J358" s="800"/>
      <c r="K358" s="800"/>
    </row>
    <row r="359" spans="1:11">
      <c r="A359" s="800"/>
      <c r="B359" s="800"/>
      <c r="C359" s="800"/>
      <c r="D359" s="800"/>
      <c r="E359" s="800"/>
      <c r="F359" s="800"/>
      <c r="G359" s="800"/>
      <c r="H359" s="800"/>
      <c r="I359" s="800"/>
      <c r="J359" s="800"/>
      <c r="K359" s="800"/>
    </row>
    <row r="360" spans="1:11">
      <c r="A360" s="800"/>
      <c r="B360" s="800"/>
      <c r="C360" s="800"/>
      <c r="D360" s="800"/>
      <c r="E360" s="800"/>
      <c r="F360" s="800"/>
      <c r="G360" s="800"/>
      <c r="H360" s="800"/>
      <c r="I360" s="800"/>
      <c r="J360" s="800"/>
      <c r="K360" s="800"/>
    </row>
    <row r="361" spans="1:11">
      <c r="A361" s="800"/>
      <c r="B361" s="800"/>
      <c r="C361" s="800"/>
      <c r="D361" s="800"/>
      <c r="E361" s="800"/>
      <c r="F361" s="800"/>
      <c r="G361" s="800"/>
      <c r="H361" s="800"/>
      <c r="I361" s="800"/>
      <c r="J361" s="800"/>
      <c r="K361" s="800"/>
    </row>
    <row r="362" spans="1:11">
      <c r="A362" s="800"/>
      <c r="B362" s="800"/>
      <c r="C362" s="800"/>
      <c r="D362" s="800"/>
      <c r="E362" s="800"/>
      <c r="F362" s="800"/>
      <c r="G362" s="800"/>
      <c r="H362" s="800"/>
      <c r="I362" s="800"/>
      <c r="J362" s="800"/>
      <c r="K362" s="800"/>
    </row>
    <row r="363" spans="1:11">
      <c r="A363" s="800"/>
      <c r="B363" s="800"/>
      <c r="C363" s="800"/>
      <c r="D363" s="800"/>
      <c r="E363" s="800"/>
      <c r="F363" s="800"/>
      <c r="G363" s="800"/>
      <c r="H363" s="800"/>
      <c r="I363" s="800"/>
      <c r="J363" s="800"/>
      <c r="K363" s="800"/>
    </row>
    <row r="364" spans="1:11">
      <c r="A364" s="800"/>
      <c r="B364" s="800"/>
      <c r="C364" s="800"/>
      <c r="D364" s="800"/>
      <c r="E364" s="800"/>
      <c r="F364" s="800"/>
      <c r="G364" s="800"/>
      <c r="H364" s="800"/>
      <c r="I364" s="800"/>
      <c r="J364" s="800"/>
      <c r="K364" s="800"/>
    </row>
    <row r="365" spans="1:11">
      <c r="A365" s="800"/>
      <c r="B365" s="800"/>
      <c r="C365" s="800"/>
      <c r="D365" s="800"/>
      <c r="E365" s="800"/>
      <c r="F365" s="800"/>
      <c r="G365" s="800"/>
      <c r="H365" s="800"/>
      <c r="I365" s="800"/>
      <c r="J365" s="800"/>
      <c r="K365" s="800"/>
    </row>
    <row r="366" spans="1:11">
      <c r="A366" s="800"/>
      <c r="B366" s="800"/>
      <c r="C366" s="800"/>
      <c r="D366" s="800"/>
      <c r="E366" s="800"/>
      <c r="F366" s="800"/>
      <c r="G366" s="800"/>
      <c r="H366" s="800"/>
      <c r="I366" s="800"/>
      <c r="J366" s="800"/>
      <c r="K366" s="800"/>
    </row>
    <row r="367" spans="1:11">
      <c r="A367" s="800"/>
      <c r="B367" s="800"/>
      <c r="C367" s="800"/>
      <c r="D367" s="800"/>
      <c r="E367" s="800"/>
      <c r="F367" s="800"/>
      <c r="G367" s="800"/>
      <c r="H367" s="800"/>
      <c r="I367" s="800"/>
      <c r="J367" s="800"/>
      <c r="K367" s="800"/>
    </row>
    <row r="368" spans="1:11">
      <c r="A368" s="800"/>
      <c r="B368" s="800"/>
      <c r="C368" s="800"/>
      <c r="D368" s="800"/>
      <c r="E368" s="800"/>
      <c r="F368" s="800"/>
      <c r="G368" s="800"/>
      <c r="H368" s="800"/>
      <c r="I368" s="800"/>
      <c r="J368" s="800"/>
      <c r="K368" s="800"/>
    </row>
    <row r="369" spans="1:11">
      <c r="A369" s="800"/>
      <c r="B369" s="800"/>
      <c r="C369" s="800"/>
      <c r="D369" s="800"/>
      <c r="E369" s="800"/>
      <c r="F369" s="800"/>
      <c r="G369" s="800"/>
      <c r="H369" s="800"/>
      <c r="I369" s="800"/>
      <c r="J369" s="800"/>
      <c r="K369" s="800"/>
    </row>
    <row r="370" spans="1:11">
      <c r="A370" s="800"/>
      <c r="B370" s="800"/>
      <c r="C370" s="800"/>
      <c r="D370" s="800"/>
      <c r="E370" s="800"/>
      <c r="F370" s="800"/>
      <c r="G370" s="800"/>
      <c r="H370" s="800"/>
      <c r="I370" s="800"/>
      <c r="J370" s="800"/>
      <c r="K370" s="800"/>
    </row>
    <row r="371" spans="1:11">
      <c r="A371" s="800"/>
      <c r="B371" s="800"/>
      <c r="C371" s="800"/>
      <c r="D371" s="800"/>
      <c r="E371" s="800"/>
      <c r="F371" s="800"/>
      <c r="G371" s="800"/>
      <c r="H371" s="800"/>
      <c r="I371" s="800"/>
      <c r="J371" s="800"/>
      <c r="K371" s="800"/>
    </row>
    <row r="372" spans="1:11">
      <c r="A372" s="800"/>
      <c r="B372" s="800"/>
      <c r="C372" s="800"/>
      <c r="D372" s="800"/>
      <c r="E372" s="800"/>
      <c r="F372" s="800"/>
      <c r="G372" s="800"/>
      <c r="H372" s="800"/>
      <c r="I372" s="800"/>
      <c r="J372" s="800"/>
      <c r="K372" s="800"/>
    </row>
    <row r="373" spans="1:11">
      <c r="A373" s="800"/>
      <c r="B373" s="800"/>
      <c r="C373" s="800"/>
      <c r="D373" s="800"/>
      <c r="E373" s="800"/>
      <c r="F373" s="800"/>
      <c r="G373" s="800"/>
      <c r="H373" s="800"/>
      <c r="I373" s="800"/>
      <c r="J373" s="800"/>
      <c r="K373" s="800"/>
    </row>
    <row r="374" spans="1:11">
      <c r="A374" s="800"/>
      <c r="B374" s="800"/>
      <c r="C374" s="800"/>
      <c r="D374" s="800"/>
      <c r="E374" s="800"/>
      <c r="F374" s="800"/>
      <c r="G374" s="800"/>
      <c r="H374" s="800"/>
      <c r="I374" s="800"/>
      <c r="J374" s="800"/>
      <c r="K374" s="800"/>
    </row>
    <row r="375" spans="1:11">
      <c r="A375" s="800"/>
      <c r="B375" s="800"/>
      <c r="C375" s="800"/>
      <c r="D375" s="800"/>
      <c r="E375" s="800"/>
      <c r="F375" s="800"/>
      <c r="G375" s="800"/>
      <c r="H375" s="800"/>
      <c r="I375" s="800"/>
      <c r="J375" s="800"/>
      <c r="K375" s="800"/>
    </row>
    <row r="376" spans="1:11">
      <c r="A376" s="800"/>
      <c r="B376" s="800"/>
      <c r="C376" s="800"/>
      <c r="D376" s="800"/>
      <c r="E376" s="800"/>
      <c r="F376" s="800"/>
      <c r="G376" s="800"/>
      <c r="H376" s="800"/>
      <c r="I376" s="800"/>
      <c r="J376" s="800"/>
      <c r="K376" s="800"/>
    </row>
    <row r="377" spans="1:11">
      <c r="A377" s="800"/>
      <c r="B377" s="800"/>
      <c r="C377" s="800"/>
      <c r="D377" s="800"/>
      <c r="E377" s="800"/>
      <c r="F377" s="800"/>
      <c r="G377" s="800"/>
      <c r="H377" s="800"/>
      <c r="I377" s="800"/>
      <c r="J377" s="800"/>
      <c r="K377" s="800"/>
    </row>
    <row r="378" spans="1:11">
      <c r="A378" s="800"/>
      <c r="B378" s="800"/>
      <c r="C378" s="800"/>
      <c r="D378" s="800"/>
      <c r="E378" s="800"/>
      <c r="F378" s="800"/>
      <c r="G378" s="800"/>
      <c r="H378" s="800"/>
      <c r="I378" s="800"/>
      <c r="J378" s="800"/>
      <c r="K378" s="800"/>
    </row>
    <row r="379" spans="1:11">
      <c r="A379" s="800"/>
      <c r="B379" s="800"/>
      <c r="C379" s="800"/>
      <c r="D379" s="800"/>
      <c r="E379" s="800"/>
      <c r="F379" s="800"/>
      <c r="G379" s="800"/>
      <c r="H379" s="800"/>
      <c r="I379" s="800"/>
      <c r="J379" s="800"/>
      <c r="K379" s="800"/>
    </row>
    <row r="380" spans="1:11">
      <c r="A380" s="800"/>
      <c r="B380" s="800"/>
      <c r="C380" s="800"/>
      <c r="D380" s="800"/>
      <c r="E380" s="800"/>
      <c r="F380" s="800"/>
      <c r="G380" s="800"/>
      <c r="H380" s="800"/>
      <c r="I380" s="800"/>
      <c r="J380" s="800"/>
      <c r="K380" s="800"/>
    </row>
    <row r="381" spans="1:11">
      <c r="A381" s="800"/>
      <c r="B381" s="800"/>
      <c r="C381" s="800"/>
      <c r="D381" s="800"/>
      <c r="E381" s="800"/>
      <c r="F381" s="800"/>
      <c r="G381" s="800"/>
      <c r="H381" s="800"/>
      <c r="I381" s="800"/>
      <c r="J381" s="800"/>
      <c r="K381" s="800"/>
    </row>
    <row r="382" spans="1:11">
      <c r="A382" s="800"/>
      <c r="B382" s="800"/>
      <c r="C382" s="800"/>
      <c r="D382" s="800"/>
      <c r="E382" s="800"/>
      <c r="F382" s="800"/>
      <c r="G382" s="800"/>
      <c r="H382" s="800"/>
      <c r="I382" s="800"/>
      <c r="J382" s="800"/>
      <c r="K382" s="800"/>
    </row>
    <row r="383" spans="1:11">
      <c r="A383" s="800"/>
      <c r="B383" s="800"/>
      <c r="C383" s="800"/>
      <c r="D383" s="800"/>
      <c r="E383" s="800"/>
      <c r="F383" s="800"/>
      <c r="G383" s="800"/>
      <c r="H383" s="800"/>
      <c r="I383" s="800"/>
      <c r="J383" s="800"/>
      <c r="K383" s="800"/>
    </row>
    <row r="384" spans="1:11">
      <c r="A384" s="800"/>
      <c r="B384" s="800"/>
      <c r="C384" s="800"/>
      <c r="D384" s="800"/>
      <c r="E384" s="800"/>
      <c r="F384" s="800"/>
      <c r="G384" s="800"/>
      <c r="H384" s="800"/>
      <c r="I384" s="800"/>
      <c r="J384" s="800"/>
      <c r="K384" s="800"/>
    </row>
    <row r="385" spans="1:11">
      <c r="A385" s="800"/>
      <c r="B385" s="800"/>
      <c r="C385" s="800"/>
      <c r="D385" s="800"/>
      <c r="E385" s="800"/>
      <c r="F385" s="800"/>
      <c r="G385" s="800"/>
      <c r="H385" s="800"/>
      <c r="I385" s="800"/>
      <c r="J385" s="800"/>
      <c r="K385" s="800"/>
    </row>
    <row r="386" spans="1:11">
      <c r="A386" s="800"/>
      <c r="B386" s="800"/>
      <c r="C386" s="800"/>
      <c r="D386" s="800"/>
      <c r="E386" s="800"/>
      <c r="F386" s="800"/>
      <c r="G386" s="800"/>
      <c r="H386" s="800"/>
      <c r="I386" s="800"/>
      <c r="J386" s="800"/>
      <c r="K386" s="800"/>
    </row>
    <row r="387" spans="1:11">
      <c r="A387" s="800"/>
      <c r="B387" s="800"/>
      <c r="C387" s="800"/>
      <c r="D387" s="800"/>
      <c r="E387" s="800"/>
      <c r="F387" s="800"/>
      <c r="G387" s="800"/>
      <c r="H387" s="800"/>
      <c r="I387" s="800"/>
      <c r="J387" s="800"/>
      <c r="K387" s="800"/>
    </row>
    <row r="388" spans="1:11">
      <c r="A388" s="800"/>
      <c r="B388" s="800"/>
      <c r="C388" s="800"/>
      <c r="D388" s="800"/>
      <c r="E388" s="800"/>
      <c r="F388" s="800"/>
      <c r="G388" s="800"/>
      <c r="H388" s="800"/>
      <c r="I388" s="800"/>
      <c r="J388" s="800"/>
      <c r="K388" s="800"/>
    </row>
    <row r="389" spans="1:11">
      <c r="A389" s="800"/>
      <c r="B389" s="800"/>
      <c r="C389" s="800"/>
      <c r="D389" s="800"/>
      <c r="E389" s="800"/>
      <c r="F389" s="800"/>
      <c r="G389" s="800"/>
      <c r="H389" s="800"/>
      <c r="I389" s="800"/>
      <c r="J389" s="800"/>
      <c r="K389" s="800"/>
    </row>
    <row r="390" spans="1:11">
      <c r="A390" s="800"/>
      <c r="B390" s="800"/>
      <c r="C390" s="800"/>
      <c r="D390" s="800"/>
      <c r="E390" s="800"/>
      <c r="F390" s="800"/>
      <c r="G390" s="800"/>
      <c r="H390" s="800"/>
      <c r="I390" s="800"/>
      <c r="J390" s="800"/>
      <c r="K390" s="800"/>
    </row>
    <row r="391" spans="1:11">
      <c r="A391" s="800"/>
      <c r="B391" s="800"/>
      <c r="C391" s="800"/>
      <c r="D391" s="800"/>
      <c r="E391" s="800"/>
      <c r="F391" s="800"/>
      <c r="G391" s="800"/>
      <c r="H391" s="800"/>
      <c r="I391" s="800"/>
      <c r="J391" s="800"/>
      <c r="K391" s="800"/>
    </row>
    <row r="392" spans="1:11">
      <c r="A392" s="800"/>
      <c r="B392" s="800"/>
      <c r="C392" s="800"/>
      <c r="D392" s="800"/>
      <c r="E392" s="800"/>
      <c r="F392" s="800"/>
      <c r="G392" s="800"/>
      <c r="H392" s="800"/>
      <c r="I392" s="800"/>
      <c r="J392" s="800"/>
      <c r="K392" s="800"/>
    </row>
    <row r="393" spans="1:11">
      <c r="A393" s="800"/>
      <c r="B393" s="800"/>
      <c r="C393" s="800"/>
      <c r="D393" s="800"/>
      <c r="E393" s="800"/>
      <c r="F393" s="800"/>
      <c r="G393" s="800"/>
      <c r="H393" s="800"/>
      <c r="I393" s="800"/>
      <c r="J393" s="800"/>
      <c r="K393" s="800"/>
    </row>
    <row r="394" spans="1:11">
      <c r="A394" s="800"/>
      <c r="B394" s="800"/>
      <c r="C394" s="800"/>
      <c r="D394" s="800"/>
      <c r="E394" s="800"/>
      <c r="F394" s="800"/>
      <c r="G394" s="800"/>
      <c r="H394" s="800"/>
      <c r="I394" s="800"/>
      <c r="J394" s="800"/>
      <c r="K394" s="800"/>
    </row>
    <row r="395" spans="1:11">
      <c r="A395" s="800"/>
      <c r="B395" s="800"/>
      <c r="C395" s="800"/>
      <c r="D395" s="800"/>
      <c r="E395" s="800"/>
      <c r="F395" s="800"/>
      <c r="G395" s="800"/>
      <c r="H395" s="800"/>
      <c r="I395" s="800"/>
      <c r="J395" s="800"/>
      <c r="K395" s="800"/>
    </row>
    <row r="396" spans="1:11">
      <c r="A396" s="800"/>
      <c r="B396" s="800"/>
      <c r="C396" s="800"/>
      <c r="D396" s="800"/>
      <c r="E396" s="800"/>
      <c r="F396" s="800"/>
      <c r="G396" s="800"/>
      <c r="H396" s="800"/>
      <c r="I396" s="800"/>
      <c r="J396" s="800"/>
      <c r="K396" s="800"/>
    </row>
    <row r="397" spans="1:11">
      <c r="A397" s="800"/>
      <c r="B397" s="800"/>
      <c r="C397" s="800"/>
      <c r="D397" s="800"/>
      <c r="E397" s="800"/>
      <c r="F397" s="800"/>
      <c r="G397" s="800"/>
      <c r="H397" s="800"/>
      <c r="I397" s="800"/>
      <c r="J397" s="800"/>
      <c r="K397" s="800"/>
    </row>
    <row r="398" spans="1:11">
      <c r="A398" s="800"/>
      <c r="B398" s="800"/>
      <c r="C398" s="800"/>
      <c r="D398" s="800"/>
      <c r="E398" s="800"/>
      <c r="F398" s="800"/>
      <c r="G398" s="800"/>
      <c r="H398" s="800"/>
      <c r="I398" s="800"/>
      <c r="J398" s="800"/>
      <c r="K398" s="800"/>
    </row>
    <row r="399" spans="1:11">
      <c r="A399" s="800"/>
      <c r="B399" s="800"/>
      <c r="C399" s="800"/>
      <c r="D399" s="800"/>
      <c r="E399" s="800"/>
      <c r="F399" s="800"/>
      <c r="G399" s="800"/>
      <c r="H399" s="800"/>
      <c r="I399" s="800"/>
      <c r="J399" s="800"/>
      <c r="K399" s="800"/>
    </row>
    <row r="400" spans="1:11">
      <c r="A400" s="800"/>
      <c r="B400" s="800"/>
      <c r="C400" s="800"/>
      <c r="D400" s="800"/>
      <c r="E400" s="800"/>
      <c r="F400" s="800"/>
      <c r="G400" s="800"/>
      <c r="H400" s="800"/>
      <c r="I400" s="800"/>
      <c r="J400" s="800"/>
      <c r="K400" s="800"/>
    </row>
    <row r="401" spans="1:11">
      <c r="A401" s="800"/>
      <c r="B401" s="800"/>
      <c r="C401" s="800"/>
      <c r="D401" s="800"/>
      <c r="E401" s="800"/>
      <c r="F401" s="800"/>
      <c r="G401" s="800"/>
      <c r="H401" s="800"/>
      <c r="I401" s="800"/>
      <c r="J401" s="800"/>
      <c r="K401" s="800"/>
    </row>
    <row r="402" spans="1:11">
      <c r="A402" s="800"/>
      <c r="B402" s="800"/>
      <c r="C402" s="800"/>
      <c r="D402" s="800"/>
      <c r="E402" s="800"/>
      <c r="F402" s="800"/>
      <c r="G402" s="800"/>
      <c r="H402" s="800"/>
      <c r="I402" s="800"/>
      <c r="J402" s="800"/>
      <c r="K402" s="800"/>
    </row>
    <row r="403" spans="1:11">
      <c r="A403" s="800"/>
      <c r="B403" s="800"/>
      <c r="C403" s="800"/>
      <c r="D403" s="800"/>
      <c r="E403" s="800"/>
      <c r="F403" s="800"/>
      <c r="G403" s="800"/>
      <c r="H403" s="800"/>
      <c r="I403" s="800"/>
      <c r="J403" s="800"/>
      <c r="K403" s="800"/>
    </row>
    <row r="404" spans="1:11">
      <c r="A404" s="800"/>
      <c r="B404" s="800"/>
      <c r="C404" s="800"/>
      <c r="D404" s="800"/>
      <c r="E404" s="800"/>
      <c r="F404" s="800"/>
      <c r="G404" s="800"/>
      <c r="H404" s="800"/>
      <c r="I404" s="800"/>
      <c r="J404" s="800"/>
      <c r="K404" s="800"/>
    </row>
    <row r="405" spans="1:11">
      <c r="A405" s="800"/>
      <c r="B405" s="800"/>
      <c r="C405" s="800"/>
      <c r="D405" s="800"/>
      <c r="E405" s="800"/>
      <c r="F405" s="800"/>
      <c r="G405" s="800"/>
      <c r="H405" s="800"/>
      <c r="I405" s="800"/>
      <c r="J405" s="800"/>
      <c r="K405" s="800"/>
    </row>
    <row r="406" spans="1:11">
      <c r="A406" s="800"/>
      <c r="B406" s="800"/>
      <c r="C406" s="800"/>
      <c r="D406" s="800"/>
      <c r="E406" s="800"/>
      <c r="F406" s="800"/>
      <c r="G406" s="800"/>
      <c r="H406" s="800"/>
      <c r="I406" s="800"/>
      <c r="J406" s="800"/>
      <c r="K406" s="800"/>
    </row>
    <row r="407" spans="1:11">
      <c r="A407" s="800"/>
      <c r="B407" s="800"/>
      <c r="C407" s="800"/>
      <c r="D407" s="800"/>
      <c r="E407" s="800"/>
      <c r="F407" s="800"/>
      <c r="G407" s="800"/>
      <c r="H407" s="800"/>
      <c r="I407" s="800"/>
      <c r="J407" s="800"/>
      <c r="K407" s="800"/>
    </row>
    <row r="408" spans="1:11">
      <c r="A408" s="800"/>
      <c r="B408" s="800"/>
      <c r="C408" s="800"/>
      <c r="D408" s="800"/>
      <c r="E408" s="800"/>
      <c r="F408" s="800"/>
      <c r="G408" s="800"/>
      <c r="H408" s="800"/>
      <c r="I408" s="800"/>
      <c r="J408" s="800"/>
      <c r="K408" s="800"/>
    </row>
    <row r="409" spans="1:11">
      <c r="A409" s="800"/>
      <c r="B409" s="800"/>
      <c r="C409" s="800"/>
      <c r="D409" s="800"/>
      <c r="E409" s="800"/>
      <c r="F409" s="800"/>
      <c r="G409" s="800"/>
      <c r="H409" s="800"/>
      <c r="I409" s="800"/>
      <c r="J409" s="800"/>
      <c r="K409" s="800"/>
    </row>
    <row r="410" spans="1:11">
      <c r="A410" s="800"/>
      <c r="B410" s="800"/>
      <c r="C410" s="800"/>
      <c r="D410" s="800"/>
      <c r="E410" s="800"/>
      <c r="F410" s="800"/>
      <c r="G410" s="800"/>
      <c r="H410" s="800"/>
      <c r="I410" s="800"/>
      <c r="J410" s="800"/>
      <c r="K410" s="800"/>
    </row>
    <row r="411" spans="1:11">
      <c r="A411" s="800"/>
      <c r="B411" s="800"/>
      <c r="C411" s="800"/>
      <c r="D411" s="800"/>
      <c r="E411" s="800"/>
      <c r="F411" s="800"/>
      <c r="G411" s="800"/>
      <c r="H411" s="800"/>
      <c r="I411" s="800"/>
      <c r="J411" s="800"/>
      <c r="K411" s="800"/>
    </row>
    <row r="412" spans="1:11">
      <c r="A412" s="800"/>
      <c r="B412" s="800"/>
      <c r="C412" s="800"/>
      <c r="D412" s="800"/>
      <c r="E412" s="800"/>
      <c r="F412" s="800"/>
      <c r="G412" s="800"/>
      <c r="H412" s="800"/>
      <c r="I412" s="800"/>
      <c r="J412" s="800"/>
      <c r="K412" s="800"/>
    </row>
    <row r="413" spans="1:11">
      <c r="A413" s="800"/>
      <c r="B413" s="800"/>
      <c r="C413" s="800"/>
      <c r="D413" s="800"/>
      <c r="E413" s="800"/>
      <c r="F413" s="800"/>
      <c r="G413" s="800"/>
      <c r="H413" s="800"/>
      <c r="I413" s="800"/>
      <c r="J413" s="800"/>
      <c r="K413" s="800"/>
    </row>
    <row r="414" spans="1:11">
      <c r="A414" s="800"/>
      <c r="B414" s="800"/>
      <c r="C414" s="800"/>
      <c r="D414" s="800"/>
      <c r="E414" s="800"/>
      <c r="F414" s="800"/>
      <c r="G414" s="800"/>
      <c r="H414" s="800"/>
      <c r="I414" s="800"/>
      <c r="J414" s="800"/>
      <c r="K414" s="800"/>
    </row>
    <row r="415" spans="1:11">
      <c r="A415" s="800"/>
      <c r="B415" s="800"/>
      <c r="C415" s="800"/>
      <c r="D415" s="800"/>
      <c r="E415" s="800"/>
      <c r="F415" s="800"/>
      <c r="G415" s="800"/>
      <c r="H415" s="800"/>
      <c r="I415" s="800"/>
      <c r="J415" s="800"/>
      <c r="K415" s="800"/>
    </row>
    <row r="416" spans="1:11">
      <c r="A416" s="800"/>
      <c r="B416" s="800"/>
      <c r="C416" s="800"/>
      <c r="D416" s="800"/>
      <c r="E416" s="800"/>
      <c r="F416" s="800"/>
      <c r="G416" s="800"/>
      <c r="H416" s="800"/>
      <c r="I416" s="800"/>
      <c r="J416" s="800"/>
      <c r="K416" s="800"/>
    </row>
    <row r="417" spans="1:11">
      <c r="A417" s="800"/>
      <c r="B417" s="800"/>
      <c r="C417" s="800"/>
      <c r="D417" s="800"/>
      <c r="E417" s="800"/>
      <c r="F417" s="800"/>
      <c r="G417" s="800"/>
      <c r="H417" s="800"/>
      <c r="I417" s="800"/>
      <c r="J417" s="800"/>
      <c r="K417" s="800"/>
    </row>
    <row r="418" spans="1:11">
      <c r="A418" s="800"/>
      <c r="B418" s="800"/>
      <c r="C418" s="800"/>
      <c r="D418" s="800"/>
      <c r="E418" s="800"/>
      <c r="F418" s="800"/>
      <c r="G418" s="800"/>
      <c r="H418" s="800"/>
      <c r="I418" s="800"/>
      <c r="J418" s="800"/>
      <c r="K418" s="800"/>
    </row>
    <row r="419" spans="1:11">
      <c r="A419" s="800"/>
      <c r="B419" s="800"/>
      <c r="C419" s="800"/>
      <c r="D419" s="800"/>
      <c r="E419" s="800"/>
      <c r="F419" s="800"/>
      <c r="G419" s="800"/>
      <c r="H419" s="800"/>
      <c r="I419" s="800"/>
      <c r="J419" s="800"/>
      <c r="K419" s="800"/>
    </row>
    <row r="420" spans="1:11">
      <c r="A420" s="800"/>
      <c r="B420" s="800"/>
      <c r="C420" s="800"/>
      <c r="D420" s="800"/>
      <c r="E420" s="800"/>
      <c r="F420" s="800"/>
      <c r="G420" s="800"/>
      <c r="H420" s="800"/>
      <c r="I420" s="800"/>
      <c r="J420" s="800"/>
      <c r="K420" s="800"/>
    </row>
    <row r="421" spans="1:11">
      <c r="A421" s="800"/>
      <c r="B421" s="800"/>
      <c r="C421" s="800"/>
      <c r="D421" s="800"/>
      <c r="E421" s="800"/>
      <c r="F421" s="800"/>
      <c r="G421" s="800"/>
      <c r="H421" s="800"/>
      <c r="I421" s="800"/>
      <c r="J421" s="800"/>
      <c r="K421" s="800"/>
    </row>
    <row r="422" spans="1:11">
      <c r="A422" s="800"/>
      <c r="B422" s="800"/>
      <c r="C422" s="800"/>
      <c r="D422" s="800"/>
      <c r="E422" s="800"/>
      <c r="F422" s="800"/>
      <c r="G422" s="800"/>
      <c r="H422" s="800"/>
      <c r="I422" s="800"/>
      <c r="J422" s="800"/>
      <c r="K422" s="800"/>
    </row>
    <row r="423" spans="1:11">
      <c r="A423" s="800"/>
      <c r="B423" s="800"/>
      <c r="C423" s="800"/>
      <c r="D423" s="800"/>
      <c r="E423" s="800"/>
      <c r="F423" s="800"/>
      <c r="G423" s="800"/>
      <c r="H423" s="800"/>
      <c r="I423" s="800"/>
      <c r="J423" s="800"/>
      <c r="K423" s="800"/>
    </row>
    <row r="424" spans="1:11">
      <c r="A424" s="800"/>
      <c r="B424" s="800"/>
      <c r="C424" s="800"/>
      <c r="D424" s="800"/>
      <c r="E424" s="800"/>
      <c r="F424" s="800"/>
      <c r="G424" s="800"/>
      <c r="H424" s="800"/>
      <c r="I424" s="800"/>
      <c r="J424" s="800"/>
      <c r="K424" s="800"/>
    </row>
    <row r="425" spans="1:11">
      <c r="A425" s="800"/>
      <c r="B425" s="800"/>
      <c r="C425" s="800"/>
      <c r="D425" s="800"/>
      <c r="E425" s="800"/>
      <c r="F425" s="800"/>
      <c r="G425" s="800"/>
      <c r="H425" s="800"/>
      <c r="I425" s="800"/>
      <c r="J425" s="800"/>
      <c r="K425" s="800"/>
    </row>
    <row r="426" spans="1:11">
      <c r="A426" s="800"/>
      <c r="B426" s="800"/>
      <c r="C426" s="800"/>
      <c r="D426" s="800"/>
      <c r="E426" s="800"/>
      <c r="F426" s="800"/>
      <c r="G426" s="800"/>
      <c r="H426" s="800"/>
      <c r="I426" s="800"/>
      <c r="J426" s="800"/>
      <c r="K426" s="800"/>
    </row>
    <row r="427" spans="1:11">
      <c r="A427" s="800"/>
      <c r="B427" s="800"/>
      <c r="C427" s="800"/>
      <c r="D427" s="800"/>
      <c r="E427" s="800"/>
      <c r="F427" s="800"/>
      <c r="G427" s="800"/>
      <c r="H427" s="800"/>
      <c r="I427" s="800"/>
      <c r="J427" s="800"/>
      <c r="K427" s="800"/>
    </row>
    <row r="428" spans="1:11">
      <c r="A428" s="800"/>
      <c r="B428" s="800"/>
      <c r="C428" s="800"/>
      <c r="D428" s="800"/>
      <c r="E428" s="800"/>
      <c r="F428" s="800"/>
      <c r="G428" s="800"/>
      <c r="H428" s="800"/>
      <c r="I428" s="800"/>
      <c r="J428" s="800"/>
      <c r="K428" s="800"/>
    </row>
    <row r="429" spans="1:11">
      <c r="A429" s="800"/>
      <c r="B429" s="800"/>
      <c r="C429" s="800"/>
      <c r="D429" s="800"/>
      <c r="E429" s="800"/>
      <c r="F429" s="800"/>
      <c r="G429" s="800"/>
      <c r="H429" s="800"/>
      <c r="I429" s="800"/>
      <c r="J429" s="800"/>
      <c r="K429" s="800"/>
    </row>
    <row r="430" spans="1:11">
      <c r="A430" s="800"/>
      <c r="B430" s="800"/>
      <c r="C430" s="800"/>
      <c r="D430" s="800"/>
      <c r="E430" s="800"/>
      <c r="F430" s="800"/>
      <c r="G430" s="800"/>
      <c r="H430" s="800"/>
      <c r="I430" s="800"/>
      <c r="J430" s="800"/>
      <c r="K430" s="800"/>
    </row>
    <row r="431" spans="1:11">
      <c r="A431" s="800"/>
      <c r="B431" s="800"/>
      <c r="C431" s="800"/>
      <c r="D431" s="800"/>
      <c r="E431" s="800"/>
      <c r="F431" s="800"/>
      <c r="G431" s="800"/>
      <c r="H431" s="800"/>
      <c r="I431" s="800"/>
      <c r="J431" s="800"/>
      <c r="K431" s="800"/>
    </row>
    <row r="432" spans="1:11">
      <c r="A432" s="800"/>
      <c r="B432" s="800"/>
      <c r="C432" s="800"/>
      <c r="D432" s="800"/>
      <c r="E432" s="800"/>
      <c r="F432" s="800"/>
      <c r="G432" s="800"/>
      <c r="H432" s="800"/>
      <c r="I432" s="800"/>
      <c r="J432" s="800"/>
      <c r="K432" s="800"/>
    </row>
    <row r="433" spans="1:11">
      <c r="A433" s="800"/>
      <c r="B433" s="800"/>
      <c r="C433" s="800"/>
      <c r="D433" s="800"/>
      <c r="E433" s="800"/>
      <c r="F433" s="800"/>
      <c r="G433" s="800"/>
      <c r="H433" s="800"/>
      <c r="I433" s="800"/>
      <c r="J433" s="800"/>
      <c r="K433" s="800"/>
    </row>
    <row r="434" spans="1:11">
      <c r="A434" s="800"/>
      <c r="B434" s="800"/>
      <c r="C434" s="800"/>
      <c r="D434" s="800"/>
      <c r="E434" s="800"/>
      <c r="F434" s="800"/>
      <c r="G434" s="800"/>
      <c r="H434" s="800"/>
      <c r="I434" s="800"/>
      <c r="J434" s="800"/>
      <c r="K434" s="800"/>
    </row>
    <row r="435" spans="1:11">
      <c r="A435" s="800"/>
      <c r="B435" s="800"/>
      <c r="C435" s="800"/>
      <c r="D435" s="800"/>
      <c r="E435" s="800"/>
      <c r="F435" s="800"/>
      <c r="G435" s="800"/>
      <c r="H435" s="800"/>
      <c r="I435" s="800"/>
      <c r="J435" s="800"/>
      <c r="K435" s="800"/>
    </row>
    <row r="436" spans="1:11">
      <c r="A436" s="800"/>
      <c r="B436" s="800"/>
      <c r="C436" s="800"/>
      <c r="D436" s="800"/>
      <c r="E436" s="800"/>
      <c r="F436" s="800"/>
      <c r="G436" s="800"/>
      <c r="H436" s="800"/>
      <c r="I436" s="800"/>
      <c r="J436" s="800"/>
      <c r="K436" s="800"/>
    </row>
    <row r="437" spans="1:11">
      <c r="A437" s="800"/>
      <c r="B437" s="800"/>
      <c r="C437" s="800"/>
      <c r="D437" s="800"/>
      <c r="E437" s="800"/>
      <c r="F437" s="800"/>
      <c r="G437" s="800"/>
      <c r="H437" s="800"/>
      <c r="I437" s="800"/>
      <c r="J437" s="800"/>
      <c r="K437" s="800"/>
    </row>
    <row r="438" spans="1:11">
      <c r="A438" s="800"/>
      <c r="B438" s="800"/>
      <c r="C438" s="800"/>
      <c r="D438" s="800"/>
      <c r="E438" s="800"/>
      <c r="F438" s="800"/>
      <c r="G438" s="800"/>
      <c r="H438" s="800"/>
      <c r="I438" s="800"/>
      <c r="J438" s="800"/>
      <c r="K438" s="800"/>
    </row>
    <row r="439" spans="1:11">
      <c r="A439" s="800"/>
      <c r="B439" s="800"/>
      <c r="C439" s="800"/>
      <c r="D439" s="800"/>
      <c r="E439" s="800"/>
      <c r="F439" s="800"/>
      <c r="G439" s="800"/>
      <c r="H439" s="800"/>
      <c r="I439" s="800"/>
      <c r="J439" s="800"/>
      <c r="K439" s="800"/>
    </row>
    <row r="440" spans="1:11">
      <c r="A440" s="800"/>
      <c r="B440" s="800"/>
      <c r="C440" s="800"/>
      <c r="D440" s="800"/>
      <c r="E440" s="800"/>
      <c r="F440" s="800"/>
      <c r="G440" s="800"/>
      <c r="H440" s="800"/>
      <c r="I440" s="800"/>
      <c r="J440" s="800"/>
      <c r="K440" s="800"/>
    </row>
    <row r="441" spans="1:11">
      <c r="A441" s="800"/>
      <c r="B441" s="800"/>
      <c r="C441" s="800"/>
      <c r="D441" s="800"/>
      <c r="E441" s="800"/>
      <c r="F441" s="800"/>
      <c r="G441" s="800"/>
      <c r="H441" s="800"/>
      <c r="I441" s="800"/>
      <c r="J441" s="800"/>
      <c r="K441" s="800"/>
    </row>
    <row r="442" spans="1:11">
      <c r="A442" s="800"/>
      <c r="B442" s="800"/>
      <c r="C442" s="800"/>
      <c r="D442" s="800"/>
      <c r="E442" s="800"/>
      <c r="F442" s="800"/>
      <c r="G442" s="800"/>
      <c r="H442" s="800"/>
      <c r="I442" s="800"/>
      <c r="J442" s="800"/>
      <c r="K442" s="800"/>
    </row>
    <row r="443" spans="1:11">
      <c r="A443" s="800"/>
      <c r="B443" s="800"/>
      <c r="C443" s="800"/>
      <c r="D443" s="800"/>
      <c r="E443" s="800"/>
      <c r="F443" s="800"/>
      <c r="G443" s="800"/>
      <c r="H443" s="800"/>
      <c r="I443" s="800"/>
      <c r="J443" s="800"/>
      <c r="K443" s="800"/>
    </row>
    <row r="444" spans="1:11">
      <c r="A444" s="800"/>
      <c r="B444" s="800"/>
      <c r="C444" s="800"/>
      <c r="D444" s="800"/>
      <c r="E444" s="800"/>
      <c r="F444" s="800"/>
      <c r="G444" s="800"/>
      <c r="H444" s="800"/>
      <c r="I444" s="800"/>
      <c r="J444" s="800"/>
      <c r="K444" s="800"/>
    </row>
    <row r="445" spans="1:11">
      <c r="A445" s="800"/>
      <c r="B445" s="800"/>
      <c r="C445" s="800"/>
      <c r="D445" s="800"/>
      <c r="E445" s="800"/>
      <c r="F445" s="800"/>
      <c r="G445" s="800"/>
      <c r="H445" s="800"/>
      <c r="I445" s="800"/>
      <c r="J445" s="800"/>
      <c r="K445" s="800"/>
    </row>
    <row r="446" spans="1:11">
      <c r="A446" s="800"/>
      <c r="B446" s="800"/>
      <c r="C446" s="800"/>
      <c r="D446" s="800"/>
      <c r="E446" s="800"/>
      <c r="F446" s="800"/>
      <c r="G446" s="800"/>
      <c r="H446" s="800"/>
      <c r="I446" s="800"/>
      <c r="J446" s="800"/>
      <c r="K446" s="800"/>
    </row>
    <row r="447" spans="1:11">
      <c r="A447" s="800"/>
      <c r="B447" s="800"/>
      <c r="C447" s="800"/>
      <c r="D447" s="800"/>
      <c r="E447" s="800"/>
      <c r="F447" s="800"/>
      <c r="G447" s="800"/>
      <c r="H447" s="800"/>
      <c r="I447" s="800"/>
      <c r="J447" s="800"/>
      <c r="K447" s="800"/>
    </row>
    <row r="448" spans="1:11">
      <c r="A448" s="800"/>
      <c r="B448" s="800"/>
      <c r="C448" s="800"/>
      <c r="D448" s="800"/>
      <c r="E448" s="800"/>
      <c r="F448" s="800"/>
      <c r="G448" s="800"/>
      <c r="H448" s="800"/>
      <c r="I448" s="800"/>
      <c r="J448" s="800"/>
      <c r="K448" s="800"/>
    </row>
    <row r="449" spans="1:11">
      <c r="A449" s="800"/>
      <c r="B449" s="800"/>
      <c r="C449" s="800"/>
      <c r="D449" s="800"/>
      <c r="E449" s="800"/>
      <c r="F449" s="800"/>
      <c r="G449" s="800"/>
      <c r="H449" s="800"/>
      <c r="I449" s="800"/>
      <c r="J449" s="800"/>
      <c r="K449" s="800"/>
    </row>
    <row r="450" spans="1:11">
      <c r="A450" s="800"/>
      <c r="B450" s="800"/>
      <c r="C450" s="800"/>
      <c r="D450" s="800"/>
      <c r="E450" s="800"/>
      <c r="F450" s="800"/>
      <c r="G450" s="800"/>
      <c r="H450" s="800"/>
      <c r="I450" s="800"/>
      <c r="J450" s="800"/>
      <c r="K450" s="800"/>
    </row>
    <row r="451" spans="1:11">
      <c r="A451" s="800"/>
      <c r="B451" s="800"/>
      <c r="C451" s="800"/>
      <c r="D451" s="800"/>
      <c r="E451" s="800"/>
      <c r="F451" s="800"/>
      <c r="G451" s="800"/>
      <c r="H451" s="800"/>
      <c r="I451" s="800"/>
      <c r="J451" s="800"/>
      <c r="K451" s="800"/>
    </row>
    <row r="452" spans="1:11">
      <c r="A452" s="800"/>
      <c r="B452" s="800"/>
      <c r="C452" s="800"/>
      <c r="D452" s="800"/>
      <c r="E452" s="800"/>
      <c r="F452" s="800"/>
      <c r="G452" s="800"/>
      <c r="H452" s="800"/>
      <c r="I452" s="800"/>
      <c r="J452" s="800"/>
      <c r="K452" s="800"/>
    </row>
    <row r="453" spans="1:11">
      <c r="A453" s="800"/>
      <c r="B453" s="800"/>
      <c r="C453" s="800"/>
      <c r="D453" s="800"/>
      <c r="E453" s="800"/>
      <c r="F453" s="800"/>
      <c r="G453" s="800"/>
      <c r="H453" s="800"/>
      <c r="I453" s="800"/>
      <c r="J453" s="800"/>
      <c r="K453" s="800"/>
    </row>
    <row r="454" spans="1:11">
      <c r="A454" s="800"/>
      <c r="B454" s="800"/>
      <c r="C454" s="800"/>
      <c r="D454" s="800"/>
      <c r="E454" s="800"/>
      <c r="F454" s="800"/>
      <c r="G454" s="800"/>
      <c r="H454" s="800"/>
      <c r="I454" s="800"/>
      <c r="J454" s="800"/>
      <c r="K454" s="800"/>
    </row>
    <row r="455" spans="1:11">
      <c r="A455" s="800"/>
      <c r="B455" s="800"/>
      <c r="C455" s="800"/>
      <c r="D455" s="800"/>
      <c r="E455" s="800"/>
      <c r="F455" s="800"/>
      <c r="G455" s="800"/>
      <c r="H455" s="800"/>
      <c r="I455" s="800"/>
      <c r="J455" s="800"/>
      <c r="K455" s="800"/>
    </row>
    <row r="456" spans="1:11">
      <c r="A456" s="800"/>
      <c r="B456" s="800"/>
      <c r="C456" s="800"/>
      <c r="D456" s="800"/>
      <c r="E456" s="800"/>
      <c r="F456" s="800"/>
      <c r="G456" s="800"/>
      <c r="H456" s="800"/>
      <c r="I456" s="800"/>
      <c r="J456" s="800"/>
      <c r="K456" s="800"/>
    </row>
    <row r="457" spans="1:11">
      <c r="A457" s="800"/>
      <c r="B457" s="800"/>
      <c r="C457" s="800"/>
      <c r="D457" s="800"/>
      <c r="E457" s="800"/>
      <c r="F457" s="800"/>
      <c r="G457" s="800"/>
      <c r="H457" s="800"/>
      <c r="I457" s="800"/>
      <c r="J457" s="800"/>
      <c r="K457" s="800"/>
    </row>
    <row r="458" spans="1:11">
      <c r="A458" s="800"/>
      <c r="B458" s="800"/>
      <c r="C458" s="800"/>
      <c r="D458" s="800"/>
      <c r="E458" s="800"/>
      <c r="F458" s="800"/>
      <c r="G458" s="800"/>
      <c r="H458" s="800"/>
      <c r="I458" s="800"/>
      <c r="J458" s="800"/>
      <c r="K458" s="800"/>
    </row>
    <row r="459" spans="1:11">
      <c r="A459" s="800"/>
      <c r="B459" s="800"/>
      <c r="C459" s="800"/>
      <c r="D459" s="800"/>
      <c r="E459" s="800"/>
      <c r="F459" s="800"/>
      <c r="G459" s="800"/>
      <c r="H459" s="800"/>
      <c r="I459" s="800"/>
      <c r="J459" s="800"/>
      <c r="K459" s="800"/>
    </row>
    <row r="460" spans="1:11">
      <c r="A460" s="800"/>
      <c r="B460" s="800"/>
      <c r="C460" s="800"/>
      <c r="D460" s="800"/>
      <c r="E460" s="800"/>
      <c r="F460" s="800"/>
      <c r="G460" s="800"/>
      <c r="H460" s="800"/>
      <c r="I460" s="800"/>
      <c r="J460" s="800"/>
      <c r="K460" s="800"/>
    </row>
    <row r="461" spans="1:11">
      <c r="A461" s="800"/>
      <c r="B461" s="800"/>
      <c r="C461" s="800"/>
      <c r="D461" s="800"/>
      <c r="E461" s="800"/>
      <c r="F461" s="800"/>
      <c r="G461" s="800"/>
      <c r="H461" s="800"/>
      <c r="I461" s="800"/>
      <c r="J461" s="800"/>
      <c r="K461" s="800"/>
    </row>
    <row r="462" spans="1:11">
      <c r="A462" s="800"/>
      <c r="B462" s="800"/>
      <c r="C462" s="800"/>
      <c r="D462" s="800"/>
      <c r="E462" s="800"/>
      <c r="F462" s="800"/>
      <c r="G462" s="800"/>
      <c r="H462" s="800"/>
      <c r="I462" s="800"/>
      <c r="J462" s="800"/>
      <c r="K462" s="800"/>
    </row>
    <row r="463" spans="1:11">
      <c r="A463" s="800"/>
      <c r="B463" s="800"/>
      <c r="C463" s="800"/>
      <c r="D463" s="800"/>
      <c r="E463" s="800"/>
      <c r="F463" s="800"/>
      <c r="G463" s="800"/>
      <c r="H463" s="800"/>
      <c r="I463" s="800"/>
      <c r="J463" s="800"/>
      <c r="K463" s="800"/>
    </row>
    <row r="464" spans="1:11">
      <c r="A464" s="800"/>
      <c r="B464" s="800"/>
      <c r="C464" s="800"/>
      <c r="D464" s="800"/>
      <c r="E464" s="800"/>
      <c r="F464" s="800"/>
      <c r="G464" s="800"/>
      <c r="H464" s="800"/>
      <c r="I464" s="800"/>
      <c r="J464" s="800"/>
      <c r="K464" s="800"/>
    </row>
    <row r="465" spans="1:11">
      <c r="A465" s="800"/>
      <c r="B465" s="800"/>
      <c r="C465" s="800"/>
      <c r="D465" s="800"/>
      <c r="E465" s="800"/>
      <c r="F465" s="800"/>
      <c r="G465" s="800"/>
      <c r="H465" s="800"/>
      <c r="I465" s="800"/>
      <c r="J465" s="800"/>
      <c r="K465" s="800"/>
    </row>
    <row r="466" spans="1:11">
      <c r="A466" s="800"/>
      <c r="B466" s="800"/>
      <c r="C466" s="800"/>
      <c r="D466" s="800"/>
      <c r="E466" s="800"/>
      <c r="F466" s="800"/>
      <c r="G466" s="800"/>
      <c r="H466" s="800"/>
      <c r="I466" s="800"/>
      <c r="J466" s="800"/>
      <c r="K466" s="800"/>
    </row>
    <row r="467" spans="1:11">
      <c r="A467" s="800"/>
      <c r="B467" s="800"/>
      <c r="C467" s="800"/>
      <c r="D467" s="800"/>
      <c r="E467" s="800"/>
      <c r="F467" s="800"/>
      <c r="G467" s="800"/>
      <c r="H467" s="800"/>
      <c r="I467" s="800"/>
      <c r="J467" s="800"/>
      <c r="K467" s="800"/>
    </row>
    <row r="468" spans="1:11">
      <c r="A468" s="800"/>
      <c r="B468" s="800"/>
      <c r="C468" s="800"/>
      <c r="D468" s="800"/>
      <c r="E468" s="800"/>
      <c r="F468" s="800"/>
      <c r="G468" s="800"/>
      <c r="H468" s="800"/>
      <c r="I468" s="800"/>
      <c r="J468" s="800"/>
      <c r="K468" s="800"/>
    </row>
    <row r="469" spans="1:11">
      <c r="A469" s="800"/>
      <c r="B469" s="800"/>
      <c r="C469" s="800"/>
      <c r="D469" s="800"/>
      <c r="E469" s="800"/>
      <c r="F469" s="800"/>
      <c r="G469" s="800"/>
      <c r="H469" s="800"/>
      <c r="I469" s="800"/>
      <c r="J469" s="800"/>
      <c r="K469" s="800"/>
    </row>
    <row r="470" spans="1:11">
      <c r="A470" s="800"/>
      <c r="B470" s="800"/>
      <c r="C470" s="800"/>
      <c r="D470" s="800"/>
      <c r="E470" s="800"/>
      <c r="F470" s="800"/>
      <c r="G470" s="800"/>
      <c r="H470" s="800"/>
      <c r="I470" s="800"/>
      <c r="J470" s="800"/>
      <c r="K470" s="800"/>
    </row>
    <row r="471" spans="1:11">
      <c r="A471" s="800"/>
      <c r="B471" s="800"/>
      <c r="C471" s="800"/>
      <c r="D471" s="800"/>
      <c r="E471" s="800"/>
      <c r="F471" s="800"/>
      <c r="G471" s="800"/>
      <c r="H471" s="800"/>
      <c r="I471" s="800"/>
      <c r="J471" s="800"/>
      <c r="K471" s="800"/>
    </row>
    <row r="472" spans="1:11">
      <c r="A472" s="800"/>
      <c r="B472" s="800"/>
      <c r="C472" s="800"/>
      <c r="D472" s="800"/>
      <c r="E472" s="800"/>
      <c r="F472" s="800"/>
      <c r="G472" s="800"/>
      <c r="H472" s="800"/>
      <c r="I472" s="800"/>
      <c r="J472" s="800"/>
      <c r="K472" s="800"/>
    </row>
    <row r="473" spans="1:11">
      <c r="A473" s="800"/>
      <c r="B473" s="800"/>
      <c r="C473" s="800"/>
      <c r="D473" s="800"/>
      <c r="E473" s="800"/>
      <c r="F473" s="800"/>
      <c r="G473" s="800"/>
      <c r="H473" s="800"/>
      <c r="I473" s="800"/>
      <c r="J473" s="800"/>
      <c r="K473" s="800"/>
    </row>
    <row r="474" spans="1:11">
      <c r="A474" s="800"/>
      <c r="B474" s="800"/>
      <c r="C474" s="800"/>
      <c r="D474" s="800"/>
      <c r="E474" s="800"/>
      <c r="F474" s="800"/>
      <c r="G474" s="800"/>
      <c r="H474" s="800"/>
      <c r="I474" s="800"/>
      <c r="J474" s="800"/>
      <c r="K474" s="800"/>
    </row>
    <row r="475" spans="1:11">
      <c r="A475" s="800"/>
      <c r="B475" s="800"/>
      <c r="C475" s="800"/>
      <c r="D475" s="800"/>
      <c r="E475" s="800"/>
      <c r="F475" s="800"/>
      <c r="G475" s="800"/>
      <c r="H475" s="800"/>
      <c r="I475" s="800"/>
      <c r="J475" s="800"/>
      <c r="K475" s="800"/>
    </row>
    <row r="476" spans="1:11">
      <c r="A476" s="800"/>
      <c r="B476" s="800"/>
      <c r="C476" s="800"/>
      <c r="D476" s="800"/>
      <c r="E476" s="800"/>
      <c r="F476" s="800"/>
      <c r="G476" s="800"/>
      <c r="H476" s="800"/>
      <c r="I476" s="800"/>
      <c r="J476" s="800"/>
      <c r="K476" s="800"/>
    </row>
    <row r="477" spans="1:11">
      <c r="A477" s="800"/>
      <c r="B477" s="800"/>
      <c r="C477" s="800"/>
      <c r="D477" s="800"/>
      <c r="E477" s="800"/>
      <c r="F477" s="800"/>
      <c r="G477" s="800"/>
      <c r="H477" s="800"/>
      <c r="I477" s="800"/>
      <c r="J477" s="800"/>
      <c r="K477" s="800"/>
    </row>
    <row r="478" spans="1:11">
      <c r="A478" s="800"/>
      <c r="B478" s="800"/>
      <c r="C478" s="800"/>
      <c r="D478" s="800"/>
      <c r="E478" s="800"/>
      <c r="F478" s="800"/>
      <c r="G478" s="800"/>
      <c r="H478" s="800"/>
      <c r="I478" s="800"/>
      <c r="J478" s="800"/>
      <c r="K478" s="800"/>
    </row>
    <row r="479" spans="1:11">
      <c r="A479" s="800"/>
      <c r="B479" s="800"/>
      <c r="C479" s="800"/>
      <c r="D479" s="800"/>
      <c r="E479" s="800"/>
      <c r="F479" s="800"/>
      <c r="G479" s="800"/>
      <c r="H479" s="800"/>
      <c r="I479" s="800"/>
      <c r="J479" s="800"/>
      <c r="K479" s="800"/>
    </row>
    <row r="480" spans="1:11">
      <c r="A480" s="800"/>
      <c r="B480" s="800"/>
      <c r="C480" s="800"/>
      <c r="D480" s="800"/>
      <c r="E480" s="800"/>
      <c r="F480" s="800"/>
      <c r="G480" s="800"/>
      <c r="H480" s="800"/>
      <c r="I480" s="800"/>
      <c r="J480" s="800"/>
      <c r="K480" s="800"/>
    </row>
    <row r="481" spans="1:11">
      <c r="A481" s="800"/>
      <c r="B481" s="800"/>
      <c r="C481" s="800"/>
      <c r="D481" s="800"/>
      <c r="E481" s="800"/>
      <c r="F481" s="800"/>
      <c r="G481" s="800"/>
      <c r="H481" s="800"/>
      <c r="I481" s="800"/>
      <c r="J481" s="800"/>
      <c r="K481" s="800"/>
    </row>
    <row r="482" spans="1:11">
      <c r="A482" s="800"/>
      <c r="B482" s="800"/>
      <c r="C482" s="800"/>
      <c r="D482" s="800"/>
      <c r="E482" s="800"/>
      <c r="F482" s="800"/>
      <c r="G482" s="800"/>
      <c r="H482" s="800"/>
      <c r="I482" s="800"/>
      <c r="J482" s="800"/>
      <c r="K482" s="800"/>
    </row>
    <row r="483" spans="1:11">
      <c r="A483" s="800"/>
      <c r="B483" s="800"/>
      <c r="C483" s="800"/>
      <c r="D483" s="800"/>
      <c r="E483" s="800"/>
      <c r="F483" s="800"/>
      <c r="G483" s="800"/>
      <c r="H483" s="800"/>
      <c r="I483" s="800"/>
      <c r="J483" s="800"/>
      <c r="K483" s="800"/>
    </row>
    <row r="484" spans="1:11">
      <c r="A484" s="800"/>
      <c r="B484" s="800"/>
      <c r="C484" s="800"/>
      <c r="D484" s="800"/>
      <c r="E484" s="800"/>
      <c r="F484" s="800"/>
      <c r="G484" s="800"/>
      <c r="H484" s="800"/>
      <c r="I484" s="800"/>
      <c r="J484" s="800"/>
      <c r="K484" s="800"/>
    </row>
    <row r="485" spans="1:11">
      <c r="A485" s="800"/>
      <c r="B485" s="800"/>
      <c r="C485" s="800"/>
      <c r="D485" s="800"/>
      <c r="E485" s="800"/>
      <c r="F485" s="800"/>
      <c r="G485" s="800"/>
      <c r="H485" s="800"/>
      <c r="I485" s="800"/>
      <c r="J485" s="800"/>
      <c r="K485" s="800"/>
    </row>
    <row r="486" spans="1:11">
      <c r="A486" s="800"/>
      <c r="B486" s="800"/>
      <c r="C486" s="800"/>
      <c r="D486" s="800"/>
      <c r="E486" s="800"/>
      <c r="F486" s="800"/>
      <c r="G486" s="800"/>
      <c r="H486" s="800"/>
      <c r="I486" s="800"/>
      <c r="J486" s="800"/>
      <c r="K486" s="800"/>
    </row>
    <row r="487" spans="1:11">
      <c r="A487" s="800"/>
      <c r="B487" s="800"/>
      <c r="C487" s="800"/>
      <c r="D487" s="800"/>
      <c r="E487" s="800"/>
      <c r="F487" s="800"/>
      <c r="G487" s="800"/>
      <c r="H487" s="800"/>
      <c r="I487" s="800"/>
      <c r="J487" s="800"/>
      <c r="K487" s="800"/>
    </row>
    <row r="488" spans="1:11">
      <c r="A488" s="800"/>
      <c r="B488" s="800"/>
      <c r="C488" s="800"/>
      <c r="D488" s="800"/>
      <c r="E488" s="800"/>
      <c r="F488" s="800"/>
      <c r="G488" s="800"/>
      <c r="H488" s="800"/>
      <c r="I488" s="800"/>
      <c r="J488" s="800"/>
      <c r="K488" s="800"/>
    </row>
    <row r="489" spans="1:11">
      <c r="A489" s="800"/>
      <c r="B489" s="800"/>
      <c r="C489" s="800"/>
      <c r="D489" s="800"/>
      <c r="E489" s="800"/>
      <c r="F489" s="800"/>
      <c r="G489" s="800"/>
      <c r="H489" s="800"/>
      <c r="I489" s="800"/>
      <c r="J489" s="800"/>
      <c r="K489" s="800"/>
    </row>
    <row r="490" spans="1:11">
      <c r="A490" s="800"/>
      <c r="B490" s="800"/>
      <c r="C490" s="800"/>
      <c r="D490" s="800"/>
      <c r="E490" s="800"/>
      <c r="F490" s="800"/>
      <c r="G490" s="800"/>
      <c r="H490" s="800"/>
      <c r="I490" s="800"/>
      <c r="J490" s="800"/>
      <c r="K490" s="800"/>
    </row>
    <row r="491" spans="1:11">
      <c r="A491" s="800"/>
      <c r="B491" s="800"/>
      <c r="C491" s="800"/>
      <c r="D491" s="800"/>
      <c r="E491" s="800"/>
      <c r="F491" s="800"/>
      <c r="G491" s="800"/>
      <c r="H491" s="800"/>
      <c r="I491" s="800"/>
      <c r="J491" s="800"/>
      <c r="K491" s="800"/>
    </row>
    <row r="492" spans="1:11">
      <c r="A492" s="800"/>
      <c r="B492" s="800"/>
      <c r="C492" s="800"/>
      <c r="D492" s="800"/>
      <c r="E492" s="800"/>
      <c r="F492" s="800"/>
      <c r="G492" s="800"/>
      <c r="H492" s="800"/>
      <c r="I492" s="800"/>
      <c r="J492" s="800"/>
      <c r="K492" s="800"/>
    </row>
    <row r="493" spans="1:11">
      <c r="A493" s="800"/>
      <c r="B493" s="800"/>
      <c r="C493" s="800"/>
      <c r="D493" s="800"/>
      <c r="E493" s="800"/>
      <c r="F493" s="800"/>
      <c r="G493" s="800"/>
      <c r="H493" s="800"/>
      <c r="I493" s="800"/>
      <c r="J493" s="800"/>
      <c r="K493" s="800"/>
    </row>
    <row r="494" spans="1:11">
      <c r="A494" s="800"/>
      <c r="B494" s="800"/>
      <c r="C494" s="800"/>
      <c r="D494" s="800"/>
      <c r="E494" s="800"/>
      <c r="F494" s="800"/>
      <c r="G494" s="800"/>
      <c r="H494" s="800"/>
      <c r="I494" s="800"/>
      <c r="J494" s="800"/>
      <c r="K494" s="800"/>
    </row>
    <row r="495" spans="1:11">
      <c r="A495" s="800"/>
      <c r="B495" s="800"/>
      <c r="C495" s="800"/>
      <c r="D495" s="800"/>
      <c r="E495" s="800"/>
      <c r="F495" s="800"/>
      <c r="G495" s="800"/>
      <c r="H495" s="800"/>
      <c r="I495" s="800"/>
      <c r="J495" s="800"/>
      <c r="K495" s="800"/>
    </row>
    <row r="496" spans="1:11">
      <c r="A496" s="800"/>
      <c r="B496" s="800"/>
      <c r="C496" s="800"/>
      <c r="D496" s="800"/>
      <c r="E496" s="800"/>
      <c r="F496" s="800"/>
      <c r="G496" s="800"/>
      <c r="H496" s="800"/>
      <c r="I496" s="800"/>
      <c r="J496" s="800"/>
      <c r="K496" s="800"/>
    </row>
    <row r="497" spans="1:11">
      <c r="A497" s="800"/>
      <c r="B497" s="800"/>
      <c r="C497" s="800"/>
      <c r="D497" s="800"/>
      <c r="E497" s="800"/>
      <c r="F497" s="800"/>
      <c r="G497" s="800"/>
      <c r="H497" s="800"/>
      <c r="I497" s="800"/>
      <c r="J497" s="800"/>
      <c r="K497" s="800"/>
    </row>
    <row r="498" spans="1:11">
      <c r="A498" s="800"/>
      <c r="B498" s="800"/>
      <c r="C498" s="800"/>
      <c r="D498" s="800"/>
      <c r="E498" s="800"/>
      <c r="F498" s="800"/>
      <c r="G498" s="800"/>
      <c r="H498" s="800"/>
      <c r="I498" s="800"/>
      <c r="J498" s="800"/>
      <c r="K498" s="800"/>
    </row>
    <row r="499" spans="1:11">
      <c r="A499" s="800"/>
      <c r="B499" s="800"/>
      <c r="C499" s="800"/>
      <c r="D499" s="800"/>
      <c r="E499" s="800"/>
      <c r="F499" s="800"/>
      <c r="G499" s="800"/>
      <c r="H499" s="800"/>
      <c r="I499" s="800"/>
      <c r="J499" s="800"/>
      <c r="K499" s="800"/>
    </row>
    <row r="500" spans="1:11">
      <c r="A500" s="800"/>
      <c r="B500" s="800"/>
      <c r="C500" s="800"/>
      <c r="D500" s="800"/>
      <c r="E500" s="800"/>
      <c r="F500" s="800"/>
      <c r="G500" s="800"/>
      <c r="H500" s="800"/>
      <c r="I500" s="800"/>
      <c r="J500" s="800"/>
      <c r="K500" s="800"/>
    </row>
    <row r="501" spans="1:11">
      <c r="A501" s="800"/>
      <c r="B501" s="800"/>
      <c r="C501" s="800"/>
      <c r="D501" s="800"/>
      <c r="E501" s="800"/>
      <c r="F501" s="800"/>
      <c r="G501" s="800"/>
      <c r="H501" s="800"/>
      <c r="I501" s="800"/>
      <c r="J501" s="800"/>
      <c r="K501" s="800"/>
    </row>
    <row r="502" spans="1:11">
      <c r="A502" s="800"/>
      <c r="B502" s="800"/>
      <c r="C502" s="800"/>
      <c r="D502" s="800"/>
      <c r="E502" s="800"/>
      <c r="F502" s="800"/>
      <c r="G502" s="800"/>
      <c r="H502" s="800"/>
      <c r="I502" s="800"/>
      <c r="J502" s="800"/>
      <c r="K502" s="800"/>
    </row>
    <row r="503" spans="1:11">
      <c r="A503" s="800"/>
      <c r="B503" s="800"/>
      <c r="C503" s="800"/>
      <c r="D503" s="800"/>
      <c r="E503" s="800"/>
      <c r="F503" s="800"/>
      <c r="G503" s="800"/>
      <c r="H503" s="800"/>
      <c r="I503" s="800"/>
      <c r="J503" s="800"/>
      <c r="K503" s="800"/>
    </row>
    <row r="504" spans="1:11">
      <c r="A504" s="800"/>
      <c r="B504" s="800"/>
      <c r="C504" s="800"/>
      <c r="D504" s="800"/>
      <c r="E504" s="800"/>
      <c r="F504" s="800"/>
      <c r="G504" s="800"/>
      <c r="H504" s="800"/>
      <c r="I504" s="800"/>
      <c r="J504" s="800"/>
      <c r="K504" s="800"/>
    </row>
    <row r="505" spans="1:11">
      <c r="A505" s="800"/>
      <c r="B505" s="800"/>
      <c r="C505" s="800"/>
      <c r="D505" s="800"/>
      <c r="E505" s="800"/>
      <c r="F505" s="800"/>
      <c r="G505" s="800"/>
      <c r="H505" s="800"/>
      <c r="I505" s="800"/>
      <c r="J505" s="800"/>
      <c r="K505" s="800"/>
    </row>
    <row r="506" spans="1:11">
      <c r="A506" s="800"/>
      <c r="B506" s="800"/>
      <c r="C506" s="800"/>
      <c r="D506" s="800"/>
      <c r="E506" s="800"/>
      <c r="F506" s="800"/>
      <c r="G506" s="800"/>
      <c r="H506" s="800"/>
      <c r="I506" s="800"/>
      <c r="J506" s="800"/>
      <c r="K506" s="800"/>
    </row>
    <row r="507" spans="1:11">
      <c r="A507" s="800"/>
      <c r="B507" s="800"/>
      <c r="C507" s="800"/>
      <c r="D507" s="800"/>
      <c r="E507" s="800"/>
      <c r="F507" s="800"/>
      <c r="G507" s="800"/>
      <c r="H507" s="800"/>
      <c r="I507" s="800"/>
      <c r="J507" s="800"/>
      <c r="K507" s="800"/>
    </row>
    <row r="508" spans="1:11">
      <c r="A508" s="800"/>
      <c r="B508" s="800"/>
      <c r="C508" s="800"/>
      <c r="D508" s="800"/>
      <c r="E508" s="800"/>
      <c r="F508" s="800"/>
      <c r="G508" s="800"/>
      <c r="H508" s="800"/>
      <c r="I508" s="800"/>
      <c r="J508" s="800"/>
      <c r="K508" s="800"/>
    </row>
    <row r="509" spans="1:11">
      <c r="A509" s="800"/>
      <c r="B509" s="800"/>
      <c r="C509" s="800"/>
      <c r="D509" s="800"/>
      <c r="E509" s="800"/>
      <c r="F509" s="800"/>
      <c r="G509" s="800"/>
      <c r="H509" s="800"/>
      <c r="I509" s="800"/>
      <c r="J509" s="800"/>
      <c r="K509" s="800"/>
    </row>
    <row r="510" spans="1:11">
      <c r="A510" s="800"/>
      <c r="B510" s="800"/>
      <c r="C510" s="800"/>
      <c r="D510" s="800"/>
      <c r="E510" s="800"/>
      <c r="F510" s="800"/>
      <c r="G510" s="800"/>
      <c r="H510" s="800"/>
      <c r="I510" s="800"/>
      <c r="J510" s="800"/>
      <c r="K510" s="800"/>
    </row>
    <row r="511" spans="1:11">
      <c r="A511" s="800"/>
      <c r="B511" s="800"/>
      <c r="C511" s="800"/>
      <c r="D511" s="800"/>
      <c r="E511" s="800"/>
      <c r="F511" s="800"/>
      <c r="G511" s="800"/>
      <c r="H511" s="800"/>
      <c r="I511" s="800"/>
      <c r="J511" s="800"/>
      <c r="K511" s="800"/>
    </row>
    <row r="512" spans="1:11">
      <c r="A512" s="800"/>
      <c r="B512" s="800"/>
      <c r="C512" s="800"/>
      <c r="D512" s="800"/>
      <c r="E512" s="800"/>
      <c r="F512" s="800"/>
      <c r="G512" s="800"/>
      <c r="H512" s="800"/>
      <c r="I512" s="800"/>
      <c r="J512" s="800"/>
      <c r="K512" s="800"/>
    </row>
    <row r="513" spans="1:11">
      <c r="A513" s="800"/>
      <c r="B513" s="800"/>
      <c r="C513" s="800"/>
      <c r="D513" s="800"/>
      <c r="E513" s="800"/>
      <c r="F513" s="800"/>
      <c r="G513" s="800"/>
      <c r="H513" s="800"/>
      <c r="I513" s="800"/>
      <c r="J513" s="800"/>
      <c r="K513" s="800"/>
    </row>
    <row r="514" spans="1:11">
      <c r="A514" s="800"/>
      <c r="B514" s="800"/>
      <c r="C514" s="800"/>
      <c r="D514" s="800"/>
      <c r="E514" s="800"/>
      <c r="F514" s="800"/>
      <c r="G514" s="800"/>
      <c r="H514" s="800"/>
      <c r="I514" s="800"/>
      <c r="J514" s="800"/>
      <c r="K514" s="800"/>
    </row>
    <row r="515" spans="1:11">
      <c r="A515" s="800"/>
      <c r="B515" s="800"/>
      <c r="C515" s="800"/>
      <c r="D515" s="800"/>
      <c r="E515" s="800"/>
      <c r="F515" s="800"/>
      <c r="G515" s="800"/>
      <c r="H515" s="800"/>
      <c r="I515" s="800"/>
      <c r="J515" s="800"/>
      <c r="K515" s="800"/>
    </row>
    <row r="516" spans="1:11">
      <c r="A516" s="800"/>
      <c r="B516" s="800"/>
      <c r="C516" s="800"/>
      <c r="D516" s="800"/>
      <c r="E516" s="800"/>
      <c r="F516" s="800"/>
      <c r="G516" s="800"/>
      <c r="H516" s="800"/>
      <c r="I516" s="800"/>
      <c r="J516" s="800"/>
      <c r="K516" s="800"/>
    </row>
    <row r="517" spans="1:11">
      <c r="A517" s="800"/>
      <c r="B517" s="800"/>
      <c r="C517" s="800"/>
      <c r="D517" s="800"/>
      <c r="E517" s="800"/>
      <c r="F517" s="800"/>
      <c r="G517" s="800"/>
      <c r="H517" s="800"/>
      <c r="I517" s="800"/>
      <c r="J517" s="800"/>
      <c r="K517" s="800"/>
    </row>
    <row r="518" spans="1:11">
      <c r="A518" s="800"/>
      <c r="B518" s="800"/>
      <c r="C518" s="800"/>
      <c r="D518" s="800"/>
      <c r="E518" s="800"/>
      <c r="F518" s="800"/>
      <c r="G518" s="800"/>
      <c r="H518" s="800"/>
      <c r="I518" s="800"/>
      <c r="J518" s="800"/>
      <c r="K518" s="800"/>
    </row>
    <row r="519" spans="1:11">
      <c r="A519" s="800"/>
      <c r="B519" s="800"/>
      <c r="C519" s="800"/>
      <c r="D519" s="800"/>
      <c r="E519" s="800"/>
      <c r="F519" s="800"/>
      <c r="G519" s="800"/>
      <c r="H519" s="800"/>
      <c r="I519" s="800"/>
      <c r="J519" s="800"/>
      <c r="K519" s="800"/>
    </row>
    <row r="520" spans="1:11">
      <c r="A520" s="800"/>
      <c r="B520" s="800"/>
      <c r="C520" s="800"/>
      <c r="D520" s="800"/>
      <c r="E520" s="800"/>
      <c r="F520" s="800"/>
      <c r="G520" s="800"/>
      <c r="H520" s="800"/>
      <c r="I520" s="800"/>
      <c r="J520" s="800"/>
      <c r="K520" s="800"/>
    </row>
    <row r="521" spans="1:11">
      <c r="A521" s="800"/>
      <c r="B521" s="800"/>
      <c r="C521" s="800"/>
      <c r="D521" s="800"/>
      <c r="E521" s="800"/>
      <c r="F521" s="800"/>
      <c r="G521" s="800"/>
      <c r="H521" s="800"/>
      <c r="I521" s="800"/>
      <c r="J521" s="800"/>
      <c r="K521" s="800"/>
    </row>
    <row r="522" spans="1:11">
      <c r="A522" s="800"/>
      <c r="B522" s="800"/>
      <c r="C522" s="800"/>
      <c r="D522" s="800"/>
      <c r="E522" s="800"/>
      <c r="F522" s="800"/>
      <c r="G522" s="800"/>
      <c r="H522" s="800"/>
      <c r="I522" s="800"/>
      <c r="J522" s="800"/>
      <c r="K522" s="800"/>
    </row>
    <row r="523" spans="1:11">
      <c r="A523" s="800"/>
      <c r="B523" s="800"/>
      <c r="C523" s="800"/>
      <c r="D523" s="800"/>
      <c r="E523" s="800"/>
      <c r="F523" s="800"/>
      <c r="G523" s="800"/>
      <c r="H523" s="800"/>
      <c r="I523" s="800"/>
      <c r="J523" s="800"/>
      <c r="K523" s="800"/>
    </row>
    <row r="524" spans="1:11">
      <c r="A524" s="800"/>
      <c r="B524" s="800"/>
      <c r="C524" s="800"/>
      <c r="D524" s="800"/>
      <c r="E524" s="800"/>
      <c r="F524" s="800"/>
      <c r="G524" s="800"/>
      <c r="H524" s="800"/>
      <c r="I524" s="800"/>
      <c r="J524" s="800"/>
      <c r="K524" s="800"/>
    </row>
    <row r="525" spans="1:11">
      <c r="A525" s="800"/>
      <c r="B525" s="800"/>
      <c r="C525" s="800"/>
      <c r="D525" s="800"/>
      <c r="E525" s="800"/>
      <c r="F525" s="800"/>
      <c r="G525" s="800"/>
      <c r="H525" s="800"/>
      <c r="I525" s="800"/>
      <c r="J525" s="800"/>
      <c r="K525" s="800"/>
    </row>
    <row r="526" spans="1:11">
      <c r="A526" s="800"/>
      <c r="B526" s="800"/>
      <c r="C526" s="800"/>
      <c r="D526" s="800"/>
      <c r="E526" s="800"/>
      <c r="F526" s="800"/>
      <c r="G526" s="800"/>
      <c r="H526" s="800"/>
      <c r="I526" s="800"/>
      <c r="J526" s="800"/>
      <c r="K526" s="800"/>
    </row>
    <row r="527" spans="1:11">
      <c r="A527" s="800"/>
      <c r="B527" s="800"/>
      <c r="C527" s="800"/>
      <c r="D527" s="800"/>
      <c r="E527" s="800"/>
      <c r="F527" s="800"/>
      <c r="G527" s="800"/>
      <c r="H527" s="800"/>
      <c r="I527" s="800"/>
      <c r="J527" s="800"/>
      <c r="K527" s="800"/>
    </row>
    <row r="528" spans="1:11">
      <c r="A528" s="800"/>
      <c r="B528" s="800"/>
      <c r="C528" s="800"/>
      <c r="D528" s="800"/>
      <c r="E528" s="800"/>
      <c r="F528" s="800"/>
      <c r="G528" s="800"/>
      <c r="H528" s="800"/>
      <c r="I528" s="800"/>
      <c r="J528" s="800"/>
      <c r="K528" s="800"/>
    </row>
    <row r="529" spans="1:11">
      <c r="A529" s="800"/>
      <c r="B529" s="800"/>
      <c r="C529" s="800"/>
      <c r="D529" s="800"/>
      <c r="E529" s="800"/>
      <c r="F529" s="800"/>
      <c r="G529" s="800"/>
      <c r="H529" s="800"/>
      <c r="I529" s="800"/>
      <c r="J529" s="800"/>
      <c r="K529" s="800"/>
    </row>
    <row r="530" spans="1:11">
      <c r="A530" s="800"/>
      <c r="B530" s="800"/>
      <c r="C530" s="800"/>
      <c r="D530" s="800"/>
      <c r="E530" s="800"/>
      <c r="F530" s="800"/>
      <c r="G530" s="800"/>
      <c r="H530" s="800"/>
      <c r="I530" s="800"/>
      <c r="J530" s="800"/>
      <c r="K530" s="800"/>
    </row>
    <row r="531" spans="1:11">
      <c r="A531" s="800"/>
      <c r="B531" s="800"/>
      <c r="C531" s="800"/>
      <c r="D531" s="800"/>
      <c r="E531" s="800"/>
      <c r="F531" s="800"/>
      <c r="G531" s="800"/>
      <c r="H531" s="800"/>
      <c r="I531" s="800"/>
      <c r="J531" s="800"/>
      <c r="K531" s="800"/>
    </row>
    <row r="532" spans="1:11">
      <c r="A532" s="800"/>
      <c r="B532" s="800"/>
      <c r="C532" s="800"/>
      <c r="D532" s="800"/>
      <c r="E532" s="800"/>
      <c r="F532" s="800"/>
      <c r="G532" s="800"/>
      <c r="H532" s="800"/>
      <c r="I532" s="800"/>
      <c r="J532" s="800"/>
      <c r="K532" s="800"/>
    </row>
    <row r="533" spans="1:11">
      <c r="A533" s="800"/>
      <c r="B533" s="800"/>
      <c r="C533" s="800"/>
      <c r="D533" s="800"/>
      <c r="E533" s="800"/>
      <c r="F533" s="800"/>
      <c r="G533" s="800"/>
      <c r="H533" s="800"/>
      <c r="I533" s="800"/>
      <c r="J533" s="800"/>
      <c r="K533" s="800"/>
    </row>
    <row r="534" spans="1:11">
      <c r="A534" s="800"/>
      <c r="B534" s="800"/>
      <c r="C534" s="800"/>
      <c r="D534" s="800"/>
      <c r="E534" s="800"/>
      <c r="F534" s="800"/>
      <c r="G534" s="800"/>
      <c r="H534" s="800"/>
      <c r="I534" s="800"/>
      <c r="J534" s="800"/>
      <c r="K534" s="800"/>
    </row>
    <row r="535" spans="1:11">
      <c r="A535" s="800"/>
      <c r="B535" s="800"/>
      <c r="C535" s="800"/>
      <c r="D535" s="800"/>
      <c r="E535" s="800"/>
      <c r="F535" s="800"/>
      <c r="G535" s="800"/>
      <c r="H535" s="800"/>
      <c r="I535" s="800"/>
      <c r="J535" s="800"/>
      <c r="K535" s="800"/>
    </row>
    <row r="536" spans="1:11">
      <c r="A536" s="800"/>
      <c r="B536" s="800"/>
      <c r="C536" s="800"/>
      <c r="D536" s="800"/>
      <c r="E536" s="800"/>
      <c r="F536" s="800"/>
      <c r="G536" s="800"/>
      <c r="H536" s="800"/>
      <c r="I536" s="800"/>
      <c r="J536" s="800"/>
      <c r="K536" s="800"/>
    </row>
    <row r="537" spans="1:11">
      <c r="A537" s="800"/>
      <c r="B537" s="800"/>
      <c r="C537" s="800"/>
      <c r="D537" s="800"/>
      <c r="E537" s="800"/>
      <c r="F537" s="800"/>
      <c r="G537" s="800"/>
      <c r="H537" s="800"/>
      <c r="I537" s="800"/>
      <c r="J537" s="800"/>
      <c r="K537" s="800"/>
    </row>
    <row r="538" spans="1:11">
      <c r="A538" s="800"/>
      <c r="B538" s="800"/>
      <c r="C538" s="800"/>
      <c r="D538" s="800"/>
      <c r="E538" s="800"/>
      <c r="F538" s="800"/>
      <c r="G538" s="800"/>
      <c r="H538" s="800"/>
      <c r="I538" s="800"/>
      <c r="J538" s="800"/>
      <c r="K538" s="800"/>
    </row>
    <row r="539" spans="1:11">
      <c r="A539" s="800"/>
      <c r="B539" s="800"/>
      <c r="C539" s="800"/>
      <c r="D539" s="800"/>
      <c r="E539" s="800"/>
      <c r="F539" s="800"/>
      <c r="G539" s="800"/>
      <c r="H539" s="800"/>
      <c r="I539" s="800"/>
      <c r="J539" s="800"/>
      <c r="K539" s="800"/>
    </row>
    <row r="540" spans="1:11">
      <c r="A540" s="800"/>
      <c r="B540" s="800"/>
      <c r="C540" s="800"/>
      <c r="D540" s="800"/>
      <c r="E540" s="800"/>
      <c r="F540" s="800"/>
      <c r="G540" s="800"/>
      <c r="H540" s="800"/>
      <c r="I540" s="800"/>
      <c r="J540" s="800"/>
      <c r="K540" s="800"/>
    </row>
    <row r="541" spans="1:11">
      <c r="A541" s="800"/>
      <c r="B541" s="800"/>
      <c r="C541" s="800"/>
      <c r="D541" s="800"/>
      <c r="E541" s="800"/>
      <c r="F541" s="800"/>
      <c r="G541" s="800"/>
      <c r="H541" s="800"/>
      <c r="I541" s="800"/>
      <c r="J541" s="800"/>
      <c r="K541" s="800"/>
    </row>
    <row r="542" spans="1:11">
      <c r="A542" s="800"/>
      <c r="B542" s="800"/>
      <c r="C542" s="800"/>
      <c r="D542" s="800"/>
      <c r="E542" s="800"/>
      <c r="F542" s="800"/>
      <c r="G542" s="800"/>
      <c r="H542" s="800"/>
      <c r="I542" s="800"/>
      <c r="J542" s="800"/>
      <c r="K542" s="800"/>
    </row>
    <row r="543" spans="1:11">
      <c r="A543" s="800"/>
      <c r="B543" s="800"/>
      <c r="C543" s="800"/>
      <c r="D543" s="800"/>
      <c r="E543" s="800"/>
      <c r="F543" s="800"/>
      <c r="G543" s="800"/>
      <c r="H543" s="800"/>
      <c r="I543" s="800"/>
      <c r="J543" s="800"/>
      <c r="K543" s="800"/>
    </row>
    <row r="544" spans="1:11">
      <c r="A544" s="800"/>
      <c r="B544" s="800"/>
      <c r="C544" s="800"/>
      <c r="D544" s="800"/>
      <c r="E544" s="800"/>
      <c r="F544" s="800"/>
      <c r="G544" s="800"/>
      <c r="H544" s="800"/>
      <c r="I544" s="800"/>
      <c r="J544" s="800"/>
      <c r="K544" s="800"/>
    </row>
    <row r="545" spans="1:11">
      <c r="A545" s="800"/>
      <c r="B545" s="800"/>
      <c r="C545" s="800"/>
      <c r="D545" s="800"/>
      <c r="E545" s="800"/>
      <c r="F545" s="800"/>
      <c r="G545" s="800"/>
      <c r="H545" s="800"/>
      <c r="I545" s="800"/>
      <c r="J545" s="800"/>
      <c r="K545" s="800"/>
    </row>
    <row r="546" spans="1:11">
      <c r="A546" s="800"/>
      <c r="B546" s="800"/>
      <c r="C546" s="800"/>
      <c r="D546" s="800"/>
      <c r="E546" s="800"/>
      <c r="F546" s="800"/>
      <c r="G546" s="800"/>
      <c r="H546" s="800"/>
      <c r="I546" s="800"/>
      <c r="J546" s="800"/>
      <c r="K546" s="800"/>
    </row>
    <row r="547" spans="1:11">
      <c r="A547" s="800"/>
      <c r="B547" s="800"/>
      <c r="C547" s="800"/>
      <c r="D547" s="800"/>
      <c r="E547" s="800"/>
      <c r="F547" s="800"/>
      <c r="G547" s="800"/>
      <c r="H547" s="800"/>
      <c r="I547" s="800"/>
      <c r="J547" s="800"/>
      <c r="K547" s="800"/>
    </row>
    <row r="548" spans="1:11">
      <c r="A548" s="800"/>
      <c r="B548" s="800"/>
      <c r="C548" s="800"/>
      <c r="D548" s="800"/>
      <c r="E548" s="800"/>
      <c r="F548" s="800"/>
      <c r="G548" s="800"/>
      <c r="H548" s="800"/>
      <c r="I548" s="800"/>
      <c r="J548" s="800"/>
      <c r="K548" s="800"/>
    </row>
    <row r="549" spans="1:11">
      <c r="A549" s="800"/>
      <c r="B549" s="800"/>
      <c r="C549" s="800"/>
      <c r="D549" s="800"/>
      <c r="E549" s="800"/>
      <c r="F549" s="800"/>
      <c r="G549" s="800"/>
      <c r="H549" s="800"/>
      <c r="I549" s="800"/>
      <c r="J549" s="800"/>
      <c r="K549" s="800"/>
    </row>
    <row r="550" spans="1:11">
      <c r="A550" s="800"/>
      <c r="B550" s="800"/>
      <c r="C550" s="800"/>
      <c r="D550" s="800"/>
      <c r="E550" s="800"/>
      <c r="F550" s="800"/>
      <c r="G550" s="800"/>
      <c r="H550" s="800"/>
      <c r="I550" s="800"/>
      <c r="J550" s="800"/>
      <c r="K550" s="800"/>
    </row>
    <row r="551" spans="1:11">
      <c r="A551" s="800"/>
      <c r="B551" s="800"/>
      <c r="C551" s="800"/>
      <c r="D551" s="800"/>
      <c r="E551" s="800"/>
      <c r="F551" s="800"/>
      <c r="G551" s="800"/>
      <c r="H551" s="800"/>
      <c r="I551" s="800"/>
      <c r="J551" s="800"/>
      <c r="K551" s="800"/>
    </row>
    <row r="552" spans="1:11">
      <c r="A552" s="800"/>
      <c r="B552" s="800"/>
      <c r="C552" s="800"/>
      <c r="D552" s="800"/>
      <c r="E552" s="800"/>
      <c r="F552" s="800"/>
      <c r="G552" s="800"/>
      <c r="H552" s="800"/>
      <c r="I552" s="800"/>
      <c r="J552" s="800"/>
      <c r="K552" s="800"/>
    </row>
    <row r="553" spans="1:11">
      <c r="A553" s="800"/>
      <c r="B553" s="800"/>
      <c r="C553" s="800"/>
      <c r="D553" s="800"/>
      <c r="E553" s="800"/>
      <c r="F553" s="800"/>
      <c r="G553" s="800"/>
      <c r="H553" s="800"/>
      <c r="I553" s="800"/>
      <c r="J553" s="800"/>
      <c r="K553" s="800"/>
    </row>
    <row r="554" spans="1:11">
      <c r="A554" s="800"/>
      <c r="B554" s="800"/>
      <c r="C554" s="800"/>
      <c r="D554" s="800"/>
      <c r="E554" s="800"/>
      <c r="F554" s="800"/>
      <c r="G554" s="800"/>
      <c r="H554" s="800"/>
      <c r="I554" s="800"/>
      <c r="J554" s="800"/>
      <c r="K554" s="800"/>
    </row>
    <row r="555" spans="1:11">
      <c r="A555" s="800"/>
      <c r="B555" s="800"/>
      <c r="C555" s="800"/>
      <c r="D555" s="800"/>
      <c r="E555" s="800"/>
      <c r="F555" s="800"/>
      <c r="G555" s="800"/>
      <c r="H555" s="800"/>
      <c r="I555" s="800"/>
      <c r="J555" s="800"/>
      <c r="K555" s="800"/>
    </row>
    <row r="556" spans="1:11">
      <c r="A556" s="800"/>
      <c r="B556" s="800"/>
      <c r="C556" s="800"/>
      <c r="D556" s="800"/>
      <c r="E556" s="800"/>
      <c r="F556" s="800"/>
      <c r="G556" s="800"/>
      <c r="H556" s="800"/>
      <c r="I556" s="800"/>
      <c r="J556" s="800"/>
      <c r="K556" s="800"/>
    </row>
    <row r="557" spans="1:11">
      <c r="A557" s="800"/>
      <c r="B557" s="800"/>
      <c r="C557" s="800"/>
      <c r="D557" s="800"/>
      <c r="E557" s="800"/>
      <c r="F557" s="800"/>
      <c r="G557" s="800"/>
      <c r="H557" s="800"/>
      <c r="I557" s="800"/>
      <c r="J557" s="800"/>
      <c r="K557" s="800"/>
    </row>
    <row r="558" spans="1:11">
      <c r="A558" s="800"/>
      <c r="B558" s="800"/>
      <c r="C558" s="800"/>
      <c r="D558" s="800"/>
      <c r="E558" s="800"/>
      <c r="F558" s="800"/>
      <c r="G558" s="800"/>
      <c r="H558" s="800"/>
      <c r="I558" s="800"/>
      <c r="J558" s="800"/>
      <c r="K558" s="800"/>
    </row>
    <row r="559" spans="1:11">
      <c r="A559" s="800"/>
      <c r="B559" s="800"/>
      <c r="C559" s="800"/>
      <c r="D559" s="800"/>
      <c r="E559" s="800"/>
      <c r="F559" s="800"/>
      <c r="G559" s="800"/>
      <c r="H559" s="800"/>
      <c r="I559" s="800"/>
      <c r="J559" s="800"/>
      <c r="K559" s="800"/>
    </row>
    <row r="560" spans="1:11">
      <c r="A560" s="800"/>
      <c r="B560" s="800"/>
      <c r="C560" s="800"/>
      <c r="D560" s="800"/>
      <c r="E560" s="800"/>
      <c r="F560" s="800"/>
      <c r="G560" s="800"/>
      <c r="H560" s="800"/>
      <c r="I560" s="800"/>
      <c r="J560" s="800"/>
      <c r="K560" s="800"/>
    </row>
    <row r="561" spans="1:11">
      <c r="A561" s="800"/>
      <c r="B561" s="800"/>
      <c r="C561" s="800"/>
      <c r="D561" s="800"/>
      <c r="E561" s="800"/>
      <c r="F561" s="800"/>
      <c r="G561" s="800"/>
      <c r="H561" s="800"/>
      <c r="I561" s="800"/>
      <c r="J561" s="800"/>
      <c r="K561" s="800"/>
    </row>
    <row r="562" spans="1:11">
      <c r="A562" s="800"/>
      <c r="B562" s="800"/>
      <c r="C562" s="800"/>
      <c r="D562" s="800"/>
      <c r="E562" s="800"/>
      <c r="F562" s="800"/>
      <c r="G562" s="800"/>
      <c r="H562" s="800"/>
      <c r="I562" s="800"/>
      <c r="J562" s="800"/>
      <c r="K562" s="800"/>
    </row>
    <row r="563" spans="1:11">
      <c r="A563" s="800"/>
      <c r="B563" s="800"/>
      <c r="C563" s="800"/>
      <c r="D563" s="800"/>
      <c r="E563" s="800"/>
      <c r="F563" s="800"/>
      <c r="G563" s="800"/>
      <c r="H563" s="800"/>
      <c r="I563" s="800"/>
      <c r="J563" s="800"/>
      <c r="K563" s="800"/>
    </row>
    <row r="564" spans="1:11">
      <c r="A564" s="800"/>
      <c r="B564" s="800"/>
      <c r="C564" s="800"/>
      <c r="D564" s="800"/>
      <c r="E564" s="800"/>
      <c r="F564" s="800"/>
      <c r="G564" s="800"/>
      <c r="H564" s="800"/>
      <c r="I564" s="800"/>
      <c r="J564" s="800"/>
      <c r="K564" s="800"/>
    </row>
    <row r="565" spans="1:11">
      <c r="A565" s="800"/>
      <c r="B565" s="800"/>
      <c r="C565" s="800"/>
      <c r="D565" s="800"/>
      <c r="E565" s="800"/>
      <c r="F565" s="800"/>
      <c r="G565" s="800"/>
      <c r="H565" s="800"/>
      <c r="I565" s="800"/>
      <c r="J565" s="800"/>
      <c r="K565" s="800"/>
    </row>
    <row r="566" spans="1:11">
      <c r="A566" s="800"/>
      <c r="B566" s="800"/>
      <c r="C566" s="800"/>
      <c r="D566" s="800"/>
      <c r="E566" s="800"/>
      <c r="F566" s="800"/>
      <c r="G566" s="800"/>
      <c r="H566" s="800"/>
      <c r="I566" s="800"/>
      <c r="J566" s="800"/>
      <c r="K566" s="800"/>
    </row>
    <row r="567" spans="1:11">
      <c r="A567" s="800"/>
      <c r="B567" s="800"/>
      <c r="C567" s="800"/>
      <c r="D567" s="800"/>
      <c r="E567" s="800"/>
      <c r="F567" s="800"/>
      <c r="G567" s="800"/>
      <c r="H567" s="800"/>
      <c r="I567" s="800"/>
      <c r="J567" s="800"/>
      <c r="K567" s="800"/>
    </row>
    <row r="568" spans="1:11">
      <c r="A568" s="800"/>
      <c r="B568" s="800"/>
      <c r="C568" s="800"/>
      <c r="D568" s="800"/>
      <c r="E568" s="800"/>
      <c r="F568" s="800"/>
      <c r="G568" s="800"/>
      <c r="H568" s="800"/>
      <c r="I568" s="800"/>
      <c r="J568" s="800"/>
      <c r="K568" s="800"/>
    </row>
    <row r="569" spans="1:11">
      <c r="A569" s="800"/>
      <c r="B569" s="800"/>
      <c r="C569" s="800"/>
      <c r="D569" s="800"/>
      <c r="E569" s="800"/>
      <c r="F569" s="800"/>
      <c r="G569" s="800"/>
      <c r="H569" s="800"/>
      <c r="I569" s="800"/>
      <c r="J569" s="800"/>
      <c r="K569" s="800"/>
    </row>
    <row r="570" spans="1:11">
      <c r="A570" s="800"/>
      <c r="B570" s="800"/>
      <c r="C570" s="800"/>
      <c r="D570" s="800"/>
      <c r="E570" s="800"/>
      <c r="F570" s="800"/>
      <c r="G570" s="800"/>
      <c r="H570" s="800"/>
      <c r="I570" s="800"/>
      <c r="J570" s="800"/>
      <c r="K570" s="800"/>
    </row>
    <row r="571" spans="1:11">
      <c r="A571" s="800"/>
      <c r="B571" s="800"/>
      <c r="C571" s="800"/>
      <c r="D571" s="800"/>
      <c r="E571" s="800"/>
      <c r="F571" s="800"/>
      <c r="G571" s="800"/>
      <c r="H571" s="800"/>
      <c r="I571" s="800"/>
      <c r="J571" s="800"/>
      <c r="K571" s="800"/>
    </row>
    <row r="572" spans="1:11">
      <c r="A572" s="800"/>
      <c r="B572" s="800"/>
      <c r="C572" s="800"/>
      <c r="D572" s="800"/>
      <c r="E572" s="800"/>
      <c r="F572" s="800"/>
      <c r="G572" s="800"/>
      <c r="H572" s="800"/>
      <c r="I572" s="800"/>
      <c r="J572" s="800"/>
      <c r="K572" s="800"/>
    </row>
    <row r="573" spans="1:11">
      <c r="A573" s="800"/>
      <c r="B573" s="800"/>
      <c r="C573" s="800"/>
      <c r="D573" s="800"/>
      <c r="E573" s="800"/>
      <c r="F573" s="800"/>
      <c r="G573" s="800"/>
      <c r="H573" s="800"/>
      <c r="I573" s="800"/>
      <c r="J573" s="800"/>
      <c r="K573" s="800"/>
    </row>
    <row r="574" spans="1:11">
      <c r="A574" s="800"/>
      <c r="B574" s="800"/>
      <c r="C574" s="800"/>
      <c r="D574" s="800"/>
      <c r="E574" s="800"/>
      <c r="F574" s="800"/>
      <c r="G574" s="800"/>
      <c r="H574" s="800"/>
      <c r="I574" s="800"/>
      <c r="J574" s="800"/>
      <c r="K574" s="800"/>
    </row>
    <row r="575" spans="1:11">
      <c r="A575" s="800"/>
      <c r="B575" s="800"/>
      <c r="C575" s="800"/>
      <c r="D575" s="800"/>
      <c r="E575" s="800"/>
      <c r="F575" s="800"/>
      <c r="G575" s="800"/>
      <c r="H575" s="800"/>
      <c r="I575" s="800"/>
      <c r="J575" s="800"/>
      <c r="K575" s="800"/>
    </row>
    <row r="576" spans="1:11">
      <c r="A576" s="800"/>
      <c r="B576" s="800"/>
      <c r="C576" s="800"/>
      <c r="D576" s="800"/>
      <c r="E576" s="800"/>
      <c r="F576" s="800"/>
      <c r="G576" s="800"/>
      <c r="H576" s="800"/>
      <c r="I576" s="800"/>
      <c r="J576" s="800"/>
      <c r="K576" s="800"/>
    </row>
    <row r="577" spans="1:11">
      <c r="A577" s="800"/>
      <c r="B577" s="800"/>
      <c r="C577" s="800"/>
      <c r="D577" s="800"/>
      <c r="E577" s="800"/>
      <c r="F577" s="800"/>
      <c r="G577" s="800"/>
      <c r="H577" s="800"/>
      <c r="I577" s="800"/>
      <c r="J577" s="800"/>
      <c r="K577" s="800"/>
    </row>
    <row r="578" spans="1:11">
      <c r="A578" s="800"/>
      <c r="B578" s="800"/>
      <c r="C578" s="800"/>
      <c r="D578" s="800"/>
      <c r="E578" s="800"/>
      <c r="F578" s="800"/>
      <c r="G578" s="800"/>
      <c r="H578" s="800"/>
      <c r="I578" s="800"/>
      <c r="J578" s="800"/>
      <c r="K578" s="800"/>
    </row>
    <row r="579" spans="1:11">
      <c r="A579" s="800"/>
      <c r="B579" s="800"/>
      <c r="C579" s="800"/>
      <c r="D579" s="800"/>
      <c r="E579" s="800"/>
      <c r="F579" s="800"/>
      <c r="G579" s="800"/>
      <c r="H579" s="800"/>
      <c r="I579" s="800"/>
      <c r="J579" s="800"/>
      <c r="K579" s="800"/>
    </row>
    <row r="580" spans="1:11">
      <c r="A580" s="800"/>
      <c r="B580" s="800"/>
      <c r="C580" s="800"/>
      <c r="D580" s="800"/>
      <c r="E580" s="800"/>
      <c r="F580" s="800"/>
      <c r="G580" s="800"/>
      <c r="H580" s="800"/>
      <c r="I580" s="800"/>
      <c r="J580" s="800"/>
      <c r="K580" s="800"/>
    </row>
    <row r="581" spans="1:11">
      <c r="A581" s="800"/>
      <c r="B581" s="800"/>
      <c r="C581" s="800"/>
      <c r="D581" s="800"/>
      <c r="E581" s="800"/>
      <c r="F581" s="800"/>
      <c r="G581" s="800"/>
      <c r="H581" s="800"/>
      <c r="I581" s="800"/>
      <c r="J581" s="800"/>
      <c r="K581" s="800"/>
    </row>
    <row r="582" spans="1:11">
      <c r="A582" s="800"/>
      <c r="B582" s="800"/>
      <c r="C582" s="800"/>
      <c r="D582" s="800"/>
      <c r="E582" s="800"/>
      <c r="F582" s="800"/>
      <c r="G582" s="800"/>
      <c r="H582" s="800"/>
      <c r="I582" s="800"/>
      <c r="J582" s="800"/>
      <c r="K582" s="800"/>
    </row>
    <row r="583" spans="1:11">
      <c r="A583" s="800"/>
      <c r="B583" s="800"/>
      <c r="C583" s="800"/>
      <c r="D583" s="800"/>
      <c r="E583" s="800"/>
      <c r="F583" s="800"/>
      <c r="G583" s="800"/>
      <c r="H583" s="800"/>
      <c r="I583" s="800"/>
      <c r="J583" s="800"/>
      <c r="K583" s="800"/>
    </row>
    <row r="584" spans="1:11">
      <c r="A584" s="800"/>
      <c r="B584" s="800"/>
      <c r="C584" s="800"/>
      <c r="D584" s="800"/>
      <c r="E584" s="800"/>
      <c r="F584" s="800"/>
      <c r="G584" s="800"/>
      <c r="H584" s="800"/>
      <c r="I584" s="800"/>
      <c r="J584" s="800"/>
      <c r="K584" s="800"/>
    </row>
    <row r="585" spans="1:11">
      <c r="A585" s="800"/>
      <c r="B585" s="800"/>
      <c r="C585" s="800"/>
      <c r="D585" s="800"/>
      <c r="E585" s="800"/>
      <c r="F585" s="800"/>
      <c r="G585" s="800"/>
      <c r="H585" s="800"/>
      <c r="I585" s="800"/>
      <c r="J585" s="800"/>
      <c r="K585" s="800"/>
    </row>
    <row r="586" spans="1:11">
      <c r="A586" s="800"/>
      <c r="B586" s="800"/>
      <c r="C586" s="800"/>
      <c r="D586" s="800"/>
      <c r="E586" s="800"/>
      <c r="F586" s="800"/>
      <c r="G586" s="800"/>
      <c r="H586" s="800"/>
      <c r="I586" s="800"/>
      <c r="J586" s="800"/>
      <c r="K586" s="800"/>
    </row>
    <row r="587" spans="1:11">
      <c r="A587" s="800"/>
      <c r="B587" s="800"/>
      <c r="C587" s="800"/>
      <c r="D587" s="800"/>
      <c r="E587" s="800"/>
      <c r="F587" s="800"/>
      <c r="G587" s="800"/>
      <c r="H587" s="800"/>
      <c r="I587" s="800"/>
      <c r="J587" s="800"/>
      <c r="K587" s="800"/>
    </row>
    <row r="588" spans="1:11">
      <c r="A588" s="800"/>
      <c r="B588" s="800"/>
      <c r="C588" s="800"/>
      <c r="D588" s="800"/>
      <c r="E588" s="800"/>
      <c r="F588" s="800"/>
      <c r="G588" s="800"/>
      <c r="H588" s="800"/>
      <c r="I588" s="800"/>
      <c r="J588" s="800"/>
      <c r="K588" s="800"/>
    </row>
    <row r="589" spans="1:11">
      <c r="A589" s="800"/>
      <c r="B589" s="800"/>
      <c r="C589" s="800"/>
      <c r="D589" s="800"/>
      <c r="E589" s="800"/>
      <c r="F589" s="800"/>
      <c r="G589" s="800"/>
      <c r="H589" s="800"/>
      <c r="I589" s="800"/>
      <c r="J589" s="800"/>
      <c r="K589" s="800"/>
    </row>
    <row r="590" spans="1:11">
      <c r="A590" s="800"/>
      <c r="B590" s="800"/>
      <c r="C590" s="800"/>
      <c r="D590" s="800"/>
      <c r="E590" s="800"/>
      <c r="F590" s="800"/>
      <c r="G590" s="800"/>
      <c r="H590" s="800"/>
      <c r="I590" s="800"/>
      <c r="J590" s="800"/>
      <c r="K590" s="800"/>
    </row>
    <row r="591" spans="1:11">
      <c r="A591" s="800"/>
      <c r="B591" s="800"/>
      <c r="C591" s="800"/>
      <c r="D591" s="800"/>
      <c r="E591" s="800"/>
      <c r="F591" s="800"/>
      <c r="G591" s="800"/>
      <c r="H591" s="800"/>
      <c r="I591" s="800"/>
      <c r="J591" s="800"/>
      <c r="K591" s="800"/>
    </row>
    <row r="592" spans="1:11">
      <c r="A592" s="800"/>
      <c r="B592" s="800"/>
      <c r="C592" s="800"/>
      <c r="D592" s="800"/>
      <c r="E592" s="800"/>
      <c r="F592" s="800"/>
      <c r="G592" s="800"/>
      <c r="H592" s="800"/>
      <c r="I592" s="800"/>
      <c r="J592" s="800"/>
      <c r="K592" s="800"/>
    </row>
    <row r="593" spans="1:11">
      <c r="A593" s="800"/>
      <c r="B593" s="800"/>
      <c r="C593" s="800"/>
      <c r="D593" s="800"/>
      <c r="E593" s="800"/>
      <c r="F593" s="800"/>
      <c r="G593" s="800"/>
      <c r="H593" s="800"/>
      <c r="I593" s="800"/>
      <c r="J593" s="800"/>
      <c r="K593" s="800"/>
    </row>
    <row r="594" spans="1:11">
      <c r="A594" s="800"/>
      <c r="B594" s="800"/>
      <c r="C594" s="800"/>
      <c r="D594" s="800"/>
      <c r="E594" s="800"/>
      <c r="F594" s="800"/>
      <c r="G594" s="800"/>
      <c r="H594" s="800"/>
      <c r="I594" s="800"/>
      <c r="J594" s="800"/>
      <c r="K594" s="800"/>
    </row>
    <row r="595" spans="1:11">
      <c r="A595" s="800"/>
      <c r="B595" s="800"/>
      <c r="C595" s="800"/>
      <c r="D595" s="800"/>
      <c r="E595" s="800"/>
      <c r="F595" s="800"/>
      <c r="G595" s="800"/>
      <c r="H595" s="800"/>
      <c r="I595" s="800"/>
      <c r="J595" s="800"/>
      <c r="K595" s="800"/>
    </row>
    <row r="596" spans="1:11">
      <c r="A596" s="800"/>
      <c r="B596" s="800"/>
      <c r="C596" s="800"/>
      <c r="D596" s="800"/>
      <c r="E596" s="800"/>
      <c r="F596" s="800"/>
      <c r="G596" s="800"/>
      <c r="H596" s="800"/>
      <c r="I596" s="800"/>
      <c r="J596" s="800"/>
      <c r="K596" s="800"/>
    </row>
    <row r="597" spans="1:11">
      <c r="A597" s="800"/>
      <c r="B597" s="800"/>
      <c r="C597" s="800"/>
      <c r="D597" s="800"/>
      <c r="E597" s="800"/>
      <c r="F597" s="800"/>
      <c r="G597" s="800"/>
      <c r="H597" s="800"/>
      <c r="I597" s="800"/>
      <c r="J597" s="800"/>
      <c r="K597" s="800"/>
    </row>
    <row r="598" spans="1:11">
      <c r="A598" s="800"/>
      <c r="B598" s="800"/>
      <c r="C598" s="800"/>
      <c r="D598" s="800"/>
      <c r="E598" s="800"/>
      <c r="F598" s="800"/>
      <c r="G598" s="800"/>
      <c r="H598" s="800"/>
      <c r="I598" s="800"/>
      <c r="J598" s="800"/>
      <c r="K598" s="800"/>
    </row>
    <row r="599" spans="1:11">
      <c r="A599" s="800"/>
      <c r="B599" s="800"/>
      <c r="C599" s="800"/>
      <c r="D599" s="800"/>
      <c r="E599" s="800"/>
      <c r="F599" s="800"/>
      <c r="G599" s="800"/>
      <c r="H599" s="800"/>
      <c r="I599" s="800"/>
      <c r="J599" s="800"/>
      <c r="K599" s="800"/>
    </row>
    <row r="600" spans="1:11">
      <c r="A600" s="800"/>
      <c r="B600" s="800"/>
      <c r="C600" s="800"/>
      <c r="D600" s="800"/>
      <c r="E600" s="800"/>
      <c r="F600" s="800"/>
      <c r="G600" s="800"/>
      <c r="H600" s="800"/>
      <c r="I600" s="800"/>
      <c r="J600" s="800"/>
      <c r="K600" s="800"/>
    </row>
    <row r="601" spans="1:11">
      <c r="A601" s="800"/>
      <c r="B601" s="800"/>
      <c r="C601" s="800"/>
      <c r="D601" s="800"/>
      <c r="E601" s="800"/>
      <c r="F601" s="800"/>
      <c r="G601" s="800"/>
      <c r="H601" s="800"/>
      <c r="I601" s="800"/>
      <c r="J601" s="800"/>
      <c r="K601" s="800"/>
    </row>
    <row r="602" spans="1:11">
      <c r="A602" s="800"/>
      <c r="B602" s="800"/>
      <c r="C602" s="800"/>
      <c r="D602" s="800"/>
      <c r="E602" s="800"/>
      <c r="F602" s="800"/>
      <c r="G602" s="800"/>
      <c r="H602" s="800"/>
      <c r="I602" s="800"/>
      <c r="J602" s="800"/>
      <c r="K602" s="800"/>
    </row>
    <row r="603" spans="1:11">
      <c r="A603" s="800"/>
      <c r="B603" s="800"/>
      <c r="C603" s="800"/>
      <c r="D603" s="800"/>
      <c r="E603" s="800"/>
      <c r="F603" s="800"/>
      <c r="G603" s="800"/>
      <c r="H603" s="800"/>
      <c r="I603" s="800"/>
      <c r="J603" s="800"/>
      <c r="K603" s="800"/>
    </row>
    <row r="604" spans="1:11">
      <c r="A604" s="800"/>
      <c r="B604" s="800"/>
      <c r="C604" s="800"/>
      <c r="D604" s="800"/>
      <c r="E604" s="800"/>
      <c r="F604" s="800"/>
      <c r="G604" s="800"/>
      <c r="H604" s="800"/>
      <c r="I604" s="800"/>
      <c r="J604" s="800"/>
      <c r="K604" s="800"/>
    </row>
    <row r="605" spans="1:11">
      <c r="A605" s="800"/>
      <c r="B605" s="800"/>
      <c r="C605" s="800"/>
      <c r="D605" s="800"/>
      <c r="E605" s="800"/>
      <c r="F605" s="800"/>
      <c r="G605" s="800"/>
      <c r="H605" s="800"/>
      <c r="I605" s="800"/>
      <c r="J605" s="800"/>
      <c r="K605" s="800"/>
    </row>
    <row r="606" spans="1:11">
      <c r="A606" s="800"/>
      <c r="B606" s="800"/>
      <c r="C606" s="800"/>
      <c r="D606" s="800"/>
      <c r="E606" s="800"/>
      <c r="F606" s="800"/>
      <c r="G606" s="800"/>
      <c r="H606" s="800"/>
      <c r="I606" s="800"/>
      <c r="J606" s="800"/>
      <c r="K606" s="800"/>
    </row>
    <row r="607" spans="1:11">
      <c r="A607" s="800"/>
      <c r="B607" s="800"/>
      <c r="C607" s="800"/>
      <c r="D607" s="800"/>
      <c r="E607" s="800"/>
      <c r="F607" s="800"/>
      <c r="G607" s="800"/>
      <c r="H607" s="800"/>
      <c r="I607" s="800"/>
      <c r="J607" s="800"/>
      <c r="K607" s="800"/>
    </row>
    <row r="608" spans="1:11">
      <c r="A608" s="800"/>
      <c r="B608" s="800"/>
      <c r="C608" s="800"/>
      <c r="D608" s="800"/>
      <c r="E608" s="800"/>
      <c r="F608" s="800"/>
      <c r="G608" s="800"/>
      <c r="H608" s="800"/>
      <c r="I608" s="800"/>
      <c r="J608" s="800"/>
      <c r="K608" s="800"/>
    </row>
    <row r="609" spans="1:11">
      <c r="A609" s="800"/>
      <c r="B609" s="800"/>
      <c r="C609" s="800"/>
      <c r="D609" s="800"/>
      <c r="E609" s="800"/>
      <c r="F609" s="800"/>
      <c r="G609" s="800"/>
      <c r="H609" s="800"/>
      <c r="I609" s="800"/>
      <c r="J609" s="800"/>
      <c r="K609" s="800"/>
    </row>
    <row r="610" spans="1:11">
      <c r="A610" s="800"/>
      <c r="B610" s="800"/>
      <c r="C610" s="800"/>
      <c r="D610" s="800"/>
      <c r="E610" s="800"/>
      <c r="F610" s="800"/>
      <c r="G610" s="800"/>
      <c r="H610" s="800"/>
      <c r="I610" s="800"/>
      <c r="J610" s="800"/>
      <c r="K610" s="800"/>
    </row>
    <row r="611" spans="1:11">
      <c r="A611" s="800"/>
      <c r="B611" s="800"/>
      <c r="C611" s="800"/>
      <c r="D611" s="800"/>
      <c r="E611" s="800"/>
      <c r="F611" s="800"/>
      <c r="G611" s="800"/>
      <c r="H611" s="800"/>
      <c r="I611" s="800"/>
      <c r="J611" s="800"/>
      <c r="K611" s="800"/>
    </row>
    <row r="612" spans="1:11">
      <c r="A612" s="800"/>
      <c r="B612" s="800"/>
      <c r="C612" s="800"/>
      <c r="D612" s="800"/>
      <c r="E612" s="800"/>
      <c r="F612" s="800"/>
      <c r="G612" s="800"/>
      <c r="H612" s="800"/>
      <c r="I612" s="800"/>
      <c r="J612" s="800"/>
      <c r="K612" s="800"/>
    </row>
    <row r="613" spans="1:11">
      <c r="A613" s="800"/>
      <c r="B613" s="800"/>
      <c r="C613" s="800"/>
      <c r="D613" s="800"/>
      <c r="E613" s="800"/>
      <c r="F613" s="800"/>
      <c r="G613" s="800"/>
      <c r="H613" s="800"/>
      <c r="I613" s="800"/>
      <c r="J613" s="800"/>
      <c r="K613" s="800"/>
    </row>
    <row r="614" spans="1:11">
      <c r="A614" s="800"/>
      <c r="B614" s="800"/>
      <c r="C614" s="800"/>
      <c r="D614" s="800"/>
      <c r="E614" s="800"/>
      <c r="F614" s="800"/>
      <c r="G614" s="800"/>
      <c r="H614" s="800"/>
      <c r="I614" s="800"/>
      <c r="J614" s="800"/>
      <c r="K614" s="800"/>
    </row>
    <row r="615" spans="1:11">
      <c r="A615" s="800"/>
      <c r="B615" s="800"/>
      <c r="C615" s="800"/>
      <c r="D615" s="800"/>
      <c r="E615" s="800"/>
      <c r="F615" s="800"/>
      <c r="G615" s="800"/>
      <c r="H615" s="800"/>
      <c r="I615" s="800"/>
      <c r="J615" s="800"/>
      <c r="K615" s="800"/>
    </row>
    <row r="616" spans="1:11">
      <c r="A616" s="800"/>
      <c r="B616" s="800"/>
      <c r="C616" s="800"/>
      <c r="D616" s="800"/>
      <c r="E616" s="800"/>
      <c r="F616" s="800"/>
      <c r="G616" s="800"/>
      <c r="H616" s="800"/>
      <c r="I616" s="800"/>
      <c r="J616" s="800"/>
      <c r="K616" s="800"/>
    </row>
    <row r="617" spans="1:11">
      <c r="A617" s="800"/>
      <c r="B617" s="800"/>
      <c r="C617" s="800"/>
      <c r="D617" s="800"/>
      <c r="E617" s="800"/>
      <c r="F617" s="800"/>
      <c r="G617" s="800"/>
      <c r="H617" s="800"/>
      <c r="I617" s="800"/>
      <c r="J617" s="800"/>
      <c r="K617" s="800"/>
    </row>
    <row r="618" spans="1:11">
      <c r="A618" s="800"/>
      <c r="B618" s="800"/>
      <c r="C618" s="800"/>
      <c r="D618" s="800"/>
      <c r="E618" s="800"/>
      <c r="F618" s="800"/>
      <c r="G618" s="800"/>
      <c r="H618" s="800"/>
      <c r="I618" s="800"/>
      <c r="J618" s="800"/>
      <c r="K618" s="800"/>
    </row>
    <row r="619" spans="1:11">
      <c r="A619" s="800"/>
      <c r="B619" s="800"/>
      <c r="C619" s="800"/>
      <c r="D619" s="800"/>
      <c r="E619" s="800"/>
      <c r="F619" s="800"/>
      <c r="G619" s="800"/>
      <c r="H619" s="800"/>
      <c r="I619" s="800"/>
      <c r="J619" s="800"/>
      <c r="K619" s="800"/>
    </row>
    <row r="620" spans="1:11">
      <c r="A620" s="800"/>
      <c r="B620" s="800"/>
      <c r="C620" s="800"/>
      <c r="D620" s="800"/>
      <c r="E620" s="800"/>
      <c r="F620" s="800"/>
      <c r="G620" s="800"/>
      <c r="H620" s="800"/>
      <c r="I620" s="800"/>
      <c r="J620" s="800"/>
      <c r="K620" s="800"/>
    </row>
    <row r="621" spans="1:11">
      <c r="A621" s="800"/>
      <c r="B621" s="800"/>
      <c r="C621" s="800"/>
      <c r="D621" s="800"/>
      <c r="E621" s="800"/>
      <c r="F621" s="800"/>
      <c r="G621" s="800"/>
      <c r="H621" s="800"/>
      <c r="I621" s="800"/>
      <c r="J621" s="800"/>
      <c r="K621" s="800"/>
    </row>
    <row r="622" spans="1:11">
      <c r="A622" s="800"/>
      <c r="B622" s="800"/>
      <c r="C622" s="800"/>
      <c r="D622" s="800"/>
      <c r="E622" s="800"/>
      <c r="F622" s="800"/>
      <c r="G622" s="800"/>
      <c r="H622" s="800"/>
      <c r="I622" s="800"/>
      <c r="J622" s="800"/>
      <c r="K622" s="800"/>
    </row>
    <row r="623" spans="1:11">
      <c r="A623" s="800"/>
      <c r="B623" s="800"/>
      <c r="C623" s="800"/>
      <c r="D623" s="800"/>
      <c r="E623" s="800"/>
      <c r="F623" s="800"/>
      <c r="G623" s="800"/>
      <c r="H623" s="800"/>
      <c r="I623" s="800"/>
      <c r="J623" s="800"/>
      <c r="K623" s="800"/>
    </row>
    <row r="624" spans="1:11">
      <c r="A624" s="800"/>
      <c r="B624" s="800"/>
      <c r="C624" s="800"/>
      <c r="D624" s="800"/>
      <c r="E624" s="800"/>
      <c r="F624" s="800"/>
      <c r="G624" s="800"/>
      <c r="H624" s="800"/>
      <c r="I624" s="800"/>
      <c r="J624" s="800"/>
      <c r="K624" s="800"/>
    </row>
    <row r="625" spans="1:11">
      <c r="A625" s="800"/>
      <c r="B625" s="800"/>
      <c r="C625" s="800"/>
      <c r="D625" s="800"/>
      <c r="E625" s="800"/>
      <c r="F625" s="800"/>
      <c r="G625" s="800"/>
      <c r="H625" s="800"/>
      <c r="I625" s="800"/>
      <c r="J625" s="800"/>
      <c r="K625" s="800"/>
    </row>
    <row r="626" spans="1:11">
      <c r="A626" s="800"/>
      <c r="B626" s="800"/>
      <c r="C626" s="800"/>
      <c r="D626" s="800"/>
      <c r="E626" s="800"/>
      <c r="F626" s="800"/>
      <c r="G626" s="800"/>
      <c r="H626" s="800"/>
      <c r="I626" s="800"/>
      <c r="J626" s="800"/>
      <c r="K626" s="800"/>
    </row>
    <row r="627" spans="1:11">
      <c r="A627" s="800"/>
      <c r="B627" s="800"/>
      <c r="C627" s="800"/>
      <c r="D627" s="800"/>
      <c r="E627" s="800"/>
      <c r="F627" s="800"/>
      <c r="G627" s="800"/>
      <c r="H627" s="800"/>
      <c r="I627" s="800"/>
      <c r="J627" s="800"/>
      <c r="K627" s="800"/>
    </row>
    <row r="628" spans="1:11">
      <c r="A628" s="800"/>
      <c r="B628" s="800"/>
      <c r="C628" s="800"/>
      <c r="D628" s="800"/>
      <c r="E628" s="800"/>
      <c r="F628" s="800"/>
      <c r="G628" s="800"/>
      <c r="H628" s="800"/>
      <c r="I628" s="800"/>
      <c r="J628" s="800"/>
      <c r="K628" s="800"/>
    </row>
    <row r="629" spans="1:11">
      <c r="A629" s="800"/>
      <c r="B629" s="800"/>
      <c r="C629" s="800"/>
      <c r="D629" s="800"/>
      <c r="E629" s="800"/>
      <c r="F629" s="800"/>
      <c r="G629" s="800"/>
      <c r="H629" s="800"/>
      <c r="I629" s="800"/>
      <c r="J629" s="800"/>
      <c r="K629" s="800"/>
    </row>
    <row r="630" spans="1:11">
      <c r="A630" s="800"/>
      <c r="B630" s="800"/>
      <c r="C630" s="800"/>
      <c r="D630" s="800"/>
      <c r="E630" s="800"/>
      <c r="F630" s="800"/>
      <c r="G630" s="800"/>
      <c r="H630" s="800"/>
      <c r="I630" s="800"/>
      <c r="J630" s="800"/>
      <c r="K630" s="800"/>
    </row>
    <row r="631" spans="1:11">
      <c r="A631" s="800"/>
      <c r="B631" s="800"/>
      <c r="C631" s="800"/>
      <c r="D631" s="800"/>
      <c r="E631" s="800"/>
      <c r="F631" s="800"/>
      <c r="G631" s="800"/>
      <c r="H631" s="800"/>
      <c r="I631" s="800"/>
      <c r="J631" s="800"/>
      <c r="K631" s="800"/>
    </row>
    <row r="632" spans="1:11">
      <c r="A632" s="800"/>
      <c r="B632" s="800"/>
      <c r="C632" s="800"/>
      <c r="D632" s="800"/>
      <c r="E632" s="800"/>
      <c r="F632" s="800"/>
      <c r="G632" s="800"/>
      <c r="H632" s="800"/>
      <c r="I632" s="800"/>
      <c r="J632" s="800"/>
      <c r="K632" s="800"/>
    </row>
    <row r="633" spans="1:11">
      <c r="A633" s="800"/>
      <c r="B633" s="800"/>
      <c r="C633" s="800"/>
      <c r="D633" s="800"/>
      <c r="E633" s="800"/>
      <c r="F633" s="800"/>
      <c r="G633" s="800"/>
      <c r="H633" s="800"/>
      <c r="I633" s="800"/>
      <c r="J633" s="800"/>
      <c r="K633" s="800"/>
    </row>
    <row r="634" spans="1:11">
      <c r="A634" s="800"/>
      <c r="B634" s="800"/>
      <c r="C634" s="800"/>
      <c r="D634" s="800"/>
      <c r="E634" s="800"/>
      <c r="F634" s="800"/>
      <c r="G634" s="800"/>
      <c r="H634" s="800"/>
      <c r="I634" s="800"/>
      <c r="J634" s="800"/>
      <c r="K634" s="800"/>
    </row>
    <row r="635" spans="1:11">
      <c r="A635" s="800"/>
      <c r="B635" s="800"/>
      <c r="C635" s="800"/>
      <c r="D635" s="800"/>
      <c r="E635" s="800"/>
      <c r="F635" s="800"/>
      <c r="G635" s="800"/>
      <c r="H635" s="800"/>
      <c r="I635" s="800"/>
      <c r="J635" s="800"/>
      <c r="K635" s="800"/>
    </row>
    <row r="636" spans="1:11">
      <c r="A636" s="800"/>
      <c r="B636" s="800"/>
      <c r="C636" s="800"/>
      <c r="D636" s="800"/>
      <c r="E636" s="800"/>
      <c r="F636" s="800"/>
      <c r="G636" s="800"/>
      <c r="H636" s="800"/>
      <c r="I636" s="800"/>
      <c r="J636" s="800"/>
      <c r="K636" s="800"/>
    </row>
    <row r="637" spans="1:11">
      <c r="A637" s="800"/>
      <c r="B637" s="800"/>
      <c r="C637" s="800"/>
      <c r="D637" s="800"/>
      <c r="E637" s="800"/>
      <c r="F637" s="800"/>
      <c r="G637" s="800"/>
      <c r="H637" s="800"/>
      <c r="I637" s="800"/>
      <c r="J637" s="800"/>
      <c r="K637" s="800"/>
    </row>
    <row r="638" spans="1:11">
      <c r="A638" s="800"/>
      <c r="B638" s="800"/>
      <c r="C638" s="800"/>
      <c r="D638" s="800"/>
      <c r="E638" s="800"/>
      <c r="F638" s="800"/>
      <c r="G638" s="800"/>
      <c r="H638" s="800"/>
      <c r="I638" s="800"/>
      <c r="J638" s="800"/>
      <c r="K638" s="800"/>
    </row>
    <row r="639" spans="1:11">
      <c r="A639" s="800"/>
      <c r="B639" s="800"/>
      <c r="C639" s="800"/>
      <c r="D639" s="800"/>
      <c r="E639" s="800"/>
      <c r="F639" s="800"/>
      <c r="G639" s="800"/>
      <c r="H639" s="800"/>
      <c r="I639" s="800"/>
      <c r="J639" s="800"/>
      <c r="K639" s="800"/>
    </row>
    <row r="640" spans="1:11">
      <c r="A640" s="800"/>
      <c r="B640" s="800"/>
      <c r="C640" s="800"/>
      <c r="D640" s="800"/>
      <c r="E640" s="800"/>
      <c r="F640" s="800"/>
      <c r="G640" s="800"/>
      <c r="H640" s="800"/>
      <c r="I640" s="800"/>
      <c r="J640" s="800"/>
      <c r="K640" s="800"/>
    </row>
    <row r="641" spans="1:11">
      <c r="A641" s="800"/>
      <c r="B641" s="800"/>
      <c r="C641" s="800"/>
      <c r="D641" s="800"/>
      <c r="E641" s="800"/>
      <c r="F641" s="800"/>
      <c r="G641" s="800"/>
      <c r="H641" s="800"/>
      <c r="I641" s="800"/>
      <c r="J641" s="800"/>
      <c r="K641" s="800"/>
    </row>
    <row r="642" spans="1:11">
      <c r="A642" s="800"/>
      <c r="B642" s="800"/>
      <c r="C642" s="800"/>
      <c r="D642" s="800"/>
      <c r="E642" s="800"/>
      <c r="F642" s="800"/>
      <c r="G642" s="800"/>
      <c r="H642" s="800"/>
      <c r="I642" s="800"/>
      <c r="J642" s="800"/>
      <c r="K642" s="800"/>
    </row>
    <row r="643" spans="1:11">
      <c r="A643" s="800"/>
      <c r="B643" s="800"/>
      <c r="C643" s="800"/>
      <c r="D643" s="800"/>
      <c r="E643" s="800"/>
      <c r="F643" s="800"/>
      <c r="G643" s="800"/>
      <c r="H643" s="800"/>
      <c r="I643" s="800"/>
      <c r="J643" s="800"/>
      <c r="K643" s="800"/>
    </row>
    <row r="644" spans="1:11">
      <c r="A644" s="800"/>
      <c r="B644" s="800"/>
      <c r="C644" s="800"/>
      <c r="D644" s="800"/>
      <c r="E644" s="800"/>
      <c r="F644" s="800"/>
      <c r="G644" s="800"/>
      <c r="H644" s="800"/>
      <c r="I644" s="800"/>
      <c r="J644" s="800"/>
      <c r="K644" s="800"/>
    </row>
    <row r="645" spans="1:11">
      <c r="A645" s="800"/>
      <c r="B645" s="800"/>
      <c r="C645" s="800"/>
      <c r="D645" s="800"/>
      <c r="E645" s="800"/>
      <c r="F645" s="800"/>
      <c r="G645" s="800"/>
      <c r="H645" s="800"/>
      <c r="I645" s="800"/>
      <c r="J645" s="800"/>
      <c r="K645" s="800"/>
    </row>
    <row r="646" spans="1:11">
      <c r="A646" s="800"/>
      <c r="B646" s="800"/>
      <c r="C646" s="800"/>
      <c r="D646" s="800"/>
      <c r="E646" s="800"/>
      <c r="F646" s="800"/>
      <c r="G646" s="800"/>
      <c r="H646" s="800"/>
      <c r="I646" s="800"/>
      <c r="J646" s="800"/>
      <c r="K646" s="800"/>
    </row>
    <row r="647" spans="1:11">
      <c r="A647" s="800"/>
      <c r="B647" s="800"/>
      <c r="C647" s="800"/>
      <c r="D647" s="800"/>
      <c r="E647" s="800"/>
      <c r="F647" s="800"/>
      <c r="G647" s="800"/>
      <c r="H647" s="800"/>
      <c r="I647" s="800"/>
      <c r="J647" s="800"/>
      <c r="K647" s="800"/>
    </row>
    <row r="648" spans="1:11">
      <c r="A648" s="800"/>
      <c r="B648" s="800"/>
      <c r="C648" s="800"/>
      <c r="D648" s="800"/>
      <c r="E648" s="800"/>
      <c r="F648" s="800"/>
      <c r="G648" s="800"/>
      <c r="H648" s="800"/>
      <c r="I648" s="800"/>
      <c r="J648" s="800"/>
      <c r="K648" s="800"/>
    </row>
    <row r="649" spans="1:11">
      <c r="A649" s="800"/>
      <c r="B649" s="800"/>
      <c r="C649" s="800"/>
      <c r="D649" s="800"/>
      <c r="E649" s="800"/>
      <c r="F649" s="800"/>
      <c r="G649" s="800"/>
      <c r="H649" s="800"/>
      <c r="I649" s="800"/>
      <c r="J649" s="800"/>
      <c r="K649" s="800"/>
    </row>
    <row r="650" spans="1:11">
      <c r="A650" s="800"/>
      <c r="B650" s="800"/>
      <c r="C650" s="800"/>
      <c r="D650" s="800"/>
      <c r="E650" s="800"/>
      <c r="F650" s="800"/>
      <c r="G650" s="800"/>
      <c r="H650" s="800"/>
      <c r="I650" s="800"/>
      <c r="J650" s="800"/>
      <c r="K650" s="800"/>
    </row>
    <row r="651" spans="1:11">
      <c r="A651" s="800"/>
      <c r="B651" s="800"/>
      <c r="C651" s="800"/>
      <c r="D651" s="800"/>
      <c r="E651" s="800"/>
      <c r="F651" s="800"/>
      <c r="G651" s="800"/>
      <c r="H651" s="800"/>
      <c r="I651" s="800"/>
      <c r="J651" s="800"/>
      <c r="K651" s="800"/>
    </row>
    <row r="652" spans="1:11">
      <c r="A652" s="800"/>
      <c r="B652" s="800"/>
      <c r="C652" s="800"/>
      <c r="D652" s="800"/>
      <c r="E652" s="800"/>
      <c r="F652" s="800"/>
      <c r="G652" s="800"/>
      <c r="H652" s="800"/>
      <c r="I652" s="800"/>
      <c r="J652" s="800"/>
      <c r="K652" s="800"/>
    </row>
    <row r="653" spans="1:11">
      <c r="A653" s="800"/>
      <c r="B653" s="800"/>
      <c r="C653" s="800"/>
      <c r="D653" s="800"/>
      <c r="E653" s="800"/>
      <c r="F653" s="800"/>
      <c r="G653" s="800"/>
      <c r="H653" s="800"/>
      <c r="I653" s="800"/>
      <c r="J653" s="800"/>
      <c r="K653" s="800"/>
    </row>
    <row r="654" spans="1:11">
      <c r="A654" s="800"/>
      <c r="B654" s="800"/>
      <c r="C654" s="800"/>
      <c r="D654" s="800"/>
      <c r="E654" s="800"/>
      <c r="F654" s="800"/>
      <c r="G654" s="800"/>
      <c r="H654" s="800"/>
      <c r="I654" s="800"/>
      <c r="J654" s="800"/>
      <c r="K654" s="800"/>
    </row>
    <row r="655" spans="1:11">
      <c r="A655" s="800"/>
      <c r="B655" s="800"/>
      <c r="C655" s="800"/>
      <c r="D655" s="800"/>
      <c r="E655" s="800"/>
      <c r="F655" s="800"/>
      <c r="G655" s="800"/>
      <c r="H655" s="800"/>
      <c r="I655" s="800"/>
      <c r="J655" s="800"/>
      <c r="K655" s="800"/>
    </row>
    <row r="656" spans="1:11">
      <c r="A656" s="800"/>
      <c r="B656" s="800"/>
      <c r="C656" s="800"/>
      <c r="D656" s="800"/>
      <c r="E656" s="800"/>
      <c r="F656" s="800"/>
      <c r="G656" s="800"/>
      <c r="H656" s="800"/>
      <c r="I656" s="800"/>
      <c r="J656" s="800"/>
      <c r="K656" s="800"/>
    </row>
    <row r="657" spans="1:11">
      <c r="A657" s="800"/>
      <c r="B657" s="800"/>
      <c r="C657" s="800"/>
      <c r="D657" s="800"/>
      <c r="E657" s="800"/>
      <c r="F657" s="800"/>
      <c r="G657" s="800"/>
      <c r="H657" s="800"/>
      <c r="I657" s="800"/>
      <c r="J657" s="800"/>
      <c r="K657" s="800"/>
    </row>
    <row r="658" spans="1:11">
      <c r="A658" s="800"/>
      <c r="B658" s="800"/>
      <c r="C658" s="800"/>
      <c r="D658" s="800"/>
      <c r="E658" s="800"/>
      <c r="F658" s="800"/>
      <c r="G658" s="800"/>
      <c r="H658" s="800"/>
      <c r="I658" s="800"/>
      <c r="J658" s="800"/>
      <c r="K658" s="800"/>
    </row>
    <row r="659" spans="1:11">
      <c r="A659" s="800"/>
      <c r="B659" s="800"/>
      <c r="C659" s="800"/>
      <c r="D659" s="800"/>
      <c r="E659" s="800"/>
      <c r="F659" s="800"/>
      <c r="G659" s="800"/>
      <c r="H659" s="800"/>
      <c r="I659" s="800"/>
      <c r="J659" s="800"/>
      <c r="K659" s="800"/>
    </row>
    <row r="660" spans="1:11">
      <c r="A660" s="800"/>
      <c r="B660" s="800"/>
      <c r="C660" s="800"/>
      <c r="D660" s="800"/>
      <c r="E660" s="800"/>
      <c r="F660" s="800"/>
      <c r="G660" s="800"/>
      <c r="H660" s="800"/>
      <c r="I660" s="800"/>
      <c r="J660" s="800"/>
      <c r="K660" s="800"/>
    </row>
    <row r="661" spans="1:11">
      <c r="A661" s="800"/>
      <c r="B661" s="800"/>
      <c r="C661" s="800"/>
      <c r="D661" s="800"/>
      <c r="E661" s="800"/>
      <c r="F661" s="800"/>
      <c r="G661" s="800"/>
      <c r="H661" s="800"/>
      <c r="I661" s="800"/>
      <c r="J661" s="800"/>
      <c r="K661" s="800"/>
    </row>
    <row r="662" spans="1:11">
      <c r="A662" s="800"/>
      <c r="B662" s="800"/>
      <c r="C662" s="800"/>
      <c r="D662" s="800"/>
      <c r="E662" s="800"/>
      <c r="F662" s="800"/>
      <c r="G662" s="800"/>
      <c r="H662" s="800"/>
      <c r="I662" s="800"/>
      <c r="J662" s="800"/>
      <c r="K662" s="800"/>
    </row>
    <row r="663" spans="1:11">
      <c r="A663" s="800"/>
      <c r="B663" s="800"/>
      <c r="C663" s="800"/>
      <c r="D663" s="800"/>
      <c r="E663" s="800"/>
      <c r="F663" s="800"/>
      <c r="G663" s="800"/>
      <c r="H663" s="800"/>
      <c r="I663" s="800"/>
      <c r="J663" s="800"/>
      <c r="K663" s="800"/>
    </row>
    <row r="664" spans="1:11">
      <c r="A664" s="800"/>
      <c r="B664" s="800"/>
      <c r="C664" s="800"/>
      <c r="D664" s="800"/>
      <c r="E664" s="800"/>
      <c r="F664" s="800"/>
      <c r="G664" s="800"/>
      <c r="H664" s="800"/>
      <c r="I664" s="800"/>
      <c r="J664" s="800"/>
      <c r="K664" s="800"/>
    </row>
    <row r="665" spans="1:11">
      <c r="A665" s="800"/>
      <c r="B665" s="800"/>
      <c r="C665" s="800"/>
      <c r="D665" s="800"/>
      <c r="E665" s="800"/>
      <c r="F665" s="800"/>
      <c r="G665" s="800"/>
      <c r="H665" s="800"/>
      <c r="I665" s="800"/>
      <c r="J665" s="800"/>
      <c r="K665" s="800"/>
    </row>
    <row r="666" spans="1:11">
      <c r="A666" s="800"/>
      <c r="B666" s="800"/>
      <c r="C666" s="800"/>
      <c r="D666" s="800"/>
      <c r="E666" s="800"/>
      <c r="F666" s="800"/>
      <c r="G666" s="800"/>
      <c r="H666" s="800"/>
      <c r="I666" s="800"/>
      <c r="J666" s="800"/>
      <c r="K666" s="800"/>
    </row>
    <row r="667" spans="1:11">
      <c r="A667" s="800"/>
      <c r="B667" s="800"/>
      <c r="C667" s="800"/>
      <c r="D667" s="800"/>
      <c r="E667" s="800"/>
      <c r="F667" s="800"/>
      <c r="G667" s="800"/>
      <c r="H667" s="800"/>
      <c r="I667" s="800"/>
      <c r="J667" s="800"/>
      <c r="K667" s="800"/>
    </row>
    <row r="668" spans="1:11">
      <c r="A668" s="800"/>
      <c r="B668" s="800"/>
      <c r="C668" s="800"/>
      <c r="D668" s="800"/>
      <c r="E668" s="800"/>
      <c r="F668" s="800"/>
      <c r="G668" s="800"/>
      <c r="H668" s="800"/>
      <c r="I668" s="800"/>
      <c r="J668" s="800"/>
      <c r="K668" s="800"/>
    </row>
    <row r="669" spans="1:11">
      <c r="A669" s="800"/>
      <c r="B669" s="800"/>
      <c r="C669" s="800"/>
      <c r="D669" s="800"/>
      <c r="E669" s="800"/>
      <c r="F669" s="800"/>
      <c r="G669" s="800"/>
      <c r="H669" s="800"/>
      <c r="I669" s="800"/>
      <c r="J669" s="800"/>
      <c r="K669" s="800"/>
    </row>
    <row r="670" spans="1:11">
      <c r="A670" s="800"/>
      <c r="B670" s="800"/>
      <c r="C670" s="800"/>
      <c r="D670" s="800"/>
      <c r="E670" s="800"/>
      <c r="F670" s="800"/>
      <c r="G670" s="800"/>
      <c r="H670" s="800"/>
      <c r="I670" s="800"/>
      <c r="J670" s="800"/>
      <c r="K670" s="800"/>
    </row>
    <row r="671" spans="1:11">
      <c r="A671" s="800"/>
      <c r="B671" s="800"/>
      <c r="C671" s="800"/>
      <c r="D671" s="800"/>
      <c r="E671" s="800"/>
      <c r="F671" s="800"/>
      <c r="G671" s="800"/>
      <c r="H671" s="800"/>
      <c r="I671" s="800"/>
      <c r="J671" s="800"/>
      <c r="K671" s="800"/>
    </row>
    <row r="672" spans="1:11">
      <c r="A672" s="800"/>
      <c r="B672" s="800"/>
      <c r="C672" s="800"/>
      <c r="D672" s="800"/>
      <c r="E672" s="800"/>
      <c r="F672" s="800"/>
      <c r="G672" s="800"/>
      <c r="H672" s="800"/>
      <c r="I672" s="800"/>
      <c r="J672" s="800"/>
      <c r="K672" s="800"/>
    </row>
    <row r="673" spans="1:11">
      <c r="A673" s="800"/>
      <c r="B673" s="800"/>
      <c r="C673" s="800"/>
      <c r="D673" s="800"/>
      <c r="E673" s="800"/>
      <c r="F673" s="800"/>
      <c r="G673" s="800"/>
      <c r="H673" s="800"/>
      <c r="I673" s="800"/>
      <c r="J673" s="800"/>
      <c r="K673" s="800"/>
    </row>
    <row r="674" spans="1:11">
      <c r="A674" s="800"/>
      <c r="B674" s="800"/>
      <c r="C674" s="800"/>
      <c r="D674" s="800"/>
      <c r="E674" s="800"/>
      <c r="F674" s="800"/>
      <c r="G674" s="800"/>
      <c r="H674" s="800"/>
      <c r="I674" s="800"/>
      <c r="J674" s="800"/>
      <c r="K674" s="800"/>
    </row>
    <row r="675" spans="1:11">
      <c r="A675" s="800"/>
      <c r="B675" s="800"/>
      <c r="C675" s="800"/>
      <c r="D675" s="800"/>
      <c r="E675" s="800"/>
      <c r="F675" s="800"/>
      <c r="G675" s="800"/>
      <c r="H675" s="800"/>
      <c r="I675" s="800"/>
      <c r="J675" s="800"/>
      <c r="K675" s="800"/>
    </row>
    <row r="676" spans="1:11">
      <c r="A676" s="800"/>
      <c r="B676" s="800"/>
      <c r="C676" s="800"/>
      <c r="D676" s="800"/>
      <c r="E676" s="800"/>
      <c r="F676" s="800"/>
      <c r="G676" s="800"/>
      <c r="H676" s="800"/>
      <c r="I676" s="800"/>
      <c r="J676" s="800"/>
      <c r="K676" s="800"/>
    </row>
    <row r="677" spans="1:11">
      <c r="A677" s="800"/>
      <c r="B677" s="800"/>
      <c r="C677" s="800"/>
      <c r="D677" s="800"/>
      <c r="E677" s="800"/>
      <c r="F677" s="800"/>
      <c r="G677" s="800"/>
      <c r="H677" s="800"/>
      <c r="I677" s="800"/>
      <c r="J677" s="800"/>
      <c r="K677" s="800"/>
    </row>
    <row r="678" spans="1:11">
      <c r="A678" s="800"/>
      <c r="B678" s="800"/>
      <c r="C678" s="800"/>
      <c r="D678" s="800"/>
      <c r="E678" s="800"/>
      <c r="F678" s="800"/>
      <c r="G678" s="800"/>
      <c r="H678" s="800"/>
      <c r="I678" s="800"/>
      <c r="J678" s="800"/>
      <c r="K678" s="800"/>
    </row>
    <row r="679" spans="1:11">
      <c r="A679" s="800"/>
      <c r="B679" s="800"/>
      <c r="C679" s="800"/>
      <c r="D679" s="800"/>
      <c r="E679" s="800"/>
      <c r="F679" s="800"/>
      <c r="G679" s="800"/>
      <c r="H679" s="800"/>
      <c r="I679" s="800"/>
      <c r="J679" s="800"/>
      <c r="K679" s="800"/>
    </row>
    <row r="680" spans="1:11">
      <c r="A680" s="800"/>
      <c r="B680" s="800"/>
      <c r="C680" s="800"/>
      <c r="D680" s="800"/>
      <c r="E680" s="800"/>
      <c r="F680" s="800"/>
      <c r="G680" s="800"/>
      <c r="H680" s="800"/>
      <c r="I680" s="800"/>
      <c r="J680" s="800"/>
      <c r="K680" s="800"/>
    </row>
    <row r="681" spans="1:11">
      <c r="A681" s="800"/>
      <c r="B681" s="800"/>
      <c r="C681" s="800"/>
      <c r="D681" s="800"/>
      <c r="E681" s="800"/>
      <c r="F681" s="800"/>
      <c r="G681" s="800"/>
      <c r="H681" s="800"/>
      <c r="I681" s="800"/>
      <c r="J681" s="800"/>
      <c r="K681" s="800"/>
    </row>
    <row r="682" spans="1:11">
      <c r="A682" s="800"/>
      <c r="B682" s="800"/>
      <c r="C682" s="800"/>
      <c r="D682" s="800"/>
      <c r="E682" s="800"/>
      <c r="F682" s="800"/>
      <c r="G682" s="800"/>
      <c r="H682" s="800"/>
      <c r="I682" s="800"/>
      <c r="J682" s="800"/>
      <c r="K682" s="800"/>
    </row>
    <row r="683" spans="1:11">
      <c r="A683" s="800"/>
      <c r="B683" s="800"/>
      <c r="C683" s="800"/>
      <c r="D683" s="800"/>
      <c r="E683" s="800"/>
      <c r="F683" s="800"/>
      <c r="G683" s="800"/>
      <c r="H683" s="800"/>
      <c r="I683" s="800"/>
      <c r="J683" s="800"/>
      <c r="K683" s="800"/>
    </row>
    <row r="684" spans="1:11">
      <c r="A684" s="800"/>
      <c r="B684" s="800"/>
      <c r="C684" s="800"/>
      <c r="D684" s="800"/>
      <c r="E684" s="800"/>
      <c r="F684" s="800"/>
      <c r="G684" s="800"/>
      <c r="H684" s="800"/>
      <c r="I684" s="800"/>
      <c r="J684" s="800"/>
      <c r="K684" s="800"/>
    </row>
    <row r="685" spans="1:11">
      <c r="A685" s="800"/>
      <c r="B685" s="800"/>
      <c r="C685" s="800"/>
      <c r="D685" s="800"/>
      <c r="E685" s="800"/>
      <c r="F685" s="800"/>
      <c r="G685" s="800"/>
      <c r="H685" s="800"/>
      <c r="I685" s="800"/>
      <c r="J685" s="800"/>
      <c r="K685" s="800"/>
    </row>
    <row r="686" spans="1:11">
      <c r="A686" s="800"/>
      <c r="B686" s="800"/>
      <c r="C686" s="800"/>
      <c r="D686" s="800"/>
      <c r="E686" s="800"/>
      <c r="F686" s="800"/>
      <c r="G686" s="800"/>
      <c r="H686" s="800"/>
      <c r="I686" s="800"/>
      <c r="J686" s="800"/>
      <c r="K686" s="800"/>
    </row>
    <row r="687" spans="1:11">
      <c r="A687" s="800"/>
      <c r="B687" s="800"/>
      <c r="C687" s="800"/>
      <c r="D687" s="800"/>
      <c r="E687" s="800"/>
      <c r="F687" s="800"/>
      <c r="G687" s="800"/>
      <c r="H687" s="800"/>
      <c r="I687" s="800"/>
      <c r="J687" s="800"/>
      <c r="K687" s="800"/>
    </row>
    <row r="688" spans="1:11">
      <c r="A688" s="800"/>
      <c r="B688" s="800"/>
      <c r="C688" s="800"/>
      <c r="D688" s="800"/>
      <c r="E688" s="800"/>
      <c r="F688" s="800"/>
      <c r="G688" s="800"/>
      <c r="H688" s="800"/>
      <c r="I688" s="800"/>
      <c r="J688" s="800"/>
      <c r="K688" s="800"/>
    </row>
    <row r="689" spans="1:11">
      <c r="A689" s="800"/>
      <c r="B689" s="800"/>
      <c r="C689" s="800"/>
      <c r="D689" s="800"/>
      <c r="E689" s="800"/>
      <c r="F689" s="800"/>
      <c r="G689" s="800"/>
      <c r="H689" s="800"/>
      <c r="I689" s="800"/>
      <c r="J689" s="800"/>
      <c r="K689" s="800"/>
    </row>
    <row r="690" spans="1:11">
      <c r="A690" s="800"/>
      <c r="B690" s="800"/>
      <c r="C690" s="800"/>
      <c r="D690" s="800"/>
      <c r="E690" s="800"/>
      <c r="F690" s="800"/>
      <c r="G690" s="800"/>
      <c r="H690" s="800"/>
      <c r="I690" s="800"/>
      <c r="J690" s="800"/>
      <c r="K690" s="800"/>
    </row>
    <row r="691" spans="1:11">
      <c r="A691" s="800"/>
      <c r="B691" s="800"/>
      <c r="C691" s="800"/>
      <c r="D691" s="800"/>
      <c r="E691" s="800"/>
      <c r="F691" s="800"/>
      <c r="G691" s="800"/>
      <c r="H691" s="800"/>
      <c r="I691" s="800"/>
      <c r="J691" s="800"/>
      <c r="K691" s="800"/>
    </row>
    <row r="692" spans="1:11">
      <c r="A692" s="800"/>
      <c r="B692" s="800"/>
      <c r="C692" s="800"/>
      <c r="D692" s="800"/>
      <c r="E692" s="800"/>
      <c r="F692" s="800"/>
      <c r="G692" s="800"/>
      <c r="H692" s="800"/>
      <c r="I692" s="800"/>
      <c r="J692" s="800"/>
      <c r="K692" s="800"/>
    </row>
    <row r="693" spans="1:11">
      <c r="A693" s="800"/>
      <c r="B693" s="800"/>
      <c r="C693" s="800"/>
      <c r="D693" s="800"/>
      <c r="E693" s="800"/>
      <c r="F693" s="800"/>
      <c r="G693" s="800"/>
      <c r="H693" s="800"/>
      <c r="I693" s="800"/>
      <c r="J693" s="800"/>
      <c r="K693" s="800"/>
    </row>
    <row r="694" spans="1:11">
      <c r="A694" s="800"/>
      <c r="B694" s="800"/>
      <c r="C694" s="800"/>
      <c r="D694" s="800"/>
      <c r="E694" s="800"/>
      <c r="F694" s="800"/>
      <c r="G694" s="800"/>
      <c r="H694" s="800"/>
      <c r="I694" s="800"/>
      <c r="J694" s="800"/>
      <c r="K694" s="800"/>
    </row>
    <row r="695" spans="1:11">
      <c r="A695" s="800"/>
      <c r="B695" s="800"/>
      <c r="C695" s="800"/>
      <c r="D695" s="800"/>
      <c r="E695" s="800"/>
      <c r="F695" s="800"/>
      <c r="G695" s="800"/>
      <c r="H695" s="800"/>
      <c r="I695" s="800"/>
      <c r="J695" s="800"/>
      <c r="K695" s="800"/>
    </row>
    <row r="696" spans="1:11">
      <c r="A696" s="800"/>
      <c r="B696" s="800"/>
      <c r="C696" s="800"/>
      <c r="D696" s="800"/>
      <c r="E696" s="800"/>
      <c r="F696" s="800"/>
      <c r="G696" s="800"/>
      <c r="H696" s="800"/>
      <c r="I696" s="800"/>
      <c r="J696" s="800"/>
      <c r="K696" s="800"/>
    </row>
    <row r="697" spans="1:11">
      <c r="A697" s="800"/>
      <c r="B697" s="800"/>
      <c r="C697" s="800"/>
      <c r="D697" s="800"/>
      <c r="E697" s="800"/>
      <c r="F697" s="800"/>
      <c r="G697" s="800"/>
      <c r="H697" s="800"/>
      <c r="I697" s="800"/>
      <c r="J697" s="800"/>
      <c r="K697" s="800"/>
    </row>
    <row r="698" spans="1:11">
      <c r="A698" s="800"/>
      <c r="B698" s="800"/>
      <c r="C698" s="800"/>
      <c r="D698" s="800"/>
      <c r="E698" s="800"/>
      <c r="F698" s="800"/>
      <c r="G698" s="800"/>
      <c r="H698" s="800"/>
      <c r="I698" s="800"/>
      <c r="J698" s="800"/>
      <c r="K698" s="800"/>
    </row>
    <row r="699" spans="1:11">
      <c r="A699" s="800"/>
      <c r="B699" s="800"/>
      <c r="C699" s="800"/>
      <c r="D699" s="800"/>
      <c r="E699" s="800"/>
      <c r="F699" s="800"/>
      <c r="G699" s="800"/>
      <c r="H699" s="800"/>
      <c r="I699" s="800"/>
      <c r="J699" s="800"/>
      <c r="K699" s="800"/>
    </row>
    <row r="700" spans="1:11">
      <c r="A700" s="800"/>
      <c r="B700" s="800"/>
      <c r="C700" s="800"/>
      <c r="D700" s="800"/>
      <c r="E700" s="800"/>
      <c r="F700" s="800"/>
      <c r="G700" s="800"/>
      <c r="H700" s="800"/>
      <c r="I700" s="800"/>
      <c r="J700" s="800"/>
      <c r="K700" s="800"/>
    </row>
    <row r="701" spans="1:11">
      <c r="A701" s="800"/>
      <c r="B701" s="800"/>
      <c r="C701" s="800"/>
      <c r="D701" s="800"/>
      <c r="E701" s="800"/>
      <c r="F701" s="800"/>
      <c r="G701" s="800"/>
      <c r="H701" s="800"/>
      <c r="I701" s="800"/>
      <c r="J701" s="800"/>
      <c r="K701" s="800"/>
    </row>
    <row r="702" spans="1:11">
      <c r="A702" s="800"/>
      <c r="B702" s="800"/>
      <c r="C702" s="800"/>
      <c r="D702" s="800"/>
      <c r="E702" s="800"/>
      <c r="F702" s="800"/>
      <c r="G702" s="800"/>
      <c r="H702" s="800"/>
      <c r="I702" s="800"/>
      <c r="J702" s="800"/>
      <c r="K702" s="800"/>
    </row>
    <row r="703" spans="1:11">
      <c r="A703" s="800"/>
      <c r="B703" s="800"/>
      <c r="C703" s="800"/>
      <c r="D703" s="800"/>
      <c r="E703" s="800"/>
      <c r="F703" s="800"/>
      <c r="G703" s="800"/>
      <c r="H703" s="800"/>
      <c r="I703" s="800"/>
      <c r="J703" s="800"/>
      <c r="K703" s="800"/>
    </row>
    <row r="704" spans="1:11">
      <c r="A704" s="800"/>
      <c r="B704" s="800"/>
      <c r="C704" s="800"/>
      <c r="D704" s="800"/>
      <c r="E704" s="800"/>
      <c r="F704" s="800"/>
      <c r="G704" s="800"/>
      <c r="H704" s="800"/>
      <c r="I704" s="800"/>
      <c r="J704" s="800"/>
      <c r="K704" s="800"/>
    </row>
    <row r="705" spans="1:11">
      <c r="A705" s="800"/>
      <c r="B705" s="800"/>
      <c r="C705" s="800"/>
      <c r="D705" s="800"/>
      <c r="E705" s="800"/>
      <c r="F705" s="800"/>
      <c r="G705" s="800"/>
      <c r="H705" s="800"/>
      <c r="I705" s="800"/>
      <c r="J705" s="800"/>
      <c r="K705" s="800"/>
    </row>
    <row r="706" spans="1:11">
      <c r="A706" s="800"/>
      <c r="B706" s="800"/>
      <c r="C706" s="800"/>
      <c r="D706" s="800"/>
      <c r="E706" s="800"/>
      <c r="F706" s="800"/>
      <c r="G706" s="800"/>
      <c r="H706" s="800"/>
      <c r="I706" s="800"/>
      <c r="J706" s="800"/>
      <c r="K706" s="800"/>
    </row>
    <row r="707" spans="1:11">
      <c r="A707" s="800"/>
      <c r="B707" s="800"/>
      <c r="C707" s="800"/>
      <c r="D707" s="800"/>
      <c r="E707" s="800"/>
      <c r="F707" s="800"/>
      <c r="G707" s="800"/>
      <c r="H707" s="800"/>
      <c r="I707" s="800"/>
      <c r="J707" s="800"/>
      <c r="K707" s="800"/>
    </row>
    <row r="708" spans="1:11">
      <c r="A708" s="800"/>
      <c r="B708" s="800"/>
      <c r="C708" s="800"/>
      <c r="D708" s="800"/>
      <c r="E708" s="800"/>
      <c r="F708" s="800"/>
      <c r="G708" s="800"/>
      <c r="H708" s="800"/>
      <c r="I708" s="800"/>
      <c r="J708" s="800"/>
      <c r="K708" s="800"/>
    </row>
    <row r="709" spans="1:11">
      <c r="A709" s="800"/>
      <c r="B709" s="800"/>
      <c r="C709" s="800"/>
      <c r="D709" s="800"/>
      <c r="E709" s="800"/>
      <c r="F709" s="800"/>
      <c r="G709" s="800"/>
      <c r="H709" s="800"/>
      <c r="I709" s="800"/>
      <c r="J709" s="800"/>
      <c r="K709" s="800"/>
    </row>
    <row r="710" spans="1:11">
      <c r="A710" s="800"/>
      <c r="B710" s="800"/>
      <c r="C710" s="800"/>
      <c r="D710" s="800"/>
      <c r="E710" s="800"/>
      <c r="F710" s="800"/>
      <c r="G710" s="800"/>
      <c r="H710" s="800"/>
      <c r="I710" s="800"/>
      <c r="J710" s="800"/>
      <c r="K710" s="800"/>
    </row>
    <row r="711" spans="1:11">
      <c r="A711" s="800"/>
      <c r="B711" s="800"/>
      <c r="C711" s="800"/>
      <c r="D711" s="800"/>
      <c r="E711" s="800"/>
      <c r="F711" s="800"/>
      <c r="G711" s="800"/>
      <c r="H711" s="800"/>
      <c r="I711" s="800"/>
      <c r="J711" s="800"/>
      <c r="K711" s="800"/>
    </row>
    <row r="712" spans="1:11">
      <c r="A712" s="800"/>
      <c r="B712" s="800"/>
      <c r="C712" s="800"/>
      <c r="D712" s="800"/>
      <c r="E712" s="800"/>
      <c r="F712" s="800"/>
      <c r="G712" s="800"/>
      <c r="H712" s="800"/>
      <c r="I712" s="800"/>
      <c r="J712" s="800"/>
      <c r="K712" s="800"/>
    </row>
    <row r="713" spans="1:11">
      <c r="A713" s="800"/>
      <c r="B713" s="800"/>
      <c r="C713" s="800"/>
      <c r="D713" s="800"/>
      <c r="E713" s="800"/>
      <c r="F713" s="800"/>
      <c r="G713" s="800"/>
      <c r="H713" s="800"/>
      <c r="I713" s="800"/>
      <c r="J713" s="800"/>
      <c r="K713" s="800"/>
    </row>
    <row r="714" spans="1:11">
      <c r="A714" s="800"/>
      <c r="B714" s="800"/>
      <c r="C714" s="800"/>
      <c r="D714" s="800"/>
      <c r="E714" s="800"/>
      <c r="F714" s="800"/>
      <c r="G714" s="800"/>
      <c r="H714" s="800"/>
      <c r="I714" s="800"/>
      <c r="J714" s="800"/>
      <c r="K714" s="800"/>
    </row>
    <row r="715" spans="1:11">
      <c r="A715" s="800"/>
      <c r="B715" s="800"/>
      <c r="C715" s="800"/>
      <c r="D715" s="800"/>
      <c r="E715" s="800"/>
      <c r="F715" s="800"/>
      <c r="G715" s="800"/>
      <c r="H715" s="800"/>
      <c r="I715" s="800"/>
      <c r="J715" s="800"/>
      <c r="K715" s="800"/>
    </row>
    <row r="716" spans="1:11">
      <c r="A716" s="800"/>
      <c r="B716" s="800"/>
      <c r="C716" s="800"/>
      <c r="D716" s="800"/>
      <c r="E716" s="800"/>
      <c r="F716" s="800"/>
      <c r="G716" s="800"/>
      <c r="H716" s="800"/>
      <c r="I716" s="800"/>
      <c r="J716" s="800"/>
      <c r="K716" s="800"/>
    </row>
    <row r="717" spans="1:11">
      <c r="A717" s="800"/>
      <c r="B717" s="800"/>
      <c r="C717" s="800"/>
      <c r="D717" s="800"/>
      <c r="E717" s="800"/>
      <c r="F717" s="800"/>
      <c r="G717" s="800"/>
      <c r="H717" s="800"/>
      <c r="I717" s="800"/>
      <c r="J717" s="800"/>
      <c r="K717" s="800"/>
    </row>
    <row r="718" spans="1:11">
      <c r="A718" s="800"/>
      <c r="B718" s="800"/>
      <c r="C718" s="800"/>
      <c r="D718" s="800"/>
      <c r="E718" s="800"/>
      <c r="F718" s="800"/>
      <c r="G718" s="800"/>
      <c r="H718" s="800"/>
      <c r="I718" s="800"/>
      <c r="J718" s="800"/>
      <c r="K718" s="800"/>
    </row>
    <row r="719" spans="1:11">
      <c r="A719" s="800"/>
      <c r="B719" s="800"/>
      <c r="C719" s="800"/>
      <c r="D719" s="800"/>
      <c r="E719" s="800"/>
      <c r="F719" s="800"/>
      <c r="G719" s="800"/>
      <c r="H719" s="800"/>
      <c r="I719" s="800"/>
      <c r="J719" s="800"/>
      <c r="K719" s="800"/>
    </row>
    <row r="720" spans="1:11">
      <c r="A720" s="800"/>
      <c r="B720" s="800"/>
      <c r="C720" s="800"/>
      <c r="D720" s="800"/>
      <c r="E720" s="800"/>
      <c r="F720" s="800"/>
      <c r="G720" s="800"/>
      <c r="H720" s="800"/>
      <c r="I720" s="800"/>
      <c r="J720" s="800"/>
      <c r="K720" s="800"/>
    </row>
    <row r="721" spans="1:11">
      <c r="A721" s="800"/>
      <c r="B721" s="800"/>
      <c r="C721" s="800"/>
      <c r="D721" s="800"/>
      <c r="E721" s="800"/>
      <c r="F721" s="800"/>
      <c r="G721" s="800"/>
      <c r="H721" s="800"/>
      <c r="I721" s="800"/>
      <c r="J721" s="800"/>
      <c r="K721" s="800"/>
    </row>
    <row r="722" spans="1:11">
      <c r="A722" s="800"/>
      <c r="B722" s="800"/>
      <c r="C722" s="800"/>
      <c r="D722" s="800"/>
      <c r="E722" s="800"/>
      <c r="F722" s="800"/>
      <c r="G722" s="800"/>
      <c r="H722" s="800"/>
      <c r="I722" s="800"/>
      <c r="J722" s="800"/>
      <c r="K722" s="800"/>
    </row>
    <row r="723" spans="1:11">
      <c r="A723" s="800"/>
      <c r="B723" s="800"/>
      <c r="C723" s="800"/>
      <c r="D723" s="800"/>
      <c r="E723" s="800"/>
      <c r="F723" s="800"/>
      <c r="G723" s="800"/>
      <c r="H723" s="800"/>
      <c r="I723" s="800"/>
      <c r="J723" s="800"/>
      <c r="K723" s="800"/>
    </row>
    <row r="724" spans="1:11">
      <c r="A724" s="800"/>
      <c r="B724" s="800"/>
      <c r="C724" s="800"/>
      <c r="D724" s="800"/>
      <c r="E724" s="800"/>
      <c r="F724" s="800"/>
      <c r="G724" s="800"/>
      <c r="H724" s="800"/>
      <c r="I724" s="800"/>
      <c r="J724" s="800"/>
      <c r="K724" s="800"/>
    </row>
    <row r="725" spans="1:11">
      <c r="A725" s="800"/>
      <c r="B725" s="800"/>
      <c r="C725" s="800"/>
      <c r="D725" s="800"/>
      <c r="E725" s="800"/>
      <c r="F725" s="800"/>
      <c r="G725" s="800"/>
      <c r="H725" s="800"/>
      <c r="I725" s="800"/>
      <c r="J725" s="800"/>
      <c r="K725" s="800"/>
    </row>
    <row r="726" spans="1:11">
      <c r="A726" s="800"/>
      <c r="B726" s="800"/>
      <c r="C726" s="800"/>
      <c r="D726" s="800"/>
      <c r="E726" s="800"/>
      <c r="F726" s="800"/>
      <c r="G726" s="800"/>
      <c r="H726" s="800"/>
      <c r="I726" s="800"/>
      <c r="J726" s="800"/>
      <c r="K726" s="800"/>
    </row>
    <row r="727" spans="1:11">
      <c r="A727" s="800"/>
      <c r="B727" s="800"/>
      <c r="C727" s="800"/>
      <c r="D727" s="800"/>
      <c r="E727" s="800"/>
      <c r="F727" s="800"/>
      <c r="G727" s="800"/>
      <c r="H727" s="800"/>
      <c r="I727" s="800"/>
      <c r="J727" s="800"/>
      <c r="K727" s="800"/>
    </row>
    <row r="728" spans="1:11">
      <c r="A728" s="800"/>
      <c r="B728" s="800"/>
      <c r="C728" s="800"/>
      <c r="D728" s="800"/>
      <c r="E728" s="800"/>
      <c r="F728" s="800"/>
      <c r="G728" s="800"/>
      <c r="H728" s="800"/>
      <c r="I728" s="800"/>
      <c r="J728" s="800"/>
      <c r="K728" s="800"/>
    </row>
    <row r="729" spans="1:11">
      <c r="A729" s="800"/>
      <c r="B729" s="800"/>
      <c r="C729" s="800"/>
      <c r="D729" s="800"/>
      <c r="E729" s="800"/>
      <c r="F729" s="800"/>
      <c r="G729" s="800"/>
      <c r="H729" s="800"/>
      <c r="I729" s="800"/>
      <c r="J729" s="800"/>
      <c r="K729" s="800"/>
    </row>
    <row r="730" spans="1:11">
      <c r="A730" s="800"/>
      <c r="B730" s="800"/>
      <c r="C730" s="800"/>
      <c r="D730" s="800"/>
      <c r="E730" s="800"/>
      <c r="F730" s="800"/>
      <c r="G730" s="800"/>
      <c r="H730" s="800"/>
      <c r="I730" s="800"/>
      <c r="J730" s="800"/>
      <c r="K730" s="800"/>
    </row>
    <row r="731" spans="1:11">
      <c r="A731" s="800"/>
      <c r="B731" s="800"/>
      <c r="C731" s="800"/>
      <c r="D731" s="800"/>
      <c r="E731" s="800"/>
      <c r="F731" s="800"/>
      <c r="G731" s="800"/>
      <c r="H731" s="800"/>
      <c r="I731" s="800"/>
      <c r="J731" s="800"/>
      <c r="K731" s="800"/>
    </row>
    <row r="732" spans="1:11">
      <c r="A732" s="800"/>
      <c r="B732" s="800"/>
      <c r="C732" s="800"/>
      <c r="D732" s="800"/>
      <c r="E732" s="800"/>
      <c r="F732" s="800"/>
      <c r="G732" s="800"/>
      <c r="H732" s="800"/>
      <c r="I732" s="800"/>
      <c r="J732" s="800"/>
      <c r="K732" s="800"/>
    </row>
    <row r="733" spans="1:11">
      <c r="A733" s="800"/>
      <c r="B733" s="800"/>
      <c r="C733" s="800"/>
      <c r="D733" s="800"/>
      <c r="E733" s="800"/>
      <c r="F733" s="800"/>
      <c r="G733" s="800"/>
      <c r="H733" s="800"/>
      <c r="I733" s="800"/>
      <c r="J733" s="800"/>
      <c r="K733" s="800"/>
    </row>
    <row r="734" spans="1:11">
      <c r="A734" s="800"/>
      <c r="B734" s="800"/>
      <c r="C734" s="800"/>
      <c r="D734" s="800"/>
      <c r="E734" s="800"/>
      <c r="F734" s="800"/>
      <c r="G734" s="800"/>
      <c r="H734" s="800"/>
      <c r="I734" s="800"/>
      <c r="J734" s="800"/>
      <c r="K734" s="800"/>
    </row>
    <row r="735" spans="1:11">
      <c r="A735" s="800"/>
      <c r="B735" s="800"/>
      <c r="C735" s="800"/>
      <c r="D735" s="800"/>
      <c r="E735" s="800"/>
      <c r="F735" s="800"/>
      <c r="G735" s="800"/>
      <c r="H735" s="800"/>
      <c r="I735" s="800"/>
      <c r="J735" s="800"/>
      <c r="K735" s="800"/>
    </row>
    <row r="736" spans="1:11">
      <c r="A736" s="800"/>
      <c r="B736" s="800"/>
      <c r="C736" s="800"/>
      <c r="D736" s="800"/>
      <c r="E736" s="800"/>
      <c r="F736" s="800"/>
      <c r="G736" s="800"/>
      <c r="H736" s="800"/>
      <c r="I736" s="800"/>
      <c r="J736" s="800"/>
      <c r="K736" s="800"/>
    </row>
    <row r="737" spans="1:11">
      <c r="A737" s="800"/>
      <c r="B737" s="800"/>
      <c r="C737" s="800"/>
      <c r="D737" s="800"/>
      <c r="E737" s="800"/>
      <c r="F737" s="800"/>
      <c r="G737" s="800"/>
      <c r="H737" s="800"/>
      <c r="I737" s="800"/>
      <c r="J737" s="800"/>
      <c r="K737" s="800"/>
    </row>
    <row r="738" spans="1:11">
      <c r="A738" s="800"/>
      <c r="B738" s="800"/>
      <c r="C738" s="800"/>
      <c r="D738" s="800"/>
      <c r="E738" s="800"/>
      <c r="F738" s="800"/>
      <c r="G738" s="800"/>
      <c r="H738" s="800"/>
      <c r="I738" s="800"/>
      <c r="J738" s="800"/>
      <c r="K738" s="800"/>
    </row>
    <row r="739" spans="1:11">
      <c r="A739" s="800"/>
      <c r="B739" s="800"/>
      <c r="C739" s="800"/>
      <c r="D739" s="800"/>
      <c r="E739" s="800"/>
      <c r="F739" s="800"/>
      <c r="G739" s="800"/>
      <c r="H739" s="800"/>
      <c r="I739" s="800"/>
      <c r="J739" s="800"/>
      <c r="K739" s="800"/>
    </row>
    <row r="740" spans="1:11">
      <c r="A740" s="800"/>
      <c r="B740" s="800"/>
      <c r="C740" s="800"/>
      <c r="D740" s="800"/>
      <c r="E740" s="800"/>
      <c r="F740" s="800"/>
      <c r="G740" s="800"/>
      <c r="H740" s="800"/>
      <c r="I740" s="800"/>
      <c r="J740" s="800"/>
      <c r="K740" s="800"/>
    </row>
    <row r="741" spans="1:11">
      <c r="A741" s="800"/>
      <c r="B741" s="800"/>
      <c r="C741" s="800"/>
      <c r="D741" s="800"/>
      <c r="E741" s="800"/>
      <c r="F741" s="800"/>
      <c r="G741" s="800"/>
      <c r="H741" s="800"/>
      <c r="I741" s="800"/>
      <c r="J741" s="800"/>
      <c r="K741" s="800"/>
    </row>
    <row r="742" spans="1:11">
      <c r="A742" s="800"/>
      <c r="B742" s="800"/>
      <c r="C742" s="800"/>
      <c r="D742" s="800"/>
      <c r="E742" s="800"/>
      <c r="F742" s="800"/>
      <c r="G742" s="800"/>
      <c r="H742" s="800"/>
      <c r="I742" s="800"/>
      <c r="J742" s="800"/>
      <c r="K742" s="800"/>
    </row>
    <row r="743" spans="1:11">
      <c r="A743" s="800"/>
      <c r="B743" s="800"/>
      <c r="C743" s="800"/>
      <c r="D743" s="800"/>
      <c r="E743" s="800"/>
      <c r="F743" s="800"/>
      <c r="G743" s="800"/>
      <c r="H743" s="800"/>
      <c r="I743" s="800"/>
      <c r="J743" s="800"/>
      <c r="K743" s="800"/>
    </row>
    <row r="744" spans="1:11">
      <c r="A744" s="800"/>
      <c r="B744" s="800"/>
      <c r="C744" s="800"/>
      <c r="D744" s="800"/>
      <c r="E744" s="800"/>
      <c r="F744" s="800"/>
      <c r="G744" s="800"/>
      <c r="H744" s="800"/>
      <c r="I744" s="800"/>
      <c r="J744" s="800"/>
      <c r="K744" s="800"/>
    </row>
    <row r="745" spans="1:11">
      <c r="A745" s="800"/>
      <c r="B745" s="800"/>
      <c r="C745" s="800"/>
      <c r="D745" s="800"/>
      <c r="E745" s="800"/>
      <c r="F745" s="800"/>
      <c r="G745" s="800"/>
      <c r="H745" s="800"/>
      <c r="I745" s="800"/>
      <c r="J745" s="800"/>
      <c r="K745" s="800"/>
    </row>
    <row r="746" spans="1:11">
      <c r="A746" s="800"/>
      <c r="B746" s="800"/>
      <c r="C746" s="800"/>
      <c r="D746" s="800"/>
      <c r="E746" s="800"/>
      <c r="F746" s="800"/>
      <c r="G746" s="800"/>
      <c r="H746" s="800"/>
      <c r="I746" s="800"/>
      <c r="J746" s="800"/>
      <c r="K746" s="800"/>
    </row>
    <row r="747" spans="1:11">
      <c r="A747" s="800"/>
      <c r="B747" s="800"/>
      <c r="C747" s="800"/>
      <c r="D747" s="800"/>
      <c r="E747" s="800"/>
      <c r="F747" s="800"/>
      <c r="G747" s="800"/>
      <c r="H747" s="800"/>
      <c r="I747" s="800"/>
      <c r="J747" s="800"/>
      <c r="K747" s="800"/>
    </row>
    <row r="748" spans="1:11">
      <c r="A748" s="800"/>
      <c r="B748" s="800"/>
      <c r="C748" s="800"/>
      <c r="D748" s="800"/>
      <c r="E748" s="800"/>
      <c r="F748" s="800"/>
      <c r="G748" s="800"/>
      <c r="H748" s="800"/>
      <c r="I748" s="800"/>
      <c r="J748" s="800"/>
      <c r="K748" s="800"/>
    </row>
    <row r="749" spans="1:11">
      <c r="A749" s="800"/>
      <c r="B749" s="800"/>
      <c r="C749" s="800"/>
      <c r="D749" s="800"/>
      <c r="E749" s="800"/>
      <c r="F749" s="800"/>
      <c r="G749" s="800"/>
      <c r="H749" s="800"/>
      <c r="I749" s="800"/>
      <c r="J749" s="800"/>
      <c r="K749" s="800"/>
    </row>
    <row r="750" spans="1:11">
      <c r="A750" s="800"/>
      <c r="B750" s="800"/>
      <c r="C750" s="800"/>
      <c r="D750" s="800"/>
      <c r="E750" s="800"/>
      <c r="F750" s="800"/>
      <c r="G750" s="800"/>
      <c r="H750" s="800"/>
      <c r="I750" s="800"/>
      <c r="J750" s="800"/>
      <c r="K750" s="800"/>
    </row>
    <row r="751" spans="1:11">
      <c r="A751" s="800"/>
      <c r="B751" s="800"/>
      <c r="C751" s="800"/>
      <c r="D751" s="800"/>
      <c r="E751" s="800"/>
      <c r="F751" s="800"/>
      <c r="G751" s="800"/>
      <c r="H751" s="800"/>
      <c r="I751" s="800"/>
      <c r="J751" s="800"/>
      <c r="K751" s="800"/>
    </row>
    <row r="752" spans="1:11">
      <c r="A752" s="800"/>
      <c r="B752" s="800"/>
      <c r="C752" s="800"/>
      <c r="D752" s="800"/>
      <c r="E752" s="800"/>
      <c r="F752" s="800"/>
      <c r="G752" s="800"/>
      <c r="H752" s="800"/>
      <c r="I752" s="800"/>
      <c r="J752" s="800"/>
      <c r="K752" s="800"/>
    </row>
    <row r="753" spans="1:11">
      <c r="A753" s="800"/>
      <c r="B753" s="800"/>
      <c r="C753" s="800"/>
      <c r="D753" s="800"/>
      <c r="E753" s="800"/>
      <c r="F753" s="800"/>
      <c r="G753" s="800"/>
      <c r="H753" s="800"/>
      <c r="I753" s="800"/>
      <c r="J753" s="800"/>
      <c r="K753" s="800"/>
    </row>
    <row r="754" spans="1:11">
      <c r="A754" s="800"/>
      <c r="B754" s="800"/>
      <c r="C754" s="800"/>
      <c r="D754" s="800"/>
      <c r="E754" s="800"/>
      <c r="F754" s="800"/>
      <c r="G754" s="800"/>
      <c r="H754" s="800"/>
      <c r="I754" s="800"/>
      <c r="J754" s="800"/>
      <c r="K754" s="800"/>
    </row>
    <row r="755" spans="1:11">
      <c r="A755" s="800"/>
      <c r="B755" s="800"/>
      <c r="C755" s="800"/>
      <c r="D755" s="800"/>
      <c r="E755" s="800"/>
      <c r="F755" s="800"/>
      <c r="G755" s="800"/>
      <c r="H755" s="800"/>
      <c r="I755" s="800"/>
      <c r="J755" s="800"/>
      <c r="K755" s="800"/>
    </row>
    <row r="756" spans="1:11">
      <c r="A756" s="800"/>
      <c r="B756" s="800"/>
      <c r="C756" s="800"/>
      <c r="D756" s="800"/>
      <c r="E756" s="800"/>
      <c r="F756" s="800"/>
      <c r="G756" s="800"/>
      <c r="H756" s="800"/>
      <c r="I756" s="800"/>
      <c r="J756" s="800"/>
      <c r="K756" s="800"/>
    </row>
    <row r="757" spans="1:11">
      <c r="A757" s="800"/>
      <c r="B757" s="800"/>
      <c r="C757" s="800"/>
      <c r="D757" s="800"/>
      <c r="E757" s="800"/>
      <c r="F757" s="800"/>
      <c r="G757" s="800"/>
      <c r="H757" s="800"/>
      <c r="I757" s="800"/>
      <c r="J757" s="800"/>
      <c r="K757" s="800"/>
    </row>
    <row r="758" spans="1:11">
      <c r="A758" s="800"/>
      <c r="B758" s="800"/>
      <c r="C758" s="800"/>
      <c r="D758" s="800"/>
      <c r="E758" s="800"/>
      <c r="F758" s="800"/>
      <c r="G758" s="800"/>
      <c r="H758" s="800"/>
      <c r="I758" s="800"/>
      <c r="J758" s="800"/>
      <c r="K758" s="800"/>
    </row>
    <row r="759" spans="1:11">
      <c r="A759" s="800"/>
      <c r="B759" s="800"/>
      <c r="C759" s="800"/>
      <c r="D759" s="800"/>
      <c r="E759" s="800"/>
      <c r="F759" s="800"/>
      <c r="G759" s="800"/>
      <c r="H759" s="800"/>
      <c r="I759" s="800"/>
      <c r="J759" s="800"/>
      <c r="K759" s="800"/>
    </row>
    <row r="760" spans="1:11">
      <c r="A760" s="800"/>
      <c r="B760" s="800"/>
      <c r="C760" s="800"/>
      <c r="D760" s="800"/>
      <c r="E760" s="800"/>
      <c r="F760" s="800"/>
      <c r="G760" s="800"/>
      <c r="H760" s="800"/>
      <c r="I760" s="800"/>
      <c r="J760" s="800"/>
      <c r="K760" s="800"/>
    </row>
    <row r="761" spans="1:11">
      <c r="A761" s="800"/>
      <c r="B761" s="800"/>
      <c r="C761" s="800"/>
      <c r="D761" s="800"/>
      <c r="E761" s="800"/>
      <c r="F761" s="800"/>
      <c r="G761" s="800"/>
      <c r="H761" s="800"/>
      <c r="I761" s="800"/>
      <c r="J761" s="800"/>
      <c r="K761" s="800"/>
    </row>
    <row r="762" spans="1:11">
      <c r="A762" s="800"/>
      <c r="B762" s="800"/>
      <c r="C762" s="800"/>
      <c r="D762" s="800"/>
      <c r="E762" s="800"/>
      <c r="F762" s="800"/>
      <c r="G762" s="800"/>
      <c r="H762" s="800"/>
      <c r="I762" s="800"/>
      <c r="J762" s="800"/>
      <c r="K762" s="800"/>
    </row>
    <row r="763" spans="1:11">
      <c r="A763" s="800"/>
      <c r="B763" s="800"/>
      <c r="C763" s="800"/>
      <c r="D763" s="800"/>
      <c r="E763" s="800"/>
      <c r="F763" s="800"/>
      <c r="G763" s="800"/>
      <c r="H763" s="800"/>
      <c r="I763" s="800"/>
      <c r="J763" s="800"/>
      <c r="K763" s="800"/>
    </row>
    <row r="764" spans="1:11">
      <c r="A764" s="800"/>
      <c r="B764" s="800"/>
      <c r="C764" s="800"/>
      <c r="D764" s="800"/>
      <c r="E764" s="800"/>
      <c r="F764" s="800"/>
      <c r="G764" s="800"/>
      <c r="H764" s="800"/>
      <c r="I764" s="800"/>
      <c r="J764" s="800"/>
      <c r="K764" s="800"/>
    </row>
    <row r="765" spans="1:11">
      <c r="A765" s="800"/>
      <c r="B765" s="800"/>
      <c r="C765" s="800"/>
      <c r="D765" s="800"/>
      <c r="E765" s="800"/>
      <c r="F765" s="800"/>
      <c r="G765" s="800"/>
      <c r="H765" s="800"/>
      <c r="I765" s="800"/>
      <c r="J765" s="800"/>
      <c r="K765" s="800"/>
    </row>
    <row r="766" spans="1:11">
      <c r="A766" s="800"/>
      <c r="B766" s="800"/>
      <c r="C766" s="800"/>
      <c r="D766" s="800"/>
      <c r="E766" s="800"/>
      <c r="F766" s="800"/>
      <c r="G766" s="800"/>
      <c r="H766" s="800"/>
      <c r="I766" s="800"/>
      <c r="J766" s="800"/>
      <c r="K766" s="800"/>
    </row>
    <row r="767" spans="1:11">
      <c r="A767" s="800"/>
      <c r="B767" s="800"/>
      <c r="C767" s="800"/>
      <c r="D767" s="800"/>
      <c r="E767" s="800"/>
      <c r="F767" s="800"/>
      <c r="G767" s="800"/>
      <c r="H767" s="800"/>
      <c r="I767" s="800"/>
      <c r="J767" s="800"/>
      <c r="K767" s="800"/>
    </row>
    <row r="768" spans="1:11">
      <c r="A768" s="800"/>
      <c r="B768" s="800"/>
      <c r="C768" s="800"/>
      <c r="D768" s="800"/>
      <c r="E768" s="800"/>
      <c r="F768" s="800"/>
      <c r="G768" s="800"/>
      <c r="H768" s="800"/>
      <c r="I768" s="800"/>
      <c r="J768" s="800"/>
      <c r="K768" s="800"/>
    </row>
    <row r="769" spans="1:11">
      <c r="A769" s="800"/>
      <c r="B769" s="800"/>
      <c r="C769" s="800"/>
      <c r="D769" s="800"/>
      <c r="E769" s="800"/>
      <c r="F769" s="800"/>
      <c r="G769" s="800"/>
      <c r="H769" s="800"/>
      <c r="I769" s="800"/>
      <c r="J769" s="800"/>
      <c r="K769" s="800"/>
    </row>
    <row r="770" spans="1:11">
      <c r="A770" s="800"/>
      <c r="B770" s="800"/>
      <c r="C770" s="800"/>
      <c r="D770" s="800"/>
      <c r="E770" s="800"/>
      <c r="F770" s="800"/>
      <c r="G770" s="800"/>
      <c r="H770" s="800"/>
      <c r="I770" s="800"/>
      <c r="J770" s="800"/>
      <c r="K770" s="800"/>
    </row>
    <row r="771" spans="1:11">
      <c r="A771" s="800"/>
      <c r="B771" s="800"/>
      <c r="C771" s="800"/>
      <c r="D771" s="800"/>
      <c r="E771" s="800"/>
      <c r="F771" s="800"/>
      <c r="G771" s="800"/>
      <c r="H771" s="800"/>
      <c r="I771" s="800"/>
      <c r="J771" s="800"/>
      <c r="K771" s="800"/>
    </row>
    <row r="772" spans="1:11">
      <c r="A772" s="800"/>
      <c r="B772" s="800"/>
      <c r="C772" s="800"/>
      <c r="D772" s="800"/>
      <c r="E772" s="800"/>
      <c r="F772" s="800"/>
      <c r="G772" s="800"/>
      <c r="H772" s="800"/>
      <c r="I772" s="800"/>
      <c r="J772" s="800"/>
      <c r="K772" s="800"/>
    </row>
    <row r="773" spans="1:11">
      <c r="A773" s="800"/>
      <c r="B773" s="800"/>
      <c r="C773" s="800"/>
      <c r="D773" s="800"/>
      <c r="E773" s="800"/>
      <c r="F773" s="800"/>
      <c r="G773" s="800"/>
      <c r="H773" s="800"/>
      <c r="I773" s="800"/>
      <c r="J773" s="800"/>
      <c r="K773" s="800"/>
    </row>
    <row r="774" spans="1:11">
      <c r="A774" s="800"/>
      <c r="B774" s="800"/>
      <c r="C774" s="800"/>
      <c r="D774" s="800"/>
      <c r="E774" s="800"/>
      <c r="F774" s="800"/>
      <c r="G774" s="800"/>
      <c r="H774" s="800"/>
      <c r="I774" s="800"/>
      <c r="J774" s="800"/>
      <c r="K774" s="800"/>
    </row>
    <row r="775" spans="1:11">
      <c r="A775" s="800"/>
      <c r="B775" s="800"/>
      <c r="C775" s="800"/>
      <c r="D775" s="800"/>
      <c r="E775" s="800"/>
      <c r="F775" s="800"/>
      <c r="G775" s="800"/>
      <c r="H775" s="800"/>
      <c r="I775" s="800"/>
      <c r="J775" s="800"/>
      <c r="K775" s="800"/>
    </row>
    <row r="776" spans="1:11">
      <c r="A776" s="800"/>
      <c r="B776" s="800"/>
      <c r="C776" s="800"/>
      <c r="D776" s="800"/>
      <c r="E776" s="800"/>
      <c r="F776" s="800"/>
      <c r="G776" s="800"/>
      <c r="H776" s="800"/>
      <c r="I776" s="800"/>
      <c r="J776" s="800"/>
      <c r="K776" s="800"/>
    </row>
    <row r="777" spans="1:11">
      <c r="A777" s="800"/>
      <c r="B777" s="800"/>
      <c r="C777" s="800"/>
      <c r="D777" s="800"/>
      <c r="E777" s="800"/>
      <c r="F777" s="800"/>
      <c r="G777" s="800"/>
      <c r="H777" s="800"/>
      <c r="I777" s="800"/>
      <c r="J777" s="800"/>
      <c r="K777" s="800"/>
    </row>
    <row r="778" spans="1:11">
      <c r="A778" s="800"/>
      <c r="B778" s="800"/>
      <c r="C778" s="800"/>
      <c r="D778" s="800"/>
      <c r="E778" s="800"/>
      <c r="F778" s="800"/>
      <c r="G778" s="800"/>
      <c r="H778" s="800"/>
      <c r="I778" s="800"/>
      <c r="J778" s="800"/>
      <c r="K778" s="800"/>
    </row>
    <row r="779" spans="1:11">
      <c r="A779" s="800"/>
      <c r="B779" s="800"/>
      <c r="C779" s="800"/>
      <c r="D779" s="800"/>
      <c r="E779" s="800"/>
      <c r="F779" s="800"/>
      <c r="G779" s="800"/>
      <c r="H779" s="800"/>
      <c r="I779" s="800"/>
      <c r="J779" s="800"/>
      <c r="K779" s="800"/>
    </row>
    <row r="780" spans="1:11">
      <c r="A780" s="800"/>
      <c r="B780" s="800"/>
      <c r="C780" s="800"/>
      <c r="D780" s="800"/>
      <c r="E780" s="800"/>
      <c r="F780" s="800"/>
      <c r="G780" s="800"/>
      <c r="H780" s="800"/>
      <c r="I780" s="800"/>
      <c r="J780" s="800"/>
      <c r="K780" s="800"/>
    </row>
    <row r="781" spans="1:11">
      <c r="A781" s="800"/>
      <c r="B781" s="800"/>
      <c r="C781" s="800"/>
      <c r="D781" s="800"/>
      <c r="E781" s="800"/>
      <c r="F781" s="800"/>
      <c r="G781" s="800"/>
      <c r="H781" s="800"/>
      <c r="I781" s="800"/>
      <c r="J781" s="800"/>
      <c r="K781" s="800"/>
    </row>
    <row r="782" spans="1:11">
      <c r="A782" s="800"/>
      <c r="B782" s="800"/>
      <c r="C782" s="800"/>
      <c r="D782" s="800"/>
      <c r="E782" s="800"/>
      <c r="F782" s="800"/>
      <c r="G782" s="800"/>
      <c r="H782" s="800"/>
      <c r="I782" s="800"/>
      <c r="J782" s="800"/>
      <c r="K782" s="800"/>
    </row>
    <row r="783" spans="1:11">
      <c r="A783" s="800"/>
      <c r="B783" s="800"/>
      <c r="C783" s="800"/>
      <c r="D783" s="800"/>
      <c r="E783" s="800"/>
      <c r="F783" s="800"/>
      <c r="G783" s="800"/>
      <c r="H783" s="800"/>
      <c r="I783" s="800"/>
      <c r="J783" s="800"/>
      <c r="K783" s="800"/>
    </row>
    <row r="784" spans="1:11">
      <c r="A784" s="800"/>
      <c r="B784" s="800"/>
      <c r="C784" s="800"/>
      <c r="D784" s="800"/>
      <c r="E784" s="800"/>
      <c r="F784" s="800"/>
      <c r="G784" s="800"/>
      <c r="H784" s="800"/>
      <c r="I784" s="800"/>
      <c r="J784" s="800"/>
      <c r="K784" s="800"/>
    </row>
    <row r="785" spans="1:11">
      <c r="A785" s="800"/>
      <c r="B785" s="800"/>
      <c r="C785" s="800"/>
      <c r="D785" s="800"/>
      <c r="E785" s="800"/>
      <c r="F785" s="800"/>
      <c r="G785" s="800"/>
      <c r="H785" s="800"/>
      <c r="I785" s="800"/>
      <c r="J785" s="800"/>
      <c r="K785" s="800"/>
    </row>
    <row r="786" spans="1:11">
      <c r="A786" s="800"/>
      <c r="B786" s="800"/>
      <c r="C786" s="800"/>
      <c r="D786" s="800"/>
      <c r="E786" s="800"/>
      <c r="F786" s="800"/>
      <c r="G786" s="800"/>
      <c r="H786" s="800"/>
      <c r="I786" s="800"/>
      <c r="J786" s="800"/>
      <c r="K786" s="800"/>
    </row>
    <row r="787" spans="1:11">
      <c r="A787" s="800"/>
      <c r="B787" s="800"/>
      <c r="C787" s="800"/>
      <c r="D787" s="800"/>
      <c r="E787" s="800"/>
      <c r="F787" s="800"/>
      <c r="G787" s="800"/>
      <c r="H787" s="800"/>
      <c r="I787" s="800"/>
      <c r="J787" s="800"/>
      <c r="K787" s="800"/>
    </row>
    <row r="788" spans="1:11">
      <c r="A788" s="800"/>
      <c r="B788" s="800"/>
      <c r="C788" s="800"/>
      <c r="D788" s="800"/>
      <c r="E788" s="800"/>
      <c r="F788" s="800"/>
      <c r="G788" s="800"/>
      <c r="H788" s="800"/>
      <c r="I788" s="800"/>
      <c r="J788" s="800"/>
      <c r="K788" s="800"/>
    </row>
    <row r="789" spans="1:11">
      <c r="A789" s="800"/>
      <c r="B789" s="800"/>
      <c r="C789" s="800"/>
      <c r="D789" s="800"/>
      <c r="E789" s="800"/>
      <c r="F789" s="800"/>
      <c r="G789" s="800"/>
      <c r="H789" s="800"/>
      <c r="I789" s="800"/>
      <c r="J789" s="800"/>
      <c r="K789" s="800"/>
    </row>
    <row r="790" spans="1:11">
      <c r="A790" s="800"/>
      <c r="B790" s="800"/>
      <c r="C790" s="800"/>
      <c r="D790" s="800"/>
      <c r="E790" s="800"/>
      <c r="F790" s="800"/>
      <c r="G790" s="800"/>
      <c r="H790" s="800"/>
      <c r="I790" s="800"/>
      <c r="J790" s="800"/>
      <c r="K790" s="800"/>
    </row>
    <row r="791" spans="1:11">
      <c r="A791" s="800"/>
      <c r="B791" s="800"/>
      <c r="C791" s="800"/>
      <c r="D791" s="800"/>
      <c r="E791" s="800"/>
      <c r="F791" s="800"/>
      <c r="G791" s="800"/>
      <c r="H791" s="800"/>
      <c r="I791" s="800"/>
      <c r="J791" s="800"/>
      <c r="K791" s="800"/>
    </row>
    <row r="792" spans="1:11">
      <c r="A792" s="800"/>
      <c r="B792" s="800"/>
      <c r="C792" s="800"/>
      <c r="D792" s="800"/>
      <c r="E792" s="800"/>
      <c r="F792" s="800"/>
      <c r="G792" s="800"/>
      <c r="H792" s="800"/>
      <c r="I792" s="800"/>
      <c r="J792" s="800"/>
      <c r="K792" s="800"/>
    </row>
    <row r="793" spans="1:11">
      <c r="A793" s="800"/>
      <c r="B793" s="800"/>
      <c r="C793" s="800"/>
      <c r="D793" s="800"/>
      <c r="E793" s="800"/>
      <c r="F793" s="800"/>
      <c r="G793" s="800"/>
      <c r="H793" s="800"/>
      <c r="I793" s="800"/>
      <c r="J793" s="800"/>
      <c r="K793" s="800"/>
    </row>
    <row r="794" spans="1:11">
      <c r="A794" s="800"/>
      <c r="B794" s="800"/>
      <c r="C794" s="800"/>
      <c r="D794" s="800"/>
      <c r="E794" s="800"/>
      <c r="F794" s="800"/>
      <c r="G794" s="800"/>
      <c r="H794" s="800"/>
      <c r="I794" s="800"/>
      <c r="J794" s="800"/>
      <c r="K794" s="800"/>
    </row>
    <row r="795" spans="1:11">
      <c r="A795" s="800"/>
      <c r="B795" s="800"/>
      <c r="C795" s="800"/>
      <c r="D795" s="800"/>
      <c r="E795" s="800"/>
      <c r="F795" s="800"/>
      <c r="G795" s="800"/>
      <c r="H795" s="800"/>
      <c r="I795" s="800"/>
      <c r="J795" s="800"/>
      <c r="K795" s="800"/>
    </row>
    <row r="796" spans="1:11">
      <c r="A796" s="800"/>
      <c r="B796" s="800"/>
      <c r="C796" s="800"/>
      <c r="D796" s="800"/>
      <c r="E796" s="800"/>
      <c r="F796" s="800"/>
      <c r="G796" s="800"/>
      <c r="H796" s="800"/>
      <c r="I796" s="800"/>
      <c r="J796" s="800"/>
      <c r="K796" s="800"/>
    </row>
    <row r="797" spans="1:11">
      <c r="A797" s="800"/>
      <c r="B797" s="800"/>
      <c r="C797" s="800"/>
      <c r="D797" s="800"/>
      <c r="E797" s="800"/>
      <c r="F797" s="800"/>
      <c r="G797" s="800"/>
      <c r="H797" s="800"/>
      <c r="I797" s="800"/>
      <c r="J797" s="800"/>
      <c r="K797" s="800"/>
    </row>
    <row r="798" spans="1:11">
      <c r="A798" s="800"/>
      <c r="B798" s="800"/>
      <c r="C798" s="800"/>
      <c r="D798" s="800"/>
      <c r="E798" s="800"/>
      <c r="F798" s="800"/>
      <c r="G798" s="800"/>
      <c r="H798" s="800"/>
      <c r="I798" s="800"/>
      <c r="J798" s="800"/>
      <c r="K798" s="800"/>
    </row>
    <row r="799" spans="1:11">
      <c r="A799" s="800"/>
      <c r="B799" s="800"/>
      <c r="C799" s="800"/>
      <c r="D799" s="800"/>
      <c r="E799" s="800"/>
      <c r="F799" s="800"/>
      <c r="G799" s="800"/>
      <c r="H799" s="800"/>
      <c r="I799" s="800"/>
      <c r="J799" s="800"/>
      <c r="K799" s="800"/>
    </row>
    <row r="800" spans="1:11">
      <c r="A800" s="800"/>
      <c r="B800" s="800"/>
      <c r="C800" s="800"/>
      <c r="D800" s="800"/>
      <c r="E800" s="800"/>
      <c r="F800" s="800"/>
      <c r="G800" s="800"/>
      <c r="H800" s="800"/>
      <c r="I800" s="800"/>
      <c r="J800" s="800"/>
      <c r="K800" s="800"/>
    </row>
    <row r="801" spans="1:11">
      <c r="A801" s="800"/>
      <c r="B801" s="800"/>
      <c r="C801" s="800"/>
      <c r="D801" s="800"/>
      <c r="E801" s="800"/>
      <c r="F801" s="800"/>
      <c r="G801" s="800"/>
      <c r="H801" s="800"/>
      <c r="I801" s="800"/>
      <c r="J801" s="800"/>
      <c r="K801" s="800"/>
    </row>
    <row r="802" spans="1:11">
      <c r="A802" s="800"/>
      <c r="B802" s="800"/>
      <c r="C802" s="800"/>
      <c r="D802" s="800"/>
      <c r="E802" s="800"/>
      <c r="F802" s="800"/>
      <c r="G802" s="800"/>
      <c r="H802" s="800"/>
      <c r="I802" s="800"/>
      <c r="J802" s="800"/>
      <c r="K802" s="800"/>
    </row>
    <row r="803" spans="1:11">
      <c r="A803" s="800"/>
      <c r="B803" s="800"/>
      <c r="C803" s="800"/>
      <c r="D803" s="800"/>
      <c r="E803" s="800"/>
      <c r="F803" s="800"/>
      <c r="G803" s="800"/>
      <c r="H803" s="800"/>
      <c r="I803" s="800"/>
      <c r="J803" s="800"/>
      <c r="K803" s="800"/>
    </row>
    <row r="804" spans="1:11">
      <c r="A804" s="800"/>
      <c r="B804" s="800"/>
      <c r="C804" s="800"/>
      <c r="D804" s="800"/>
      <c r="E804" s="800"/>
      <c r="F804" s="800"/>
      <c r="G804" s="800"/>
      <c r="H804" s="800"/>
      <c r="I804" s="800"/>
      <c r="J804" s="800"/>
      <c r="K804" s="800"/>
    </row>
    <row r="805" spans="1:11">
      <c r="A805" s="800"/>
      <c r="B805" s="800"/>
      <c r="C805" s="800"/>
      <c r="D805" s="800"/>
      <c r="E805" s="800"/>
      <c r="F805" s="800"/>
      <c r="G805" s="800"/>
      <c r="H805" s="800"/>
      <c r="I805" s="800"/>
      <c r="J805" s="800"/>
      <c r="K805" s="800"/>
    </row>
    <row r="806" spans="1:11">
      <c r="A806" s="800"/>
      <c r="B806" s="800"/>
      <c r="C806" s="800"/>
      <c r="D806" s="800"/>
      <c r="E806" s="800"/>
      <c r="F806" s="800"/>
      <c r="G806" s="800"/>
      <c r="H806" s="800"/>
      <c r="I806" s="800"/>
      <c r="J806" s="800"/>
      <c r="K806" s="800"/>
    </row>
    <row r="807" spans="1:11">
      <c r="A807" s="800"/>
      <c r="B807" s="800"/>
      <c r="C807" s="800"/>
      <c r="D807" s="800"/>
      <c r="E807" s="800"/>
      <c r="F807" s="800"/>
      <c r="G807" s="800"/>
      <c r="H807" s="800"/>
      <c r="I807" s="800"/>
      <c r="J807" s="800"/>
      <c r="K807" s="800"/>
    </row>
    <row r="808" spans="1:11">
      <c r="A808" s="800"/>
      <c r="B808" s="800"/>
      <c r="C808" s="800"/>
      <c r="D808" s="800"/>
      <c r="E808" s="800"/>
      <c r="F808" s="800"/>
      <c r="G808" s="800"/>
      <c r="H808" s="800"/>
      <c r="I808" s="800"/>
      <c r="J808" s="800"/>
      <c r="K808" s="800"/>
    </row>
    <row r="809" spans="1:11">
      <c r="A809" s="800"/>
      <c r="B809" s="800"/>
      <c r="C809" s="800"/>
      <c r="D809" s="800"/>
      <c r="E809" s="800"/>
      <c r="F809" s="800"/>
      <c r="G809" s="800"/>
      <c r="H809" s="800"/>
      <c r="I809" s="800"/>
      <c r="J809" s="800"/>
      <c r="K809" s="800"/>
    </row>
    <row r="810" spans="1:11">
      <c r="A810" s="800"/>
      <c r="B810" s="800"/>
      <c r="C810" s="800"/>
      <c r="D810" s="800"/>
      <c r="E810" s="800"/>
      <c r="F810" s="800"/>
      <c r="G810" s="800"/>
      <c r="H810" s="800"/>
      <c r="I810" s="800"/>
      <c r="J810" s="800"/>
      <c r="K810" s="800"/>
    </row>
    <row r="811" spans="1:11">
      <c r="A811" s="800"/>
      <c r="B811" s="800"/>
      <c r="C811" s="800"/>
      <c r="D811" s="800"/>
      <c r="E811" s="800"/>
      <c r="F811" s="800"/>
      <c r="G811" s="800"/>
      <c r="H811" s="800"/>
      <c r="I811" s="800"/>
      <c r="J811" s="800"/>
      <c r="K811" s="800"/>
    </row>
    <row r="812" spans="1:11">
      <c r="A812" s="800"/>
      <c r="B812" s="800"/>
      <c r="C812" s="800"/>
      <c r="D812" s="800"/>
      <c r="E812" s="800"/>
      <c r="F812" s="800"/>
      <c r="G812" s="800"/>
      <c r="H812" s="800"/>
      <c r="I812" s="800"/>
      <c r="J812" s="800"/>
      <c r="K812" s="800"/>
    </row>
    <row r="813" spans="1:11">
      <c r="A813" s="800"/>
      <c r="B813" s="800"/>
      <c r="C813" s="800"/>
      <c r="D813" s="800"/>
      <c r="E813" s="800"/>
      <c r="F813" s="800"/>
      <c r="G813" s="800"/>
      <c r="H813" s="800"/>
      <c r="I813" s="800"/>
      <c r="J813" s="800"/>
      <c r="K813" s="800"/>
    </row>
    <row r="814" spans="1:11">
      <c r="A814" s="800"/>
      <c r="B814" s="800"/>
      <c r="C814" s="800"/>
      <c r="D814" s="800"/>
      <c r="E814" s="800"/>
      <c r="F814" s="800"/>
      <c r="G814" s="800"/>
      <c r="H814" s="800"/>
      <c r="I814" s="800"/>
      <c r="J814" s="800"/>
      <c r="K814" s="800"/>
    </row>
    <row r="815" spans="1:11">
      <c r="A815" s="800"/>
      <c r="B815" s="800"/>
      <c r="C815" s="800"/>
      <c r="D815" s="800"/>
      <c r="E815" s="800"/>
      <c r="F815" s="800"/>
      <c r="G815" s="800"/>
      <c r="H815" s="800"/>
      <c r="I815" s="800"/>
      <c r="J815" s="800"/>
      <c r="K815" s="800"/>
    </row>
    <row r="816" spans="1:11">
      <c r="A816" s="800"/>
      <c r="B816" s="800"/>
      <c r="C816" s="800"/>
      <c r="D816" s="800"/>
      <c r="E816" s="800"/>
      <c r="F816" s="800"/>
      <c r="G816" s="800"/>
      <c r="H816" s="800"/>
      <c r="I816" s="800"/>
      <c r="J816" s="800"/>
      <c r="K816" s="800"/>
    </row>
    <row r="817" spans="1:11">
      <c r="A817" s="800"/>
      <c r="B817" s="800"/>
      <c r="C817" s="800"/>
      <c r="D817" s="800"/>
      <c r="E817" s="800"/>
      <c r="F817" s="800"/>
      <c r="G817" s="800"/>
      <c r="H817" s="800"/>
      <c r="I817" s="800"/>
      <c r="J817" s="800"/>
      <c r="K817" s="800"/>
    </row>
    <row r="818" spans="1:11">
      <c r="A818" s="800"/>
      <c r="B818" s="800"/>
      <c r="C818" s="800"/>
      <c r="D818" s="800"/>
      <c r="E818" s="800"/>
      <c r="F818" s="800"/>
      <c r="G818" s="800"/>
      <c r="H818" s="800"/>
      <c r="I818" s="800"/>
      <c r="J818" s="800"/>
      <c r="K818" s="800"/>
    </row>
    <row r="819" spans="1:11">
      <c r="A819" s="800"/>
      <c r="B819" s="800"/>
      <c r="C819" s="800"/>
      <c r="D819" s="800"/>
      <c r="E819" s="800"/>
      <c r="F819" s="800"/>
      <c r="G819" s="800"/>
      <c r="H819" s="800"/>
      <c r="I819" s="800"/>
      <c r="J819" s="800"/>
      <c r="K819" s="800"/>
    </row>
    <row r="820" spans="1:11">
      <c r="A820" s="800"/>
      <c r="B820" s="800"/>
      <c r="C820" s="800"/>
      <c r="D820" s="800"/>
      <c r="E820" s="800"/>
      <c r="F820" s="800"/>
      <c r="G820" s="800"/>
      <c r="H820" s="800"/>
      <c r="I820" s="800"/>
      <c r="J820" s="800"/>
      <c r="K820" s="800"/>
    </row>
    <row r="821" spans="1:11">
      <c r="A821" s="800"/>
      <c r="B821" s="800"/>
      <c r="C821" s="800"/>
      <c r="D821" s="800"/>
      <c r="E821" s="800"/>
      <c r="F821" s="800"/>
      <c r="G821" s="800"/>
      <c r="H821" s="800"/>
      <c r="I821" s="800"/>
      <c r="J821" s="800"/>
      <c r="K821" s="800"/>
    </row>
    <row r="822" spans="1:11">
      <c r="A822" s="800"/>
      <c r="B822" s="800"/>
      <c r="C822" s="800"/>
      <c r="D822" s="800"/>
      <c r="E822" s="800"/>
      <c r="F822" s="800"/>
      <c r="G822" s="800"/>
      <c r="H822" s="800"/>
      <c r="I822" s="800"/>
      <c r="J822" s="800"/>
      <c r="K822" s="800"/>
    </row>
    <row r="823" spans="1:11">
      <c r="A823" s="800"/>
      <c r="B823" s="800"/>
      <c r="C823" s="800"/>
      <c r="D823" s="800"/>
      <c r="E823" s="800"/>
      <c r="F823" s="800"/>
      <c r="G823" s="800"/>
      <c r="H823" s="800"/>
      <c r="I823" s="800"/>
      <c r="J823" s="800"/>
      <c r="K823" s="800"/>
    </row>
    <row r="824" spans="1:11">
      <c r="A824" s="800"/>
      <c r="B824" s="800"/>
      <c r="C824" s="800"/>
      <c r="D824" s="800"/>
      <c r="E824" s="800"/>
      <c r="F824" s="800"/>
      <c r="G824" s="800"/>
      <c r="H824" s="800"/>
      <c r="I824" s="800"/>
      <c r="J824" s="800"/>
      <c r="K824" s="800"/>
    </row>
    <row r="825" spans="1:11">
      <c r="A825" s="800"/>
      <c r="B825" s="800"/>
      <c r="C825" s="800"/>
      <c r="D825" s="800"/>
      <c r="E825" s="800"/>
      <c r="F825" s="800"/>
      <c r="G825" s="800"/>
      <c r="H825" s="800"/>
      <c r="I825" s="800"/>
      <c r="J825" s="800"/>
      <c r="K825" s="800"/>
    </row>
    <row r="826" spans="1:11">
      <c r="A826" s="800"/>
      <c r="B826" s="800"/>
      <c r="C826" s="800"/>
      <c r="D826" s="800"/>
      <c r="E826" s="800"/>
      <c r="F826" s="800"/>
      <c r="G826" s="800"/>
      <c r="H826" s="800"/>
      <c r="I826" s="800"/>
      <c r="J826" s="800"/>
      <c r="K826" s="800"/>
    </row>
    <row r="827" spans="1:11">
      <c r="A827" s="800"/>
      <c r="B827" s="800"/>
      <c r="C827" s="800"/>
      <c r="D827" s="800"/>
      <c r="E827" s="800"/>
      <c r="F827" s="800"/>
      <c r="G827" s="800"/>
      <c r="H827" s="800"/>
      <c r="I827" s="800"/>
      <c r="J827" s="800"/>
      <c r="K827" s="800"/>
    </row>
    <row r="828" spans="1:11">
      <c r="A828" s="800"/>
      <c r="B828" s="800"/>
      <c r="C828" s="800"/>
      <c r="D828" s="800"/>
      <c r="E828" s="800"/>
      <c r="F828" s="800"/>
      <c r="G828" s="800"/>
      <c r="H828" s="800"/>
      <c r="I828" s="800"/>
      <c r="J828" s="800"/>
      <c r="K828" s="800"/>
    </row>
    <row r="829" spans="1:11">
      <c r="A829" s="800"/>
      <c r="B829" s="800"/>
      <c r="C829" s="800"/>
      <c r="D829" s="800"/>
      <c r="E829" s="800"/>
      <c r="F829" s="800"/>
      <c r="G829" s="800"/>
      <c r="H829" s="800"/>
      <c r="I829" s="800"/>
      <c r="J829" s="800"/>
      <c r="K829" s="800"/>
    </row>
    <row r="830" spans="1:11">
      <c r="A830" s="800"/>
      <c r="B830" s="800"/>
      <c r="C830" s="800"/>
      <c r="D830" s="800"/>
      <c r="E830" s="800"/>
      <c r="F830" s="800"/>
      <c r="G830" s="800"/>
      <c r="H830" s="800"/>
      <c r="I830" s="800"/>
      <c r="J830" s="800"/>
      <c r="K830" s="800"/>
    </row>
    <row r="831" spans="1:11">
      <c r="A831" s="800"/>
      <c r="B831" s="800"/>
      <c r="C831" s="800"/>
      <c r="D831" s="800"/>
      <c r="E831" s="800"/>
      <c r="F831" s="800"/>
      <c r="G831" s="800"/>
      <c r="H831" s="800"/>
      <c r="I831" s="800"/>
      <c r="J831" s="800"/>
      <c r="K831" s="800"/>
    </row>
    <row r="832" spans="1:11">
      <c r="A832" s="800"/>
      <c r="B832" s="800"/>
      <c r="C832" s="800"/>
      <c r="D832" s="800"/>
      <c r="E832" s="800"/>
      <c r="F832" s="800"/>
      <c r="G832" s="800"/>
      <c r="H832" s="800"/>
      <c r="I832" s="800"/>
      <c r="J832" s="800"/>
      <c r="K832" s="800"/>
    </row>
    <row r="833" spans="1:11">
      <c r="A833" s="800"/>
      <c r="B833" s="800"/>
      <c r="C833" s="800"/>
      <c r="D833" s="800"/>
      <c r="E833" s="800"/>
      <c r="F833" s="800"/>
      <c r="G833" s="800"/>
      <c r="H833" s="800"/>
      <c r="I833" s="800"/>
      <c r="J833" s="800"/>
      <c r="K833" s="800"/>
    </row>
    <row r="834" spans="1:11">
      <c r="A834" s="800"/>
      <c r="B834" s="800"/>
      <c r="C834" s="800"/>
      <c r="D834" s="800"/>
      <c r="E834" s="800"/>
      <c r="F834" s="800"/>
      <c r="G834" s="800"/>
      <c r="H834" s="800"/>
      <c r="I834" s="800"/>
      <c r="J834" s="800"/>
      <c r="K834" s="800"/>
    </row>
    <row r="835" spans="1:11">
      <c r="A835" s="800"/>
      <c r="B835" s="800"/>
      <c r="C835" s="800"/>
      <c r="D835" s="800"/>
      <c r="E835" s="800"/>
      <c r="F835" s="800"/>
      <c r="G835" s="800"/>
      <c r="H835" s="800"/>
      <c r="I835" s="800"/>
      <c r="J835" s="800"/>
      <c r="K835" s="800"/>
    </row>
    <row r="836" spans="1:11">
      <c r="A836" s="800"/>
      <c r="B836" s="800"/>
      <c r="C836" s="800"/>
      <c r="D836" s="800"/>
      <c r="E836" s="800"/>
      <c r="F836" s="800"/>
      <c r="G836" s="800"/>
      <c r="H836" s="800"/>
      <c r="I836" s="800"/>
      <c r="J836" s="800"/>
      <c r="K836" s="800"/>
    </row>
    <row r="837" spans="1:11">
      <c r="A837" s="800"/>
      <c r="B837" s="800"/>
      <c r="C837" s="800"/>
      <c r="D837" s="800"/>
      <c r="E837" s="800"/>
      <c r="F837" s="800"/>
      <c r="G837" s="800"/>
      <c r="H837" s="800"/>
      <c r="I837" s="800"/>
      <c r="J837" s="800"/>
      <c r="K837" s="800"/>
    </row>
    <row r="838" spans="1:11">
      <c r="A838" s="800"/>
      <c r="B838" s="800"/>
      <c r="C838" s="800"/>
      <c r="D838" s="800"/>
      <c r="E838" s="800"/>
      <c r="F838" s="800"/>
      <c r="G838" s="800"/>
      <c r="H838" s="800"/>
      <c r="I838" s="800"/>
      <c r="J838" s="800"/>
      <c r="K838" s="800"/>
    </row>
    <row r="839" spans="1:11">
      <c r="A839" s="800"/>
      <c r="B839" s="800"/>
      <c r="C839" s="800"/>
      <c r="D839" s="800"/>
      <c r="E839" s="800"/>
      <c r="F839" s="800"/>
      <c r="G839" s="800"/>
      <c r="H839" s="800"/>
      <c r="I839" s="800"/>
      <c r="J839" s="800"/>
      <c r="K839" s="800"/>
    </row>
    <row r="840" spans="1:11">
      <c r="A840" s="800"/>
      <c r="B840" s="800"/>
      <c r="C840" s="800"/>
      <c r="D840" s="800"/>
      <c r="E840" s="800"/>
      <c r="F840" s="800"/>
      <c r="G840" s="800"/>
      <c r="H840" s="800"/>
      <c r="I840" s="800"/>
      <c r="J840" s="800"/>
      <c r="K840" s="800"/>
    </row>
    <row r="841" spans="1:11">
      <c r="A841" s="800"/>
      <c r="B841" s="800"/>
      <c r="C841" s="800"/>
      <c r="D841" s="800"/>
      <c r="E841" s="800"/>
      <c r="F841" s="800"/>
      <c r="G841" s="800"/>
      <c r="H841" s="800"/>
      <c r="I841" s="800"/>
      <c r="J841" s="800"/>
      <c r="K841" s="800"/>
    </row>
    <row r="842" spans="1:11">
      <c r="A842" s="800"/>
      <c r="B842" s="800"/>
      <c r="C842" s="800"/>
      <c r="D842" s="800"/>
      <c r="E842" s="800"/>
      <c r="F842" s="800"/>
      <c r="G842" s="800"/>
      <c r="H842" s="800"/>
      <c r="I842" s="800"/>
      <c r="J842" s="800"/>
      <c r="K842" s="800"/>
    </row>
    <row r="843" spans="1:11">
      <c r="A843" s="800"/>
      <c r="B843" s="800"/>
      <c r="C843" s="800"/>
      <c r="D843" s="800"/>
      <c r="E843" s="800"/>
      <c r="F843" s="800"/>
      <c r="G843" s="800"/>
      <c r="H843" s="800"/>
      <c r="I843" s="800"/>
      <c r="J843" s="800"/>
      <c r="K843" s="800"/>
    </row>
    <row r="844" spans="1:11">
      <c r="A844" s="800"/>
      <c r="B844" s="800"/>
      <c r="C844" s="800"/>
      <c r="D844" s="800"/>
      <c r="E844" s="800"/>
      <c r="F844" s="800"/>
      <c r="G844" s="800"/>
      <c r="H844" s="800"/>
      <c r="I844" s="800"/>
      <c r="J844" s="800"/>
      <c r="K844" s="800"/>
    </row>
    <row r="845" spans="1:11">
      <c r="A845" s="800"/>
      <c r="B845" s="800"/>
      <c r="C845" s="800"/>
      <c r="D845" s="800"/>
      <c r="E845" s="800"/>
      <c r="F845" s="800"/>
      <c r="G845" s="800"/>
      <c r="H845" s="800"/>
      <c r="I845" s="800"/>
      <c r="J845" s="800"/>
      <c r="K845" s="800"/>
    </row>
    <row r="846" spans="1:11">
      <c r="A846" s="800"/>
      <c r="B846" s="800"/>
      <c r="C846" s="800"/>
      <c r="D846" s="800"/>
      <c r="E846" s="800"/>
      <c r="F846" s="800"/>
      <c r="G846" s="800"/>
      <c r="H846" s="800"/>
      <c r="I846" s="800"/>
      <c r="J846" s="800"/>
      <c r="K846" s="800"/>
    </row>
    <row r="847" spans="1:11">
      <c r="A847" s="800"/>
      <c r="B847" s="800"/>
      <c r="C847" s="800"/>
      <c r="D847" s="800"/>
      <c r="E847" s="800"/>
      <c r="F847" s="800"/>
      <c r="G847" s="800"/>
      <c r="H847" s="800"/>
      <c r="I847" s="800"/>
      <c r="J847" s="800"/>
      <c r="K847" s="800"/>
    </row>
    <row r="848" spans="1:11">
      <c r="A848" s="800"/>
      <c r="B848" s="800"/>
      <c r="C848" s="800"/>
      <c r="D848" s="800"/>
      <c r="E848" s="800"/>
      <c r="F848" s="800"/>
      <c r="G848" s="800"/>
      <c r="H848" s="800"/>
      <c r="I848" s="800"/>
      <c r="J848" s="800"/>
      <c r="K848" s="800"/>
    </row>
    <row r="849" spans="1:11">
      <c r="A849" s="800"/>
      <c r="B849" s="800"/>
      <c r="C849" s="800"/>
      <c r="D849" s="800"/>
      <c r="E849" s="800"/>
      <c r="F849" s="800"/>
      <c r="G849" s="800"/>
      <c r="H849" s="800"/>
      <c r="I849" s="800"/>
      <c r="J849" s="800"/>
      <c r="K849" s="800"/>
    </row>
    <row r="850" spans="1:11">
      <c r="A850" s="800"/>
      <c r="B850" s="800"/>
      <c r="C850" s="800"/>
      <c r="D850" s="800"/>
      <c r="E850" s="800"/>
      <c r="F850" s="800"/>
      <c r="G850" s="800"/>
      <c r="H850" s="800"/>
      <c r="I850" s="800"/>
      <c r="J850" s="800"/>
      <c r="K850" s="800"/>
    </row>
    <row r="851" spans="1:11">
      <c r="A851" s="800"/>
      <c r="B851" s="800"/>
      <c r="C851" s="800"/>
      <c r="D851" s="800"/>
      <c r="E851" s="800"/>
      <c r="F851" s="800"/>
      <c r="G851" s="800"/>
      <c r="H851" s="800"/>
      <c r="I851" s="800"/>
      <c r="J851" s="800"/>
      <c r="K851" s="800"/>
    </row>
    <row r="852" spans="1:11">
      <c r="A852" s="800"/>
      <c r="B852" s="800"/>
      <c r="C852" s="800"/>
      <c r="D852" s="800"/>
      <c r="E852" s="800"/>
      <c r="F852" s="800"/>
      <c r="G852" s="800"/>
      <c r="H852" s="800"/>
      <c r="I852" s="800"/>
      <c r="J852" s="800"/>
      <c r="K852" s="800"/>
    </row>
    <row r="853" spans="1:11">
      <c r="A853" s="800"/>
      <c r="B853" s="800"/>
      <c r="C853" s="800"/>
      <c r="D853" s="800"/>
      <c r="E853" s="800"/>
      <c r="F853" s="800"/>
      <c r="G853" s="800"/>
      <c r="H853" s="800"/>
      <c r="I853" s="800"/>
      <c r="J853" s="800"/>
      <c r="K853" s="800"/>
    </row>
    <row r="854" spans="1:11">
      <c r="A854" s="800"/>
      <c r="B854" s="800"/>
      <c r="C854" s="800"/>
      <c r="D854" s="800"/>
      <c r="E854" s="800"/>
      <c r="F854" s="800"/>
      <c r="G854" s="800"/>
      <c r="H854" s="800"/>
      <c r="I854" s="800"/>
      <c r="J854" s="800"/>
      <c r="K854" s="800"/>
    </row>
    <row r="855" spans="1:11">
      <c r="A855" s="800"/>
      <c r="B855" s="800"/>
      <c r="C855" s="800"/>
      <c r="D855" s="800"/>
      <c r="E855" s="800"/>
      <c r="F855" s="800"/>
      <c r="G855" s="800"/>
      <c r="H855" s="800"/>
      <c r="I855" s="800"/>
      <c r="J855" s="800"/>
      <c r="K855" s="800"/>
    </row>
    <row r="856" spans="1:11">
      <c r="A856" s="800"/>
      <c r="B856" s="800"/>
      <c r="C856" s="800"/>
      <c r="D856" s="800"/>
      <c r="E856" s="800"/>
      <c r="F856" s="800"/>
      <c r="G856" s="800"/>
      <c r="H856" s="800"/>
      <c r="I856" s="800"/>
      <c r="J856" s="800"/>
      <c r="K856" s="800"/>
    </row>
    <row r="857" spans="1:11">
      <c r="A857" s="800"/>
      <c r="B857" s="800"/>
      <c r="C857" s="800"/>
      <c r="D857" s="800"/>
      <c r="E857" s="800"/>
      <c r="F857" s="800"/>
      <c r="G857" s="800"/>
      <c r="H857" s="800"/>
      <c r="I857" s="800"/>
      <c r="J857" s="800"/>
      <c r="K857" s="800"/>
    </row>
    <row r="858" spans="1:11">
      <c r="A858" s="800"/>
      <c r="B858" s="800"/>
      <c r="C858" s="800"/>
      <c r="D858" s="800"/>
      <c r="E858" s="800"/>
      <c r="F858" s="800"/>
      <c r="G858" s="800"/>
      <c r="H858" s="800"/>
      <c r="I858" s="800"/>
      <c r="J858" s="800"/>
      <c r="K858" s="800"/>
    </row>
    <row r="859" spans="1:11">
      <c r="A859" s="800"/>
      <c r="B859" s="800"/>
      <c r="C859" s="800"/>
      <c r="D859" s="800"/>
      <c r="E859" s="800"/>
      <c r="F859" s="800"/>
      <c r="G859" s="800"/>
      <c r="H859" s="800"/>
      <c r="I859" s="800"/>
      <c r="J859" s="800"/>
      <c r="K859" s="800"/>
    </row>
    <row r="860" spans="1:11">
      <c r="A860" s="800"/>
      <c r="B860" s="800"/>
      <c r="C860" s="800"/>
      <c r="D860" s="800"/>
      <c r="E860" s="800"/>
      <c r="F860" s="800"/>
      <c r="G860" s="800"/>
      <c r="H860" s="800"/>
      <c r="I860" s="800"/>
      <c r="J860" s="800"/>
      <c r="K860" s="800"/>
    </row>
    <row r="861" spans="1:11">
      <c r="A861" s="800"/>
      <c r="B861" s="800"/>
      <c r="C861" s="800"/>
      <c r="D861" s="800"/>
      <c r="E861" s="800"/>
      <c r="F861" s="800"/>
      <c r="G861" s="800"/>
      <c r="H861" s="800"/>
      <c r="I861" s="800"/>
      <c r="J861" s="800"/>
      <c r="K861" s="800"/>
    </row>
    <row r="862" spans="1:11">
      <c r="A862" s="800"/>
      <c r="B862" s="800"/>
      <c r="C862" s="800"/>
      <c r="D862" s="800"/>
      <c r="E862" s="800"/>
      <c r="F862" s="800"/>
      <c r="G862" s="800"/>
      <c r="H862" s="800"/>
      <c r="I862" s="800"/>
      <c r="J862" s="800"/>
      <c r="K862" s="800"/>
    </row>
    <row r="863" spans="1:11">
      <c r="A863" s="800"/>
      <c r="B863" s="800"/>
      <c r="C863" s="800"/>
      <c r="D863" s="800"/>
      <c r="E863" s="800"/>
      <c r="F863" s="800"/>
      <c r="G863" s="800"/>
      <c r="H863" s="800"/>
      <c r="I863" s="800"/>
      <c r="J863" s="800"/>
      <c r="K863" s="800"/>
    </row>
    <row r="864" spans="1:11">
      <c r="A864" s="800"/>
      <c r="B864" s="800"/>
      <c r="C864" s="800"/>
      <c r="D864" s="800"/>
      <c r="E864" s="800"/>
      <c r="F864" s="800"/>
      <c r="G864" s="800"/>
      <c r="H864" s="800"/>
      <c r="I864" s="800"/>
      <c r="J864" s="800"/>
      <c r="K864" s="800"/>
    </row>
    <row r="865" spans="1:11">
      <c r="A865" s="800"/>
      <c r="B865" s="800"/>
      <c r="C865" s="800"/>
      <c r="D865" s="800"/>
      <c r="E865" s="800"/>
      <c r="F865" s="800"/>
      <c r="G865" s="800"/>
      <c r="H865" s="800"/>
      <c r="I865" s="800"/>
      <c r="J865" s="800"/>
      <c r="K865" s="800"/>
    </row>
    <row r="866" spans="1:11">
      <c r="A866" s="800"/>
      <c r="B866" s="800"/>
      <c r="C866" s="800"/>
      <c r="D866" s="800"/>
      <c r="E866" s="800"/>
      <c r="F866" s="800"/>
      <c r="G866" s="800"/>
      <c r="H866" s="800"/>
      <c r="I866" s="800"/>
      <c r="J866" s="800"/>
      <c r="K866" s="800"/>
    </row>
    <row r="867" spans="1:11">
      <c r="A867" s="800"/>
      <c r="B867" s="800"/>
      <c r="C867" s="800"/>
      <c r="D867" s="800"/>
      <c r="E867" s="800"/>
      <c r="F867" s="800"/>
      <c r="G867" s="800"/>
      <c r="H867" s="800"/>
      <c r="I867" s="800"/>
      <c r="J867" s="800"/>
      <c r="K867" s="800"/>
    </row>
    <row r="868" spans="1:11">
      <c r="A868" s="800"/>
      <c r="B868" s="800"/>
      <c r="C868" s="800"/>
      <c r="D868" s="800"/>
      <c r="E868" s="800"/>
      <c r="F868" s="800"/>
      <c r="G868" s="800"/>
      <c r="H868" s="800"/>
      <c r="I868" s="800"/>
      <c r="J868" s="800"/>
      <c r="K868" s="800"/>
    </row>
    <row r="869" spans="1:11">
      <c r="A869" s="800"/>
      <c r="B869" s="800"/>
      <c r="C869" s="800"/>
      <c r="D869" s="800"/>
      <c r="E869" s="800"/>
      <c r="F869" s="800"/>
      <c r="G869" s="800"/>
      <c r="H869" s="800"/>
      <c r="I869" s="800"/>
      <c r="J869" s="800"/>
      <c r="K869" s="800"/>
    </row>
    <row r="870" spans="1:11">
      <c r="A870" s="800"/>
      <c r="B870" s="800"/>
      <c r="C870" s="800"/>
      <c r="D870" s="800"/>
      <c r="E870" s="800"/>
      <c r="F870" s="800"/>
      <c r="G870" s="800"/>
      <c r="H870" s="800"/>
      <c r="I870" s="800"/>
      <c r="J870" s="800"/>
      <c r="K870" s="800"/>
    </row>
    <row r="871" spans="1:11">
      <c r="A871" s="800"/>
      <c r="B871" s="800"/>
      <c r="C871" s="800"/>
      <c r="D871" s="800"/>
      <c r="E871" s="800"/>
      <c r="F871" s="800"/>
      <c r="G871" s="800"/>
      <c r="H871" s="800"/>
      <c r="I871" s="800"/>
      <c r="J871" s="800"/>
      <c r="K871" s="800"/>
    </row>
    <row r="872" spans="1:11">
      <c r="A872" s="800"/>
      <c r="B872" s="800"/>
      <c r="C872" s="800"/>
      <c r="D872" s="800"/>
      <c r="E872" s="800"/>
      <c r="F872" s="800"/>
      <c r="G872" s="800"/>
      <c r="H872" s="800"/>
      <c r="I872" s="800"/>
      <c r="J872" s="800"/>
      <c r="K872" s="800"/>
    </row>
    <row r="873" spans="1:11">
      <c r="A873" s="800"/>
      <c r="B873" s="800"/>
      <c r="C873" s="800"/>
      <c r="D873" s="800"/>
      <c r="E873" s="800"/>
      <c r="F873" s="800"/>
      <c r="G873" s="800"/>
      <c r="H873" s="800"/>
      <c r="I873" s="800"/>
      <c r="J873" s="800"/>
      <c r="K873" s="800"/>
    </row>
    <row r="874" spans="1:11">
      <c r="A874" s="800"/>
      <c r="B874" s="800"/>
      <c r="C874" s="800"/>
      <c r="D874" s="800"/>
      <c r="E874" s="800"/>
      <c r="F874" s="800"/>
      <c r="G874" s="800"/>
      <c r="H874" s="800"/>
      <c r="I874" s="800"/>
      <c r="J874" s="800"/>
      <c r="K874" s="800"/>
    </row>
    <row r="875" spans="1:11">
      <c r="A875" s="800"/>
      <c r="B875" s="800"/>
      <c r="C875" s="800"/>
      <c r="D875" s="800"/>
      <c r="E875" s="800"/>
      <c r="F875" s="800"/>
      <c r="G875" s="800"/>
      <c r="H875" s="800"/>
      <c r="I875" s="800"/>
      <c r="J875" s="800"/>
      <c r="K875" s="800"/>
    </row>
    <row r="876" spans="1:11">
      <c r="A876" s="800"/>
      <c r="B876" s="800"/>
      <c r="C876" s="800"/>
      <c r="D876" s="800"/>
      <c r="E876" s="800"/>
      <c r="F876" s="800"/>
      <c r="G876" s="800"/>
      <c r="H876" s="800"/>
      <c r="I876" s="800"/>
      <c r="J876" s="800"/>
      <c r="K876" s="800"/>
    </row>
    <row r="877" spans="1:11">
      <c r="A877" s="800"/>
      <c r="B877" s="800"/>
      <c r="C877" s="800"/>
      <c r="D877" s="800"/>
      <c r="E877" s="800"/>
      <c r="F877" s="800"/>
      <c r="G877" s="800"/>
      <c r="H877" s="800"/>
      <c r="I877" s="800"/>
      <c r="J877" s="800"/>
      <c r="K877" s="800"/>
    </row>
    <row r="878" spans="1:11">
      <c r="A878" s="800"/>
      <c r="B878" s="800"/>
      <c r="C878" s="800"/>
      <c r="D878" s="800"/>
      <c r="E878" s="800"/>
      <c r="F878" s="800"/>
      <c r="G878" s="800"/>
      <c r="H878" s="800"/>
      <c r="I878" s="800"/>
      <c r="J878" s="800"/>
      <c r="K878" s="800"/>
    </row>
    <row r="879" spans="1:11">
      <c r="A879" s="800"/>
      <c r="B879" s="800"/>
      <c r="C879" s="800"/>
      <c r="D879" s="800"/>
      <c r="E879" s="800"/>
      <c r="F879" s="800"/>
      <c r="G879" s="800"/>
      <c r="H879" s="800"/>
      <c r="I879" s="800"/>
      <c r="J879" s="800"/>
      <c r="K879" s="800"/>
    </row>
    <row r="880" spans="1:11">
      <c r="A880" s="800"/>
      <c r="B880" s="800"/>
      <c r="C880" s="800"/>
      <c r="D880" s="800"/>
      <c r="E880" s="800"/>
      <c r="F880" s="800"/>
      <c r="G880" s="800"/>
      <c r="H880" s="800"/>
      <c r="I880" s="800"/>
      <c r="J880" s="800"/>
      <c r="K880" s="800"/>
    </row>
    <row r="881" spans="1:11">
      <c r="A881" s="800"/>
      <c r="B881" s="800"/>
      <c r="C881" s="800"/>
      <c r="D881" s="800"/>
      <c r="E881" s="800"/>
      <c r="F881" s="800"/>
      <c r="G881" s="800"/>
      <c r="H881" s="800"/>
      <c r="I881" s="800"/>
      <c r="J881" s="800"/>
      <c r="K881" s="800"/>
    </row>
    <row r="882" spans="1:11">
      <c r="A882" s="800"/>
      <c r="B882" s="800"/>
      <c r="C882" s="800"/>
      <c r="D882" s="800"/>
      <c r="E882" s="800"/>
      <c r="F882" s="800"/>
      <c r="G882" s="800"/>
      <c r="H882" s="800"/>
      <c r="I882" s="800"/>
      <c r="J882" s="800"/>
      <c r="K882" s="800"/>
    </row>
    <row r="883" spans="1:11">
      <c r="A883" s="800"/>
      <c r="B883" s="800"/>
      <c r="C883" s="800"/>
      <c r="D883" s="800"/>
      <c r="E883" s="800"/>
      <c r="F883" s="800"/>
      <c r="G883" s="800"/>
      <c r="H883" s="800"/>
      <c r="I883" s="800"/>
      <c r="J883" s="800"/>
      <c r="K883" s="800"/>
    </row>
    <row r="884" spans="1:11">
      <c r="A884" s="800"/>
      <c r="B884" s="800"/>
      <c r="C884" s="800"/>
      <c r="D884" s="800"/>
      <c r="E884" s="800"/>
      <c r="F884" s="800"/>
      <c r="G884" s="800"/>
      <c r="H884" s="800"/>
      <c r="I884" s="800"/>
      <c r="J884" s="800"/>
      <c r="K884" s="800"/>
    </row>
    <row r="885" spans="1:11">
      <c r="A885" s="800"/>
      <c r="B885" s="800"/>
      <c r="C885" s="800"/>
      <c r="D885" s="800"/>
      <c r="E885" s="800"/>
      <c r="F885" s="800"/>
      <c r="G885" s="800"/>
      <c r="H885" s="800"/>
      <c r="I885" s="800"/>
      <c r="J885" s="800"/>
      <c r="K885" s="800"/>
    </row>
    <row r="886" spans="1:11">
      <c r="A886" s="800"/>
      <c r="B886" s="800"/>
      <c r="C886" s="800"/>
      <c r="D886" s="800"/>
      <c r="E886" s="800"/>
      <c r="F886" s="800"/>
      <c r="G886" s="800"/>
      <c r="H886" s="800"/>
      <c r="I886" s="800"/>
      <c r="J886" s="800"/>
      <c r="K886" s="800"/>
    </row>
    <row r="887" spans="1:11">
      <c r="A887" s="800"/>
      <c r="B887" s="800"/>
      <c r="C887" s="800"/>
      <c r="D887" s="800"/>
      <c r="E887" s="800"/>
      <c r="F887" s="800"/>
      <c r="G887" s="800"/>
      <c r="H887" s="800"/>
      <c r="I887" s="800"/>
      <c r="J887" s="800"/>
      <c r="K887" s="800"/>
    </row>
    <row r="888" spans="1:11">
      <c r="A888" s="800"/>
      <c r="B888" s="800"/>
      <c r="C888" s="800"/>
      <c r="D888" s="800"/>
      <c r="E888" s="800"/>
      <c r="F888" s="800"/>
      <c r="G888" s="800"/>
      <c r="H888" s="800"/>
      <c r="I888" s="800"/>
      <c r="J888" s="800"/>
      <c r="K888" s="800"/>
    </row>
    <row r="889" spans="1:11">
      <c r="A889" s="800"/>
      <c r="B889" s="800"/>
      <c r="C889" s="800"/>
      <c r="D889" s="800"/>
      <c r="E889" s="800"/>
      <c r="F889" s="800"/>
      <c r="G889" s="800"/>
      <c r="H889" s="800"/>
      <c r="I889" s="800"/>
      <c r="J889" s="800"/>
      <c r="K889" s="800"/>
    </row>
    <row r="890" spans="1:11">
      <c r="A890" s="800"/>
      <c r="B890" s="800"/>
      <c r="C890" s="800"/>
      <c r="D890" s="800"/>
      <c r="E890" s="800"/>
      <c r="F890" s="800"/>
      <c r="G890" s="800"/>
      <c r="H890" s="800"/>
      <c r="I890" s="800"/>
      <c r="J890" s="800"/>
      <c r="K890" s="800"/>
    </row>
    <row r="891" spans="1:11">
      <c r="A891" s="800"/>
      <c r="B891" s="800"/>
      <c r="C891" s="800"/>
      <c r="D891" s="800"/>
      <c r="E891" s="800"/>
      <c r="F891" s="800"/>
      <c r="G891" s="800"/>
      <c r="H891" s="800"/>
      <c r="I891" s="800"/>
      <c r="J891" s="800"/>
      <c r="K891" s="800"/>
    </row>
    <row r="892" spans="1:11">
      <c r="A892" s="800"/>
      <c r="B892" s="800"/>
      <c r="C892" s="800"/>
      <c r="D892" s="800"/>
      <c r="E892" s="800"/>
      <c r="F892" s="800"/>
      <c r="G892" s="800"/>
      <c r="H892" s="800"/>
      <c r="I892" s="800"/>
      <c r="J892" s="800"/>
      <c r="K892" s="800"/>
    </row>
    <row r="893" spans="1:11">
      <c r="A893" s="800"/>
      <c r="B893" s="800"/>
      <c r="C893" s="800"/>
      <c r="D893" s="800"/>
      <c r="E893" s="800"/>
      <c r="F893" s="800"/>
      <c r="G893" s="800"/>
      <c r="H893" s="800"/>
      <c r="I893" s="800"/>
      <c r="J893" s="800"/>
      <c r="K893" s="800"/>
    </row>
    <row r="894" spans="1:11">
      <c r="A894" s="800"/>
      <c r="B894" s="800"/>
      <c r="C894" s="800"/>
      <c r="D894" s="800"/>
      <c r="E894" s="800"/>
      <c r="F894" s="800"/>
      <c r="G894" s="800"/>
      <c r="H894" s="800"/>
      <c r="I894" s="800"/>
      <c r="J894" s="800"/>
      <c r="K894" s="800"/>
    </row>
    <row r="895" spans="1:11">
      <c r="A895" s="800"/>
      <c r="B895" s="800"/>
      <c r="C895" s="800"/>
      <c r="D895" s="800"/>
      <c r="E895" s="800"/>
      <c r="F895" s="800"/>
      <c r="G895" s="800"/>
      <c r="H895" s="800"/>
      <c r="I895" s="800"/>
      <c r="J895" s="800"/>
      <c r="K895" s="800"/>
    </row>
    <row r="896" spans="1:11">
      <c r="A896" s="800"/>
      <c r="B896" s="800"/>
      <c r="C896" s="800"/>
      <c r="D896" s="800"/>
      <c r="E896" s="800"/>
      <c r="F896" s="800"/>
      <c r="G896" s="800"/>
      <c r="H896" s="800"/>
      <c r="I896" s="800"/>
      <c r="J896" s="800"/>
      <c r="K896" s="800"/>
    </row>
    <row r="897" spans="1:11">
      <c r="A897" s="800"/>
      <c r="B897" s="800"/>
      <c r="C897" s="800"/>
      <c r="D897" s="800"/>
      <c r="E897" s="800"/>
      <c r="F897" s="800"/>
      <c r="G897" s="800"/>
      <c r="H897" s="800"/>
      <c r="I897" s="800"/>
      <c r="J897" s="800"/>
      <c r="K897" s="800"/>
    </row>
    <row r="898" spans="1:11">
      <c r="A898" s="800"/>
      <c r="B898" s="800"/>
      <c r="C898" s="800"/>
      <c r="D898" s="800"/>
      <c r="E898" s="800"/>
      <c r="F898" s="800"/>
      <c r="G898" s="800"/>
      <c r="H898" s="800"/>
      <c r="I898" s="800"/>
      <c r="J898" s="800"/>
      <c r="K898" s="800"/>
    </row>
    <row r="899" spans="1:11">
      <c r="A899" s="800"/>
      <c r="B899" s="800"/>
      <c r="C899" s="800"/>
      <c r="D899" s="800"/>
      <c r="E899" s="800"/>
      <c r="F899" s="800"/>
      <c r="G899" s="800"/>
      <c r="H899" s="800"/>
      <c r="I899" s="800"/>
      <c r="J899" s="800"/>
      <c r="K899" s="800"/>
    </row>
    <row r="900" spans="1:11">
      <c r="A900" s="800"/>
      <c r="B900" s="800"/>
      <c r="C900" s="800"/>
      <c r="D900" s="800"/>
      <c r="E900" s="800"/>
      <c r="F900" s="800"/>
      <c r="G900" s="800"/>
      <c r="H900" s="800"/>
      <c r="I900" s="800"/>
      <c r="J900" s="800"/>
      <c r="K900" s="800"/>
    </row>
    <row r="901" spans="1:11">
      <c r="A901" s="800"/>
      <c r="B901" s="800"/>
      <c r="C901" s="800"/>
      <c r="D901" s="800"/>
      <c r="E901" s="800"/>
      <c r="F901" s="800"/>
      <c r="G901" s="800"/>
      <c r="H901" s="800"/>
      <c r="I901" s="800"/>
      <c r="J901" s="800"/>
      <c r="K901" s="800"/>
    </row>
    <row r="902" spans="1:11">
      <c r="A902" s="800"/>
      <c r="B902" s="800"/>
      <c r="C902" s="800"/>
      <c r="D902" s="800"/>
      <c r="E902" s="800"/>
      <c r="F902" s="800"/>
      <c r="G902" s="800"/>
      <c r="H902" s="800"/>
      <c r="I902" s="800"/>
      <c r="J902" s="800"/>
      <c r="K902" s="800"/>
    </row>
    <row r="903" spans="1:11">
      <c r="A903" s="800"/>
      <c r="B903" s="800"/>
      <c r="C903" s="800"/>
      <c r="D903" s="800"/>
      <c r="E903" s="800"/>
      <c r="F903" s="800"/>
      <c r="G903" s="800"/>
      <c r="H903" s="800"/>
      <c r="I903" s="800"/>
      <c r="J903" s="800"/>
      <c r="K903" s="800"/>
    </row>
    <row r="904" spans="1:11">
      <c r="A904" s="800"/>
      <c r="B904" s="800"/>
      <c r="C904" s="800"/>
      <c r="D904" s="800"/>
      <c r="E904" s="800"/>
      <c r="F904" s="800"/>
      <c r="G904" s="800"/>
      <c r="H904" s="800"/>
      <c r="I904" s="800"/>
      <c r="J904" s="800"/>
      <c r="K904" s="800"/>
    </row>
    <row r="905" spans="1:11">
      <c r="A905" s="800"/>
      <c r="B905" s="800"/>
      <c r="C905" s="800"/>
      <c r="D905" s="800"/>
      <c r="E905" s="800"/>
      <c r="F905" s="800"/>
      <c r="G905" s="800"/>
      <c r="H905" s="800"/>
      <c r="I905" s="800"/>
      <c r="J905" s="800"/>
      <c r="K905" s="800"/>
    </row>
    <row r="906" spans="1:11">
      <c r="A906" s="800"/>
      <c r="B906" s="800"/>
      <c r="C906" s="800"/>
      <c r="D906" s="800"/>
      <c r="E906" s="800"/>
      <c r="F906" s="800"/>
      <c r="G906" s="800"/>
      <c r="H906" s="800"/>
      <c r="I906" s="800"/>
      <c r="J906" s="800"/>
      <c r="K906" s="800"/>
    </row>
    <row r="907" spans="1:11">
      <c r="A907" s="800"/>
      <c r="B907" s="800"/>
      <c r="C907" s="800"/>
      <c r="D907" s="800"/>
      <c r="E907" s="800"/>
      <c r="F907" s="800"/>
      <c r="G907" s="800"/>
      <c r="H907" s="800"/>
      <c r="I907" s="800"/>
      <c r="J907" s="800"/>
      <c r="K907" s="800"/>
    </row>
    <row r="908" spans="1:11">
      <c r="A908" s="800"/>
      <c r="B908" s="800"/>
      <c r="C908" s="800"/>
      <c r="D908" s="800"/>
      <c r="E908" s="800"/>
      <c r="F908" s="800"/>
      <c r="G908" s="800"/>
      <c r="H908" s="800"/>
      <c r="I908" s="800"/>
      <c r="J908" s="800"/>
      <c r="K908" s="800"/>
    </row>
    <row r="909" spans="1:11">
      <c r="A909" s="800"/>
      <c r="B909" s="800"/>
      <c r="C909" s="800"/>
      <c r="D909" s="800"/>
      <c r="E909" s="800"/>
      <c r="F909" s="800"/>
      <c r="G909" s="800"/>
      <c r="H909" s="800"/>
      <c r="I909" s="800"/>
      <c r="J909" s="800"/>
      <c r="K909" s="800"/>
    </row>
    <row r="910" spans="1:11">
      <c r="A910" s="800"/>
      <c r="B910" s="800"/>
      <c r="C910" s="800"/>
      <c r="D910" s="800"/>
      <c r="E910" s="800"/>
      <c r="F910" s="800"/>
      <c r="G910" s="800"/>
      <c r="H910" s="800"/>
      <c r="I910" s="800"/>
      <c r="J910" s="800"/>
      <c r="K910" s="800"/>
    </row>
    <row r="911" spans="1:11">
      <c r="A911" s="800"/>
      <c r="B911" s="800"/>
      <c r="C911" s="800"/>
      <c r="D911" s="800"/>
      <c r="E911" s="800"/>
      <c r="F911" s="800"/>
      <c r="G911" s="800"/>
      <c r="H911" s="800"/>
      <c r="I911" s="800"/>
      <c r="J911" s="800"/>
      <c r="K911" s="800"/>
    </row>
    <row r="912" spans="1:11">
      <c r="A912" s="800"/>
      <c r="B912" s="800"/>
      <c r="C912" s="800"/>
      <c r="D912" s="800"/>
      <c r="E912" s="800"/>
      <c r="F912" s="800"/>
      <c r="G912" s="800"/>
      <c r="H912" s="800"/>
      <c r="I912" s="800"/>
      <c r="J912" s="800"/>
      <c r="K912" s="800"/>
    </row>
    <row r="913" spans="1:11">
      <c r="A913" s="800"/>
      <c r="B913" s="800"/>
      <c r="C913" s="800"/>
      <c r="D913" s="800"/>
      <c r="E913" s="800"/>
      <c r="F913" s="800"/>
      <c r="G913" s="800"/>
      <c r="H913" s="800"/>
      <c r="I913" s="800"/>
      <c r="J913" s="800"/>
      <c r="K913" s="800"/>
    </row>
    <row r="914" spans="1:11">
      <c r="A914" s="800"/>
      <c r="B914" s="800"/>
      <c r="C914" s="800"/>
      <c r="D914" s="800"/>
      <c r="E914" s="800"/>
      <c r="F914" s="800"/>
      <c r="G914" s="800"/>
      <c r="H914" s="800"/>
      <c r="I914" s="800"/>
      <c r="J914" s="800"/>
      <c r="K914" s="800"/>
    </row>
    <row r="915" spans="1:11">
      <c r="A915" s="800"/>
      <c r="B915" s="800"/>
      <c r="C915" s="800"/>
      <c r="D915" s="800"/>
      <c r="E915" s="800"/>
      <c r="F915" s="800"/>
      <c r="G915" s="800"/>
      <c r="H915" s="800"/>
      <c r="I915" s="800"/>
      <c r="J915" s="800"/>
      <c r="K915" s="800"/>
    </row>
    <row r="916" spans="1:11">
      <c r="A916" s="800"/>
      <c r="B916" s="800"/>
      <c r="C916" s="800"/>
      <c r="D916" s="800"/>
      <c r="E916" s="800"/>
      <c r="F916" s="800"/>
      <c r="G916" s="800"/>
      <c r="H916" s="800"/>
      <c r="I916" s="800"/>
      <c r="J916" s="800"/>
      <c r="K916" s="800"/>
    </row>
    <row r="917" spans="1:11">
      <c r="A917" s="800"/>
      <c r="B917" s="800"/>
      <c r="C917" s="800"/>
      <c r="D917" s="800"/>
      <c r="E917" s="800"/>
      <c r="F917" s="800"/>
      <c r="G917" s="800"/>
      <c r="H917" s="800"/>
      <c r="I917" s="800"/>
      <c r="J917" s="800"/>
      <c r="K917" s="800"/>
    </row>
    <row r="918" spans="1:11">
      <c r="A918" s="800"/>
      <c r="B918" s="800"/>
      <c r="C918" s="800"/>
      <c r="D918" s="800"/>
      <c r="E918" s="800"/>
      <c r="F918" s="800"/>
      <c r="G918" s="800"/>
      <c r="H918" s="800"/>
      <c r="I918" s="800"/>
      <c r="J918" s="800"/>
      <c r="K918" s="800"/>
    </row>
    <row r="919" spans="1:11">
      <c r="A919" s="800"/>
      <c r="B919" s="800"/>
      <c r="C919" s="800"/>
      <c r="D919" s="800"/>
      <c r="E919" s="800"/>
      <c r="F919" s="800"/>
      <c r="G919" s="800"/>
      <c r="H919" s="800"/>
      <c r="I919" s="800"/>
      <c r="J919" s="800"/>
      <c r="K919" s="800"/>
    </row>
    <row r="920" spans="1:11">
      <c r="A920" s="800"/>
      <c r="B920" s="800"/>
      <c r="C920" s="800"/>
      <c r="D920" s="800"/>
      <c r="E920" s="800"/>
      <c r="F920" s="800"/>
      <c r="G920" s="800"/>
      <c r="H920" s="800"/>
      <c r="I920" s="800"/>
      <c r="J920" s="800"/>
      <c r="K920" s="800"/>
    </row>
    <row r="921" spans="1:11">
      <c r="A921" s="800"/>
      <c r="B921" s="800"/>
      <c r="C921" s="800"/>
      <c r="D921" s="800"/>
      <c r="E921" s="800"/>
      <c r="F921" s="800"/>
      <c r="G921" s="800"/>
      <c r="H921" s="800"/>
      <c r="I921" s="800"/>
      <c r="J921" s="800"/>
      <c r="K921" s="800"/>
    </row>
    <row r="922" spans="1:11">
      <c r="A922" s="800"/>
      <c r="B922" s="800"/>
      <c r="C922" s="800"/>
      <c r="D922" s="800"/>
      <c r="E922" s="800"/>
      <c r="F922" s="800"/>
      <c r="G922" s="800"/>
      <c r="H922" s="800"/>
      <c r="I922" s="800"/>
      <c r="J922" s="800"/>
      <c r="K922" s="800"/>
    </row>
    <row r="923" spans="1:11">
      <c r="A923" s="800"/>
      <c r="B923" s="800"/>
      <c r="C923" s="800"/>
      <c r="D923" s="800"/>
      <c r="E923" s="800"/>
      <c r="F923" s="800"/>
      <c r="G923" s="800"/>
      <c r="H923" s="800"/>
      <c r="I923" s="800"/>
      <c r="J923" s="800"/>
      <c r="K923" s="800"/>
    </row>
    <row r="924" spans="1:11">
      <c r="A924" s="800"/>
      <c r="B924" s="800"/>
      <c r="C924" s="800"/>
      <c r="D924" s="800"/>
      <c r="E924" s="800"/>
      <c r="F924" s="800"/>
      <c r="G924" s="800"/>
      <c r="H924" s="800"/>
      <c r="I924" s="800"/>
      <c r="J924" s="800"/>
      <c r="K924" s="800"/>
    </row>
    <row r="925" spans="1:11">
      <c r="A925" s="800"/>
      <c r="B925" s="800"/>
      <c r="C925" s="800"/>
      <c r="D925" s="800"/>
      <c r="E925" s="800"/>
      <c r="F925" s="800"/>
      <c r="G925" s="800"/>
      <c r="H925" s="800"/>
      <c r="I925" s="800"/>
      <c r="J925" s="800"/>
      <c r="K925" s="800"/>
    </row>
    <row r="926" spans="1:11">
      <c r="A926" s="800"/>
      <c r="B926" s="800"/>
      <c r="C926" s="800"/>
      <c r="D926" s="800"/>
      <c r="E926" s="800"/>
      <c r="F926" s="800"/>
      <c r="G926" s="800"/>
      <c r="H926" s="800"/>
      <c r="I926" s="800"/>
      <c r="J926" s="800"/>
      <c r="K926" s="800"/>
    </row>
    <row r="927" spans="1:11">
      <c r="A927" s="800"/>
      <c r="B927" s="800"/>
      <c r="C927" s="800"/>
      <c r="D927" s="800"/>
      <c r="E927" s="800"/>
      <c r="F927" s="800"/>
      <c r="G927" s="800"/>
      <c r="H927" s="800"/>
      <c r="I927" s="800"/>
      <c r="J927" s="800"/>
      <c r="K927" s="800"/>
    </row>
    <row r="928" spans="1:11">
      <c r="A928" s="800"/>
      <c r="B928" s="800"/>
      <c r="C928" s="800"/>
      <c r="D928" s="800"/>
      <c r="E928" s="800"/>
      <c r="F928" s="800"/>
      <c r="G928" s="800"/>
      <c r="H928" s="800"/>
      <c r="I928" s="800"/>
      <c r="J928" s="800"/>
      <c r="K928" s="800"/>
    </row>
    <row r="929" spans="1:11">
      <c r="A929" s="800"/>
      <c r="B929" s="800"/>
      <c r="C929" s="800"/>
      <c r="D929" s="800"/>
      <c r="E929" s="800"/>
      <c r="F929" s="800"/>
      <c r="G929" s="800"/>
      <c r="H929" s="800"/>
      <c r="I929" s="800"/>
      <c r="J929" s="800"/>
      <c r="K929" s="800"/>
    </row>
    <row r="930" spans="1:11">
      <c r="A930" s="800"/>
      <c r="B930" s="800"/>
      <c r="C930" s="800"/>
      <c r="D930" s="800"/>
      <c r="E930" s="800"/>
      <c r="F930" s="800"/>
      <c r="G930" s="800"/>
      <c r="H930" s="800"/>
      <c r="I930" s="800"/>
      <c r="J930" s="800"/>
      <c r="K930" s="800"/>
    </row>
    <row r="931" spans="1:11">
      <c r="A931" s="800"/>
      <c r="B931" s="800"/>
      <c r="C931" s="800"/>
      <c r="D931" s="800"/>
      <c r="E931" s="800"/>
      <c r="F931" s="800"/>
      <c r="G931" s="800"/>
      <c r="H931" s="800"/>
      <c r="I931" s="800"/>
      <c r="J931" s="800"/>
      <c r="K931" s="800"/>
    </row>
    <row r="932" spans="1:11">
      <c r="A932" s="800"/>
      <c r="B932" s="800"/>
      <c r="C932" s="800"/>
      <c r="D932" s="800"/>
      <c r="E932" s="800"/>
      <c r="F932" s="800"/>
      <c r="G932" s="800"/>
      <c r="H932" s="800"/>
      <c r="I932" s="800"/>
      <c r="J932" s="800"/>
      <c r="K932" s="800"/>
    </row>
    <row r="933" spans="1:11">
      <c r="A933" s="800"/>
      <c r="B933" s="800"/>
      <c r="C933" s="800"/>
      <c r="D933" s="800"/>
      <c r="E933" s="800"/>
      <c r="F933" s="800"/>
      <c r="G933" s="800"/>
      <c r="H933" s="800"/>
      <c r="I933" s="800"/>
      <c r="J933" s="800"/>
      <c r="K933" s="800"/>
    </row>
    <row r="934" spans="1:11">
      <c r="A934" s="800"/>
      <c r="B934" s="800"/>
      <c r="C934" s="800"/>
      <c r="D934" s="800"/>
      <c r="E934" s="800"/>
      <c r="F934" s="800"/>
      <c r="G934" s="800"/>
      <c r="H934" s="800"/>
      <c r="I934" s="800"/>
      <c r="J934" s="800"/>
      <c r="K934" s="800"/>
    </row>
    <row r="935" spans="1:11">
      <c r="A935" s="800"/>
      <c r="B935" s="800"/>
      <c r="C935" s="800"/>
      <c r="D935" s="800"/>
      <c r="E935" s="800"/>
      <c r="F935" s="800"/>
      <c r="G935" s="800"/>
      <c r="H935" s="800"/>
      <c r="I935" s="800"/>
      <c r="J935" s="800"/>
      <c r="K935" s="800"/>
    </row>
    <row r="936" spans="1:11">
      <c r="A936" s="800"/>
      <c r="B936" s="800"/>
      <c r="C936" s="800"/>
      <c r="D936" s="800"/>
      <c r="E936" s="800"/>
      <c r="F936" s="800"/>
      <c r="G936" s="800"/>
      <c r="H936" s="800"/>
      <c r="I936" s="800"/>
      <c r="J936" s="800"/>
      <c r="K936" s="800"/>
    </row>
    <row r="937" spans="1:11">
      <c r="A937" s="800"/>
      <c r="B937" s="800"/>
      <c r="C937" s="800"/>
      <c r="D937" s="800"/>
      <c r="E937" s="800"/>
      <c r="F937" s="800"/>
      <c r="G937" s="800"/>
      <c r="H937" s="800"/>
      <c r="I937" s="800"/>
      <c r="J937" s="800"/>
      <c r="K937" s="800"/>
    </row>
    <row r="938" spans="1:11">
      <c r="A938" s="800"/>
      <c r="B938" s="800"/>
      <c r="C938" s="800"/>
      <c r="D938" s="800"/>
      <c r="E938" s="800"/>
      <c r="F938" s="800"/>
      <c r="G938" s="800"/>
      <c r="H938" s="800"/>
      <c r="I938" s="800"/>
      <c r="J938" s="800"/>
      <c r="K938" s="800"/>
    </row>
    <row r="939" spans="1:11">
      <c r="A939" s="800"/>
      <c r="B939" s="800"/>
      <c r="C939" s="800"/>
      <c r="D939" s="800"/>
      <c r="E939" s="800"/>
      <c r="F939" s="800"/>
      <c r="G939" s="800"/>
      <c r="H939" s="800"/>
      <c r="I939" s="800"/>
      <c r="J939" s="800"/>
      <c r="K939" s="800"/>
    </row>
    <row r="940" spans="1:11">
      <c r="A940" s="800"/>
      <c r="B940" s="800"/>
      <c r="C940" s="800"/>
      <c r="D940" s="800"/>
      <c r="E940" s="800"/>
      <c r="F940" s="800"/>
      <c r="G940" s="800"/>
      <c r="H940" s="800"/>
      <c r="I940" s="800"/>
      <c r="J940" s="800"/>
      <c r="K940" s="800"/>
    </row>
    <row r="941" spans="1:11">
      <c r="A941" s="800"/>
      <c r="B941" s="800"/>
      <c r="C941" s="800"/>
      <c r="D941" s="800"/>
      <c r="E941" s="800"/>
      <c r="F941" s="800"/>
      <c r="G941" s="800"/>
      <c r="H941" s="800"/>
      <c r="I941" s="800"/>
      <c r="J941" s="800"/>
      <c r="K941" s="800"/>
    </row>
    <row r="942" spans="1:11">
      <c r="A942" s="800"/>
      <c r="B942" s="800"/>
      <c r="C942" s="800"/>
      <c r="D942" s="800"/>
      <c r="E942" s="800"/>
      <c r="F942" s="800"/>
      <c r="G942" s="800"/>
      <c r="H942" s="800"/>
      <c r="I942" s="800"/>
      <c r="J942" s="800"/>
      <c r="K942" s="800"/>
    </row>
    <row r="943" spans="1:11">
      <c r="A943" s="800"/>
      <c r="B943" s="800"/>
      <c r="C943" s="800"/>
      <c r="D943" s="800"/>
      <c r="E943" s="800"/>
      <c r="F943" s="800"/>
      <c r="G943" s="800"/>
      <c r="H943" s="800"/>
      <c r="I943" s="800"/>
      <c r="J943" s="800"/>
      <c r="K943" s="800"/>
    </row>
    <row r="944" spans="1:11">
      <c r="A944" s="800"/>
      <c r="B944" s="800"/>
      <c r="C944" s="800"/>
      <c r="D944" s="800"/>
      <c r="E944" s="800"/>
      <c r="F944" s="800"/>
      <c r="G944" s="800"/>
      <c r="H944" s="800"/>
      <c r="I944" s="800"/>
      <c r="J944" s="800"/>
      <c r="K944" s="800"/>
    </row>
    <row r="945" spans="1:11">
      <c r="A945" s="800"/>
      <c r="B945" s="800"/>
      <c r="C945" s="800"/>
      <c r="D945" s="800"/>
      <c r="E945" s="800"/>
      <c r="F945" s="800"/>
      <c r="G945" s="800"/>
      <c r="H945" s="800"/>
      <c r="I945" s="800"/>
      <c r="J945" s="800"/>
      <c r="K945" s="800"/>
    </row>
    <row r="946" spans="1:11">
      <c r="A946" s="800"/>
      <c r="B946" s="800"/>
      <c r="C946" s="800"/>
      <c r="D946" s="800"/>
      <c r="E946" s="800"/>
      <c r="F946" s="800"/>
      <c r="G946" s="800"/>
      <c r="H946" s="800"/>
      <c r="I946" s="800"/>
      <c r="J946" s="800"/>
      <c r="K946" s="800"/>
    </row>
    <row r="947" spans="1:11">
      <c r="A947" s="800"/>
      <c r="B947" s="800"/>
      <c r="C947" s="800"/>
      <c r="D947" s="800"/>
      <c r="E947" s="800"/>
      <c r="F947" s="800"/>
      <c r="G947" s="800"/>
      <c r="H947" s="800"/>
      <c r="I947" s="800"/>
      <c r="J947" s="800"/>
      <c r="K947" s="800"/>
    </row>
    <row r="948" spans="1:11">
      <c r="A948" s="800"/>
      <c r="B948" s="800"/>
      <c r="C948" s="800"/>
      <c r="D948" s="800"/>
      <c r="E948" s="800"/>
      <c r="F948" s="800"/>
      <c r="G948" s="800"/>
      <c r="H948" s="800"/>
      <c r="I948" s="800"/>
      <c r="J948" s="800"/>
      <c r="K948" s="800"/>
    </row>
    <row r="949" spans="1:11">
      <c r="A949" s="800"/>
      <c r="B949" s="800"/>
      <c r="C949" s="800"/>
      <c r="D949" s="800"/>
      <c r="E949" s="800"/>
      <c r="F949" s="800"/>
      <c r="G949" s="800"/>
      <c r="H949" s="800"/>
      <c r="I949" s="800"/>
      <c r="J949" s="800"/>
      <c r="K949" s="800"/>
    </row>
    <row r="950" spans="1:11">
      <c r="A950" s="800"/>
      <c r="B950" s="800"/>
      <c r="C950" s="800"/>
      <c r="D950" s="800"/>
      <c r="E950" s="800"/>
      <c r="F950" s="800"/>
      <c r="G950" s="800"/>
      <c r="H950" s="800"/>
      <c r="I950" s="800"/>
      <c r="J950" s="800"/>
      <c r="K950" s="800"/>
    </row>
    <row r="951" spans="1:11">
      <c r="A951" s="800"/>
      <c r="B951" s="800"/>
      <c r="C951" s="800"/>
      <c r="D951" s="800"/>
      <c r="E951" s="800"/>
      <c r="F951" s="800"/>
      <c r="G951" s="800"/>
      <c r="H951" s="800"/>
      <c r="I951" s="800"/>
      <c r="J951" s="800"/>
      <c r="K951" s="800"/>
    </row>
    <row r="952" spans="1:11">
      <c r="A952" s="800"/>
      <c r="B952" s="800"/>
      <c r="C952" s="800"/>
      <c r="D952" s="800"/>
      <c r="E952" s="800"/>
      <c r="F952" s="800"/>
      <c r="G952" s="800"/>
      <c r="H952" s="800"/>
      <c r="I952" s="800"/>
      <c r="J952" s="800"/>
      <c r="K952" s="800"/>
    </row>
    <row r="953" spans="1:11">
      <c r="A953" s="800"/>
      <c r="B953" s="800"/>
      <c r="C953" s="800"/>
      <c r="D953" s="800"/>
      <c r="E953" s="800"/>
      <c r="F953" s="800"/>
      <c r="G953" s="800"/>
      <c r="H953" s="800"/>
      <c r="I953" s="800"/>
      <c r="J953" s="800"/>
      <c r="K953" s="800"/>
    </row>
    <row r="954" spans="1:11">
      <c r="A954" s="800"/>
      <c r="B954" s="800"/>
      <c r="C954" s="800"/>
      <c r="D954" s="800"/>
      <c r="E954" s="800"/>
      <c r="F954" s="800"/>
      <c r="G954" s="800"/>
      <c r="H954" s="800"/>
      <c r="I954" s="800"/>
      <c r="J954" s="800"/>
      <c r="K954" s="800"/>
    </row>
    <row r="955" spans="1:11">
      <c r="A955" s="800"/>
      <c r="B955" s="800"/>
      <c r="C955" s="800"/>
      <c r="D955" s="800"/>
      <c r="E955" s="800"/>
      <c r="F955" s="800"/>
      <c r="G955" s="800"/>
      <c r="H955" s="800"/>
      <c r="I955" s="800"/>
      <c r="J955" s="800"/>
      <c r="K955" s="800"/>
    </row>
    <row r="956" spans="1:11">
      <c r="A956" s="800"/>
      <c r="B956" s="800"/>
      <c r="C956" s="800"/>
      <c r="D956" s="800"/>
      <c r="E956" s="800"/>
      <c r="F956" s="800"/>
      <c r="G956" s="800"/>
      <c r="H956" s="800"/>
      <c r="I956" s="800"/>
      <c r="J956" s="800"/>
      <c r="K956" s="800"/>
    </row>
    <row r="957" spans="1:11">
      <c r="A957" s="800"/>
      <c r="B957" s="800"/>
      <c r="C957" s="800"/>
      <c r="D957" s="800"/>
      <c r="E957" s="800"/>
      <c r="F957" s="800"/>
      <c r="G957" s="800"/>
      <c r="H957" s="800"/>
      <c r="I957" s="800"/>
      <c r="J957" s="800"/>
      <c r="K957" s="800"/>
    </row>
    <row r="958" spans="1:11">
      <c r="A958" s="800"/>
      <c r="B958" s="800"/>
      <c r="C958" s="800"/>
      <c r="D958" s="800"/>
      <c r="E958" s="800"/>
      <c r="F958" s="800"/>
      <c r="G958" s="800"/>
      <c r="H958" s="800"/>
      <c r="I958" s="800"/>
      <c r="J958" s="800"/>
      <c r="K958" s="800"/>
    </row>
    <row r="959" spans="1:11">
      <c r="A959" s="800"/>
      <c r="B959" s="800"/>
      <c r="C959" s="800"/>
      <c r="D959" s="800"/>
      <c r="E959" s="800"/>
      <c r="F959" s="800"/>
      <c r="G959" s="800"/>
      <c r="H959" s="800"/>
      <c r="I959" s="800"/>
      <c r="J959" s="800"/>
      <c r="K959" s="800"/>
    </row>
    <row r="960" spans="1:11">
      <c r="A960" s="800"/>
      <c r="B960" s="800"/>
      <c r="C960" s="800"/>
      <c r="D960" s="800"/>
      <c r="E960" s="800"/>
      <c r="F960" s="800"/>
      <c r="G960" s="800"/>
      <c r="H960" s="800"/>
      <c r="I960" s="800"/>
      <c r="J960" s="800"/>
      <c r="K960" s="800"/>
    </row>
    <row r="961" spans="1:11">
      <c r="A961" s="800"/>
      <c r="B961" s="800"/>
      <c r="C961" s="800"/>
      <c r="D961" s="800"/>
      <c r="E961" s="800"/>
      <c r="F961" s="800"/>
      <c r="G961" s="800"/>
      <c r="H961" s="800"/>
      <c r="I961" s="800"/>
      <c r="J961" s="800"/>
      <c r="K961" s="800"/>
    </row>
    <row r="962" spans="1:11">
      <c r="A962" s="800"/>
      <c r="B962" s="800"/>
      <c r="C962" s="800"/>
      <c r="D962" s="800"/>
      <c r="E962" s="800"/>
      <c r="F962" s="800"/>
      <c r="G962" s="800"/>
      <c r="H962" s="800"/>
      <c r="I962" s="800"/>
      <c r="J962" s="800"/>
      <c r="K962" s="800"/>
    </row>
    <row r="963" spans="1:11">
      <c r="A963" s="800"/>
      <c r="B963" s="800"/>
      <c r="C963" s="800"/>
      <c r="D963" s="800"/>
      <c r="E963" s="800"/>
      <c r="F963" s="800"/>
      <c r="G963" s="800"/>
      <c r="H963" s="800"/>
      <c r="I963" s="800"/>
      <c r="J963" s="800"/>
      <c r="K963" s="800"/>
    </row>
    <row r="964" spans="1:11">
      <c r="A964" s="800"/>
      <c r="B964" s="800"/>
      <c r="C964" s="800"/>
      <c r="D964" s="800"/>
      <c r="E964" s="800"/>
      <c r="F964" s="800"/>
      <c r="G964" s="800"/>
      <c r="H964" s="800"/>
      <c r="I964" s="800"/>
      <c r="J964" s="800"/>
      <c r="K964" s="800"/>
    </row>
    <row r="965" spans="1:11">
      <c r="A965" s="800"/>
      <c r="B965" s="800"/>
      <c r="C965" s="800"/>
      <c r="D965" s="800"/>
      <c r="E965" s="800"/>
      <c r="F965" s="800"/>
      <c r="G965" s="800"/>
      <c r="H965" s="800"/>
      <c r="I965" s="800"/>
      <c r="J965" s="800"/>
      <c r="K965" s="800"/>
    </row>
    <row r="966" spans="1:11">
      <c r="A966" s="800"/>
      <c r="B966" s="800"/>
      <c r="C966" s="800"/>
      <c r="D966" s="800"/>
      <c r="E966" s="800"/>
      <c r="F966" s="800"/>
      <c r="G966" s="800"/>
      <c r="H966" s="800"/>
      <c r="I966" s="800"/>
      <c r="J966" s="800"/>
      <c r="K966" s="800"/>
    </row>
    <row r="967" spans="1:11">
      <c r="A967" s="800"/>
      <c r="B967" s="800"/>
      <c r="C967" s="800"/>
      <c r="D967" s="800"/>
      <c r="E967" s="800"/>
      <c r="F967" s="800"/>
      <c r="G967" s="800"/>
      <c r="H967" s="800"/>
      <c r="I967" s="800"/>
      <c r="J967" s="800"/>
      <c r="K967" s="800"/>
    </row>
    <row r="968" spans="1:11">
      <c r="A968" s="800"/>
      <c r="B968" s="800"/>
      <c r="C968" s="800"/>
      <c r="D968" s="800"/>
      <c r="E968" s="800"/>
      <c r="F968" s="800"/>
      <c r="G968" s="800"/>
      <c r="H968" s="800"/>
      <c r="I968" s="800"/>
      <c r="J968" s="800"/>
      <c r="K968" s="800"/>
    </row>
    <row r="969" spans="1:11">
      <c r="A969" s="800"/>
      <c r="B969" s="800"/>
      <c r="C969" s="800"/>
      <c r="D969" s="800"/>
      <c r="E969" s="800"/>
      <c r="F969" s="800"/>
      <c r="G969" s="800"/>
      <c r="H969" s="800"/>
      <c r="I969" s="800"/>
      <c r="J969" s="800"/>
      <c r="K969" s="800"/>
    </row>
    <row r="970" spans="1:11">
      <c r="A970" s="800"/>
      <c r="B970" s="800"/>
      <c r="C970" s="800"/>
      <c r="D970" s="800"/>
      <c r="E970" s="800"/>
      <c r="F970" s="800"/>
      <c r="G970" s="800"/>
      <c r="H970" s="800"/>
      <c r="I970" s="800"/>
      <c r="J970" s="800"/>
      <c r="K970" s="800"/>
    </row>
    <row r="971" spans="1:11">
      <c r="A971" s="800"/>
      <c r="B971" s="800"/>
      <c r="C971" s="800"/>
      <c r="D971" s="800"/>
      <c r="E971" s="800"/>
      <c r="F971" s="800"/>
      <c r="G971" s="800"/>
      <c r="H971" s="800"/>
      <c r="I971" s="800"/>
      <c r="J971" s="800"/>
      <c r="K971" s="800"/>
    </row>
    <row r="972" spans="1:11">
      <c r="A972" s="800"/>
      <c r="B972" s="800"/>
      <c r="C972" s="800"/>
      <c r="D972" s="800"/>
      <c r="E972" s="800"/>
      <c r="F972" s="800"/>
      <c r="G972" s="800"/>
      <c r="H972" s="800"/>
      <c r="I972" s="800"/>
      <c r="J972" s="800"/>
      <c r="K972" s="800"/>
    </row>
    <row r="973" spans="1:11">
      <c r="A973" s="800"/>
      <c r="B973" s="800"/>
      <c r="C973" s="800"/>
      <c r="D973" s="800"/>
      <c r="E973" s="800"/>
      <c r="F973" s="800"/>
      <c r="G973" s="800"/>
      <c r="H973" s="800"/>
      <c r="I973" s="800"/>
      <c r="J973" s="800"/>
      <c r="K973" s="800"/>
    </row>
    <row r="974" spans="1:11">
      <c r="A974" s="800"/>
      <c r="B974" s="800"/>
      <c r="C974" s="800"/>
      <c r="D974" s="800"/>
      <c r="E974" s="800"/>
      <c r="F974" s="800"/>
      <c r="G974" s="800"/>
      <c r="H974" s="800"/>
      <c r="I974" s="800"/>
      <c r="J974" s="800"/>
      <c r="K974" s="800"/>
    </row>
    <row r="975" spans="1:11">
      <c r="A975" s="800"/>
      <c r="B975" s="800"/>
      <c r="C975" s="800"/>
      <c r="D975" s="800"/>
      <c r="E975" s="800"/>
      <c r="F975" s="800"/>
      <c r="G975" s="800"/>
      <c r="H975" s="800"/>
      <c r="I975" s="800"/>
      <c r="J975" s="800"/>
      <c r="K975" s="800"/>
    </row>
    <row r="976" spans="1:11">
      <c r="A976" s="800"/>
      <c r="B976" s="800"/>
      <c r="C976" s="800"/>
      <c r="D976" s="800"/>
      <c r="E976" s="800"/>
      <c r="F976" s="800"/>
      <c r="G976" s="800"/>
      <c r="H976" s="800"/>
      <c r="I976" s="800"/>
      <c r="J976" s="800"/>
      <c r="K976" s="800"/>
    </row>
    <row r="977" spans="1:11">
      <c r="A977" s="800"/>
      <c r="B977" s="800"/>
      <c r="C977" s="800"/>
      <c r="D977" s="800"/>
      <c r="E977" s="800"/>
      <c r="F977" s="800"/>
      <c r="G977" s="800"/>
      <c r="H977" s="800"/>
      <c r="I977" s="800"/>
      <c r="J977" s="800"/>
      <c r="K977" s="800"/>
    </row>
    <row r="978" spans="1:11">
      <c r="A978" s="800"/>
      <c r="B978" s="800"/>
      <c r="C978" s="800"/>
      <c r="D978" s="800"/>
      <c r="E978" s="800"/>
      <c r="F978" s="800"/>
      <c r="G978" s="800"/>
      <c r="H978" s="800"/>
      <c r="I978" s="800"/>
      <c r="J978" s="800"/>
      <c r="K978" s="800"/>
    </row>
    <row r="979" spans="1:11">
      <c r="A979" s="800"/>
      <c r="B979" s="800"/>
      <c r="C979" s="800"/>
      <c r="D979" s="800"/>
      <c r="E979" s="800"/>
      <c r="F979" s="800"/>
      <c r="G979" s="800"/>
      <c r="H979" s="800"/>
      <c r="I979" s="800"/>
      <c r="J979" s="800"/>
      <c r="K979" s="800"/>
    </row>
    <row r="980" spans="1:11">
      <c r="A980" s="800"/>
      <c r="B980" s="800"/>
      <c r="C980" s="800"/>
      <c r="D980" s="800"/>
      <c r="E980" s="800"/>
      <c r="F980" s="800"/>
      <c r="G980" s="800"/>
      <c r="H980" s="800"/>
      <c r="I980" s="800"/>
      <c r="J980" s="800"/>
      <c r="K980" s="800"/>
    </row>
    <row r="981" spans="1:11">
      <c r="A981" s="800"/>
      <c r="B981" s="800"/>
      <c r="C981" s="800"/>
      <c r="D981" s="800"/>
      <c r="E981" s="800"/>
      <c r="F981" s="800"/>
      <c r="G981" s="800"/>
      <c r="H981" s="800"/>
      <c r="I981" s="800"/>
      <c r="J981" s="800"/>
      <c r="K981" s="800"/>
    </row>
    <row r="982" spans="1:11">
      <c r="A982" s="800"/>
      <c r="B982" s="800"/>
      <c r="C982" s="800"/>
      <c r="D982" s="800"/>
      <c r="E982" s="800"/>
      <c r="F982" s="800"/>
      <c r="G982" s="800"/>
      <c r="H982" s="800"/>
      <c r="I982" s="800"/>
      <c r="J982" s="800"/>
      <c r="K982" s="800"/>
    </row>
    <row r="983" spans="1:11">
      <c r="A983" s="800"/>
      <c r="B983" s="800"/>
      <c r="C983" s="800"/>
      <c r="D983" s="800"/>
      <c r="E983" s="800"/>
      <c r="F983" s="800"/>
      <c r="G983" s="800"/>
      <c r="H983" s="800"/>
      <c r="I983" s="800"/>
      <c r="J983" s="800"/>
      <c r="K983" s="800"/>
    </row>
    <row r="984" spans="1:11">
      <c r="A984" s="800"/>
      <c r="B984" s="800"/>
      <c r="C984" s="800"/>
      <c r="D984" s="800"/>
      <c r="E984" s="800"/>
      <c r="F984" s="800"/>
      <c r="G984" s="800"/>
      <c r="H984" s="800"/>
      <c r="I984" s="800"/>
      <c r="J984" s="800"/>
      <c r="K984" s="800"/>
    </row>
    <row r="985" spans="1:11">
      <c r="A985" s="800"/>
      <c r="B985" s="800"/>
      <c r="C985" s="800"/>
      <c r="D985" s="800"/>
      <c r="E985" s="800"/>
      <c r="F985" s="800"/>
      <c r="G985" s="800"/>
      <c r="H985" s="800"/>
      <c r="I985" s="800"/>
      <c r="J985" s="800"/>
      <c r="K985" s="800"/>
    </row>
    <row r="986" spans="1:11">
      <c r="A986" s="800"/>
      <c r="B986" s="800"/>
      <c r="C986" s="800"/>
      <c r="D986" s="800"/>
      <c r="E986" s="800"/>
      <c r="F986" s="800"/>
      <c r="G986" s="800"/>
      <c r="H986" s="800"/>
      <c r="I986" s="800"/>
      <c r="J986" s="800"/>
      <c r="K986" s="800"/>
    </row>
    <row r="987" spans="1:11">
      <c r="A987" s="800"/>
      <c r="B987" s="800"/>
      <c r="C987" s="800"/>
      <c r="D987" s="800"/>
      <c r="E987" s="800"/>
      <c r="F987" s="800"/>
      <c r="G987" s="800"/>
      <c r="H987" s="800"/>
      <c r="I987" s="800"/>
      <c r="J987" s="800"/>
      <c r="K987" s="800"/>
    </row>
    <row r="988" spans="1:11">
      <c r="A988" s="800"/>
      <c r="B988" s="800"/>
      <c r="C988" s="800"/>
      <c r="D988" s="800"/>
      <c r="E988" s="800"/>
      <c r="F988" s="800"/>
      <c r="G988" s="800"/>
      <c r="H988" s="800"/>
      <c r="I988" s="800"/>
      <c r="J988" s="800"/>
      <c r="K988" s="800"/>
    </row>
    <row r="989" spans="1:11">
      <c r="A989" s="800"/>
      <c r="B989" s="800"/>
      <c r="C989" s="800"/>
      <c r="D989" s="800"/>
      <c r="E989" s="800"/>
      <c r="F989" s="800"/>
      <c r="G989" s="800"/>
      <c r="H989" s="800"/>
      <c r="I989" s="800"/>
      <c r="J989" s="800"/>
      <c r="K989" s="800"/>
    </row>
    <row r="990" spans="1:11">
      <c r="A990" s="800"/>
      <c r="B990" s="800"/>
      <c r="C990" s="800"/>
      <c r="D990" s="800"/>
      <c r="E990" s="800"/>
      <c r="F990" s="800"/>
      <c r="G990" s="800"/>
      <c r="H990" s="800"/>
      <c r="I990" s="800"/>
      <c r="J990" s="800"/>
      <c r="K990" s="800"/>
    </row>
    <row r="991" spans="1:11">
      <c r="A991" s="800"/>
      <c r="B991" s="800"/>
      <c r="C991" s="800"/>
      <c r="D991" s="800"/>
      <c r="E991" s="800"/>
      <c r="F991" s="800"/>
      <c r="G991" s="800"/>
      <c r="H991" s="800"/>
      <c r="I991" s="800"/>
      <c r="J991" s="800"/>
      <c r="K991" s="800"/>
    </row>
    <row r="992" spans="1:11">
      <c r="A992" s="800"/>
      <c r="B992" s="800"/>
      <c r="C992" s="800"/>
      <c r="D992" s="800"/>
      <c r="E992" s="800"/>
      <c r="F992" s="800"/>
      <c r="G992" s="800"/>
      <c r="H992" s="800"/>
      <c r="I992" s="800"/>
      <c r="J992" s="800"/>
      <c r="K992" s="800"/>
    </row>
    <row r="993" spans="1:11">
      <c r="A993" s="800"/>
      <c r="B993" s="800"/>
      <c r="C993" s="800"/>
      <c r="D993" s="800"/>
      <c r="E993" s="800"/>
      <c r="F993" s="800"/>
      <c r="G993" s="800"/>
      <c r="H993" s="800"/>
      <c r="I993" s="800"/>
      <c r="J993" s="800"/>
      <c r="K993" s="800"/>
    </row>
    <row r="994" spans="1:11">
      <c r="A994" s="800"/>
      <c r="B994" s="800"/>
      <c r="C994" s="800"/>
      <c r="D994" s="800"/>
      <c r="E994" s="800"/>
      <c r="F994" s="800"/>
      <c r="G994" s="800"/>
      <c r="H994" s="800"/>
      <c r="I994" s="800"/>
      <c r="J994" s="800"/>
      <c r="K994" s="800"/>
    </row>
    <row r="995" spans="1:11">
      <c r="A995" s="800"/>
      <c r="B995" s="800"/>
      <c r="C995" s="800"/>
      <c r="D995" s="800"/>
      <c r="E995" s="800"/>
      <c r="F995" s="800"/>
      <c r="G995" s="800"/>
      <c r="H995" s="800"/>
      <c r="I995" s="800"/>
      <c r="J995" s="800"/>
      <c r="K995" s="800"/>
    </row>
    <row r="996" spans="1:11">
      <c r="A996" s="800"/>
      <c r="B996" s="800"/>
      <c r="C996" s="800"/>
      <c r="D996" s="800"/>
      <c r="E996" s="800"/>
      <c r="F996" s="800"/>
      <c r="G996" s="800"/>
      <c r="H996" s="800"/>
      <c r="I996" s="800"/>
      <c r="J996" s="800"/>
      <c r="K996" s="800"/>
    </row>
    <row r="997" spans="1:11">
      <c r="A997" s="800"/>
      <c r="B997" s="800"/>
      <c r="C997" s="800"/>
      <c r="D997" s="800"/>
      <c r="E997" s="800"/>
      <c r="F997" s="800"/>
      <c r="G997" s="800"/>
      <c r="H997" s="800"/>
      <c r="I997" s="800"/>
      <c r="J997" s="800"/>
      <c r="K997" s="800"/>
    </row>
    <row r="998" spans="1:11">
      <c r="A998" s="800"/>
      <c r="B998" s="800"/>
      <c r="C998" s="800"/>
      <c r="D998" s="800"/>
      <c r="E998" s="800"/>
      <c r="F998" s="800"/>
      <c r="G998" s="800"/>
      <c r="H998" s="800"/>
      <c r="I998" s="800"/>
      <c r="J998" s="800"/>
      <c r="K998" s="800"/>
    </row>
    <row r="999" spans="1:11">
      <c r="A999" s="800"/>
      <c r="B999" s="800"/>
      <c r="C999" s="800"/>
      <c r="D999" s="800"/>
      <c r="E999" s="800"/>
      <c r="F999" s="800"/>
      <c r="G999" s="800"/>
      <c r="H999" s="800"/>
      <c r="I999" s="800"/>
      <c r="J999" s="800"/>
      <c r="K999" s="800"/>
    </row>
    <row r="1000" spans="1:11">
      <c r="A1000" s="800"/>
      <c r="B1000" s="800"/>
      <c r="C1000" s="800"/>
      <c r="D1000" s="800"/>
      <c r="E1000" s="800"/>
      <c r="F1000" s="800"/>
      <c r="G1000" s="800"/>
      <c r="H1000" s="800"/>
      <c r="I1000" s="800"/>
      <c r="J1000" s="800"/>
      <c r="K1000" s="800"/>
    </row>
    <row r="1001" spans="1:11">
      <c r="A1001" s="800"/>
      <c r="B1001" s="800"/>
      <c r="C1001" s="800"/>
      <c r="D1001" s="800"/>
      <c r="E1001" s="800"/>
      <c r="F1001" s="800"/>
      <c r="G1001" s="800"/>
      <c r="H1001" s="800"/>
      <c r="I1001" s="800"/>
      <c r="J1001" s="800"/>
      <c r="K1001" s="800"/>
    </row>
    <row r="1002" spans="1:11">
      <c r="A1002" s="800"/>
      <c r="B1002" s="800"/>
      <c r="C1002" s="800"/>
      <c r="D1002" s="800"/>
      <c r="E1002" s="800"/>
      <c r="F1002" s="800"/>
      <c r="G1002" s="800"/>
      <c r="H1002" s="800"/>
      <c r="I1002" s="800"/>
      <c r="J1002" s="800"/>
      <c r="K1002" s="800"/>
    </row>
    <row r="1003" spans="1:11">
      <c r="A1003" s="800"/>
      <c r="B1003" s="800"/>
      <c r="C1003" s="800"/>
      <c r="D1003" s="800"/>
      <c r="E1003" s="800"/>
      <c r="F1003" s="800"/>
      <c r="G1003" s="800"/>
      <c r="H1003" s="800"/>
      <c r="I1003" s="800"/>
      <c r="J1003" s="800"/>
      <c r="K1003" s="800"/>
    </row>
    <row r="1004" spans="1:11">
      <c r="A1004" s="800"/>
      <c r="B1004" s="800"/>
      <c r="C1004" s="800"/>
      <c r="D1004" s="800"/>
      <c r="E1004" s="800"/>
      <c r="F1004" s="800"/>
      <c r="G1004" s="800"/>
      <c r="H1004" s="800"/>
      <c r="I1004" s="800"/>
      <c r="J1004" s="800"/>
      <c r="K1004" s="800"/>
    </row>
    <row r="1005" spans="1:11">
      <c r="A1005" s="800"/>
      <c r="B1005" s="800"/>
      <c r="C1005" s="800"/>
      <c r="D1005" s="800"/>
      <c r="E1005" s="800"/>
      <c r="F1005" s="800"/>
      <c r="G1005" s="800"/>
      <c r="H1005" s="800"/>
      <c r="I1005" s="800"/>
      <c r="J1005" s="800"/>
      <c r="K1005" s="800"/>
    </row>
    <row r="1006" spans="1:11">
      <c r="A1006" s="800"/>
      <c r="B1006" s="800"/>
      <c r="C1006" s="800"/>
      <c r="D1006" s="800"/>
      <c r="E1006" s="800"/>
      <c r="F1006" s="800"/>
      <c r="G1006" s="800"/>
      <c r="H1006" s="800"/>
      <c r="I1006" s="800"/>
      <c r="J1006" s="800"/>
      <c r="K1006" s="800"/>
    </row>
    <row r="1007" spans="1:11">
      <c r="A1007" s="800"/>
      <c r="B1007" s="800"/>
      <c r="C1007" s="800"/>
      <c r="D1007" s="800"/>
      <c r="E1007" s="800"/>
      <c r="F1007" s="800"/>
      <c r="G1007" s="800"/>
      <c r="H1007" s="800"/>
      <c r="I1007" s="800"/>
      <c r="J1007" s="800"/>
      <c r="K1007" s="800"/>
    </row>
    <row r="1008" spans="1:11">
      <c r="A1008" s="800"/>
      <c r="B1008" s="800"/>
      <c r="C1008" s="800"/>
      <c r="D1008" s="800"/>
      <c r="E1008" s="800"/>
      <c r="F1008" s="800"/>
      <c r="G1008" s="800"/>
      <c r="H1008" s="800"/>
      <c r="I1008" s="800"/>
      <c r="J1008" s="800"/>
      <c r="K1008" s="800"/>
    </row>
    <row r="1009" spans="1:11">
      <c r="A1009" s="800"/>
      <c r="B1009" s="800"/>
      <c r="C1009" s="800"/>
      <c r="D1009" s="800"/>
      <c r="E1009" s="800"/>
      <c r="F1009" s="800"/>
      <c r="G1009" s="800"/>
      <c r="H1009" s="800"/>
      <c r="I1009" s="800"/>
      <c r="J1009" s="800"/>
      <c r="K1009" s="800"/>
    </row>
    <row r="1010" spans="1:11">
      <c r="A1010" s="800"/>
      <c r="B1010" s="800"/>
      <c r="C1010" s="800"/>
      <c r="D1010" s="800"/>
      <c r="E1010" s="800"/>
      <c r="F1010" s="800"/>
      <c r="G1010" s="800"/>
      <c r="H1010" s="800"/>
      <c r="I1010" s="800"/>
      <c r="J1010" s="800"/>
      <c r="K1010" s="800"/>
    </row>
    <row r="1011" spans="1:11">
      <c r="A1011" s="800"/>
      <c r="B1011" s="800"/>
      <c r="C1011" s="800"/>
      <c r="D1011" s="800"/>
      <c r="E1011" s="800"/>
      <c r="F1011" s="800"/>
      <c r="G1011" s="800"/>
      <c r="H1011" s="800"/>
      <c r="I1011" s="800"/>
      <c r="J1011" s="800"/>
      <c r="K1011" s="800"/>
    </row>
    <row r="1012" spans="1:11">
      <c r="A1012" s="800"/>
      <c r="B1012" s="800"/>
      <c r="C1012" s="800"/>
      <c r="D1012" s="800"/>
      <c r="E1012" s="800"/>
      <c r="F1012" s="800"/>
      <c r="G1012" s="800"/>
      <c r="H1012" s="800"/>
      <c r="I1012" s="800"/>
      <c r="J1012" s="800"/>
      <c r="K1012" s="800"/>
    </row>
    <row r="1013" spans="1:11">
      <c r="A1013" s="800"/>
      <c r="B1013" s="800"/>
      <c r="C1013" s="800"/>
      <c r="D1013" s="800"/>
      <c r="E1013" s="800"/>
      <c r="F1013" s="800"/>
      <c r="G1013" s="800"/>
      <c r="H1013" s="800"/>
      <c r="I1013" s="800"/>
      <c r="J1013" s="800"/>
      <c r="K1013" s="800"/>
    </row>
    <row r="1014" spans="1:11">
      <c r="A1014" s="800"/>
      <c r="B1014" s="800"/>
      <c r="C1014" s="800"/>
      <c r="D1014" s="800"/>
      <c r="E1014" s="800"/>
      <c r="F1014" s="800"/>
      <c r="G1014" s="800"/>
      <c r="H1014" s="800"/>
      <c r="I1014" s="800"/>
      <c r="J1014" s="800"/>
      <c r="K1014" s="800"/>
    </row>
    <row r="1015" spans="1:11">
      <c r="A1015" s="800"/>
      <c r="B1015" s="800"/>
      <c r="C1015" s="800"/>
      <c r="D1015" s="800"/>
      <c r="E1015" s="800"/>
      <c r="F1015" s="800"/>
      <c r="G1015" s="800"/>
      <c r="H1015" s="800"/>
      <c r="I1015" s="800"/>
      <c r="J1015" s="800"/>
      <c r="K1015" s="800"/>
    </row>
    <row r="1016" spans="1:11">
      <c r="A1016" s="800"/>
      <c r="B1016" s="800"/>
      <c r="C1016" s="800"/>
      <c r="D1016" s="800"/>
      <c r="E1016" s="800"/>
      <c r="F1016" s="800"/>
      <c r="G1016" s="800"/>
      <c r="H1016" s="800"/>
      <c r="I1016" s="800"/>
      <c r="J1016" s="800"/>
      <c r="K1016" s="800"/>
    </row>
    <row r="1017" spans="1:11">
      <c r="A1017" s="800"/>
      <c r="B1017" s="800"/>
      <c r="C1017" s="800"/>
      <c r="D1017" s="800"/>
      <c r="E1017" s="800"/>
      <c r="F1017" s="800"/>
      <c r="G1017" s="800"/>
      <c r="H1017" s="800"/>
      <c r="I1017" s="800"/>
      <c r="J1017" s="800"/>
      <c r="K1017" s="800"/>
    </row>
    <row r="1018" spans="1:11">
      <c r="A1018" s="800"/>
      <c r="B1018" s="800"/>
      <c r="C1018" s="800"/>
      <c r="D1018" s="800"/>
      <c r="E1018" s="800"/>
      <c r="F1018" s="800"/>
      <c r="G1018" s="800"/>
      <c r="H1018" s="800"/>
      <c r="I1018" s="800"/>
      <c r="J1018" s="800"/>
      <c r="K1018" s="800"/>
    </row>
    <row r="1019" spans="1:11">
      <c r="A1019" s="800"/>
      <c r="B1019" s="800"/>
      <c r="C1019" s="800"/>
      <c r="D1019" s="800"/>
      <c r="E1019" s="800"/>
      <c r="F1019" s="800"/>
      <c r="G1019" s="800"/>
      <c r="H1019" s="800"/>
      <c r="I1019" s="800"/>
      <c r="J1019" s="800"/>
      <c r="K1019" s="800"/>
    </row>
    <row r="1020" spans="1:11">
      <c r="A1020" s="800"/>
      <c r="B1020" s="800"/>
      <c r="C1020" s="800"/>
      <c r="D1020" s="800"/>
      <c r="E1020" s="800"/>
      <c r="F1020" s="800"/>
      <c r="G1020" s="800"/>
      <c r="H1020" s="800"/>
      <c r="I1020" s="800"/>
      <c r="J1020" s="800"/>
      <c r="K1020" s="800"/>
    </row>
    <row r="1021" spans="1:11">
      <c r="A1021" s="800"/>
      <c r="B1021" s="800"/>
      <c r="C1021" s="800"/>
      <c r="D1021" s="800"/>
      <c r="E1021" s="800"/>
      <c r="F1021" s="800"/>
      <c r="G1021" s="800"/>
      <c r="H1021" s="800"/>
      <c r="I1021" s="800"/>
      <c r="J1021" s="800"/>
      <c r="K1021" s="800"/>
    </row>
    <row r="1022" spans="1:11">
      <c r="A1022" s="800"/>
      <c r="B1022" s="800"/>
      <c r="C1022" s="800"/>
      <c r="D1022" s="800"/>
      <c r="E1022" s="800"/>
      <c r="F1022" s="800"/>
      <c r="G1022" s="800"/>
      <c r="H1022" s="800"/>
      <c r="I1022" s="800"/>
      <c r="J1022" s="800"/>
      <c r="K1022" s="800"/>
    </row>
    <row r="1023" spans="1:11">
      <c r="A1023" s="800"/>
      <c r="B1023" s="800"/>
      <c r="C1023" s="800"/>
      <c r="D1023" s="800"/>
      <c r="E1023" s="800"/>
      <c r="F1023" s="800"/>
      <c r="G1023" s="800"/>
      <c r="H1023" s="800"/>
      <c r="I1023" s="800"/>
      <c r="J1023" s="800"/>
      <c r="K1023" s="800"/>
    </row>
    <row r="1024" spans="1:11">
      <c r="A1024" s="800"/>
      <c r="B1024" s="800"/>
      <c r="C1024" s="800"/>
      <c r="D1024" s="800"/>
      <c r="E1024" s="800"/>
      <c r="F1024" s="800"/>
      <c r="G1024" s="800"/>
      <c r="H1024" s="800"/>
      <c r="I1024" s="800"/>
      <c r="J1024" s="800"/>
      <c r="K1024" s="800"/>
    </row>
    <row r="1025" spans="1:11">
      <c r="A1025" s="800"/>
      <c r="B1025" s="800"/>
      <c r="C1025" s="800"/>
      <c r="D1025" s="800"/>
      <c r="E1025" s="800"/>
      <c r="F1025" s="800"/>
      <c r="G1025" s="800"/>
      <c r="H1025" s="800"/>
      <c r="I1025" s="800"/>
      <c r="J1025" s="800"/>
      <c r="K1025" s="800"/>
    </row>
    <row r="1026" spans="1:11">
      <c r="A1026" s="800"/>
      <c r="B1026" s="800"/>
      <c r="C1026" s="800"/>
      <c r="D1026" s="800"/>
      <c r="E1026" s="800"/>
      <c r="F1026" s="800"/>
      <c r="G1026" s="800"/>
      <c r="H1026" s="800"/>
      <c r="I1026" s="800"/>
      <c r="J1026" s="800"/>
      <c r="K1026" s="800"/>
    </row>
    <row r="1027" spans="1:11">
      <c r="A1027" s="800"/>
      <c r="B1027" s="800"/>
      <c r="C1027" s="800"/>
      <c r="D1027" s="800"/>
      <c r="E1027" s="800"/>
      <c r="F1027" s="800"/>
      <c r="G1027" s="800"/>
      <c r="H1027" s="800"/>
      <c r="I1027" s="800"/>
      <c r="J1027" s="800"/>
      <c r="K1027" s="800"/>
    </row>
    <row r="1028" spans="1:11">
      <c r="A1028" s="800"/>
      <c r="B1028" s="800"/>
      <c r="C1028" s="800"/>
      <c r="D1028" s="800"/>
      <c r="E1028" s="800"/>
      <c r="F1028" s="800"/>
      <c r="G1028" s="800"/>
      <c r="H1028" s="800"/>
      <c r="I1028" s="800"/>
      <c r="J1028" s="800"/>
      <c r="K1028" s="800"/>
    </row>
    <row r="1029" spans="1:11">
      <c r="A1029" s="800"/>
      <c r="B1029" s="800"/>
      <c r="C1029" s="800"/>
      <c r="D1029" s="800"/>
      <c r="E1029" s="800"/>
      <c r="F1029" s="800"/>
      <c r="G1029" s="800"/>
      <c r="H1029" s="800"/>
      <c r="I1029" s="800"/>
      <c r="J1029" s="800"/>
      <c r="K1029" s="800"/>
    </row>
    <row r="1030" spans="1:11">
      <c r="A1030" s="800"/>
      <c r="B1030" s="800"/>
      <c r="C1030" s="800"/>
      <c r="D1030" s="800"/>
      <c r="E1030" s="800"/>
      <c r="F1030" s="800"/>
      <c r="G1030" s="800"/>
      <c r="H1030" s="800"/>
      <c r="I1030" s="800"/>
      <c r="J1030" s="800"/>
      <c r="K1030" s="800"/>
    </row>
    <row r="1031" spans="1:11">
      <c r="A1031" s="800"/>
      <c r="B1031" s="800"/>
      <c r="C1031" s="800"/>
      <c r="D1031" s="800"/>
      <c r="E1031" s="800"/>
      <c r="F1031" s="800"/>
      <c r="G1031" s="800"/>
      <c r="H1031" s="800"/>
      <c r="I1031" s="800"/>
      <c r="J1031" s="800"/>
      <c r="K1031" s="800"/>
    </row>
    <row r="1032" spans="1:11">
      <c r="A1032" s="800"/>
      <c r="B1032" s="800"/>
      <c r="C1032" s="800"/>
      <c r="D1032" s="800"/>
      <c r="E1032" s="800"/>
      <c r="F1032" s="800"/>
      <c r="G1032" s="800"/>
      <c r="H1032" s="800"/>
      <c r="I1032" s="800"/>
      <c r="J1032" s="800"/>
      <c r="K1032" s="800"/>
    </row>
    <row r="1033" spans="1:11">
      <c r="A1033" s="800"/>
      <c r="B1033" s="800"/>
      <c r="C1033" s="800"/>
      <c r="D1033" s="800"/>
      <c r="E1033" s="800"/>
      <c r="F1033" s="800"/>
      <c r="G1033" s="800"/>
      <c r="H1033" s="800"/>
      <c r="I1033" s="800"/>
      <c r="J1033" s="800"/>
      <c r="K1033" s="800"/>
    </row>
    <row r="1034" spans="1:11">
      <c r="A1034" s="800"/>
      <c r="B1034" s="800"/>
      <c r="C1034" s="800"/>
      <c r="D1034" s="800"/>
      <c r="E1034" s="800"/>
      <c r="F1034" s="800"/>
      <c r="G1034" s="800"/>
      <c r="H1034" s="800"/>
      <c r="I1034" s="800"/>
      <c r="J1034" s="800"/>
      <c r="K1034" s="800"/>
    </row>
    <row r="1035" spans="1:11">
      <c r="A1035" s="800"/>
      <c r="B1035" s="800"/>
      <c r="C1035" s="800"/>
      <c r="D1035" s="800"/>
      <c r="E1035" s="800"/>
      <c r="F1035" s="800"/>
      <c r="G1035" s="800"/>
      <c r="H1035" s="800"/>
      <c r="I1035" s="800"/>
      <c r="J1035" s="800"/>
      <c r="K1035" s="800"/>
    </row>
    <row r="1036" spans="1:11">
      <c r="A1036" s="800"/>
      <c r="B1036" s="800"/>
      <c r="C1036" s="800"/>
      <c r="D1036" s="800"/>
      <c r="E1036" s="800"/>
      <c r="F1036" s="800"/>
      <c r="G1036" s="800"/>
      <c r="H1036" s="800"/>
      <c r="I1036" s="800"/>
      <c r="J1036" s="800"/>
      <c r="K1036" s="800"/>
    </row>
    <row r="1037" spans="1:11">
      <c r="A1037" s="800"/>
      <c r="B1037" s="800"/>
      <c r="C1037" s="800"/>
      <c r="D1037" s="800"/>
      <c r="E1037" s="800"/>
      <c r="F1037" s="800"/>
      <c r="G1037" s="800"/>
      <c r="H1037" s="800"/>
      <c r="I1037" s="800"/>
      <c r="J1037" s="800"/>
      <c r="K1037" s="800"/>
    </row>
    <row r="1038" spans="1:11">
      <c r="A1038" s="800"/>
      <c r="B1038" s="800"/>
      <c r="C1038" s="800"/>
      <c r="D1038" s="800"/>
      <c r="E1038" s="800"/>
      <c r="F1038" s="800"/>
      <c r="G1038" s="800"/>
      <c r="H1038" s="800"/>
      <c r="I1038" s="800"/>
      <c r="J1038" s="800"/>
      <c r="K1038" s="800"/>
    </row>
    <row r="1039" spans="1:11">
      <c r="A1039" s="800"/>
      <c r="B1039" s="800"/>
      <c r="C1039" s="800"/>
      <c r="D1039" s="800"/>
      <c r="E1039" s="800"/>
      <c r="F1039" s="800"/>
      <c r="G1039" s="800"/>
      <c r="H1039" s="800"/>
      <c r="I1039" s="800"/>
      <c r="J1039" s="800"/>
      <c r="K1039" s="800"/>
    </row>
    <row r="1040" spans="1:11">
      <c r="A1040" s="800"/>
      <c r="B1040" s="800"/>
      <c r="C1040" s="800"/>
      <c r="D1040" s="800"/>
      <c r="E1040" s="800"/>
      <c r="F1040" s="800"/>
      <c r="G1040" s="800"/>
      <c r="H1040" s="800"/>
      <c r="I1040" s="800"/>
      <c r="J1040" s="800"/>
      <c r="K1040" s="800"/>
    </row>
    <row r="1041" spans="1:11">
      <c r="A1041" s="800"/>
      <c r="B1041" s="800"/>
      <c r="C1041" s="800"/>
      <c r="D1041" s="800"/>
      <c r="E1041" s="800"/>
      <c r="F1041" s="800"/>
      <c r="G1041" s="800"/>
      <c r="H1041" s="800"/>
      <c r="I1041" s="800"/>
      <c r="J1041" s="800"/>
      <c r="K1041" s="800"/>
    </row>
    <row r="1042" spans="1:11">
      <c r="A1042" s="800"/>
      <c r="B1042" s="800"/>
      <c r="C1042" s="800"/>
      <c r="D1042" s="800"/>
      <c r="E1042" s="800"/>
      <c r="F1042" s="800"/>
      <c r="G1042" s="800"/>
      <c r="H1042" s="800"/>
      <c r="I1042" s="800"/>
      <c r="J1042" s="800"/>
      <c r="K1042" s="800"/>
    </row>
    <row r="1043" spans="1:11">
      <c r="A1043" s="800"/>
      <c r="B1043" s="800"/>
      <c r="C1043" s="800"/>
      <c r="D1043" s="800"/>
      <c r="E1043" s="800"/>
      <c r="F1043" s="800"/>
      <c r="G1043" s="800"/>
      <c r="H1043" s="800"/>
      <c r="I1043" s="800"/>
      <c r="J1043" s="800"/>
      <c r="K1043" s="800"/>
    </row>
    <row r="1044" spans="1:11">
      <c r="A1044" s="800"/>
      <c r="B1044" s="800"/>
      <c r="C1044" s="800"/>
      <c r="D1044" s="800"/>
      <c r="E1044" s="800"/>
      <c r="F1044" s="800"/>
      <c r="G1044" s="800"/>
      <c r="H1044" s="800"/>
      <c r="I1044" s="800"/>
      <c r="J1044" s="800"/>
      <c r="K1044" s="800"/>
    </row>
    <row r="1045" spans="1:11">
      <c r="A1045" s="800"/>
      <c r="B1045" s="800"/>
      <c r="C1045" s="800"/>
      <c r="D1045" s="800"/>
      <c r="E1045" s="800"/>
      <c r="F1045" s="800"/>
      <c r="G1045" s="800"/>
      <c r="H1045" s="800"/>
      <c r="I1045" s="800"/>
      <c r="J1045" s="800"/>
      <c r="K1045" s="800"/>
    </row>
    <row r="1046" spans="1:11">
      <c r="A1046" s="800"/>
      <c r="B1046" s="800"/>
      <c r="C1046" s="800"/>
      <c r="D1046" s="800"/>
      <c r="E1046" s="800"/>
      <c r="F1046" s="800"/>
      <c r="G1046" s="800"/>
      <c r="H1046" s="800"/>
      <c r="I1046" s="800"/>
      <c r="J1046" s="800"/>
      <c r="K1046" s="800"/>
    </row>
    <row r="1047" spans="1:11">
      <c r="A1047" s="800"/>
      <c r="B1047" s="800"/>
      <c r="C1047" s="800"/>
      <c r="D1047" s="800"/>
      <c r="E1047" s="800"/>
      <c r="F1047" s="800"/>
      <c r="G1047" s="800"/>
      <c r="H1047" s="800"/>
      <c r="I1047" s="800"/>
      <c r="J1047" s="800"/>
      <c r="K1047" s="800"/>
    </row>
    <row r="1048" spans="1:11">
      <c r="A1048" s="800"/>
      <c r="B1048" s="800"/>
      <c r="C1048" s="800"/>
      <c r="D1048" s="800"/>
      <c r="E1048" s="800"/>
      <c r="F1048" s="800"/>
      <c r="G1048" s="800"/>
      <c r="H1048" s="800"/>
      <c r="I1048" s="800"/>
      <c r="J1048" s="800"/>
      <c r="K1048" s="800"/>
    </row>
    <row r="1049" spans="1:11">
      <c r="A1049" s="800"/>
      <c r="B1049" s="800"/>
      <c r="C1049" s="800"/>
      <c r="D1049" s="800"/>
      <c r="E1049" s="800"/>
      <c r="F1049" s="800"/>
      <c r="G1049" s="800"/>
      <c r="H1049" s="800"/>
      <c r="I1049" s="800"/>
      <c r="J1049" s="800"/>
      <c r="K1049" s="800"/>
    </row>
    <row r="1050" spans="1:11">
      <c r="A1050" s="800"/>
      <c r="B1050" s="800"/>
      <c r="C1050" s="800"/>
      <c r="D1050" s="800"/>
      <c r="E1050" s="800"/>
      <c r="F1050" s="800"/>
      <c r="G1050" s="800"/>
      <c r="H1050" s="800"/>
      <c r="I1050" s="800"/>
      <c r="J1050" s="800"/>
      <c r="K1050" s="800"/>
    </row>
    <row r="1051" spans="1:11">
      <c r="A1051" s="800"/>
      <c r="B1051" s="800"/>
      <c r="C1051" s="800"/>
      <c r="D1051" s="800"/>
      <c r="E1051" s="800"/>
      <c r="F1051" s="800"/>
      <c r="G1051" s="800"/>
      <c r="H1051" s="800"/>
      <c r="I1051" s="800"/>
      <c r="J1051" s="800"/>
      <c r="K1051" s="800"/>
    </row>
    <row r="1052" spans="1:11">
      <c r="A1052" s="800"/>
      <c r="B1052" s="800"/>
      <c r="C1052" s="800"/>
      <c r="D1052" s="800"/>
      <c r="E1052" s="800"/>
      <c r="F1052" s="800"/>
      <c r="G1052" s="800"/>
      <c r="H1052" s="800"/>
      <c r="I1052" s="800"/>
      <c r="J1052" s="800"/>
      <c r="K1052" s="800"/>
    </row>
    <row r="1053" spans="1:11">
      <c r="A1053" s="800"/>
      <c r="B1053" s="800"/>
      <c r="C1053" s="800"/>
      <c r="D1053" s="800"/>
      <c r="E1053" s="800"/>
      <c r="F1053" s="800"/>
      <c r="G1053" s="800"/>
      <c r="H1053" s="800"/>
      <c r="I1053" s="800"/>
      <c r="J1053" s="800"/>
      <c r="K1053" s="800"/>
    </row>
    <row r="1054" spans="1:11">
      <c r="A1054" s="800"/>
      <c r="B1054" s="800"/>
      <c r="C1054" s="800"/>
      <c r="D1054" s="800"/>
      <c r="E1054" s="800"/>
      <c r="F1054" s="800"/>
      <c r="G1054" s="800"/>
      <c r="H1054" s="800"/>
      <c r="I1054" s="800"/>
      <c r="J1054" s="800"/>
      <c r="K1054" s="800"/>
    </row>
    <row r="1055" spans="1:11">
      <c r="A1055" s="800"/>
      <c r="B1055" s="800"/>
      <c r="C1055" s="800"/>
      <c r="D1055" s="800"/>
      <c r="E1055" s="800"/>
      <c r="F1055" s="800"/>
      <c r="G1055" s="800"/>
      <c r="H1055" s="800"/>
      <c r="I1055" s="800"/>
      <c r="J1055" s="800"/>
      <c r="K1055" s="800"/>
    </row>
    <row r="1056" spans="1:11">
      <c r="A1056" s="800"/>
      <c r="B1056" s="800"/>
      <c r="C1056" s="800"/>
      <c r="D1056" s="800"/>
      <c r="E1056" s="800"/>
      <c r="F1056" s="800"/>
      <c r="G1056" s="800"/>
      <c r="H1056" s="800"/>
      <c r="I1056" s="800"/>
      <c r="J1056" s="800"/>
      <c r="K1056" s="800"/>
    </row>
    <row r="1057" spans="1:11">
      <c r="A1057" s="800"/>
      <c r="B1057" s="800"/>
      <c r="C1057" s="800"/>
      <c r="D1057" s="800"/>
      <c r="E1057" s="800"/>
      <c r="F1057" s="800"/>
      <c r="G1057" s="800"/>
      <c r="H1057" s="800"/>
      <c r="I1057" s="800"/>
      <c r="J1057" s="800"/>
      <c r="K1057" s="800"/>
    </row>
    <row r="1058" spans="1:11">
      <c r="A1058" s="800"/>
      <c r="B1058" s="800"/>
      <c r="C1058" s="800"/>
      <c r="D1058" s="800"/>
      <c r="E1058" s="800"/>
      <c r="F1058" s="800"/>
      <c r="G1058" s="800"/>
      <c r="H1058" s="800"/>
      <c r="I1058" s="800"/>
      <c r="J1058" s="800"/>
      <c r="K1058" s="800"/>
    </row>
    <row r="1059" spans="1:11">
      <c r="A1059" s="800"/>
      <c r="B1059" s="800"/>
      <c r="C1059" s="800"/>
      <c r="D1059" s="800"/>
      <c r="E1059" s="800"/>
      <c r="F1059" s="800"/>
      <c r="G1059" s="800"/>
      <c r="H1059" s="800"/>
      <c r="I1059" s="800"/>
      <c r="J1059" s="800"/>
      <c r="K1059" s="800"/>
    </row>
    <row r="1060" spans="1:11">
      <c r="A1060" s="800"/>
      <c r="B1060" s="800"/>
      <c r="C1060" s="800"/>
      <c r="D1060" s="800"/>
      <c r="E1060" s="800"/>
      <c r="F1060" s="800"/>
      <c r="G1060" s="800"/>
      <c r="H1060" s="800"/>
      <c r="I1060" s="800"/>
      <c r="J1060" s="800"/>
      <c r="K1060" s="800"/>
    </row>
    <row r="1061" spans="1:11">
      <c r="A1061" s="800"/>
      <c r="B1061" s="800"/>
      <c r="C1061" s="800"/>
      <c r="D1061" s="800"/>
      <c r="E1061" s="800"/>
      <c r="F1061" s="800"/>
      <c r="G1061" s="800"/>
      <c r="H1061" s="800"/>
      <c r="I1061" s="800"/>
      <c r="J1061" s="800"/>
      <c r="K1061" s="800"/>
    </row>
    <row r="1062" spans="1:11">
      <c r="A1062" s="800"/>
      <c r="B1062" s="800"/>
      <c r="C1062" s="800"/>
      <c r="D1062" s="800"/>
      <c r="E1062" s="800"/>
      <c r="F1062" s="800"/>
      <c r="G1062" s="800"/>
      <c r="H1062" s="800"/>
      <c r="I1062" s="800"/>
      <c r="J1062" s="800"/>
      <c r="K1062" s="800"/>
    </row>
    <row r="1063" spans="1:11">
      <c r="A1063" s="800"/>
      <c r="B1063" s="800"/>
      <c r="C1063" s="800"/>
      <c r="D1063" s="800"/>
      <c r="E1063" s="800"/>
      <c r="F1063" s="800"/>
      <c r="G1063" s="800"/>
      <c r="H1063" s="800"/>
      <c r="I1063" s="800"/>
      <c r="J1063" s="800"/>
      <c r="K1063" s="800"/>
    </row>
    <row r="1064" spans="1:11">
      <c r="A1064" s="800"/>
      <c r="B1064" s="800"/>
      <c r="C1064" s="800"/>
      <c r="D1064" s="800"/>
      <c r="E1064" s="800"/>
      <c r="F1064" s="800"/>
      <c r="G1064" s="800"/>
      <c r="H1064" s="800"/>
      <c r="I1064" s="800"/>
      <c r="J1064" s="800"/>
      <c r="K1064" s="800"/>
    </row>
    <row r="1065" spans="1:11">
      <c r="A1065" s="800"/>
      <c r="B1065" s="800"/>
      <c r="C1065" s="800"/>
      <c r="D1065" s="800"/>
      <c r="E1065" s="800"/>
      <c r="F1065" s="800"/>
      <c r="G1065" s="800"/>
      <c r="H1065" s="800"/>
      <c r="I1065" s="800"/>
      <c r="J1065" s="800"/>
      <c r="K1065" s="800"/>
    </row>
    <row r="1066" spans="1:11">
      <c r="A1066" s="800"/>
      <c r="B1066" s="800"/>
      <c r="C1066" s="800"/>
      <c r="D1066" s="800"/>
      <c r="E1066" s="800"/>
      <c r="F1066" s="800"/>
      <c r="G1066" s="800"/>
      <c r="H1066" s="800"/>
      <c r="I1066" s="800"/>
      <c r="J1066" s="800"/>
      <c r="K1066" s="800"/>
    </row>
    <row r="1067" spans="1:11">
      <c r="A1067" s="800"/>
      <c r="B1067" s="800"/>
      <c r="C1067" s="800"/>
      <c r="D1067" s="800"/>
      <c r="E1067" s="800"/>
      <c r="F1067" s="800"/>
      <c r="G1067" s="800"/>
      <c r="H1067" s="800"/>
      <c r="I1067" s="800"/>
      <c r="J1067" s="800"/>
      <c r="K1067" s="800"/>
    </row>
    <row r="1068" spans="1:11">
      <c r="A1068" s="800"/>
      <c r="B1068" s="800"/>
      <c r="C1068" s="800"/>
      <c r="D1068" s="800"/>
      <c r="E1068" s="800"/>
      <c r="F1068" s="800"/>
      <c r="G1068" s="800"/>
      <c r="H1068" s="800"/>
      <c r="I1068" s="800"/>
      <c r="J1068" s="800"/>
      <c r="K1068" s="800"/>
    </row>
    <row r="1069" spans="1:11">
      <c r="A1069" s="800"/>
      <c r="B1069" s="800"/>
      <c r="C1069" s="800"/>
      <c r="D1069" s="800"/>
      <c r="E1069" s="800"/>
      <c r="F1069" s="800"/>
      <c r="G1069" s="800"/>
      <c r="H1069" s="800"/>
      <c r="I1069" s="800"/>
      <c r="J1069" s="800"/>
      <c r="K1069" s="800"/>
    </row>
    <row r="1070" spans="1:11">
      <c r="A1070" s="800"/>
      <c r="B1070" s="800"/>
      <c r="C1070" s="800"/>
      <c r="D1070" s="800"/>
      <c r="E1070" s="800"/>
      <c r="F1070" s="800"/>
      <c r="G1070" s="800"/>
      <c r="H1070" s="800"/>
      <c r="I1070" s="800"/>
      <c r="J1070" s="800"/>
      <c r="K1070" s="800"/>
    </row>
    <row r="1071" spans="1:11">
      <c r="A1071" s="800"/>
      <c r="B1071" s="800"/>
      <c r="C1071" s="800"/>
      <c r="D1071" s="800"/>
      <c r="E1071" s="800"/>
      <c r="F1071" s="800"/>
      <c r="G1071" s="800"/>
      <c r="H1071" s="800"/>
      <c r="I1071" s="800"/>
      <c r="J1071" s="800"/>
      <c r="K1071" s="800"/>
    </row>
    <row r="1072" spans="1:11">
      <c r="A1072" s="800"/>
      <c r="B1072" s="800"/>
      <c r="C1072" s="800"/>
      <c r="D1072" s="800"/>
      <c r="E1072" s="800"/>
      <c r="F1072" s="800"/>
      <c r="G1072" s="800"/>
      <c r="H1072" s="800"/>
      <c r="I1072" s="800"/>
      <c r="J1072" s="800"/>
      <c r="K1072" s="800"/>
    </row>
    <row r="1073" spans="1:11">
      <c r="A1073" s="800"/>
      <c r="B1073" s="800"/>
      <c r="C1073" s="800"/>
      <c r="D1073" s="800"/>
      <c r="E1073" s="800"/>
      <c r="F1073" s="800"/>
      <c r="G1073" s="800"/>
      <c r="H1073" s="800"/>
      <c r="I1073" s="800"/>
      <c r="J1073" s="800"/>
      <c r="K1073" s="800"/>
    </row>
    <row r="1074" spans="1:11">
      <c r="A1074" s="800"/>
      <c r="B1074" s="800"/>
      <c r="C1074" s="800"/>
      <c r="D1074" s="800"/>
      <c r="E1074" s="800"/>
      <c r="F1074" s="800"/>
      <c r="G1074" s="800"/>
      <c r="H1074" s="800"/>
      <c r="I1074" s="800"/>
      <c r="J1074" s="800"/>
      <c r="K1074" s="800"/>
    </row>
    <row r="1075" spans="1:11">
      <c r="A1075" s="800"/>
      <c r="B1075" s="800"/>
      <c r="C1075" s="800"/>
      <c r="D1075" s="800"/>
      <c r="E1075" s="800"/>
      <c r="F1075" s="800"/>
      <c r="G1075" s="800"/>
      <c r="H1075" s="800"/>
      <c r="I1075" s="800"/>
      <c r="J1075" s="800"/>
      <c r="K1075" s="800"/>
    </row>
    <row r="1076" spans="1:11">
      <c r="A1076" s="800"/>
      <c r="B1076" s="800"/>
      <c r="C1076" s="800"/>
      <c r="D1076" s="800"/>
      <c r="E1076" s="800"/>
      <c r="F1076" s="800"/>
      <c r="G1076" s="800"/>
      <c r="H1076" s="800"/>
      <c r="I1076" s="800"/>
      <c r="J1076" s="800"/>
      <c r="K1076" s="800"/>
    </row>
    <row r="1077" spans="1:11">
      <c r="A1077" s="800"/>
      <c r="B1077" s="800"/>
      <c r="C1077" s="800"/>
      <c r="D1077" s="800"/>
      <c r="E1077" s="800"/>
      <c r="F1077" s="800"/>
      <c r="G1077" s="800"/>
      <c r="H1077" s="800"/>
      <c r="I1077" s="800"/>
      <c r="J1077" s="800"/>
      <c r="K1077" s="800"/>
    </row>
    <row r="1078" spans="1:11">
      <c r="A1078" s="800"/>
      <c r="B1078" s="800"/>
      <c r="C1078" s="800"/>
      <c r="D1078" s="800"/>
      <c r="E1078" s="800"/>
      <c r="F1078" s="800"/>
      <c r="G1078" s="800"/>
      <c r="H1078" s="800"/>
      <c r="I1078" s="800"/>
      <c r="J1078" s="800"/>
      <c r="K1078" s="800"/>
    </row>
    <row r="1079" spans="1:11">
      <c r="A1079" s="800"/>
      <c r="B1079" s="800"/>
      <c r="C1079" s="800"/>
      <c r="D1079" s="800"/>
      <c r="E1079" s="800"/>
      <c r="F1079" s="800"/>
      <c r="G1079" s="800"/>
      <c r="H1079" s="800"/>
      <c r="I1079" s="800"/>
      <c r="J1079" s="800"/>
      <c r="K1079" s="800"/>
    </row>
    <row r="1080" spans="1:11">
      <c r="A1080" s="800"/>
      <c r="B1080" s="800"/>
      <c r="C1080" s="800"/>
      <c r="D1080" s="800"/>
      <c r="E1080" s="800"/>
      <c r="F1080" s="800"/>
      <c r="G1080" s="800"/>
      <c r="H1080" s="800"/>
      <c r="I1080" s="800"/>
      <c r="J1080" s="800"/>
      <c r="K1080" s="800"/>
    </row>
    <row r="1081" spans="1:11">
      <c r="A1081" s="800"/>
      <c r="B1081" s="800"/>
      <c r="C1081" s="800"/>
      <c r="D1081" s="800"/>
      <c r="E1081" s="800"/>
      <c r="F1081" s="800"/>
      <c r="G1081" s="800"/>
      <c r="H1081" s="800"/>
      <c r="I1081" s="800"/>
      <c r="J1081" s="800"/>
      <c r="K1081" s="800"/>
    </row>
    <row r="1082" spans="1:11">
      <c r="A1082" s="800"/>
      <c r="B1082" s="800"/>
      <c r="C1082" s="800"/>
      <c r="D1082" s="800"/>
      <c r="E1082" s="800"/>
      <c r="F1082" s="800"/>
      <c r="G1082" s="800"/>
      <c r="H1082" s="800"/>
      <c r="I1082" s="800"/>
      <c r="J1082" s="800"/>
      <c r="K1082" s="800"/>
    </row>
    <row r="1083" spans="1:11">
      <c r="A1083" s="800"/>
      <c r="B1083" s="800"/>
      <c r="C1083" s="800"/>
      <c r="D1083" s="800"/>
      <c r="E1083" s="800"/>
      <c r="F1083" s="800"/>
      <c r="G1083" s="800"/>
      <c r="H1083" s="800"/>
      <c r="I1083" s="800"/>
      <c r="J1083" s="800"/>
      <c r="K1083" s="800"/>
    </row>
    <row r="1084" spans="1:11">
      <c r="A1084" s="800"/>
      <c r="B1084" s="800"/>
      <c r="C1084" s="800"/>
      <c r="D1084" s="800"/>
      <c r="E1084" s="800"/>
      <c r="F1084" s="800"/>
      <c r="G1084" s="800"/>
      <c r="H1084" s="800"/>
      <c r="I1084" s="800"/>
      <c r="J1084" s="800"/>
      <c r="K1084" s="800"/>
    </row>
    <row r="1085" spans="1:11">
      <c r="A1085" s="800"/>
      <c r="B1085" s="800"/>
      <c r="C1085" s="800"/>
      <c r="D1085" s="800"/>
      <c r="E1085" s="800"/>
      <c r="F1085" s="800"/>
      <c r="G1085" s="800"/>
      <c r="H1085" s="800"/>
      <c r="I1085" s="800"/>
      <c r="J1085" s="800"/>
      <c r="K1085" s="800"/>
    </row>
  </sheetData>
  <mergeCells count="1">
    <mergeCell ref="B5:L5"/>
  </mergeCells>
  <phoneticPr fontId="49" type="noConversion"/>
  <hyperlinks>
    <hyperlink ref="C7" location="Contents!A1" display="(Front Page)"/>
    <hyperlink ref="B5:L5" location="Smartphones!A8" display="Smartphones!A8"/>
  </hyperlinks>
  <pageMargins left="0.75" right="0.75" top="1.25" bottom="0.75" header="0.5" footer="0.5"/>
  <pageSetup fitToHeight="0" orientation="landscape" r:id="rId2"/>
  <headerFooter alignWithMargins="0">
    <oddFooter>&amp;C© 2018 Gartner, Inc. and/or its Affiliates. All Rights Reserved.</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C1085"/>
  <sheetViews>
    <sheetView topLeftCell="A7" zoomScale="70" zoomScaleNormal="70" workbookViewId="0">
      <selection activeCell="C27" activeCellId="1" sqref="C20:J20 C27:J28"/>
    </sheetView>
  </sheetViews>
  <sheetFormatPr defaultColWidth="8" defaultRowHeight="12"/>
  <cols>
    <col min="1" max="1" width="18.375" style="270" customWidth="1"/>
    <col min="2" max="2" width="13.5" style="272" customWidth="1"/>
    <col min="3" max="7" width="9.375" style="272" customWidth="1"/>
    <col min="8" max="10" width="9.375" style="270" customWidth="1"/>
    <col min="11" max="11" width="9.75" style="270" customWidth="1"/>
    <col min="12" max="37" width="6.75" style="270" customWidth="1"/>
    <col min="38" max="38" width="8.875" style="270" customWidth="1"/>
    <col min="39" max="104" width="18.875" style="270" customWidth="1"/>
    <col min="105" max="105" width="22.75" style="270" customWidth="1"/>
    <col min="106" max="106" width="19.75" style="270" bestFit="1" customWidth="1"/>
    <col min="107" max="107" width="16.125" style="270" bestFit="1" customWidth="1"/>
    <col min="108" max="16384" width="8" style="270"/>
  </cols>
  <sheetData>
    <row r="1" spans="1:12" ht="20.25">
      <c r="A1" s="269" t="s">
        <v>295</v>
      </c>
      <c r="B1"/>
      <c r="C1"/>
      <c r="D1"/>
      <c r="E1"/>
      <c r="F1"/>
      <c r="G1"/>
      <c r="H1"/>
      <c r="I1"/>
      <c r="J1"/>
    </row>
    <row r="2" spans="1:12" ht="20.25">
      <c r="A2" s="271" t="s">
        <v>694</v>
      </c>
      <c r="B2" s="271"/>
      <c r="C2" s="271"/>
      <c r="D2" s="271"/>
      <c r="E2" s="271"/>
      <c r="F2" s="271"/>
      <c r="G2" s="271"/>
      <c r="H2" s="271"/>
      <c r="I2" s="271"/>
      <c r="J2" s="271"/>
    </row>
    <row r="3" spans="1:12">
      <c r="G3" s="273"/>
    </row>
    <row r="4" spans="1:12">
      <c r="B4" s="274" t="s">
        <v>296</v>
      </c>
      <c r="G4" s="273"/>
    </row>
    <row r="5" spans="1:12" ht="15.75">
      <c r="A5" s="275" t="s">
        <v>308</v>
      </c>
      <c r="B5" s="973" t="s">
        <v>695</v>
      </c>
      <c r="C5" s="973"/>
      <c r="D5" s="973"/>
      <c r="E5" s="973"/>
      <c r="F5" s="973"/>
      <c r="G5" s="973"/>
      <c r="H5" s="973"/>
      <c r="I5" s="973"/>
      <c r="J5" s="973"/>
      <c r="K5" s="973"/>
      <c r="L5" s="973"/>
    </row>
    <row r="6" spans="1:12">
      <c r="B6" s="277"/>
      <c r="G6" s="273"/>
    </row>
    <row r="7" spans="1:12">
      <c r="B7" s="278"/>
      <c r="C7" s="278" t="s">
        <v>297</v>
      </c>
    </row>
    <row r="8" spans="1:12" ht="12" customHeight="1">
      <c r="A8" s="279" t="s">
        <v>309</v>
      </c>
      <c r="D8" s="280"/>
      <c r="E8" s="280"/>
      <c r="F8" s="280"/>
      <c r="G8" s="281"/>
    </row>
    <row r="9" spans="1:12" ht="12" customHeight="1">
      <c r="A9" s="282" t="s">
        <v>695</v>
      </c>
      <c r="B9" s="280"/>
      <c r="C9" s="280"/>
      <c r="D9" s="280"/>
      <c r="E9" s="280"/>
      <c r="F9" s="280"/>
      <c r="G9" s="281"/>
    </row>
    <row r="10" spans="1:12">
      <c r="A10" s="284" t="s">
        <v>696</v>
      </c>
    </row>
    <row r="11" spans="1:12" ht="15.75">
      <c r="D11" s="297"/>
      <c r="F11" s="297"/>
      <c r="G11" s="298"/>
    </row>
    <row r="12" spans="1:12" ht="15.75">
      <c r="A12" s="286"/>
      <c r="B12" s="286"/>
      <c r="C12" s="286"/>
      <c r="F12" s="297"/>
    </row>
    <row r="13" spans="1:12" ht="15.75">
      <c r="A13"/>
      <c r="B13"/>
      <c r="C13" s="286"/>
    </row>
    <row r="14" spans="1:12" ht="15.75">
      <c r="A14"/>
      <c r="B14"/>
      <c r="C14" s="286"/>
    </row>
    <row r="15" spans="1:12" ht="15.75">
      <c r="A15" s="868" t="s">
        <v>274</v>
      </c>
      <c r="B15" s="285" t="s">
        <v>10</v>
      </c>
      <c r="C15" s="286"/>
    </row>
    <row r="16" spans="1:12" ht="15.75">
      <c r="A16" s="868" t="s">
        <v>273</v>
      </c>
      <c r="B16" s="285" t="s">
        <v>298</v>
      </c>
      <c r="C16" s="286"/>
    </row>
    <row r="17" spans="1:107" ht="15.75">
      <c r="A17" s="868" t="s">
        <v>276</v>
      </c>
      <c r="B17" s="285" t="s">
        <v>298</v>
      </c>
      <c r="C17" s="286"/>
    </row>
    <row r="18" spans="1:107" ht="15.75">
      <c r="A18"/>
      <c r="B18"/>
      <c r="C18"/>
      <c r="D18"/>
      <c r="E18"/>
      <c r="F18"/>
      <c r="G18"/>
      <c r="H18"/>
      <c r="I18"/>
      <c r="J18"/>
    </row>
    <row r="19" spans="1:107" ht="15.75">
      <c r="A19" s="869" t="s">
        <v>300</v>
      </c>
      <c r="B19" s="859"/>
      <c r="C19" s="869" t="s">
        <v>272</v>
      </c>
      <c r="D19" s="300"/>
      <c r="E19" s="300"/>
      <c r="F19" s="300"/>
      <c r="G19" s="300"/>
      <c r="H19" s="300"/>
      <c r="I19" s="300"/>
      <c r="J19" s="302"/>
      <c r="K19"/>
      <c r="L19"/>
      <c r="M19"/>
      <c r="N19"/>
      <c r="O19"/>
      <c r="P19"/>
      <c r="Q19"/>
      <c r="R19"/>
      <c r="S19"/>
    </row>
    <row r="20" spans="1:107" ht="15.75">
      <c r="A20" s="869" t="s">
        <v>275</v>
      </c>
      <c r="B20" s="869" t="s">
        <v>277</v>
      </c>
      <c r="C20" s="860" t="s">
        <v>287</v>
      </c>
      <c r="D20" s="861" t="s">
        <v>20</v>
      </c>
      <c r="E20" s="861" t="s">
        <v>21</v>
      </c>
      <c r="F20" s="861" t="s">
        <v>22</v>
      </c>
      <c r="G20" s="861" t="s">
        <v>23</v>
      </c>
      <c r="H20" s="861" t="s">
        <v>24</v>
      </c>
      <c r="I20" s="861" t="s">
        <v>25</v>
      </c>
      <c r="J20" s="862" t="s">
        <v>619</v>
      </c>
      <c r="K20"/>
      <c r="L20"/>
      <c r="M20"/>
      <c r="N20"/>
      <c r="O20"/>
      <c r="P20"/>
      <c r="Q20"/>
      <c r="R20"/>
      <c r="S20"/>
    </row>
    <row r="21" spans="1:107" ht="15.75">
      <c r="A21" s="299" t="s">
        <v>310</v>
      </c>
      <c r="B21" s="289" t="s">
        <v>288</v>
      </c>
      <c r="C21" s="290">
        <v>4001.8249999881887</v>
      </c>
      <c r="D21" s="291">
        <v>3289.4140000000921</v>
      </c>
      <c r="E21" s="291">
        <v>3091.7219999999843</v>
      </c>
      <c r="F21" s="291">
        <v>3239.6741000000006</v>
      </c>
      <c r="G21" s="291">
        <v>3284.5359000000012</v>
      </c>
      <c r="H21" s="291">
        <v>3313.7157000000002</v>
      </c>
      <c r="I21" s="291">
        <v>3288.7605999999996</v>
      </c>
      <c r="J21" s="292">
        <v>3223.5455999999995</v>
      </c>
      <c r="K21"/>
      <c r="L21"/>
      <c r="M21"/>
      <c r="N21"/>
      <c r="O21"/>
      <c r="P21"/>
      <c r="Q21"/>
      <c r="R21"/>
      <c r="S21"/>
    </row>
    <row r="22" spans="1:107" ht="15.75">
      <c r="A22" s="301"/>
      <c r="B22" s="293" t="s">
        <v>289</v>
      </c>
      <c r="C22" s="294">
        <v>114212.58335656383</v>
      </c>
      <c r="D22" s="94">
        <v>104669.23804132408</v>
      </c>
      <c r="E22" s="94">
        <v>99176.790636606223</v>
      </c>
      <c r="F22" s="94">
        <v>95985.62030000001</v>
      </c>
      <c r="G22" s="94">
        <v>94607.982999999993</v>
      </c>
      <c r="H22" s="94">
        <v>92028.764900000024</v>
      </c>
      <c r="I22" s="94">
        <v>89510.493600000002</v>
      </c>
      <c r="J22" s="295">
        <v>87113.239099999992</v>
      </c>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row>
    <row r="23" spans="1:107" ht="15.75">
      <c r="A23" s="289" t="s">
        <v>311</v>
      </c>
      <c r="B23" s="287"/>
      <c r="C23" s="290">
        <v>118214.40835655203</v>
      </c>
      <c r="D23" s="291">
        <v>107958.65204132417</v>
      </c>
      <c r="E23" s="291">
        <v>102268.5126366062</v>
      </c>
      <c r="F23" s="291">
        <v>99225.294400000013</v>
      </c>
      <c r="G23" s="291">
        <v>97892.518899999995</v>
      </c>
      <c r="H23" s="291">
        <v>95342.480600000024</v>
      </c>
      <c r="I23" s="291">
        <v>92799.254199999996</v>
      </c>
      <c r="J23" s="292">
        <v>90336.784699999989</v>
      </c>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row>
    <row r="24" spans="1:107" ht="15.75">
      <c r="A24" s="299" t="s">
        <v>290</v>
      </c>
      <c r="B24" s="289" t="s">
        <v>288</v>
      </c>
      <c r="C24" s="290">
        <v>4358.704409783787</v>
      </c>
      <c r="D24" s="291">
        <v>4007.1702509883867</v>
      </c>
      <c r="E24" s="291">
        <v>4113.8523182801864</v>
      </c>
      <c r="F24" s="291">
        <v>3978.6345000000001</v>
      </c>
      <c r="G24" s="291">
        <v>3818.8860000000013</v>
      </c>
      <c r="H24" s="291">
        <v>3457.6705000000002</v>
      </c>
      <c r="I24" s="291">
        <v>3210.2465000000007</v>
      </c>
      <c r="J24" s="292">
        <v>3062.4601000000002</v>
      </c>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row>
    <row r="25" spans="1:107" ht="15.75">
      <c r="A25" s="301"/>
      <c r="B25" s="293" t="s">
        <v>289</v>
      </c>
      <c r="C25" s="294">
        <v>120842.18625448002</v>
      </c>
      <c r="D25" s="94">
        <v>107953.835728347</v>
      </c>
      <c r="E25" s="94">
        <v>98071.840279452212</v>
      </c>
      <c r="F25" s="94">
        <v>92484.128400000001</v>
      </c>
      <c r="G25" s="94">
        <v>87541.891199999984</v>
      </c>
      <c r="H25" s="94">
        <v>82415.679099999994</v>
      </c>
      <c r="I25" s="94">
        <v>76287.565699999992</v>
      </c>
      <c r="J25" s="295">
        <v>71623.380699999994</v>
      </c>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row>
    <row r="26" spans="1:107" ht="15.75">
      <c r="A26" s="289" t="s">
        <v>312</v>
      </c>
      <c r="B26" s="287"/>
      <c r="C26" s="290">
        <v>125200.89066426382</v>
      </c>
      <c r="D26" s="291">
        <v>111961.00597933539</v>
      </c>
      <c r="E26" s="291">
        <v>102185.6925977324</v>
      </c>
      <c r="F26" s="291">
        <v>96462.762900000002</v>
      </c>
      <c r="G26" s="291">
        <v>91360.777199999982</v>
      </c>
      <c r="H26" s="291">
        <v>85873.349599999987</v>
      </c>
      <c r="I26" s="291">
        <v>79497.812199999986</v>
      </c>
      <c r="J26" s="292">
        <v>74685.840799999991</v>
      </c>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row>
    <row r="27" spans="1:107" ht="15.75">
      <c r="A27" s="863" t="s">
        <v>304</v>
      </c>
      <c r="B27" s="864"/>
      <c r="C27" s="865">
        <v>243415.29902081584</v>
      </c>
      <c r="D27" s="866">
        <v>219919.65802065955</v>
      </c>
      <c r="E27" s="866">
        <v>204454.20523433859</v>
      </c>
      <c r="F27" s="866">
        <v>195688.05730000001</v>
      </c>
      <c r="G27" s="866">
        <v>189253.29609999998</v>
      </c>
      <c r="H27" s="866">
        <v>181215.83020000003</v>
      </c>
      <c r="I27" s="866">
        <v>172297.06639999998</v>
      </c>
      <c r="J27" s="867">
        <v>165022.62549999997</v>
      </c>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row>
    <row r="28" spans="1:107" ht="15.75">
      <c r="A28"/>
      <c r="B28"/>
      <c r="C28"/>
      <c r="D28"/>
      <c r="E28"/>
      <c r="F28" s="265">
        <f>F27/E27-1</f>
        <v>-4.2875850483442557E-2</v>
      </c>
      <c r="G28" s="265">
        <f t="shared" ref="G28:J28" si="0">G27/F27-1</f>
        <v>-3.2882748639766035E-2</v>
      </c>
      <c r="H28" s="265">
        <f t="shared" si="0"/>
        <v>-4.2469357552182396E-2</v>
      </c>
      <c r="I28" s="265">
        <f t="shared" si="0"/>
        <v>-4.9216251086656171E-2</v>
      </c>
      <c r="J28" s="265">
        <f t="shared" si="0"/>
        <v>-4.2220341019108654E-2</v>
      </c>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row>
    <row r="29" spans="1:107" ht="15.75">
      <c r="A29"/>
      <c r="B29"/>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row>
    <row r="30" spans="1:107" ht="15.75">
      <c r="A30"/>
      <c r="B30"/>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row>
    <row r="31" spans="1:107" ht="15.75">
      <c r="A31"/>
      <c r="B31"/>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row>
    <row r="32" spans="1:107" ht="15.75">
      <c r="A32"/>
      <c r="B32"/>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row>
    <row r="33" spans="1:107" ht="15.75">
      <c r="A33"/>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row>
    <row r="34" spans="1:107" ht="15.75">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row>
    <row r="35" spans="1:107" ht="15.75">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row>
    <row r="36" spans="1:107" ht="15.75">
      <c r="A36"/>
      <c r="B36"/>
      <c r="C36"/>
      <c r="D36"/>
      <c r="E36"/>
      <c r="F36"/>
      <c r="G36"/>
      <c r="H36"/>
      <c r="I36"/>
      <c r="J36"/>
      <c r="K36"/>
      <c r="L36"/>
      <c r="M36"/>
      <c r="N36"/>
      <c r="O36"/>
      <c r="P36"/>
      <c r="Q36"/>
      <c r="R36"/>
      <c r="S36"/>
      <c r="T36"/>
      <c r="U36"/>
      <c r="V36"/>
      <c r="W36"/>
      <c r="X36"/>
      <c r="Y36"/>
      <c r="Z36"/>
      <c r="AA36"/>
      <c r="AB36"/>
      <c r="AC36"/>
      <c r="AD36"/>
      <c r="AE36"/>
      <c r="AF36"/>
      <c r="AG36"/>
      <c r="AH36"/>
      <c r="AI36"/>
      <c r="AJ36"/>
      <c r="AK36"/>
      <c r="AL36"/>
    </row>
    <row r="37" spans="1:107" ht="15.75">
      <c r="A37"/>
      <c r="B37"/>
      <c r="C37"/>
      <c r="D37"/>
      <c r="E37"/>
      <c r="F37"/>
      <c r="G37"/>
      <c r="H37"/>
      <c r="I37"/>
      <c r="J37"/>
      <c r="K37"/>
      <c r="L37"/>
      <c r="M37"/>
      <c r="N37"/>
      <c r="O37"/>
      <c r="P37"/>
      <c r="Q37"/>
      <c r="R37"/>
      <c r="S37"/>
      <c r="T37"/>
      <c r="U37"/>
      <c r="V37"/>
      <c r="W37"/>
      <c r="X37"/>
      <c r="Y37"/>
      <c r="Z37"/>
      <c r="AA37"/>
      <c r="AB37"/>
      <c r="AC37"/>
      <c r="AD37"/>
      <c r="AE37"/>
      <c r="AF37"/>
      <c r="AG37"/>
      <c r="AH37"/>
      <c r="AI37"/>
      <c r="AJ37"/>
      <c r="AK37"/>
      <c r="AL37"/>
    </row>
    <row r="38" spans="1:107" ht="15.75">
      <c r="A38"/>
      <c r="B38"/>
      <c r="C38"/>
      <c r="D38"/>
      <c r="E38"/>
      <c r="F38"/>
      <c r="G38"/>
      <c r="H38"/>
      <c r="I38"/>
      <c r="J38"/>
      <c r="K38"/>
      <c r="L38"/>
      <c r="M38"/>
      <c r="N38"/>
      <c r="O38"/>
      <c r="P38"/>
      <c r="Q38"/>
      <c r="R38"/>
      <c r="S38"/>
      <c r="T38"/>
      <c r="U38"/>
      <c r="V38"/>
      <c r="W38"/>
      <c r="X38"/>
      <c r="Y38"/>
      <c r="Z38"/>
      <c r="AA38"/>
      <c r="AB38"/>
      <c r="AC38"/>
      <c r="AD38"/>
      <c r="AE38"/>
      <c r="AF38"/>
      <c r="AG38"/>
      <c r="AH38"/>
      <c r="AI38"/>
      <c r="AJ38"/>
      <c r="AK38"/>
      <c r="AL38"/>
    </row>
    <row r="39" spans="1:107" ht="15.75">
      <c r="A39"/>
      <c r="B39"/>
      <c r="C39"/>
      <c r="D39"/>
      <c r="E39"/>
      <c r="F39"/>
      <c r="G39"/>
      <c r="H39"/>
      <c r="I39"/>
      <c r="J39"/>
      <c r="K39"/>
      <c r="L39"/>
      <c r="M39"/>
      <c r="N39"/>
      <c r="O39"/>
      <c r="P39"/>
      <c r="Q39"/>
      <c r="R39"/>
      <c r="S39"/>
      <c r="T39"/>
      <c r="U39"/>
      <c r="V39"/>
      <c r="W39"/>
      <c r="X39"/>
      <c r="Y39"/>
      <c r="Z39"/>
      <c r="AA39"/>
      <c r="AB39"/>
      <c r="AC39"/>
      <c r="AD39"/>
      <c r="AE39"/>
      <c r="AF39"/>
      <c r="AG39"/>
      <c r="AH39"/>
      <c r="AI39"/>
      <c r="AJ39"/>
      <c r="AK39"/>
      <c r="AL39"/>
    </row>
    <row r="40" spans="1:107" ht="15.75">
      <c r="A40"/>
      <c r="B40"/>
      <c r="C40"/>
      <c r="D40"/>
      <c r="E40"/>
      <c r="F40"/>
      <c r="G40"/>
      <c r="H40"/>
      <c r="I40"/>
      <c r="J40"/>
      <c r="K40"/>
      <c r="L40"/>
      <c r="M40"/>
      <c r="N40"/>
      <c r="O40"/>
      <c r="P40"/>
      <c r="Q40"/>
      <c r="R40"/>
      <c r="S40"/>
      <c r="T40"/>
      <c r="U40"/>
      <c r="V40"/>
      <c r="W40"/>
      <c r="X40"/>
      <c r="Y40"/>
      <c r="Z40"/>
      <c r="AA40"/>
      <c r="AB40"/>
      <c r="AC40"/>
      <c r="AD40"/>
      <c r="AE40"/>
      <c r="AF40"/>
      <c r="AG40"/>
      <c r="AH40"/>
      <c r="AI40"/>
      <c r="AJ40"/>
      <c r="AK40"/>
      <c r="AL40"/>
    </row>
    <row r="41" spans="1:107" ht="15.75">
      <c r="A41"/>
      <c r="B41"/>
      <c r="C41"/>
      <c r="D41"/>
      <c r="E41"/>
      <c r="F41"/>
      <c r="G41"/>
      <c r="H41"/>
      <c r="I41"/>
      <c r="J41"/>
      <c r="K41"/>
      <c r="L41"/>
      <c r="M41"/>
      <c r="N41"/>
      <c r="O41"/>
      <c r="P41"/>
      <c r="Q41"/>
      <c r="R41"/>
      <c r="S41"/>
      <c r="T41"/>
      <c r="U41"/>
      <c r="V41"/>
      <c r="W41"/>
      <c r="X41"/>
      <c r="Y41"/>
      <c r="Z41"/>
      <c r="AA41"/>
      <c r="AB41"/>
      <c r="AC41"/>
      <c r="AD41"/>
      <c r="AE41"/>
      <c r="AF41"/>
      <c r="AG41"/>
      <c r="AH41"/>
      <c r="AI41"/>
      <c r="AJ41"/>
      <c r="AK41"/>
      <c r="AL41"/>
    </row>
    <row r="42" spans="1:107" ht="15.75">
      <c r="A42"/>
      <c r="B42"/>
      <c r="C42"/>
      <c r="D42"/>
      <c r="E42"/>
      <c r="F42"/>
      <c r="G42"/>
      <c r="H42"/>
      <c r="I42"/>
      <c r="J42"/>
      <c r="K42"/>
      <c r="L42"/>
      <c r="M42"/>
      <c r="N42"/>
      <c r="O42"/>
      <c r="P42"/>
      <c r="Q42"/>
      <c r="R42"/>
      <c r="S42"/>
      <c r="T42"/>
      <c r="U42"/>
      <c r="V42"/>
      <c r="W42"/>
      <c r="X42"/>
      <c r="Y42"/>
      <c r="Z42"/>
      <c r="AA42"/>
      <c r="AB42"/>
      <c r="AC42"/>
      <c r="AD42"/>
      <c r="AE42"/>
      <c r="AF42"/>
      <c r="AG42"/>
      <c r="AH42"/>
      <c r="AI42"/>
      <c r="AJ42"/>
      <c r="AK42"/>
      <c r="AL42"/>
    </row>
    <row r="43" spans="1:107" ht="15.75">
      <c r="A43"/>
      <c r="B43"/>
      <c r="C43"/>
      <c r="D43"/>
      <c r="E43"/>
      <c r="F43"/>
      <c r="G43"/>
      <c r="H43"/>
      <c r="I43"/>
      <c r="J43"/>
      <c r="K43"/>
      <c r="L43"/>
      <c r="M43"/>
      <c r="N43"/>
      <c r="O43"/>
      <c r="P43"/>
      <c r="Q43"/>
      <c r="R43"/>
      <c r="S43"/>
      <c r="T43"/>
      <c r="U43"/>
      <c r="V43"/>
      <c r="W43"/>
      <c r="X43"/>
      <c r="Y43"/>
      <c r="Z43"/>
      <c r="AA43"/>
      <c r="AB43"/>
      <c r="AC43"/>
      <c r="AD43"/>
      <c r="AE43"/>
      <c r="AF43"/>
      <c r="AG43"/>
      <c r="AH43"/>
      <c r="AI43"/>
      <c r="AJ43"/>
      <c r="AK43"/>
      <c r="AL43"/>
    </row>
    <row r="44" spans="1:107" ht="15.75">
      <c r="A44"/>
      <c r="B44"/>
      <c r="C44"/>
      <c r="D44"/>
      <c r="E44"/>
      <c r="F44"/>
      <c r="G44"/>
      <c r="H44"/>
      <c r="I44"/>
      <c r="J44"/>
      <c r="K44"/>
      <c r="L44"/>
      <c r="M44"/>
      <c r="N44"/>
      <c r="O44"/>
      <c r="P44"/>
      <c r="Q44"/>
      <c r="R44"/>
      <c r="S44"/>
      <c r="T44"/>
      <c r="U44"/>
      <c r="V44"/>
      <c r="W44"/>
      <c r="X44"/>
      <c r="Y44"/>
      <c r="Z44"/>
      <c r="AA44"/>
      <c r="AB44"/>
      <c r="AC44"/>
      <c r="AD44"/>
      <c r="AE44"/>
      <c r="AF44"/>
      <c r="AG44"/>
      <c r="AH44"/>
      <c r="AI44"/>
      <c r="AJ44"/>
      <c r="AK44"/>
      <c r="AL44"/>
    </row>
    <row r="45" spans="1:107" ht="15.75">
      <c r="A45"/>
      <c r="B45"/>
      <c r="C45"/>
      <c r="D45"/>
      <c r="E45"/>
      <c r="F45"/>
      <c r="G45"/>
      <c r="H45"/>
      <c r="I45"/>
      <c r="J45"/>
      <c r="K45"/>
      <c r="L45"/>
      <c r="M45"/>
      <c r="N45"/>
      <c r="O45"/>
      <c r="P45"/>
      <c r="Q45"/>
      <c r="R45"/>
      <c r="S45"/>
      <c r="T45"/>
      <c r="U45"/>
      <c r="V45"/>
      <c r="W45"/>
      <c r="X45"/>
      <c r="Y45"/>
      <c r="Z45"/>
      <c r="AA45"/>
      <c r="AB45"/>
      <c r="AC45"/>
      <c r="AD45"/>
      <c r="AE45"/>
      <c r="AF45"/>
      <c r="AG45"/>
      <c r="AH45"/>
      <c r="AI45"/>
      <c r="AJ45"/>
      <c r="AK45"/>
      <c r="AL45"/>
    </row>
    <row r="46" spans="1:107" ht="15.75">
      <c r="A46"/>
      <c r="B46"/>
      <c r="C46"/>
      <c r="D46"/>
      <c r="E46"/>
      <c r="F46"/>
      <c r="G46"/>
      <c r="H46"/>
      <c r="I46"/>
      <c r="J46"/>
      <c r="K46"/>
      <c r="L46"/>
      <c r="M46"/>
      <c r="N46"/>
      <c r="O46"/>
      <c r="P46"/>
      <c r="Q46"/>
      <c r="R46"/>
      <c r="S46"/>
      <c r="T46"/>
      <c r="U46"/>
      <c r="V46"/>
      <c r="W46"/>
      <c r="X46"/>
      <c r="Y46"/>
      <c r="Z46"/>
      <c r="AA46"/>
      <c r="AB46"/>
      <c r="AC46"/>
      <c r="AD46"/>
      <c r="AE46"/>
      <c r="AF46"/>
      <c r="AG46"/>
      <c r="AH46"/>
      <c r="AI46"/>
      <c r="AJ46"/>
      <c r="AK46"/>
      <c r="AL46"/>
    </row>
    <row r="47" spans="1:107" ht="15.75">
      <c r="A47"/>
      <c r="B47"/>
      <c r="C47"/>
      <c r="D47"/>
      <c r="E47"/>
      <c r="F47"/>
      <c r="G47"/>
      <c r="H47"/>
      <c r="I47"/>
      <c r="J47"/>
      <c r="K47"/>
      <c r="L47"/>
      <c r="M47"/>
      <c r="N47"/>
      <c r="O47"/>
      <c r="P47"/>
      <c r="Q47"/>
      <c r="R47"/>
      <c r="S47"/>
      <c r="T47"/>
      <c r="U47"/>
      <c r="V47"/>
      <c r="W47"/>
      <c r="X47"/>
      <c r="Y47"/>
      <c r="Z47"/>
      <c r="AA47"/>
      <c r="AB47"/>
      <c r="AC47"/>
      <c r="AD47"/>
      <c r="AE47"/>
      <c r="AF47"/>
      <c r="AG47"/>
      <c r="AH47"/>
      <c r="AI47"/>
      <c r="AJ47"/>
      <c r="AK47"/>
      <c r="AL47"/>
    </row>
    <row r="48" spans="1:107" ht="15.75">
      <c r="A48"/>
      <c r="B48"/>
      <c r="C48"/>
      <c r="D48"/>
      <c r="E48"/>
      <c r="F48"/>
      <c r="G48"/>
      <c r="H48"/>
      <c r="I48"/>
      <c r="J48"/>
      <c r="K48"/>
      <c r="L48"/>
      <c r="M48"/>
      <c r="N48"/>
      <c r="O48"/>
      <c r="P48"/>
      <c r="Q48"/>
      <c r="R48"/>
      <c r="S48"/>
      <c r="T48"/>
      <c r="U48"/>
      <c r="V48"/>
      <c r="W48"/>
      <c r="X48"/>
      <c r="Y48"/>
      <c r="Z48"/>
      <c r="AA48"/>
      <c r="AB48"/>
      <c r="AC48"/>
      <c r="AD48"/>
      <c r="AE48"/>
      <c r="AF48"/>
      <c r="AG48"/>
      <c r="AH48"/>
      <c r="AI48"/>
      <c r="AJ48"/>
      <c r="AK48"/>
      <c r="AL48"/>
    </row>
    <row r="49" spans="1:38" ht="15.75">
      <c r="A49"/>
      <c r="B49"/>
      <c r="C49"/>
      <c r="D49"/>
      <c r="E49"/>
      <c r="F49"/>
      <c r="G49"/>
      <c r="H49"/>
      <c r="I49"/>
      <c r="J49"/>
      <c r="K49"/>
      <c r="L49"/>
      <c r="M49"/>
      <c r="N49"/>
      <c r="O49"/>
      <c r="P49"/>
      <c r="Q49"/>
      <c r="R49"/>
      <c r="S49"/>
      <c r="T49"/>
      <c r="U49"/>
      <c r="V49"/>
      <c r="W49"/>
      <c r="X49"/>
      <c r="Y49"/>
      <c r="Z49"/>
      <c r="AA49"/>
      <c r="AB49"/>
      <c r="AC49"/>
      <c r="AD49"/>
      <c r="AE49"/>
      <c r="AF49"/>
      <c r="AG49"/>
      <c r="AH49"/>
      <c r="AI49"/>
      <c r="AJ49"/>
      <c r="AK49"/>
      <c r="AL49"/>
    </row>
    <row r="50" spans="1:38" ht="15.75">
      <c r="A50"/>
      <c r="B50"/>
      <c r="C50"/>
      <c r="D50"/>
      <c r="E50"/>
      <c r="F50"/>
      <c r="G50"/>
      <c r="H50"/>
      <c r="I50"/>
      <c r="J50"/>
      <c r="K50"/>
      <c r="L50"/>
      <c r="M50"/>
      <c r="N50"/>
      <c r="O50"/>
      <c r="P50"/>
      <c r="Q50"/>
      <c r="R50"/>
      <c r="S50"/>
      <c r="T50"/>
      <c r="U50"/>
      <c r="V50"/>
      <c r="W50"/>
      <c r="X50"/>
      <c r="Y50"/>
      <c r="Z50"/>
      <c r="AA50"/>
      <c r="AB50"/>
      <c r="AC50"/>
      <c r="AD50"/>
      <c r="AE50"/>
      <c r="AF50"/>
      <c r="AG50"/>
      <c r="AH50"/>
      <c r="AI50"/>
      <c r="AJ50"/>
      <c r="AK50"/>
      <c r="AL50"/>
    </row>
    <row r="51" spans="1:38" ht="15.75">
      <c r="A51"/>
      <c r="B51"/>
      <c r="C51"/>
      <c r="D51"/>
      <c r="E51"/>
      <c r="F51"/>
      <c r="G51"/>
      <c r="H51"/>
      <c r="I51"/>
      <c r="J51"/>
      <c r="K51"/>
      <c r="L51"/>
      <c r="M51"/>
      <c r="N51"/>
      <c r="O51"/>
      <c r="P51"/>
      <c r="Q51"/>
      <c r="R51"/>
      <c r="S51"/>
      <c r="T51"/>
      <c r="U51"/>
      <c r="V51"/>
      <c r="W51"/>
      <c r="X51"/>
      <c r="Y51"/>
      <c r="Z51"/>
      <c r="AA51"/>
      <c r="AB51"/>
      <c r="AC51"/>
      <c r="AD51"/>
      <c r="AE51"/>
      <c r="AF51"/>
      <c r="AG51"/>
      <c r="AH51"/>
      <c r="AI51"/>
      <c r="AJ51"/>
      <c r="AK51"/>
      <c r="AL51"/>
    </row>
    <row r="52" spans="1:38" ht="15.75">
      <c r="A52"/>
      <c r="B52"/>
      <c r="C52"/>
      <c r="D52"/>
      <c r="E52"/>
      <c r="F52"/>
      <c r="G52"/>
      <c r="H52"/>
      <c r="I52"/>
      <c r="J52"/>
      <c r="K52"/>
      <c r="L52"/>
      <c r="M52"/>
      <c r="N52"/>
      <c r="O52"/>
      <c r="P52"/>
      <c r="Q52"/>
      <c r="R52"/>
      <c r="S52"/>
      <c r="T52"/>
      <c r="U52"/>
      <c r="V52"/>
      <c r="W52"/>
      <c r="X52"/>
      <c r="Y52"/>
      <c r="Z52"/>
      <c r="AA52"/>
      <c r="AB52"/>
      <c r="AC52"/>
      <c r="AD52"/>
      <c r="AE52"/>
      <c r="AF52"/>
      <c r="AG52"/>
      <c r="AH52"/>
      <c r="AI52"/>
      <c r="AJ52"/>
      <c r="AK52"/>
      <c r="AL52"/>
    </row>
    <row r="53" spans="1:38" ht="15.75">
      <c r="A53"/>
      <c r="B53"/>
      <c r="C53"/>
      <c r="D53"/>
      <c r="E53"/>
      <c r="F53"/>
      <c r="G53"/>
      <c r="H53"/>
      <c r="I53"/>
      <c r="J53"/>
      <c r="K53"/>
      <c r="L53"/>
      <c r="M53"/>
      <c r="N53"/>
      <c r="O53"/>
      <c r="P53"/>
      <c r="Q53"/>
      <c r="R53"/>
      <c r="S53"/>
      <c r="T53"/>
      <c r="U53"/>
      <c r="V53"/>
      <c r="W53"/>
      <c r="X53"/>
      <c r="Y53"/>
      <c r="Z53"/>
      <c r="AA53"/>
      <c r="AB53"/>
      <c r="AC53"/>
      <c r="AD53"/>
      <c r="AE53"/>
      <c r="AF53"/>
      <c r="AG53"/>
      <c r="AH53"/>
      <c r="AI53"/>
      <c r="AJ53"/>
      <c r="AK53"/>
      <c r="AL53"/>
    </row>
    <row r="54" spans="1:38" ht="15.75">
      <c r="A54"/>
      <c r="B54"/>
      <c r="C54"/>
      <c r="D54"/>
      <c r="E54"/>
      <c r="F54"/>
      <c r="G54"/>
      <c r="H54"/>
      <c r="I54"/>
      <c r="J54"/>
      <c r="K54"/>
      <c r="L54"/>
      <c r="M54"/>
      <c r="N54"/>
      <c r="O54"/>
      <c r="P54"/>
      <c r="Q54"/>
      <c r="R54"/>
      <c r="S54"/>
      <c r="T54"/>
      <c r="U54"/>
      <c r="V54"/>
      <c r="W54"/>
      <c r="X54"/>
      <c r="Y54"/>
      <c r="Z54"/>
      <c r="AA54"/>
      <c r="AB54"/>
      <c r="AC54"/>
      <c r="AD54"/>
      <c r="AE54"/>
      <c r="AF54"/>
      <c r="AG54"/>
      <c r="AH54"/>
      <c r="AI54"/>
      <c r="AJ54"/>
      <c r="AK54"/>
      <c r="AL54"/>
    </row>
    <row r="55" spans="1:38" ht="15.75">
      <c r="A55"/>
      <c r="B55"/>
      <c r="C55"/>
      <c r="D55"/>
      <c r="E55"/>
      <c r="F55"/>
      <c r="G55"/>
      <c r="H55"/>
      <c r="I55"/>
      <c r="J55"/>
      <c r="K55"/>
      <c r="L55"/>
      <c r="M55"/>
      <c r="N55"/>
      <c r="O55"/>
      <c r="P55"/>
      <c r="Q55"/>
      <c r="R55"/>
      <c r="S55"/>
      <c r="T55"/>
      <c r="U55"/>
      <c r="V55"/>
      <c r="W55"/>
      <c r="X55"/>
      <c r="Y55"/>
      <c r="Z55"/>
      <c r="AA55"/>
      <c r="AB55"/>
      <c r="AC55"/>
      <c r="AD55"/>
      <c r="AE55"/>
      <c r="AF55"/>
      <c r="AG55"/>
      <c r="AH55"/>
      <c r="AI55"/>
      <c r="AJ55"/>
      <c r="AK55"/>
    </row>
    <row r="56" spans="1:38" ht="15.75">
      <c r="A56"/>
      <c r="B56"/>
      <c r="C56"/>
      <c r="D56"/>
      <c r="E56"/>
      <c r="F56"/>
      <c r="G56"/>
      <c r="H56"/>
      <c r="I56"/>
      <c r="J56"/>
      <c r="K56"/>
      <c r="L56"/>
      <c r="M56"/>
      <c r="N56"/>
      <c r="O56"/>
      <c r="P56"/>
      <c r="Q56"/>
      <c r="R56"/>
      <c r="S56"/>
      <c r="T56"/>
      <c r="U56"/>
      <c r="V56"/>
      <c r="W56"/>
      <c r="X56"/>
      <c r="Y56"/>
      <c r="Z56"/>
      <c r="AA56"/>
      <c r="AB56"/>
      <c r="AC56"/>
      <c r="AD56"/>
      <c r="AE56"/>
      <c r="AF56"/>
      <c r="AG56"/>
      <c r="AH56"/>
      <c r="AI56"/>
      <c r="AJ56"/>
      <c r="AK56"/>
    </row>
    <row r="57" spans="1:38" ht="15.75">
      <c r="A57"/>
      <c r="B57"/>
      <c r="C57"/>
      <c r="D57"/>
      <c r="E57"/>
      <c r="F57"/>
      <c r="G57"/>
      <c r="H57"/>
      <c r="I57"/>
      <c r="J57"/>
      <c r="K57"/>
      <c r="L57"/>
      <c r="M57"/>
      <c r="N57"/>
      <c r="O57"/>
      <c r="P57"/>
      <c r="Q57"/>
      <c r="R57"/>
      <c r="S57"/>
      <c r="T57"/>
      <c r="U57"/>
      <c r="V57"/>
      <c r="W57"/>
      <c r="X57"/>
      <c r="Y57"/>
      <c r="Z57"/>
      <c r="AA57"/>
      <c r="AB57"/>
      <c r="AC57"/>
      <c r="AD57"/>
      <c r="AE57"/>
      <c r="AF57"/>
      <c r="AG57"/>
      <c r="AH57"/>
      <c r="AI57"/>
      <c r="AJ57"/>
      <c r="AK57"/>
    </row>
    <row r="58" spans="1:38" ht="15.75">
      <c r="A58"/>
      <c r="B58"/>
      <c r="C58"/>
      <c r="D58"/>
      <c r="E58"/>
      <c r="F58"/>
      <c r="G58"/>
      <c r="H58"/>
      <c r="I58"/>
      <c r="J58"/>
      <c r="K58"/>
      <c r="L58"/>
      <c r="M58"/>
      <c r="N58"/>
      <c r="O58"/>
      <c r="P58"/>
      <c r="Q58"/>
      <c r="R58"/>
      <c r="S58"/>
      <c r="T58"/>
      <c r="U58"/>
      <c r="V58"/>
      <c r="W58"/>
      <c r="X58"/>
      <c r="Y58"/>
      <c r="Z58"/>
      <c r="AA58"/>
      <c r="AB58"/>
      <c r="AC58"/>
      <c r="AD58"/>
      <c r="AE58"/>
      <c r="AF58"/>
      <c r="AG58"/>
      <c r="AH58"/>
      <c r="AI58"/>
      <c r="AJ58"/>
      <c r="AK58"/>
    </row>
    <row r="59" spans="1:38" ht="15.75">
      <c r="A59"/>
      <c r="B59"/>
      <c r="C59"/>
      <c r="D59"/>
      <c r="E59"/>
      <c r="F59"/>
      <c r="G59"/>
      <c r="H59"/>
      <c r="I59"/>
      <c r="J59"/>
      <c r="K59"/>
      <c r="L59"/>
      <c r="M59"/>
      <c r="N59"/>
      <c r="O59"/>
      <c r="P59"/>
      <c r="Q59"/>
      <c r="R59"/>
      <c r="S59"/>
      <c r="T59"/>
      <c r="U59"/>
      <c r="V59"/>
      <c r="W59"/>
      <c r="X59"/>
      <c r="Y59"/>
      <c r="Z59"/>
      <c r="AA59"/>
      <c r="AB59"/>
      <c r="AC59"/>
      <c r="AD59"/>
      <c r="AE59"/>
      <c r="AF59"/>
      <c r="AG59"/>
      <c r="AH59"/>
      <c r="AI59"/>
      <c r="AJ59"/>
      <c r="AK59"/>
    </row>
    <row r="60" spans="1:38" ht="15.75">
      <c r="A60"/>
      <c r="B60"/>
      <c r="C60"/>
      <c r="D60"/>
      <c r="E60"/>
      <c r="F60"/>
      <c r="G60"/>
      <c r="H60"/>
      <c r="I60"/>
      <c r="J60"/>
      <c r="K60"/>
      <c r="L60"/>
      <c r="M60"/>
      <c r="N60"/>
      <c r="O60"/>
      <c r="P60"/>
      <c r="Q60"/>
      <c r="R60"/>
      <c r="S60"/>
      <c r="T60"/>
      <c r="U60"/>
      <c r="V60"/>
      <c r="W60"/>
      <c r="X60"/>
      <c r="Y60"/>
      <c r="Z60"/>
      <c r="AA60"/>
      <c r="AB60"/>
      <c r="AC60"/>
      <c r="AD60"/>
      <c r="AE60"/>
      <c r="AF60"/>
      <c r="AG60"/>
      <c r="AH60"/>
      <c r="AI60"/>
      <c r="AJ60"/>
      <c r="AK60"/>
    </row>
    <row r="61" spans="1:38" ht="15.75">
      <c r="A61"/>
      <c r="B61"/>
      <c r="C61"/>
      <c r="D61"/>
      <c r="E61"/>
      <c r="F61"/>
      <c r="G61"/>
      <c r="H61"/>
      <c r="I61"/>
      <c r="J61"/>
      <c r="K61"/>
      <c r="L61"/>
      <c r="M61"/>
      <c r="N61"/>
      <c r="O61"/>
      <c r="P61"/>
      <c r="Q61"/>
      <c r="R61"/>
      <c r="S61"/>
    </row>
    <row r="62" spans="1:38" ht="15.75">
      <c r="A62"/>
      <c r="B62"/>
      <c r="C62"/>
      <c r="D62"/>
      <c r="E62"/>
      <c r="F62"/>
      <c r="G62"/>
      <c r="H62"/>
      <c r="I62"/>
      <c r="J62"/>
      <c r="K62"/>
      <c r="L62"/>
      <c r="M62"/>
      <c r="N62"/>
      <c r="O62"/>
      <c r="P62"/>
      <c r="Q62"/>
      <c r="R62"/>
      <c r="S62"/>
    </row>
    <row r="63" spans="1:38" ht="15.75">
      <c r="A63"/>
      <c r="B63"/>
      <c r="C63"/>
      <c r="D63"/>
      <c r="E63"/>
      <c r="F63"/>
      <c r="G63"/>
      <c r="H63"/>
      <c r="I63"/>
      <c r="J63"/>
      <c r="K63"/>
      <c r="L63"/>
      <c r="M63"/>
      <c r="N63"/>
      <c r="O63"/>
      <c r="P63"/>
      <c r="Q63"/>
      <c r="R63"/>
      <c r="S63"/>
    </row>
    <row r="64" spans="1:38" ht="15.75">
      <c r="A64"/>
      <c r="B64"/>
      <c r="C64"/>
      <c r="D64"/>
      <c r="E64"/>
      <c r="F64"/>
      <c r="G64"/>
      <c r="H64"/>
      <c r="I64"/>
      <c r="J64"/>
      <c r="K64"/>
      <c r="L64"/>
      <c r="M64"/>
      <c r="N64"/>
      <c r="O64"/>
      <c r="P64"/>
      <c r="Q64"/>
      <c r="R64"/>
      <c r="S64"/>
    </row>
    <row r="65" spans="1:19" ht="15.75">
      <c r="A65"/>
      <c r="B65"/>
      <c r="C65"/>
      <c r="D65"/>
      <c r="E65"/>
      <c r="F65"/>
      <c r="G65"/>
      <c r="H65"/>
      <c r="I65"/>
      <c r="J65"/>
      <c r="K65"/>
      <c r="L65"/>
      <c r="M65"/>
      <c r="N65"/>
      <c r="O65"/>
      <c r="P65"/>
      <c r="Q65"/>
      <c r="R65"/>
      <c r="S65"/>
    </row>
    <row r="66" spans="1:19" ht="15.75">
      <c r="A66"/>
      <c r="B66"/>
      <c r="C66"/>
      <c r="D66"/>
      <c r="E66"/>
      <c r="F66"/>
      <c r="G66"/>
      <c r="H66"/>
      <c r="I66"/>
      <c r="J66"/>
      <c r="K66"/>
      <c r="L66"/>
      <c r="M66"/>
      <c r="N66"/>
      <c r="O66"/>
      <c r="P66"/>
      <c r="Q66"/>
      <c r="R66"/>
      <c r="S66"/>
    </row>
    <row r="67" spans="1:19" ht="15.75">
      <c r="A67"/>
      <c r="B67"/>
      <c r="C67"/>
      <c r="D67"/>
      <c r="E67"/>
      <c r="F67"/>
      <c r="G67"/>
      <c r="H67"/>
      <c r="I67"/>
      <c r="J67"/>
      <c r="K67"/>
      <c r="L67"/>
      <c r="M67"/>
      <c r="N67"/>
      <c r="O67"/>
      <c r="P67"/>
      <c r="Q67"/>
      <c r="R67"/>
      <c r="S67"/>
    </row>
    <row r="68" spans="1:19" ht="15.75">
      <c r="A68"/>
      <c r="B68"/>
      <c r="C68"/>
      <c r="D68"/>
      <c r="E68"/>
      <c r="F68"/>
      <c r="G68"/>
      <c r="H68"/>
      <c r="I68"/>
      <c r="J68"/>
      <c r="K68"/>
      <c r="L68"/>
      <c r="M68"/>
      <c r="N68"/>
      <c r="O68"/>
      <c r="P68"/>
      <c r="Q68"/>
      <c r="R68"/>
      <c r="S68"/>
    </row>
    <row r="69" spans="1:19" ht="15.75">
      <c r="A69"/>
      <c r="B69"/>
      <c r="C69"/>
      <c r="D69"/>
      <c r="E69"/>
      <c r="F69"/>
      <c r="G69"/>
      <c r="H69"/>
      <c r="I69"/>
      <c r="J69"/>
      <c r="K69"/>
      <c r="L69"/>
      <c r="M69"/>
      <c r="N69"/>
      <c r="O69"/>
      <c r="P69"/>
      <c r="Q69"/>
      <c r="R69"/>
      <c r="S69"/>
    </row>
    <row r="70" spans="1:19" ht="15.75">
      <c r="A70"/>
      <c r="B70"/>
      <c r="C70"/>
      <c r="D70"/>
      <c r="E70"/>
      <c r="F70"/>
      <c r="G70"/>
      <c r="H70"/>
      <c r="I70"/>
      <c r="J70"/>
      <c r="K70"/>
      <c r="L70"/>
      <c r="M70"/>
      <c r="N70"/>
      <c r="O70"/>
      <c r="P70"/>
      <c r="Q70"/>
      <c r="R70"/>
      <c r="S70"/>
    </row>
    <row r="71" spans="1:19" ht="15.75">
      <c r="A71"/>
      <c r="B71"/>
      <c r="C71"/>
      <c r="D71"/>
      <c r="E71"/>
      <c r="F71"/>
      <c r="G71"/>
      <c r="H71"/>
      <c r="I71"/>
      <c r="J71"/>
      <c r="K71"/>
      <c r="L71"/>
      <c r="M71"/>
      <c r="N71"/>
      <c r="O71"/>
      <c r="P71"/>
      <c r="Q71"/>
      <c r="R71"/>
      <c r="S71"/>
    </row>
    <row r="72" spans="1:19" ht="15.75">
      <c r="A72"/>
      <c r="B72"/>
      <c r="C72"/>
      <c r="D72"/>
      <c r="E72"/>
      <c r="F72"/>
      <c r="G72"/>
      <c r="H72"/>
      <c r="I72"/>
      <c r="J72"/>
      <c r="K72"/>
      <c r="L72"/>
      <c r="M72"/>
      <c r="N72"/>
      <c r="O72"/>
      <c r="P72"/>
      <c r="Q72"/>
      <c r="R72"/>
      <c r="S72"/>
    </row>
    <row r="73" spans="1:19" ht="15.75">
      <c r="A73"/>
      <c r="B73"/>
      <c r="C73"/>
      <c r="D73"/>
      <c r="E73"/>
      <c r="F73"/>
      <c r="G73"/>
      <c r="H73"/>
      <c r="I73"/>
      <c r="J73"/>
      <c r="K73"/>
      <c r="L73"/>
      <c r="M73"/>
      <c r="N73"/>
      <c r="O73"/>
      <c r="P73"/>
      <c r="Q73"/>
      <c r="R73"/>
      <c r="S73"/>
    </row>
    <row r="74" spans="1:19" ht="15.75">
      <c r="A74"/>
      <c r="B74"/>
      <c r="C74"/>
      <c r="D74"/>
      <c r="E74"/>
      <c r="F74"/>
      <c r="G74"/>
      <c r="H74"/>
      <c r="I74"/>
      <c r="J74"/>
      <c r="K74"/>
      <c r="L74"/>
      <c r="M74"/>
      <c r="N74"/>
      <c r="O74"/>
      <c r="P74"/>
      <c r="Q74"/>
      <c r="R74"/>
      <c r="S74"/>
    </row>
    <row r="75" spans="1:19" ht="15.75">
      <c r="A75"/>
      <c r="B75"/>
      <c r="C75"/>
      <c r="D75"/>
      <c r="E75"/>
      <c r="F75"/>
      <c r="G75"/>
      <c r="H75"/>
      <c r="I75"/>
      <c r="J75"/>
      <c r="K75"/>
      <c r="L75"/>
      <c r="M75"/>
      <c r="N75"/>
      <c r="O75"/>
      <c r="P75"/>
      <c r="Q75"/>
      <c r="R75"/>
      <c r="S75"/>
    </row>
    <row r="76" spans="1:19" ht="15.75">
      <c r="A76"/>
      <c r="B76"/>
      <c r="C76"/>
      <c r="D76"/>
      <c r="E76"/>
      <c r="F76"/>
      <c r="G76"/>
      <c r="H76"/>
      <c r="I76"/>
      <c r="J76"/>
      <c r="K76"/>
      <c r="L76"/>
      <c r="M76"/>
      <c r="N76"/>
      <c r="O76"/>
      <c r="P76"/>
      <c r="Q76"/>
      <c r="R76"/>
      <c r="S76"/>
    </row>
    <row r="77" spans="1:19" ht="15.75">
      <c r="A77"/>
      <c r="B77"/>
      <c r="C77"/>
      <c r="D77"/>
      <c r="E77"/>
      <c r="F77"/>
      <c r="G77"/>
      <c r="H77"/>
      <c r="I77"/>
      <c r="J77"/>
      <c r="K77"/>
      <c r="L77"/>
      <c r="M77"/>
      <c r="N77"/>
      <c r="O77"/>
      <c r="P77"/>
      <c r="Q77"/>
      <c r="R77"/>
      <c r="S77"/>
    </row>
    <row r="78" spans="1:19" ht="15.75">
      <c r="A78"/>
      <c r="B78"/>
      <c r="C78"/>
      <c r="D78"/>
      <c r="E78"/>
      <c r="F78"/>
      <c r="G78"/>
      <c r="H78"/>
      <c r="I78"/>
      <c r="J78"/>
      <c r="K78"/>
      <c r="L78"/>
      <c r="M78"/>
      <c r="N78"/>
      <c r="O78"/>
      <c r="P78"/>
      <c r="Q78"/>
      <c r="R78"/>
      <c r="S78"/>
    </row>
    <row r="79" spans="1:19" ht="15.75">
      <c r="A79"/>
      <c r="B79"/>
      <c r="C79"/>
      <c r="D79"/>
      <c r="E79"/>
      <c r="F79"/>
      <c r="G79"/>
      <c r="H79"/>
      <c r="I79"/>
      <c r="J79"/>
      <c r="K79"/>
      <c r="L79"/>
      <c r="M79"/>
      <c r="N79"/>
      <c r="O79"/>
      <c r="P79"/>
      <c r="Q79"/>
      <c r="R79"/>
      <c r="S79"/>
    </row>
    <row r="80" spans="1:19" ht="15.75">
      <c r="A80"/>
      <c r="B80"/>
      <c r="C80"/>
      <c r="D80"/>
      <c r="E80"/>
      <c r="F80"/>
      <c r="G80"/>
      <c r="H80"/>
      <c r="I80"/>
      <c r="J80"/>
      <c r="K80"/>
      <c r="L80"/>
      <c r="M80"/>
      <c r="N80"/>
      <c r="O80"/>
      <c r="P80"/>
      <c r="Q80"/>
      <c r="R80"/>
      <c r="S80"/>
    </row>
    <row r="81" spans="1:19" ht="15.75">
      <c r="A81"/>
      <c r="B81"/>
      <c r="C81"/>
      <c r="D81"/>
      <c r="E81"/>
      <c r="F81"/>
      <c r="G81"/>
      <c r="H81"/>
      <c r="I81"/>
      <c r="J81"/>
      <c r="K81"/>
      <c r="L81"/>
      <c r="M81"/>
      <c r="N81"/>
      <c r="O81"/>
      <c r="P81"/>
      <c r="Q81"/>
      <c r="R81"/>
      <c r="S81"/>
    </row>
    <row r="82" spans="1:19" ht="15.75">
      <c r="A82"/>
      <c r="B82"/>
      <c r="C82"/>
      <c r="D82"/>
      <c r="E82"/>
      <c r="F82"/>
      <c r="G82"/>
      <c r="H82"/>
      <c r="I82"/>
      <c r="J82"/>
      <c r="K82"/>
      <c r="L82"/>
      <c r="M82"/>
      <c r="N82"/>
      <c r="O82"/>
      <c r="P82"/>
      <c r="Q82"/>
      <c r="R82"/>
      <c r="S82"/>
    </row>
    <row r="83" spans="1:19" ht="15.75">
      <c r="A83"/>
      <c r="B83"/>
      <c r="C83"/>
      <c r="D83"/>
      <c r="E83"/>
      <c r="F83"/>
      <c r="G83"/>
      <c r="H83"/>
      <c r="I83"/>
      <c r="J83"/>
      <c r="K83"/>
      <c r="L83"/>
      <c r="M83"/>
      <c r="N83"/>
      <c r="O83"/>
      <c r="P83"/>
      <c r="Q83"/>
      <c r="R83"/>
      <c r="S83"/>
    </row>
    <row r="84" spans="1:19" ht="15.75">
      <c r="A84"/>
      <c r="B84"/>
      <c r="C84"/>
      <c r="D84"/>
      <c r="E84"/>
      <c r="F84"/>
      <c r="G84"/>
      <c r="H84"/>
      <c r="I84"/>
      <c r="J84"/>
      <c r="K84"/>
      <c r="L84"/>
      <c r="M84"/>
      <c r="N84"/>
      <c r="O84"/>
      <c r="P84"/>
      <c r="Q84"/>
      <c r="R84"/>
      <c r="S84"/>
    </row>
    <row r="85" spans="1:19" ht="15.75">
      <c r="A85"/>
      <c r="B85"/>
      <c r="C85"/>
      <c r="D85"/>
      <c r="E85"/>
      <c r="F85"/>
      <c r="G85"/>
      <c r="H85"/>
      <c r="I85"/>
      <c r="J85"/>
      <c r="K85"/>
      <c r="L85"/>
      <c r="M85"/>
      <c r="N85"/>
      <c r="O85"/>
      <c r="P85"/>
      <c r="Q85"/>
      <c r="R85"/>
      <c r="S85"/>
    </row>
    <row r="86" spans="1:19" ht="15.75">
      <c r="A86"/>
      <c r="B86"/>
      <c r="C86"/>
      <c r="D86"/>
      <c r="E86"/>
      <c r="F86"/>
      <c r="G86"/>
      <c r="H86"/>
      <c r="I86"/>
      <c r="J86"/>
      <c r="K86"/>
      <c r="L86"/>
      <c r="M86"/>
      <c r="N86"/>
      <c r="O86"/>
      <c r="P86"/>
      <c r="Q86"/>
      <c r="R86"/>
      <c r="S86"/>
    </row>
    <row r="87" spans="1:19" ht="15.75">
      <c r="A87"/>
      <c r="B87"/>
      <c r="C87"/>
      <c r="D87"/>
      <c r="E87"/>
      <c r="F87"/>
      <c r="G87"/>
      <c r="H87"/>
      <c r="I87"/>
      <c r="J87"/>
      <c r="K87"/>
      <c r="L87"/>
      <c r="M87"/>
      <c r="N87"/>
      <c r="O87"/>
      <c r="P87"/>
      <c r="Q87"/>
      <c r="R87"/>
      <c r="S87"/>
    </row>
    <row r="88" spans="1:19" ht="15.75">
      <c r="A88"/>
      <c r="B88"/>
      <c r="C88"/>
      <c r="D88"/>
      <c r="E88"/>
      <c r="F88"/>
      <c r="G88"/>
      <c r="H88"/>
      <c r="I88"/>
      <c r="J88"/>
      <c r="K88"/>
      <c r="L88"/>
      <c r="M88"/>
      <c r="N88"/>
      <c r="O88"/>
      <c r="P88"/>
      <c r="Q88"/>
      <c r="R88"/>
      <c r="S88"/>
    </row>
    <row r="89" spans="1:19" ht="15.75">
      <c r="A89"/>
      <c r="B89"/>
      <c r="C89"/>
      <c r="D89"/>
      <c r="E89"/>
      <c r="F89"/>
      <c r="G89"/>
      <c r="H89"/>
      <c r="I89"/>
      <c r="J89"/>
      <c r="K89"/>
      <c r="L89"/>
      <c r="M89"/>
      <c r="N89"/>
      <c r="O89"/>
      <c r="P89"/>
      <c r="Q89"/>
      <c r="R89"/>
      <c r="S89"/>
    </row>
    <row r="90" spans="1:19" ht="15.75">
      <c r="A90"/>
      <c r="B90"/>
      <c r="C90"/>
      <c r="D90"/>
      <c r="E90"/>
      <c r="F90"/>
      <c r="G90"/>
      <c r="H90"/>
      <c r="I90"/>
      <c r="J90"/>
      <c r="K90"/>
      <c r="L90"/>
      <c r="M90"/>
      <c r="N90"/>
      <c r="O90"/>
      <c r="P90"/>
      <c r="Q90"/>
      <c r="R90"/>
      <c r="S90"/>
    </row>
    <row r="91" spans="1:19" ht="15.75">
      <c r="A91"/>
      <c r="B91"/>
      <c r="C91"/>
      <c r="D91"/>
      <c r="E91"/>
      <c r="F91"/>
      <c r="G91"/>
      <c r="H91"/>
      <c r="I91"/>
      <c r="J91"/>
      <c r="K91"/>
      <c r="L91"/>
      <c r="M91"/>
      <c r="N91"/>
      <c r="O91"/>
      <c r="P91"/>
      <c r="Q91"/>
      <c r="R91"/>
      <c r="S91"/>
    </row>
    <row r="92" spans="1:19" ht="15.75">
      <c r="A92"/>
      <c r="B92"/>
      <c r="C92"/>
      <c r="D92"/>
      <c r="E92"/>
      <c r="F92"/>
      <c r="G92"/>
      <c r="H92"/>
      <c r="I92"/>
      <c r="J92"/>
      <c r="K92"/>
      <c r="L92"/>
      <c r="M92"/>
      <c r="N92"/>
      <c r="O92"/>
      <c r="P92"/>
      <c r="Q92"/>
      <c r="R92"/>
      <c r="S92"/>
    </row>
    <row r="93" spans="1:19" ht="15.75">
      <c r="A93"/>
      <c r="B93"/>
      <c r="C93"/>
      <c r="D93"/>
      <c r="E93"/>
      <c r="F93"/>
      <c r="G93"/>
      <c r="H93"/>
      <c r="I93"/>
      <c r="J93"/>
      <c r="K93"/>
      <c r="L93" s="246"/>
    </row>
    <row r="94" spans="1:19" ht="15.75">
      <c r="A94"/>
      <c r="B94"/>
      <c r="C94"/>
      <c r="D94"/>
      <c r="E94"/>
      <c r="F94"/>
      <c r="G94"/>
      <c r="H94"/>
      <c r="I94"/>
      <c r="J94"/>
      <c r="K94"/>
      <c r="L94" s="246"/>
    </row>
    <row r="95" spans="1:19" ht="15.75">
      <c r="A95"/>
      <c r="B95"/>
      <c r="C95"/>
      <c r="D95"/>
      <c r="E95"/>
      <c r="F95"/>
      <c r="G95"/>
      <c r="H95"/>
      <c r="I95"/>
      <c r="J95"/>
      <c r="K95"/>
      <c r="L95" s="246"/>
    </row>
    <row r="96" spans="1:19" ht="15.75">
      <c r="A96"/>
      <c r="B96"/>
      <c r="C96"/>
      <c r="D96"/>
      <c r="E96"/>
      <c r="F96"/>
      <c r="G96"/>
      <c r="H96"/>
      <c r="I96"/>
      <c r="J96"/>
      <c r="K96"/>
      <c r="L96" s="246"/>
    </row>
    <row r="97" spans="1:12" ht="15.75">
      <c r="A97"/>
      <c r="B97"/>
      <c r="C97"/>
      <c r="D97"/>
      <c r="E97"/>
      <c r="F97"/>
      <c r="G97"/>
      <c r="H97"/>
      <c r="I97"/>
      <c r="J97"/>
      <c r="K97"/>
      <c r="L97" s="246"/>
    </row>
    <row r="98" spans="1:12" ht="15.75">
      <c r="A98"/>
      <c r="B98"/>
      <c r="C98"/>
      <c r="D98"/>
      <c r="E98"/>
      <c r="F98"/>
      <c r="G98"/>
      <c r="H98"/>
      <c r="I98"/>
      <c r="J98"/>
      <c r="K98"/>
      <c r="L98" s="246"/>
    </row>
    <row r="99" spans="1:12" ht="15.75">
      <c r="A99"/>
      <c r="B99"/>
      <c r="C99"/>
      <c r="D99"/>
      <c r="E99"/>
      <c r="F99"/>
      <c r="G99"/>
      <c r="H99"/>
      <c r="I99"/>
      <c r="J99"/>
      <c r="K99"/>
      <c r="L99" s="246"/>
    </row>
    <row r="100" spans="1:12" ht="15.75">
      <c r="A100"/>
      <c r="B100"/>
      <c r="C100"/>
      <c r="D100"/>
      <c r="E100"/>
      <c r="F100"/>
      <c r="G100"/>
      <c r="H100"/>
      <c r="I100"/>
      <c r="J100"/>
      <c r="K100"/>
      <c r="L100" s="296"/>
    </row>
    <row r="101" spans="1:12" ht="15.75">
      <c r="A101"/>
      <c r="B101"/>
      <c r="C101"/>
      <c r="D101"/>
      <c r="E101"/>
      <c r="F101"/>
      <c r="G101"/>
      <c r="H101"/>
      <c r="I101"/>
      <c r="J101"/>
      <c r="K101"/>
      <c r="L101" s="296"/>
    </row>
    <row r="102" spans="1:12" ht="15.75">
      <c r="A102"/>
      <c r="B102"/>
      <c r="C102"/>
      <c r="D102"/>
      <c r="E102"/>
      <c r="F102"/>
      <c r="G102"/>
      <c r="H102"/>
      <c r="I102"/>
      <c r="J102"/>
      <c r="K102"/>
      <c r="L102" s="296"/>
    </row>
    <row r="103" spans="1:12" ht="15.75">
      <c r="A103"/>
      <c r="B103"/>
      <c r="C103"/>
      <c r="D103"/>
      <c r="E103"/>
      <c r="F103"/>
      <c r="G103"/>
      <c r="H103"/>
      <c r="I103"/>
      <c r="J103"/>
      <c r="K103"/>
      <c r="L103" s="296"/>
    </row>
    <row r="104" spans="1:12" ht="15.75">
      <c r="A104"/>
      <c r="B104"/>
      <c r="C104"/>
      <c r="D104"/>
      <c r="E104"/>
      <c r="F104"/>
      <c r="G104"/>
      <c r="H104"/>
      <c r="I104"/>
      <c r="J104"/>
      <c r="K104"/>
    </row>
    <row r="105" spans="1:12" ht="15.75">
      <c r="A105"/>
      <c r="B105"/>
      <c r="C105"/>
      <c r="D105"/>
      <c r="E105"/>
      <c r="F105"/>
      <c r="G105"/>
      <c r="H105"/>
      <c r="I105"/>
      <c r="J105"/>
      <c r="K105"/>
    </row>
    <row r="106" spans="1:12" ht="15.75">
      <c r="A106"/>
      <c r="B106"/>
      <c r="C106"/>
      <c r="D106"/>
      <c r="E106"/>
      <c r="F106"/>
      <c r="G106"/>
      <c r="H106"/>
      <c r="I106"/>
      <c r="J106"/>
      <c r="K106"/>
    </row>
    <row r="107" spans="1:12" ht="15.75">
      <c r="A107"/>
      <c r="B107"/>
      <c r="C107"/>
      <c r="D107"/>
      <c r="E107"/>
      <c r="F107"/>
      <c r="G107"/>
      <c r="H107"/>
      <c r="I107"/>
      <c r="J107"/>
      <c r="K107"/>
    </row>
    <row r="108" spans="1:12" ht="15.75">
      <c r="A108"/>
      <c r="B108"/>
      <c r="C108"/>
      <c r="D108"/>
      <c r="E108"/>
      <c r="F108"/>
      <c r="G108"/>
      <c r="H108"/>
      <c r="I108"/>
      <c r="J108"/>
      <c r="K108"/>
    </row>
    <row r="109" spans="1:12" ht="15.75">
      <c r="A109"/>
      <c r="B109"/>
      <c r="C109"/>
      <c r="D109"/>
      <c r="E109"/>
      <c r="F109"/>
      <c r="G109"/>
      <c r="H109"/>
      <c r="I109"/>
      <c r="J109"/>
      <c r="K109"/>
    </row>
    <row r="110" spans="1:12" ht="15.75">
      <c r="A110"/>
      <c r="B110"/>
      <c r="C110"/>
      <c r="D110"/>
      <c r="E110"/>
      <c r="F110"/>
      <c r="G110"/>
      <c r="H110"/>
      <c r="I110"/>
      <c r="J110"/>
      <c r="K110"/>
    </row>
    <row r="111" spans="1:12" ht="15.75">
      <c r="A111"/>
      <c r="B111"/>
      <c r="C111"/>
      <c r="D111"/>
      <c r="E111"/>
      <c r="F111"/>
      <c r="G111"/>
      <c r="H111"/>
      <c r="I111"/>
      <c r="J111"/>
      <c r="K111"/>
    </row>
    <row r="112" spans="1:12" ht="15.75">
      <c r="A112"/>
      <c r="B112"/>
      <c r="C112"/>
      <c r="D112"/>
      <c r="E112"/>
      <c r="F112"/>
      <c r="G112"/>
      <c r="H112"/>
      <c r="I112"/>
      <c r="J112"/>
      <c r="K112"/>
    </row>
    <row r="113" spans="1:11" ht="15.75">
      <c r="A113"/>
      <c r="B113"/>
      <c r="C113"/>
      <c r="D113"/>
      <c r="E113"/>
      <c r="F113"/>
      <c r="G113"/>
      <c r="H113"/>
      <c r="I113"/>
      <c r="J113"/>
      <c r="K113"/>
    </row>
    <row r="114" spans="1:11" ht="15.75">
      <c r="A114"/>
      <c r="B114"/>
      <c r="C114"/>
      <c r="D114"/>
      <c r="E114"/>
      <c r="F114"/>
      <c r="G114"/>
      <c r="H114"/>
      <c r="I114"/>
      <c r="J114"/>
      <c r="K114"/>
    </row>
    <row r="115" spans="1:11" ht="15.75">
      <c r="A115"/>
      <c r="B115"/>
      <c r="C115"/>
      <c r="D115"/>
      <c r="E115"/>
      <c r="F115"/>
      <c r="G115"/>
      <c r="H115"/>
      <c r="I115"/>
      <c r="J115"/>
      <c r="K115"/>
    </row>
    <row r="116" spans="1:11" ht="15.75">
      <c r="A116"/>
      <c r="B116"/>
      <c r="C116"/>
      <c r="D116"/>
      <c r="E116"/>
      <c r="F116"/>
      <c r="G116"/>
      <c r="H116"/>
      <c r="I116"/>
      <c r="J116"/>
      <c r="K116"/>
    </row>
    <row r="117" spans="1:11" ht="15.75">
      <c r="A117"/>
      <c r="B117"/>
      <c r="C117"/>
      <c r="D117"/>
      <c r="E117"/>
      <c r="F117"/>
      <c r="G117"/>
      <c r="H117"/>
      <c r="I117"/>
      <c r="J117"/>
      <c r="K117"/>
    </row>
    <row r="118" spans="1:11" ht="15.75">
      <c r="A118"/>
      <c r="B118"/>
      <c r="C118"/>
      <c r="D118"/>
      <c r="E118"/>
      <c r="F118"/>
      <c r="G118"/>
      <c r="H118"/>
      <c r="I118"/>
      <c r="J118"/>
      <c r="K118"/>
    </row>
    <row r="119" spans="1:11" ht="15.75">
      <c r="A119"/>
      <c r="B119"/>
      <c r="C119"/>
      <c r="D119"/>
      <c r="E119"/>
      <c r="F119"/>
      <c r="G119"/>
      <c r="H119"/>
      <c r="I119"/>
      <c r="J119"/>
      <c r="K119"/>
    </row>
    <row r="120" spans="1:11" ht="15.75">
      <c r="A120"/>
      <c r="B120"/>
      <c r="C120"/>
      <c r="D120"/>
      <c r="E120"/>
      <c r="F120"/>
      <c r="G120"/>
      <c r="H120"/>
      <c r="I120"/>
      <c r="J120"/>
      <c r="K120"/>
    </row>
    <row r="121" spans="1:11" ht="15.75">
      <c r="A121"/>
      <c r="B121"/>
      <c r="C121"/>
      <c r="D121"/>
      <c r="E121"/>
      <c r="F121"/>
      <c r="G121"/>
      <c r="H121"/>
      <c r="I121"/>
      <c r="J121"/>
      <c r="K121"/>
    </row>
    <row r="122" spans="1:11" ht="15.75">
      <c r="A122"/>
      <c r="B122"/>
      <c r="C122"/>
      <c r="D122"/>
      <c r="E122"/>
      <c r="F122"/>
      <c r="G122"/>
      <c r="H122"/>
      <c r="I122"/>
      <c r="J122"/>
      <c r="K122"/>
    </row>
    <row r="123" spans="1:11" ht="15.75">
      <c r="A123"/>
      <c r="B123"/>
      <c r="C123"/>
      <c r="D123"/>
      <c r="E123"/>
      <c r="F123"/>
      <c r="G123"/>
      <c r="H123"/>
      <c r="I123"/>
      <c r="J123"/>
      <c r="K123"/>
    </row>
    <row r="124" spans="1:11" ht="15.75">
      <c r="A124"/>
      <c r="B124"/>
      <c r="C124"/>
      <c r="D124"/>
      <c r="E124"/>
      <c r="F124"/>
      <c r="G124"/>
      <c r="H124"/>
      <c r="I124"/>
      <c r="J124"/>
      <c r="K124"/>
    </row>
    <row r="125" spans="1:11" ht="15.75">
      <c r="A125"/>
      <c r="B125"/>
      <c r="C125"/>
      <c r="D125"/>
      <c r="E125"/>
      <c r="F125"/>
      <c r="G125"/>
      <c r="H125"/>
      <c r="I125"/>
      <c r="J125"/>
      <c r="K125"/>
    </row>
    <row r="126" spans="1:11" ht="15.75">
      <c r="A126"/>
      <c r="B126"/>
      <c r="C126"/>
      <c r="D126"/>
      <c r="E126"/>
      <c r="F126"/>
      <c r="G126"/>
      <c r="H126"/>
      <c r="I126"/>
      <c r="J126"/>
      <c r="K126"/>
    </row>
    <row r="127" spans="1:11" ht="15.75">
      <c r="A127"/>
      <c r="B127"/>
      <c r="C127"/>
      <c r="D127"/>
      <c r="E127"/>
      <c r="F127"/>
      <c r="G127"/>
      <c r="H127"/>
      <c r="I127"/>
      <c r="J127"/>
      <c r="K127"/>
    </row>
    <row r="128" spans="1:11" ht="15.75">
      <c r="A128"/>
      <c r="B128"/>
      <c r="C128"/>
      <c r="D128"/>
      <c r="E128"/>
      <c r="F128"/>
      <c r="G128"/>
      <c r="H128"/>
      <c r="I128"/>
      <c r="J128"/>
      <c r="K128"/>
    </row>
    <row r="129" spans="1:11" ht="15.75">
      <c r="A129"/>
      <c r="B129"/>
      <c r="C129"/>
      <c r="D129"/>
      <c r="E129"/>
      <c r="F129"/>
      <c r="G129"/>
      <c r="H129"/>
      <c r="I129"/>
      <c r="J129"/>
      <c r="K129"/>
    </row>
    <row r="130" spans="1:11" ht="15.75">
      <c r="A130"/>
      <c r="B130"/>
      <c r="C130"/>
      <c r="D130"/>
      <c r="E130"/>
      <c r="F130"/>
      <c r="G130"/>
      <c r="H130"/>
      <c r="I130"/>
      <c r="J130"/>
      <c r="K130"/>
    </row>
    <row r="131" spans="1:11" ht="15.75">
      <c r="A131"/>
      <c r="B131"/>
      <c r="C131"/>
      <c r="D131"/>
      <c r="E131"/>
      <c r="F131"/>
      <c r="G131"/>
      <c r="H131"/>
      <c r="I131"/>
      <c r="J131"/>
      <c r="K131"/>
    </row>
    <row r="132" spans="1:11" ht="15.75">
      <c r="A132"/>
      <c r="B132"/>
      <c r="C132"/>
      <c r="D132"/>
      <c r="E132"/>
      <c r="F132"/>
      <c r="G132"/>
      <c r="H132"/>
      <c r="I132"/>
      <c r="J132"/>
      <c r="K132"/>
    </row>
    <row r="133" spans="1:11" ht="15.75">
      <c r="A133"/>
      <c r="B133"/>
      <c r="C133"/>
      <c r="D133"/>
      <c r="E133"/>
      <c r="F133"/>
      <c r="G133"/>
      <c r="H133"/>
      <c r="I133"/>
      <c r="J133"/>
      <c r="K133"/>
    </row>
    <row r="134" spans="1:11" ht="15.75">
      <c r="A134"/>
      <c r="B134"/>
      <c r="C134"/>
      <c r="D134"/>
      <c r="E134"/>
      <c r="F134"/>
      <c r="G134"/>
      <c r="H134"/>
      <c r="I134"/>
      <c r="J134"/>
      <c r="K134"/>
    </row>
    <row r="135" spans="1:11" ht="15.75">
      <c r="A135"/>
      <c r="B135"/>
      <c r="C135"/>
      <c r="D135"/>
      <c r="E135"/>
      <c r="F135"/>
      <c r="G135"/>
      <c r="H135"/>
      <c r="I135"/>
      <c r="J135"/>
      <c r="K135"/>
    </row>
    <row r="136" spans="1:11" ht="15.75">
      <c r="A136"/>
      <c r="B136"/>
      <c r="C136"/>
      <c r="D136"/>
      <c r="E136"/>
      <c r="F136"/>
      <c r="G136"/>
      <c r="H136"/>
      <c r="I136"/>
      <c r="J136"/>
      <c r="K136"/>
    </row>
    <row r="137" spans="1:11" ht="15.75">
      <c r="A137"/>
      <c r="B137"/>
      <c r="C137"/>
      <c r="D137"/>
      <c r="E137"/>
      <c r="F137"/>
      <c r="G137"/>
      <c r="H137"/>
      <c r="I137"/>
      <c r="J137"/>
      <c r="K137"/>
    </row>
    <row r="138" spans="1:11" ht="15.75">
      <c r="A138"/>
      <c r="B138"/>
      <c r="C138"/>
      <c r="D138"/>
      <c r="E138"/>
      <c r="F138"/>
      <c r="G138"/>
      <c r="H138"/>
      <c r="I138"/>
      <c r="J138"/>
      <c r="K138"/>
    </row>
    <row r="139" spans="1:11" ht="15.75">
      <c r="A139"/>
      <c r="B139"/>
      <c r="C139"/>
      <c r="D139"/>
      <c r="E139"/>
      <c r="F139"/>
      <c r="G139"/>
      <c r="H139"/>
      <c r="I139"/>
      <c r="J139"/>
      <c r="K139"/>
    </row>
    <row r="140" spans="1:11" ht="15.75">
      <c r="A140"/>
      <c r="B140"/>
      <c r="C140"/>
      <c r="D140"/>
      <c r="E140"/>
      <c r="F140"/>
      <c r="G140"/>
      <c r="H140"/>
      <c r="I140"/>
      <c r="J140"/>
      <c r="K140"/>
    </row>
    <row r="141" spans="1:11" ht="15.75">
      <c r="A141"/>
      <c r="B141"/>
      <c r="C141"/>
      <c r="D141"/>
      <c r="E141"/>
      <c r="F141"/>
      <c r="G141"/>
      <c r="H141"/>
      <c r="I141"/>
      <c r="J141"/>
      <c r="K141"/>
    </row>
    <row r="142" spans="1:11" ht="15.75">
      <c r="A142"/>
      <c r="B142"/>
      <c r="C142"/>
      <c r="D142"/>
      <c r="E142"/>
      <c r="F142"/>
      <c r="G142"/>
      <c r="H142"/>
      <c r="I142"/>
      <c r="J142"/>
      <c r="K142"/>
    </row>
    <row r="143" spans="1:11" ht="15.75">
      <c r="A143"/>
      <c r="B143"/>
      <c r="C143"/>
      <c r="D143"/>
      <c r="E143"/>
      <c r="F143"/>
      <c r="G143"/>
      <c r="H143"/>
      <c r="I143"/>
      <c r="J143"/>
      <c r="K143"/>
    </row>
    <row r="144" spans="1:11" ht="15.75">
      <c r="A144"/>
      <c r="B144"/>
      <c r="C144"/>
      <c r="D144"/>
      <c r="E144"/>
      <c r="F144"/>
      <c r="G144"/>
      <c r="H144"/>
      <c r="I144"/>
      <c r="J144"/>
      <c r="K144"/>
    </row>
    <row r="145" spans="1:11" ht="15.75">
      <c r="A145"/>
      <c r="B145"/>
      <c r="C145"/>
      <c r="D145"/>
      <c r="E145"/>
      <c r="F145"/>
      <c r="G145"/>
      <c r="H145"/>
      <c r="I145"/>
      <c r="J145"/>
      <c r="K145"/>
    </row>
    <row r="146" spans="1:11" ht="15.75">
      <c r="A146"/>
      <c r="B146"/>
      <c r="C146"/>
      <c r="D146"/>
      <c r="E146"/>
      <c r="F146"/>
      <c r="G146"/>
      <c r="H146"/>
      <c r="I146"/>
      <c r="J146"/>
      <c r="K146"/>
    </row>
    <row r="147" spans="1:11" ht="15.75">
      <c r="A147"/>
      <c r="B147"/>
      <c r="C147"/>
      <c r="D147"/>
      <c r="E147"/>
      <c r="F147"/>
      <c r="G147"/>
      <c r="H147"/>
      <c r="I147"/>
      <c r="J147"/>
      <c r="K147"/>
    </row>
    <row r="148" spans="1:11" ht="15.75">
      <c r="A148"/>
      <c r="B148"/>
      <c r="C148"/>
      <c r="D148"/>
      <c r="E148"/>
      <c r="F148"/>
      <c r="G148"/>
      <c r="H148"/>
      <c r="I148"/>
      <c r="J148"/>
      <c r="K148"/>
    </row>
    <row r="149" spans="1:11" ht="15.75">
      <c r="A149"/>
      <c r="B149"/>
      <c r="C149"/>
      <c r="D149"/>
      <c r="E149"/>
      <c r="F149"/>
      <c r="G149"/>
      <c r="H149"/>
      <c r="I149"/>
      <c r="J149"/>
      <c r="K149"/>
    </row>
    <row r="150" spans="1:11" ht="15.75">
      <c r="A150"/>
      <c r="B150"/>
      <c r="C150"/>
      <c r="D150"/>
      <c r="E150"/>
      <c r="F150"/>
      <c r="G150"/>
      <c r="H150"/>
      <c r="I150"/>
      <c r="J150"/>
      <c r="K150"/>
    </row>
    <row r="151" spans="1:11" ht="15.75">
      <c r="A151"/>
      <c r="B151"/>
      <c r="C151"/>
      <c r="D151"/>
      <c r="E151"/>
      <c r="F151"/>
      <c r="G151"/>
      <c r="H151"/>
      <c r="I151"/>
      <c r="J151"/>
      <c r="K151"/>
    </row>
    <row r="152" spans="1:11" ht="15.75">
      <c r="A152"/>
      <c r="B152"/>
      <c r="C152"/>
      <c r="D152"/>
      <c r="E152"/>
      <c r="F152"/>
      <c r="G152"/>
      <c r="H152"/>
      <c r="I152"/>
      <c r="J152"/>
      <c r="K152"/>
    </row>
    <row r="153" spans="1:11" ht="15.75">
      <c r="A153"/>
      <c r="B153"/>
      <c r="C153"/>
      <c r="D153"/>
      <c r="E153"/>
      <c r="F153"/>
      <c r="G153"/>
      <c r="H153"/>
      <c r="I153"/>
      <c r="J153"/>
      <c r="K153"/>
    </row>
    <row r="154" spans="1:11" ht="15.75">
      <c r="A154"/>
      <c r="B154"/>
      <c r="C154"/>
      <c r="D154"/>
      <c r="E154"/>
      <c r="F154"/>
      <c r="G154"/>
      <c r="H154"/>
      <c r="I154"/>
      <c r="J154"/>
      <c r="K154"/>
    </row>
    <row r="155" spans="1:11" ht="15.75">
      <c r="A155"/>
      <c r="B155"/>
      <c r="C155"/>
      <c r="D155"/>
      <c r="E155"/>
      <c r="F155"/>
      <c r="G155"/>
      <c r="H155"/>
      <c r="I155"/>
      <c r="J155"/>
      <c r="K155"/>
    </row>
    <row r="156" spans="1:11" ht="15.75">
      <c r="A156"/>
      <c r="B156"/>
      <c r="C156"/>
      <c r="D156"/>
      <c r="E156"/>
      <c r="F156"/>
      <c r="G156"/>
      <c r="H156"/>
      <c r="I156"/>
      <c r="J156"/>
      <c r="K156"/>
    </row>
    <row r="157" spans="1:11" ht="15.75">
      <c r="A157"/>
      <c r="B157"/>
      <c r="C157"/>
      <c r="D157"/>
      <c r="E157"/>
      <c r="F157"/>
      <c r="G157"/>
      <c r="H157"/>
      <c r="I157"/>
      <c r="J157"/>
      <c r="K157"/>
    </row>
    <row r="158" spans="1:11" ht="15.75">
      <c r="A158"/>
      <c r="B158"/>
      <c r="C158"/>
      <c r="D158"/>
      <c r="E158"/>
      <c r="F158"/>
      <c r="G158"/>
      <c r="H158"/>
      <c r="I158"/>
      <c r="J158"/>
      <c r="K158"/>
    </row>
    <row r="159" spans="1:11" ht="15.75">
      <c r="A159"/>
      <c r="B159"/>
      <c r="C159"/>
      <c r="D159"/>
      <c r="E159"/>
      <c r="F159"/>
      <c r="G159"/>
      <c r="H159"/>
      <c r="I159"/>
      <c r="J159"/>
      <c r="K159"/>
    </row>
    <row r="160" spans="1:11" ht="15.75">
      <c r="A160"/>
      <c r="B160"/>
      <c r="C160"/>
      <c r="D160"/>
      <c r="E160"/>
      <c r="F160"/>
      <c r="G160"/>
      <c r="H160"/>
      <c r="I160"/>
      <c r="J160"/>
      <c r="K160"/>
    </row>
    <row r="161" spans="1:11" ht="15.75">
      <c r="A161"/>
      <c r="B161"/>
      <c r="C161"/>
      <c r="D161"/>
      <c r="E161"/>
      <c r="F161"/>
      <c r="G161"/>
      <c r="H161"/>
      <c r="I161"/>
      <c r="J161"/>
      <c r="K161"/>
    </row>
    <row r="162" spans="1:11" ht="15.75">
      <c r="A162"/>
      <c r="B162"/>
      <c r="C162"/>
      <c r="D162"/>
      <c r="E162"/>
      <c r="F162"/>
      <c r="G162"/>
      <c r="H162"/>
      <c r="I162"/>
      <c r="J162"/>
      <c r="K162"/>
    </row>
    <row r="163" spans="1:11" ht="15.75">
      <c r="A163"/>
      <c r="B163"/>
      <c r="C163"/>
      <c r="D163"/>
      <c r="E163"/>
      <c r="F163"/>
      <c r="G163"/>
      <c r="H163"/>
      <c r="I163"/>
      <c r="J163"/>
      <c r="K163"/>
    </row>
    <row r="164" spans="1:11" ht="15.75">
      <c r="A164"/>
      <c r="B164"/>
      <c r="C164"/>
      <c r="D164"/>
      <c r="E164"/>
      <c r="F164"/>
      <c r="G164"/>
      <c r="H164"/>
      <c r="I164"/>
      <c r="J164"/>
      <c r="K164"/>
    </row>
    <row r="165" spans="1:11" ht="15.75">
      <c r="A165"/>
      <c r="B165"/>
      <c r="C165"/>
      <c r="D165"/>
      <c r="E165"/>
      <c r="F165"/>
      <c r="G165"/>
      <c r="H165"/>
      <c r="I165"/>
      <c r="J165"/>
      <c r="K165"/>
    </row>
    <row r="166" spans="1:11" ht="15.75">
      <c r="A166"/>
      <c r="B166"/>
      <c r="C166"/>
      <c r="D166"/>
      <c r="E166"/>
      <c r="F166"/>
      <c r="G166"/>
      <c r="H166"/>
      <c r="I166"/>
      <c r="J166"/>
      <c r="K166"/>
    </row>
    <row r="167" spans="1:11" ht="15.75">
      <c r="A167"/>
      <c r="B167"/>
      <c r="C167"/>
      <c r="D167"/>
      <c r="E167"/>
      <c r="F167"/>
      <c r="G167"/>
      <c r="H167"/>
      <c r="I167"/>
      <c r="J167"/>
      <c r="K167"/>
    </row>
    <row r="168" spans="1:11" ht="15.75">
      <c r="A168"/>
      <c r="B168"/>
      <c r="C168"/>
      <c r="D168"/>
      <c r="E168"/>
      <c r="F168"/>
      <c r="G168"/>
      <c r="H168"/>
      <c r="I168"/>
      <c r="J168"/>
      <c r="K168"/>
    </row>
    <row r="169" spans="1:11" ht="15.75">
      <c r="A169"/>
      <c r="B169"/>
      <c r="C169"/>
      <c r="D169"/>
      <c r="E169"/>
      <c r="F169"/>
      <c r="G169"/>
      <c r="H169"/>
      <c r="I169"/>
      <c r="J169"/>
      <c r="K169"/>
    </row>
    <row r="170" spans="1:11" ht="15.75">
      <c r="A170"/>
      <c r="B170"/>
      <c r="C170"/>
      <c r="D170"/>
      <c r="E170"/>
      <c r="F170"/>
      <c r="G170"/>
      <c r="H170"/>
      <c r="I170"/>
      <c r="J170"/>
      <c r="K170"/>
    </row>
    <row r="171" spans="1:11" ht="15.75">
      <c r="A171"/>
      <c r="B171"/>
      <c r="C171"/>
      <c r="D171"/>
      <c r="E171"/>
      <c r="F171"/>
      <c r="G171"/>
      <c r="H171"/>
      <c r="I171"/>
      <c r="J171"/>
      <c r="K171"/>
    </row>
    <row r="172" spans="1:11" ht="15.75">
      <c r="A172"/>
      <c r="B172"/>
      <c r="C172"/>
      <c r="D172"/>
      <c r="E172"/>
      <c r="F172"/>
      <c r="G172"/>
      <c r="H172"/>
      <c r="I172"/>
      <c r="J172"/>
      <c r="K172"/>
    </row>
    <row r="173" spans="1:11" ht="15.75">
      <c r="A173"/>
      <c r="B173"/>
      <c r="C173"/>
      <c r="D173"/>
      <c r="E173"/>
      <c r="F173"/>
      <c r="G173"/>
      <c r="H173"/>
      <c r="I173"/>
      <c r="J173"/>
      <c r="K173"/>
    </row>
    <row r="174" spans="1:11" ht="15.75">
      <c r="A174"/>
      <c r="B174"/>
      <c r="C174"/>
      <c r="D174"/>
      <c r="E174"/>
      <c r="F174"/>
      <c r="G174"/>
      <c r="H174"/>
      <c r="I174"/>
      <c r="J174"/>
      <c r="K174"/>
    </row>
    <row r="175" spans="1:11" ht="15.75">
      <c r="A175"/>
      <c r="B175"/>
      <c r="C175"/>
      <c r="D175"/>
      <c r="E175"/>
      <c r="F175"/>
      <c r="G175"/>
      <c r="H175"/>
      <c r="I175"/>
      <c r="J175"/>
      <c r="K175"/>
    </row>
    <row r="176" spans="1:11" ht="15.75">
      <c r="A176"/>
      <c r="B176"/>
      <c r="C176"/>
      <c r="D176"/>
      <c r="E176"/>
      <c r="F176"/>
      <c r="G176"/>
      <c r="H176"/>
      <c r="I176"/>
      <c r="J176"/>
      <c r="K176"/>
    </row>
    <row r="177" spans="1:11" ht="15.75">
      <c r="A177"/>
      <c r="B177"/>
      <c r="C177"/>
      <c r="D177"/>
      <c r="E177"/>
      <c r="F177"/>
      <c r="G177"/>
      <c r="H177"/>
      <c r="I177"/>
      <c r="J177"/>
      <c r="K177"/>
    </row>
    <row r="178" spans="1:11" ht="15.75">
      <c r="A178"/>
      <c r="B178"/>
      <c r="C178"/>
      <c r="D178"/>
      <c r="E178"/>
      <c r="F178"/>
      <c r="G178"/>
      <c r="H178"/>
      <c r="I178"/>
      <c r="J178"/>
      <c r="K178"/>
    </row>
    <row r="179" spans="1:11" ht="15.75">
      <c r="A179"/>
      <c r="B179"/>
      <c r="C179"/>
      <c r="D179"/>
      <c r="E179"/>
      <c r="F179"/>
      <c r="G179"/>
      <c r="H179"/>
      <c r="I179"/>
      <c r="J179"/>
      <c r="K179"/>
    </row>
    <row r="180" spans="1:11" ht="15.75">
      <c r="A180"/>
      <c r="B180"/>
      <c r="C180"/>
      <c r="D180"/>
      <c r="E180"/>
      <c r="F180"/>
      <c r="G180"/>
      <c r="H180"/>
      <c r="I180"/>
      <c r="J180"/>
      <c r="K180"/>
    </row>
    <row r="181" spans="1:11" ht="15.75">
      <c r="A181"/>
      <c r="B181"/>
      <c r="C181"/>
      <c r="D181"/>
      <c r="E181"/>
      <c r="F181"/>
      <c r="G181"/>
      <c r="H181"/>
      <c r="I181"/>
      <c r="J181"/>
      <c r="K181"/>
    </row>
    <row r="182" spans="1:11" ht="15.75">
      <c r="A182"/>
      <c r="B182"/>
      <c r="C182"/>
      <c r="D182"/>
      <c r="E182"/>
      <c r="F182"/>
      <c r="G182"/>
      <c r="H182"/>
      <c r="I182"/>
      <c r="J182"/>
      <c r="K182"/>
    </row>
    <row r="183" spans="1:11" ht="15.75">
      <c r="A183"/>
      <c r="B183"/>
      <c r="C183"/>
      <c r="D183"/>
      <c r="E183"/>
      <c r="F183"/>
      <c r="G183"/>
      <c r="H183"/>
      <c r="I183"/>
      <c r="J183"/>
      <c r="K183"/>
    </row>
    <row r="184" spans="1:11" ht="15.75">
      <c r="A184"/>
      <c r="B184"/>
      <c r="C184"/>
      <c r="D184"/>
      <c r="E184"/>
      <c r="F184"/>
      <c r="G184"/>
      <c r="H184"/>
      <c r="I184"/>
      <c r="J184"/>
      <c r="K184"/>
    </row>
    <row r="185" spans="1:11" ht="15.75">
      <c r="A185"/>
      <c r="B185"/>
      <c r="C185"/>
      <c r="D185"/>
      <c r="E185"/>
      <c r="F185"/>
      <c r="G185"/>
      <c r="H185"/>
      <c r="I185"/>
      <c r="J185"/>
      <c r="K185"/>
    </row>
    <row r="186" spans="1:11" ht="15.75">
      <c r="A186"/>
      <c r="B186"/>
      <c r="C186"/>
      <c r="D186"/>
      <c r="E186"/>
      <c r="F186"/>
      <c r="G186"/>
      <c r="H186"/>
      <c r="I186"/>
      <c r="J186"/>
      <c r="K186"/>
    </row>
    <row r="187" spans="1:11" ht="15.75">
      <c r="A187"/>
      <c r="B187"/>
      <c r="C187"/>
      <c r="D187"/>
      <c r="E187"/>
      <c r="F187"/>
      <c r="G187"/>
      <c r="H187"/>
      <c r="I187"/>
      <c r="J187"/>
      <c r="K187"/>
    </row>
    <row r="188" spans="1:11" ht="15.75">
      <c r="A188"/>
      <c r="B188"/>
      <c r="C188"/>
      <c r="D188"/>
      <c r="E188"/>
      <c r="F188"/>
      <c r="G188"/>
      <c r="H188"/>
      <c r="I188"/>
      <c r="J188"/>
      <c r="K188"/>
    </row>
    <row r="189" spans="1:11" ht="15.75">
      <c r="A189"/>
      <c r="B189"/>
      <c r="C189"/>
      <c r="D189"/>
      <c r="E189"/>
      <c r="F189"/>
      <c r="G189"/>
      <c r="H189"/>
      <c r="I189"/>
      <c r="J189"/>
      <c r="K189"/>
    </row>
    <row r="190" spans="1:11" ht="15.75">
      <c r="A190"/>
      <c r="B190"/>
      <c r="C190"/>
      <c r="D190"/>
      <c r="E190"/>
      <c r="F190"/>
      <c r="G190"/>
      <c r="H190"/>
      <c r="I190"/>
      <c r="J190"/>
      <c r="K190"/>
    </row>
    <row r="191" spans="1:11" ht="15.75">
      <c r="A191"/>
      <c r="B191"/>
      <c r="C191"/>
      <c r="D191"/>
      <c r="E191"/>
      <c r="F191"/>
      <c r="G191"/>
      <c r="H191"/>
      <c r="I191"/>
      <c r="J191"/>
      <c r="K191"/>
    </row>
    <row r="192" spans="1:11" ht="15.75">
      <c r="A192"/>
      <c r="B192"/>
      <c r="C192"/>
      <c r="D192"/>
      <c r="E192"/>
      <c r="F192"/>
      <c r="G192"/>
      <c r="H192"/>
      <c r="I192"/>
      <c r="J192"/>
      <c r="K192"/>
    </row>
    <row r="193" spans="1:11" ht="15.75">
      <c r="A193"/>
      <c r="B193"/>
      <c r="C193"/>
      <c r="D193"/>
      <c r="E193"/>
      <c r="F193"/>
      <c r="G193"/>
      <c r="H193"/>
      <c r="I193"/>
      <c r="J193"/>
      <c r="K193"/>
    </row>
    <row r="194" spans="1:11" ht="15.75">
      <c r="A194"/>
      <c r="B194"/>
      <c r="C194"/>
      <c r="D194"/>
      <c r="E194"/>
      <c r="F194"/>
      <c r="G194"/>
      <c r="H194"/>
      <c r="I194"/>
      <c r="J194"/>
      <c r="K194"/>
    </row>
    <row r="195" spans="1:11" ht="15.75">
      <c r="A195"/>
      <c r="B195"/>
      <c r="C195"/>
      <c r="D195"/>
      <c r="E195"/>
      <c r="F195"/>
      <c r="G195"/>
      <c r="H195"/>
      <c r="I195"/>
      <c r="J195"/>
      <c r="K195"/>
    </row>
    <row r="196" spans="1:11" ht="15.75">
      <c r="A196"/>
      <c r="B196"/>
      <c r="C196"/>
      <c r="D196"/>
      <c r="E196"/>
      <c r="F196"/>
      <c r="G196"/>
      <c r="H196"/>
      <c r="I196"/>
      <c r="J196"/>
      <c r="K196"/>
    </row>
    <row r="197" spans="1:11" ht="15.75">
      <c r="A197"/>
      <c r="B197"/>
      <c r="C197"/>
      <c r="D197"/>
      <c r="E197"/>
      <c r="F197"/>
      <c r="G197"/>
      <c r="H197"/>
      <c r="I197"/>
      <c r="J197"/>
      <c r="K197"/>
    </row>
    <row r="198" spans="1:11" ht="15.75">
      <c r="A198"/>
      <c r="B198"/>
      <c r="C198"/>
      <c r="D198"/>
      <c r="E198"/>
      <c r="F198"/>
      <c r="G198"/>
      <c r="H198"/>
      <c r="I198"/>
      <c r="J198"/>
      <c r="K198"/>
    </row>
    <row r="199" spans="1:11" ht="15.75">
      <c r="A199"/>
      <c r="B199"/>
      <c r="C199"/>
      <c r="D199"/>
      <c r="E199"/>
      <c r="F199"/>
      <c r="G199"/>
      <c r="H199"/>
      <c r="I199"/>
      <c r="J199"/>
      <c r="K199"/>
    </row>
    <row r="200" spans="1:11" ht="15.75">
      <c r="A200"/>
      <c r="B200"/>
      <c r="C200"/>
      <c r="D200"/>
      <c r="E200"/>
      <c r="F200"/>
      <c r="G200"/>
      <c r="H200"/>
      <c r="I200"/>
      <c r="J200"/>
      <c r="K200"/>
    </row>
    <row r="201" spans="1:11" ht="15.75">
      <c r="A201"/>
      <c r="B201"/>
      <c r="C201"/>
      <c r="D201"/>
      <c r="E201"/>
      <c r="F201"/>
      <c r="G201"/>
      <c r="H201"/>
      <c r="I201"/>
      <c r="J201"/>
      <c r="K201"/>
    </row>
    <row r="202" spans="1:11" ht="15.75">
      <c r="A202"/>
      <c r="B202"/>
      <c r="C202"/>
      <c r="D202"/>
      <c r="E202"/>
      <c r="F202"/>
      <c r="G202"/>
      <c r="H202"/>
      <c r="I202"/>
      <c r="J202"/>
      <c r="K202"/>
    </row>
    <row r="203" spans="1:11" ht="15.75">
      <c r="A203"/>
      <c r="B203"/>
      <c r="C203"/>
      <c r="D203"/>
      <c r="E203"/>
      <c r="F203"/>
      <c r="G203"/>
      <c r="H203"/>
      <c r="I203"/>
      <c r="J203"/>
      <c r="K203"/>
    </row>
    <row r="204" spans="1:11" ht="15.75">
      <c r="A204"/>
      <c r="B204"/>
      <c r="C204"/>
      <c r="D204"/>
      <c r="E204"/>
      <c r="F204"/>
      <c r="G204"/>
      <c r="H204"/>
      <c r="I204"/>
      <c r="J204"/>
      <c r="K204"/>
    </row>
    <row r="205" spans="1:11" ht="15.75">
      <c r="A205"/>
      <c r="B205"/>
      <c r="C205"/>
      <c r="D205"/>
      <c r="E205"/>
      <c r="F205"/>
      <c r="G205"/>
      <c r="H205"/>
      <c r="I205"/>
      <c r="J205"/>
      <c r="K205"/>
    </row>
    <row r="206" spans="1:11" ht="15.75">
      <c r="A206"/>
      <c r="B206"/>
      <c r="C206"/>
      <c r="D206"/>
      <c r="E206"/>
      <c r="F206"/>
      <c r="G206"/>
      <c r="H206"/>
      <c r="I206"/>
      <c r="J206"/>
      <c r="K206"/>
    </row>
    <row r="207" spans="1:11" ht="15.75">
      <c r="A207"/>
      <c r="B207"/>
      <c r="C207"/>
      <c r="D207"/>
      <c r="E207"/>
      <c r="F207"/>
      <c r="G207"/>
      <c r="H207"/>
      <c r="I207"/>
      <c r="J207"/>
      <c r="K207"/>
    </row>
    <row r="208" spans="1:11" ht="15.75">
      <c r="A208"/>
      <c r="B208"/>
      <c r="C208"/>
      <c r="D208"/>
      <c r="E208"/>
      <c r="F208"/>
      <c r="G208"/>
      <c r="H208"/>
      <c r="I208"/>
      <c r="J208"/>
      <c r="K208"/>
    </row>
    <row r="209" spans="1:11" ht="15.75">
      <c r="A209"/>
      <c r="B209"/>
      <c r="C209"/>
      <c r="D209"/>
      <c r="E209"/>
      <c r="F209"/>
      <c r="G209"/>
      <c r="H209"/>
      <c r="I209"/>
      <c r="J209"/>
      <c r="K209"/>
    </row>
    <row r="210" spans="1:11" ht="15.75">
      <c r="A210"/>
      <c r="B210"/>
      <c r="C210"/>
      <c r="D210"/>
      <c r="E210"/>
      <c r="F210"/>
      <c r="G210"/>
      <c r="H210"/>
      <c r="I210"/>
      <c r="J210"/>
      <c r="K210"/>
    </row>
    <row r="211" spans="1:11" ht="15.75">
      <c r="A211"/>
      <c r="B211"/>
      <c r="C211"/>
      <c r="D211"/>
      <c r="E211"/>
      <c r="F211"/>
      <c r="G211"/>
      <c r="H211"/>
      <c r="I211"/>
      <c r="J211"/>
      <c r="K211"/>
    </row>
    <row r="212" spans="1:11" ht="15.75">
      <c r="A212"/>
      <c r="B212"/>
      <c r="C212"/>
      <c r="D212"/>
      <c r="E212"/>
      <c r="F212"/>
      <c r="G212"/>
      <c r="H212"/>
      <c r="I212"/>
      <c r="J212"/>
      <c r="K212"/>
    </row>
    <row r="213" spans="1:11" ht="15.75">
      <c r="A213"/>
      <c r="B213"/>
      <c r="C213"/>
      <c r="D213"/>
      <c r="E213"/>
      <c r="F213"/>
      <c r="G213"/>
      <c r="H213"/>
      <c r="I213"/>
      <c r="J213"/>
      <c r="K213"/>
    </row>
    <row r="214" spans="1:11" ht="15.75">
      <c r="A214"/>
      <c r="B214"/>
      <c r="C214"/>
      <c r="D214"/>
      <c r="E214"/>
      <c r="F214"/>
      <c r="G214"/>
      <c r="H214"/>
      <c r="I214"/>
      <c r="J214"/>
      <c r="K214"/>
    </row>
    <row r="215" spans="1:11" ht="15.75">
      <c r="A215"/>
      <c r="B215"/>
      <c r="C215"/>
      <c r="D215"/>
      <c r="E215"/>
      <c r="F215"/>
      <c r="G215"/>
      <c r="H215"/>
      <c r="I215"/>
      <c r="J215"/>
      <c r="K215"/>
    </row>
    <row r="216" spans="1:11" ht="15.75">
      <c r="A216"/>
      <c r="B216"/>
      <c r="C216"/>
      <c r="D216"/>
      <c r="E216"/>
      <c r="F216"/>
      <c r="G216"/>
      <c r="H216"/>
      <c r="I216"/>
      <c r="J216"/>
      <c r="K216"/>
    </row>
    <row r="217" spans="1:11" ht="15.75">
      <c r="A217"/>
      <c r="B217"/>
      <c r="C217"/>
      <c r="D217"/>
      <c r="E217"/>
      <c r="F217"/>
      <c r="G217"/>
      <c r="H217"/>
      <c r="I217"/>
      <c r="J217"/>
      <c r="K217"/>
    </row>
    <row r="218" spans="1:11" ht="15.75">
      <c r="A218"/>
      <c r="B218"/>
      <c r="C218"/>
      <c r="D218"/>
      <c r="E218"/>
      <c r="F218"/>
      <c r="G218"/>
      <c r="H218"/>
      <c r="I218"/>
      <c r="J218"/>
      <c r="K218"/>
    </row>
    <row r="219" spans="1:11" ht="15.75">
      <c r="A219"/>
      <c r="B219"/>
      <c r="C219"/>
      <c r="D219"/>
      <c r="E219"/>
      <c r="F219"/>
      <c r="G219"/>
      <c r="H219"/>
      <c r="I219"/>
      <c r="J219"/>
      <c r="K219"/>
    </row>
    <row r="220" spans="1:11" ht="15.75">
      <c r="A220"/>
      <c r="B220"/>
      <c r="C220"/>
      <c r="D220"/>
      <c r="E220"/>
      <c r="F220"/>
      <c r="G220"/>
      <c r="H220"/>
      <c r="I220"/>
      <c r="J220"/>
      <c r="K220"/>
    </row>
    <row r="221" spans="1:11" ht="15.75">
      <c r="A221"/>
      <c r="B221"/>
      <c r="C221"/>
      <c r="D221"/>
      <c r="E221"/>
      <c r="F221"/>
      <c r="G221"/>
      <c r="H221"/>
      <c r="I221"/>
      <c r="J221"/>
      <c r="K221"/>
    </row>
    <row r="222" spans="1:11" ht="15.75">
      <c r="A222"/>
      <c r="B222"/>
      <c r="C222"/>
      <c r="D222"/>
      <c r="E222"/>
      <c r="F222"/>
      <c r="G222"/>
      <c r="H222"/>
      <c r="I222"/>
      <c r="J222"/>
      <c r="K222"/>
    </row>
    <row r="223" spans="1:11" ht="15.75">
      <c r="A223"/>
      <c r="B223"/>
      <c r="C223"/>
      <c r="D223"/>
      <c r="E223"/>
      <c r="F223"/>
      <c r="G223"/>
      <c r="H223"/>
      <c r="I223"/>
      <c r="J223"/>
      <c r="K223"/>
    </row>
    <row r="224" spans="1:11" ht="15.75">
      <c r="A224"/>
      <c r="B224"/>
      <c r="C224"/>
      <c r="D224"/>
      <c r="E224"/>
      <c r="F224"/>
      <c r="G224"/>
      <c r="H224"/>
      <c r="I224"/>
      <c r="J224"/>
      <c r="K224"/>
    </row>
    <row r="225" spans="1:11" ht="15.75">
      <c r="A225"/>
      <c r="B225"/>
      <c r="C225"/>
      <c r="D225"/>
      <c r="E225"/>
      <c r="F225"/>
      <c r="G225"/>
      <c r="H225"/>
      <c r="I225"/>
      <c r="J225"/>
      <c r="K225"/>
    </row>
    <row r="226" spans="1:11" ht="15.75">
      <c r="A226"/>
      <c r="B226"/>
      <c r="C226"/>
      <c r="D226"/>
      <c r="E226"/>
      <c r="F226"/>
      <c r="G226"/>
      <c r="H226"/>
      <c r="I226"/>
      <c r="J226"/>
      <c r="K226"/>
    </row>
    <row r="227" spans="1:11" ht="15.75">
      <c r="A227"/>
      <c r="B227"/>
      <c r="C227"/>
      <c r="D227"/>
      <c r="E227"/>
      <c r="F227"/>
      <c r="G227"/>
      <c r="H227"/>
      <c r="I227"/>
      <c r="J227"/>
      <c r="K227"/>
    </row>
    <row r="228" spans="1:11" ht="15.75">
      <c r="A228"/>
      <c r="B228"/>
      <c r="C228"/>
      <c r="D228"/>
      <c r="E228"/>
      <c r="F228"/>
      <c r="G228"/>
      <c r="H228"/>
      <c r="I228"/>
      <c r="J228"/>
      <c r="K228"/>
    </row>
    <row r="229" spans="1:11" ht="15.75">
      <c r="A229"/>
      <c r="B229"/>
      <c r="C229"/>
      <c r="D229"/>
      <c r="E229"/>
      <c r="F229"/>
      <c r="G229"/>
      <c r="H229"/>
      <c r="I229"/>
      <c r="J229"/>
      <c r="K229"/>
    </row>
    <row r="230" spans="1:11" ht="15.75">
      <c r="A230"/>
      <c r="B230"/>
      <c r="C230"/>
      <c r="D230"/>
      <c r="E230"/>
      <c r="F230"/>
      <c r="G230"/>
      <c r="H230"/>
      <c r="I230"/>
      <c r="J230"/>
      <c r="K230"/>
    </row>
    <row r="231" spans="1:11" ht="15.75">
      <c r="A231"/>
      <c r="B231"/>
      <c r="C231"/>
      <c r="D231"/>
      <c r="E231"/>
      <c r="F231"/>
      <c r="G231"/>
      <c r="H231"/>
      <c r="I231"/>
      <c r="J231"/>
      <c r="K231"/>
    </row>
    <row r="232" spans="1:11" ht="15.75">
      <c r="A232"/>
      <c r="B232"/>
      <c r="C232"/>
      <c r="D232"/>
      <c r="E232"/>
      <c r="F232"/>
      <c r="G232"/>
      <c r="H232"/>
      <c r="I232"/>
      <c r="J232"/>
      <c r="K232"/>
    </row>
    <row r="233" spans="1:11" ht="15.75">
      <c r="A233"/>
      <c r="B233"/>
      <c r="C233"/>
      <c r="D233"/>
      <c r="E233"/>
      <c r="F233"/>
      <c r="G233"/>
      <c r="H233"/>
      <c r="I233"/>
      <c r="J233"/>
      <c r="K233"/>
    </row>
    <row r="234" spans="1:11" ht="15.75">
      <c r="A234"/>
      <c r="B234"/>
      <c r="C234"/>
      <c r="D234"/>
      <c r="E234"/>
      <c r="F234"/>
      <c r="G234"/>
      <c r="H234"/>
      <c r="I234"/>
      <c r="J234"/>
      <c r="K234"/>
    </row>
    <row r="235" spans="1:11" ht="15.75">
      <c r="A235"/>
      <c r="B235"/>
      <c r="C235"/>
      <c r="D235"/>
      <c r="E235"/>
      <c r="F235"/>
      <c r="G235"/>
      <c r="H235"/>
      <c r="I235"/>
      <c r="J235"/>
      <c r="K235"/>
    </row>
    <row r="236" spans="1:11" ht="15.75">
      <c r="A236"/>
      <c r="B236"/>
      <c r="C236"/>
      <c r="D236"/>
      <c r="E236"/>
      <c r="F236"/>
      <c r="G236"/>
      <c r="H236"/>
      <c r="I236"/>
      <c r="J236"/>
      <c r="K236"/>
    </row>
    <row r="237" spans="1:11" ht="15.75">
      <c r="A237"/>
      <c r="B237"/>
      <c r="C237"/>
      <c r="D237"/>
      <c r="E237"/>
      <c r="F237"/>
      <c r="G237"/>
      <c r="H237"/>
      <c r="I237"/>
      <c r="J237"/>
      <c r="K237"/>
    </row>
    <row r="238" spans="1:11" ht="15.75">
      <c r="A238"/>
      <c r="B238"/>
      <c r="C238"/>
      <c r="D238"/>
      <c r="E238"/>
      <c r="F238"/>
      <c r="G238"/>
      <c r="H238"/>
      <c r="I238"/>
      <c r="J238"/>
      <c r="K238"/>
    </row>
    <row r="239" spans="1:11" ht="15.75">
      <c r="A239"/>
      <c r="B239"/>
      <c r="C239"/>
      <c r="D239"/>
      <c r="E239"/>
      <c r="F239"/>
      <c r="G239"/>
      <c r="H239"/>
      <c r="I239"/>
      <c r="J239"/>
      <c r="K239"/>
    </row>
    <row r="240" spans="1:11" ht="15.75">
      <c r="A240"/>
      <c r="B240"/>
      <c r="C240"/>
      <c r="D240"/>
      <c r="E240"/>
      <c r="F240"/>
      <c r="G240"/>
      <c r="H240"/>
      <c r="I240"/>
      <c r="J240"/>
      <c r="K240"/>
    </row>
    <row r="241" spans="1:11" ht="15.75">
      <c r="A241"/>
      <c r="B241"/>
      <c r="C241"/>
      <c r="D241"/>
      <c r="E241"/>
      <c r="F241"/>
      <c r="G241"/>
      <c r="H241"/>
      <c r="I241"/>
      <c r="J241"/>
      <c r="K241"/>
    </row>
    <row r="242" spans="1:11" ht="15.75">
      <c r="A242"/>
      <c r="B242"/>
      <c r="C242"/>
      <c r="D242"/>
      <c r="E242"/>
      <c r="F242"/>
      <c r="G242"/>
      <c r="H242"/>
      <c r="I242"/>
      <c r="J242"/>
      <c r="K242"/>
    </row>
    <row r="243" spans="1:11" ht="15.75">
      <c r="A243"/>
      <c r="B243"/>
      <c r="C243"/>
      <c r="D243"/>
      <c r="E243"/>
      <c r="F243"/>
      <c r="G243"/>
      <c r="H243"/>
      <c r="I243"/>
      <c r="J243"/>
      <c r="K243"/>
    </row>
    <row r="244" spans="1:11" ht="15.75">
      <c r="A244"/>
      <c r="B244"/>
      <c r="C244"/>
      <c r="D244"/>
      <c r="E244"/>
      <c r="F244"/>
      <c r="G244"/>
      <c r="H244"/>
      <c r="I244"/>
      <c r="J244"/>
      <c r="K244"/>
    </row>
    <row r="245" spans="1:11" ht="15.75">
      <c r="A245"/>
      <c r="B245"/>
      <c r="C245"/>
      <c r="D245"/>
      <c r="E245"/>
      <c r="F245"/>
      <c r="G245"/>
      <c r="H245"/>
      <c r="I245"/>
      <c r="J245"/>
      <c r="K245"/>
    </row>
    <row r="246" spans="1:11" ht="15.75">
      <c r="A246"/>
      <c r="B246"/>
      <c r="C246"/>
      <c r="D246"/>
      <c r="E246"/>
      <c r="F246"/>
      <c r="G246"/>
      <c r="H246"/>
      <c r="I246"/>
      <c r="J246"/>
      <c r="K246"/>
    </row>
    <row r="247" spans="1:11" ht="15.75">
      <c r="A247"/>
      <c r="B247"/>
      <c r="C247"/>
      <c r="D247"/>
      <c r="E247"/>
      <c r="F247"/>
      <c r="G247"/>
      <c r="H247"/>
      <c r="I247"/>
      <c r="J247"/>
      <c r="K247"/>
    </row>
    <row r="248" spans="1:11" ht="15.75">
      <c r="A248"/>
      <c r="B248"/>
      <c r="C248"/>
      <c r="D248"/>
      <c r="E248"/>
      <c r="F248"/>
      <c r="G248"/>
      <c r="H248"/>
      <c r="I248"/>
      <c r="J248"/>
      <c r="K248"/>
    </row>
    <row r="249" spans="1:11" ht="15.75">
      <c r="A249"/>
      <c r="B249"/>
      <c r="C249"/>
      <c r="D249"/>
      <c r="E249"/>
      <c r="F249"/>
      <c r="G249"/>
      <c r="H249"/>
      <c r="I249"/>
      <c r="J249"/>
      <c r="K249"/>
    </row>
    <row r="250" spans="1:11" ht="15.75">
      <c r="A250"/>
      <c r="B250"/>
      <c r="C250"/>
      <c r="D250"/>
      <c r="E250"/>
      <c r="F250"/>
      <c r="G250"/>
      <c r="H250"/>
      <c r="I250"/>
      <c r="J250"/>
      <c r="K250"/>
    </row>
    <row r="251" spans="1:11" ht="15.75">
      <c r="A251"/>
      <c r="B251"/>
      <c r="C251"/>
      <c r="D251"/>
      <c r="E251"/>
      <c r="F251"/>
      <c r="G251"/>
      <c r="H251"/>
      <c r="I251"/>
      <c r="J251"/>
      <c r="K251"/>
    </row>
    <row r="252" spans="1:11" ht="15.75">
      <c r="A252"/>
      <c r="B252"/>
      <c r="C252"/>
      <c r="D252"/>
      <c r="E252"/>
      <c r="F252"/>
      <c r="G252"/>
      <c r="H252"/>
      <c r="I252"/>
      <c r="J252"/>
      <c r="K252"/>
    </row>
    <row r="253" spans="1:11" ht="15.75">
      <c r="A253"/>
      <c r="B253"/>
      <c r="C253"/>
      <c r="D253"/>
      <c r="E253"/>
      <c r="F253"/>
      <c r="G253"/>
      <c r="H253"/>
      <c r="I253"/>
      <c r="J253"/>
      <c r="K253"/>
    </row>
    <row r="254" spans="1:11" ht="15.75">
      <c r="A254"/>
      <c r="B254"/>
      <c r="C254"/>
      <c r="D254"/>
      <c r="E254"/>
      <c r="F254"/>
      <c r="G254"/>
      <c r="H254"/>
      <c r="I254"/>
      <c r="J254"/>
      <c r="K254"/>
    </row>
    <row r="255" spans="1:11" ht="15.75">
      <c r="A255"/>
      <c r="B255"/>
      <c r="C255"/>
      <c r="D255"/>
      <c r="E255"/>
      <c r="F255"/>
      <c r="G255"/>
      <c r="H255"/>
      <c r="I255"/>
      <c r="J255"/>
      <c r="K255"/>
    </row>
    <row r="256" spans="1:11" ht="15.75">
      <c r="A256"/>
      <c r="B256"/>
      <c r="C256"/>
      <c r="D256"/>
      <c r="E256"/>
      <c r="F256"/>
      <c r="G256"/>
      <c r="H256"/>
      <c r="I256"/>
      <c r="J256"/>
      <c r="K256"/>
    </row>
    <row r="257" spans="1:11" ht="15.75">
      <c r="A257"/>
      <c r="B257"/>
      <c r="C257"/>
      <c r="D257"/>
      <c r="E257"/>
      <c r="F257"/>
      <c r="G257"/>
      <c r="H257"/>
      <c r="I257"/>
      <c r="J257"/>
      <c r="K257"/>
    </row>
    <row r="258" spans="1:11" ht="15.75">
      <c r="A258"/>
      <c r="B258"/>
      <c r="C258"/>
      <c r="D258"/>
      <c r="E258"/>
      <c r="F258"/>
      <c r="G258"/>
      <c r="H258"/>
      <c r="I258"/>
      <c r="J258"/>
      <c r="K258"/>
    </row>
    <row r="259" spans="1:11" ht="15.75">
      <c r="A259"/>
      <c r="B259"/>
      <c r="C259"/>
      <c r="D259"/>
      <c r="E259"/>
      <c r="F259"/>
      <c r="G259"/>
      <c r="H259"/>
      <c r="I259"/>
      <c r="J259"/>
      <c r="K259"/>
    </row>
    <row r="260" spans="1:11" ht="15.75">
      <c r="A260"/>
      <c r="B260"/>
      <c r="C260"/>
      <c r="D260"/>
      <c r="E260"/>
      <c r="F260"/>
      <c r="G260"/>
      <c r="H260"/>
      <c r="I260"/>
      <c r="J260"/>
      <c r="K260"/>
    </row>
    <row r="261" spans="1:11" ht="15.75">
      <c r="A261"/>
      <c r="B261"/>
      <c r="C261"/>
      <c r="D261"/>
      <c r="E261"/>
      <c r="F261"/>
      <c r="G261"/>
      <c r="H261"/>
      <c r="I261"/>
      <c r="J261"/>
      <c r="K261"/>
    </row>
    <row r="262" spans="1:11" ht="15.75">
      <c r="A262"/>
      <c r="B262"/>
      <c r="C262"/>
      <c r="D262"/>
      <c r="E262"/>
      <c r="F262"/>
      <c r="G262"/>
      <c r="H262"/>
      <c r="I262"/>
      <c r="J262"/>
      <c r="K262"/>
    </row>
    <row r="263" spans="1:11" ht="15.75">
      <c r="A263"/>
      <c r="B263"/>
      <c r="C263"/>
      <c r="D263"/>
      <c r="E263"/>
      <c r="F263"/>
      <c r="G263"/>
      <c r="H263"/>
      <c r="I263"/>
      <c r="J263"/>
      <c r="K263"/>
    </row>
    <row r="264" spans="1:11" ht="15.75">
      <c r="A264"/>
      <c r="B264"/>
      <c r="C264"/>
      <c r="D264"/>
      <c r="E264"/>
      <c r="F264"/>
      <c r="G264"/>
      <c r="H264"/>
      <c r="I264"/>
      <c r="J264"/>
      <c r="K264"/>
    </row>
    <row r="265" spans="1:11" ht="15.75">
      <c r="A265"/>
      <c r="B265"/>
      <c r="C265"/>
      <c r="D265"/>
      <c r="E265"/>
      <c r="F265"/>
      <c r="G265"/>
      <c r="H265"/>
      <c r="I265"/>
      <c r="J265"/>
      <c r="K265"/>
    </row>
    <row r="266" spans="1:11" ht="15.75">
      <c r="A266"/>
      <c r="B266"/>
      <c r="C266"/>
      <c r="D266"/>
      <c r="E266"/>
      <c r="F266"/>
      <c r="G266"/>
      <c r="H266"/>
      <c r="I266"/>
      <c r="J266"/>
      <c r="K266"/>
    </row>
    <row r="267" spans="1:11" ht="15.75">
      <c r="A267"/>
      <c r="B267"/>
      <c r="C267"/>
      <c r="D267"/>
      <c r="E267"/>
      <c r="F267"/>
      <c r="G267"/>
      <c r="H267"/>
      <c r="I267"/>
      <c r="J267"/>
      <c r="K267"/>
    </row>
    <row r="268" spans="1:11" ht="15.75">
      <c r="A268"/>
      <c r="B268"/>
      <c r="C268"/>
      <c r="D268"/>
      <c r="E268"/>
      <c r="F268"/>
      <c r="G268"/>
      <c r="H268"/>
      <c r="I268"/>
      <c r="J268"/>
      <c r="K268"/>
    </row>
    <row r="269" spans="1:11" ht="15.75">
      <c r="A269"/>
      <c r="B269"/>
      <c r="C269"/>
      <c r="D269"/>
      <c r="E269"/>
      <c r="F269"/>
      <c r="G269"/>
      <c r="H269"/>
      <c r="I269"/>
      <c r="J269"/>
      <c r="K269"/>
    </row>
    <row r="270" spans="1:11" ht="15.75">
      <c r="A270"/>
      <c r="B270"/>
      <c r="C270"/>
      <c r="D270"/>
      <c r="E270"/>
      <c r="F270"/>
      <c r="G270"/>
      <c r="H270"/>
      <c r="I270"/>
      <c r="J270"/>
      <c r="K270"/>
    </row>
    <row r="271" spans="1:11" ht="15.75">
      <c r="A271"/>
      <c r="B271"/>
      <c r="C271"/>
      <c r="D271"/>
      <c r="E271"/>
      <c r="F271"/>
      <c r="G271"/>
      <c r="H271"/>
      <c r="I271"/>
      <c r="J271"/>
      <c r="K271"/>
    </row>
    <row r="272" spans="1:11" ht="15.75">
      <c r="A272"/>
      <c r="B272"/>
      <c r="C272"/>
      <c r="D272"/>
      <c r="E272"/>
      <c r="F272"/>
      <c r="G272"/>
      <c r="H272"/>
      <c r="I272"/>
      <c r="J272"/>
      <c r="K272"/>
    </row>
    <row r="273" spans="1:11" ht="15.75">
      <c r="A273"/>
      <c r="B273"/>
      <c r="C273"/>
      <c r="D273"/>
      <c r="E273"/>
      <c r="F273"/>
      <c r="G273"/>
      <c r="H273"/>
      <c r="I273"/>
      <c r="J273"/>
      <c r="K273"/>
    </row>
    <row r="274" spans="1:11" ht="15.75">
      <c r="A274"/>
      <c r="B274"/>
      <c r="C274"/>
      <c r="D274"/>
      <c r="E274"/>
      <c r="F274"/>
      <c r="G274"/>
      <c r="H274"/>
      <c r="I274"/>
      <c r="J274"/>
      <c r="K274"/>
    </row>
    <row r="275" spans="1:11" ht="15.75">
      <c r="A275"/>
      <c r="B275"/>
      <c r="C275"/>
      <c r="D275"/>
      <c r="E275"/>
      <c r="F275"/>
      <c r="G275"/>
      <c r="H275"/>
      <c r="I275"/>
      <c r="J275"/>
      <c r="K275"/>
    </row>
    <row r="276" spans="1:11" ht="15.75">
      <c r="A276"/>
      <c r="B276"/>
      <c r="C276"/>
      <c r="D276"/>
      <c r="E276"/>
      <c r="F276"/>
      <c r="G276"/>
      <c r="H276"/>
      <c r="I276"/>
      <c r="J276"/>
      <c r="K276"/>
    </row>
    <row r="277" spans="1:11" ht="15.75">
      <c r="A277"/>
      <c r="B277"/>
      <c r="C277"/>
      <c r="D277"/>
      <c r="E277"/>
      <c r="F277"/>
      <c r="G277"/>
      <c r="H277"/>
      <c r="I277"/>
      <c r="J277"/>
      <c r="K277"/>
    </row>
    <row r="278" spans="1:11" ht="15.75">
      <c r="A278"/>
      <c r="B278"/>
      <c r="C278"/>
      <c r="D278"/>
      <c r="E278"/>
      <c r="F278"/>
      <c r="G278"/>
      <c r="H278"/>
      <c r="I278"/>
      <c r="J278"/>
      <c r="K278"/>
    </row>
    <row r="279" spans="1:11" ht="15.75">
      <c r="A279"/>
      <c r="B279"/>
      <c r="C279"/>
      <c r="D279"/>
      <c r="E279"/>
      <c r="F279"/>
      <c r="G279"/>
      <c r="H279"/>
      <c r="I279"/>
      <c r="J279"/>
      <c r="K279"/>
    </row>
    <row r="280" spans="1:11" ht="15.75">
      <c r="A280"/>
      <c r="B280"/>
      <c r="C280"/>
      <c r="D280"/>
      <c r="E280"/>
      <c r="F280"/>
      <c r="G280"/>
      <c r="H280"/>
      <c r="I280"/>
      <c r="J280"/>
      <c r="K280"/>
    </row>
    <row r="281" spans="1:11" ht="15.75">
      <c r="A281"/>
      <c r="B281"/>
      <c r="C281"/>
      <c r="D281"/>
      <c r="E281"/>
      <c r="F281"/>
      <c r="G281"/>
      <c r="H281"/>
      <c r="I281"/>
      <c r="J281"/>
      <c r="K281"/>
    </row>
    <row r="282" spans="1:11" ht="15.75">
      <c r="A282"/>
      <c r="B282"/>
      <c r="C282"/>
      <c r="D282"/>
      <c r="E282"/>
      <c r="F282"/>
      <c r="G282"/>
      <c r="H282"/>
      <c r="I282"/>
      <c r="J282"/>
      <c r="K282"/>
    </row>
    <row r="283" spans="1:11" ht="15.75">
      <c r="A283"/>
      <c r="B283"/>
      <c r="C283"/>
      <c r="D283"/>
      <c r="E283"/>
      <c r="F283"/>
      <c r="G283"/>
      <c r="H283"/>
      <c r="I283"/>
      <c r="J283"/>
      <c r="K283"/>
    </row>
    <row r="284" spans="1:11" ht="15.75">
      <c r="A284"/>
      <c r="B284"/>
      <c r="C284"/>
      <c r="D284"/>
      <c r="E284"/>
      <c r="F284"/>
      <c r="G284"/>
      <c r="H284"/>
      <c r="I284"/>
      <c r="J284"/>
      <c r="K284"/>
    </row>
    <row r="285" spans="1:11" ht="15.75">
      <c r="A285"/>
      <c r="B285"/>
      <c r="C285"/>
      <c r="D285"/>
      <c r="E285"/>
      <c r="F285"/>
      <c r="G285"/>
      <c r="H285"/>
      <c r="I285"/>
      <c r="J285"/>
      <c r="K285"/>
    </row>
    <row r="286" spans="1:11" ht="15.75">
      <c r="A286"/>
      <c r="B286"/>
      <c r="C286"/>
      <c r="D286"/>
      <c r="E286"/>
      <c r="F286"/>
      <c r="G286"/>
      <c r="H286"/>
      <c r="I286"/>
      <c r="J286"/>
      <c r="K286"/>
    </row>
    <row r="287" spans="1:11" ht="15.75">
      <c r="A287"/>
      <c r="B287"/>
      <c r="C287"/>
      <c r="D287"/>
      <c r="E287"/>
      <c r="F287"/>
      <c r="G287"/>
      <c r="H287"/>
      <c r="I287"/>
      <c r="J287"/>
      <c r="K287"/>
    </row>
    <row r="288" spans="1:11" ht="15.75">
      <c r="A288"/>
      <c r="B288"/>
      <c r="C288"/>
      <c r="D288"/>
      <c r="E288"/>
      <c r="F288"/>
      <c r="G288"/>
      <c r="H288"/>
      <c r="I288"/>
      <c r="J288"/>
      <c r="K288"/>
    </row>
    <row r="289" spans="1:11" ht="15.75">
      <c r="A289"/>
      <c r="B289"/>
      <c r="C289"/>
      <c r="D289"/>
      <c r="E289"/>
      <c r="F289"/>
      <c r="G289"/>
      <c r="H289"/>
      <c r="I289"/>
      <c r="J289"/>
      <c r="K289"/>
    </row>
    <row r="290" spans="1:11" ht="15.75">
      <c r="A290"/>
      <c r="B290"/>
      <c r="C290"/>
      <c r="D290"/>
      <c r="E290"/>
      <c r="F290"/>
      <c r="G290"/>
      <c r="H290"/>
      <c r="I290"/>
      <c r="J290"/>
      <c r="K290"/>
    </row>
    <row r="291" spans="1:11" ht="15.75">
      <c r="A291"/>
      <c r="B291"/>
      <c r="C291"/>
      <c r="D291"/>
      <c r="E291"/>
      <c r="F291"/>
      <c r="G291"/>
      <c r="H291"/>
      <c r="I291"/>
      <c r="J291"/>
      <c r="K291"/>
    </row>
    <row r="292" spans="1:11" ht="15.75">
      <c r="A292"/>
      <c r="B292"/>
      <c r="C292"/>
      <c r="D292"/>
      <c r="E292"/>
      <c r="F292"/>
      <c r="G292"/>
      <c r="H292"/>
      <c r="I292"/>
      <c r="J292"/>
      <c r="K292"/>
    </row>
    <row r="293" spans="1:11" ht="15.75">
      <c r="A293"/>
      <c r="B293"/>
      <c r="C293"/>
      <c r="D293"/>
      <c r="E293"/>
      <c r="F293"/>
      <c r="G293"/>
      <c r="H293"/>
      <c r="I293"/>
      <c r="J293"/>
      <c r="K293"/>
    </row>
    <row r="294" spans="1:11" ht="15.75">
      <c r="A294"/>
      <c r="B294"/>
      <c r="C294"/>
      <c r="D294"/>
      <c r="E294"/>
      <c r="F294"/>
      <c r="G294"/>
      <c r="H294"/>
      <c r="I294"/>
      <c r="J294"/>
      <c r="K294"/>
    </row>
    <row r="295" spans="1:11" ht="15.75">
      <c r="A295"/>
      <c r="B295"/>
      <c r="C295"/>
      <c r="D295"/>
      <c r="E295"/>
      <c r="F295"/>
      <c r="G295"/>
      <c r="H295"/>
      <c r="I295"/>
      <c r="J295"/>
      <c r="K295"/>
    </row>
    <row r="296" spans="1:11" ht="15.75">
      <c r="A296"/>
      <c r="B296"/>
      <c r="C296"/>
      <c r="D296"/>
      <c r="E296"/>
      <c r="F296"/>
      <c r="G296"/>
      <c r="H296"/>
      <c r="I296"/>
      <c r="J296"/>
      <c r="K296"/>
    </row>
    <row r="297" spans="1:11" ht="15.75">
      <c r="A297"/>
      <c r="B297"/>
      <c r="C297"/>
      <c r="D297"/>
      <c r="E297"/>
      <c r="F297"/>
      <c r="G297"/>
      <c r="H297"/>
      <c r="I297"/>
      <c r="J297"/>
      <c r="K297"/>
    </row>
    <row r="298" spans="1:11" ht="15.75">
      <c r="A298"/>
      <c r="B298"/>
      <c r="C298"/>
      <c r="D298"/>
      <c r="E298"/>
      <c r="F298"/>
      <c r="G298"/>
      <c r="H298"/>
      <c r="I298"/>
      <c r="J298"/>
      <c r="K298"/>
    </row>
    <row r="299" spans="1:11" ht="15.75">
      <c r="A299"/>
      <c r="B299"/>
      <c r="C299"/>
      <c r="D299"/>
      <c r="E299"/>
      <c r="F299"/>
      <c r="G299"/>
      <c r="H299"/>
      <c r="I299"/>
      <c r="J299"/>
      <c r="K299"/>
    </row>
    <row r="300" spans="1:11" ht="15.75">
      <c r="A300"/>
      <c r="B300"/>
      <c r="C300"/>
      <c r="D300"/>
      <c r="E300"/>
      <c r="F300"/>
      <c r="G300"/>
      <c r="H300"/>
      <c r="I300"/>
      <c r="J300"/>
      <c r="K300"/>
    </row>
    <row r="301" spans="1:11" ht="15.75">
      <c r="A301"/>
      <c r="B301"/>
      <c r="C301"/>
      <c r="D301"/>
      <c r="E301"/>
      <c r="F301"/>
      <c r="G301"/>
      <c r="H301"/>
      <c r="I301"/>
      <c r="J301"/>
      <c r="K301"/>
    </row>
    <row r="302" spans="1:11" ht="15.75">
      <c r="A302"/>
      <c r="B302"/>
      <c r="C302"/>
      <c r="D302"/>
      <c r="E302"/>
      <c r="F302"/>
      <c r="G302"/>
      <c r="H302"/>
      <c r="I302"/>
      <c r="J302"/>
      <c r="K302"/>
    </row>
    <row r="303" spans="1:11" ht="15.75">
      <c r="A303"/>
      <c r="B303"/>
      <c r="C303"/>
      <c r="D303"/>
      <c r="E303"/>
      <c r="F303"/>
      <c r="G303"/>
      <c r="H303"/>
      <c r="I303"/>
      <c r="J303"/>
      <c r="K303"/>
    </row>
    <row r="304" spans="1:11" ht="15.75">
      <c r="A304"/>
      <c r="B304"/>
      <c r="C304"/>
      <c r="D304"/>
      <c r="E304"/>
      <c r="F304"/>
      <c r="G304"/>
      <c r="H304"/>
      <c r="I304"/>
      <c r="J304"/>
      <c r="K304"/>
    </row>
    <row r="305" spans="1:11" ht="15.75">
      <c r="A305"/>
      <c r="B305"/>
      <c r="C305"/>
      <c r="D305"/>
      <c r="E305"/>
      <c r="F305"/>
      <c r="G305"/>
      <c r="H305"/>
      <c r="I305"/>
      <c r="J305"/>
      <c r="K305"/>
    </row>
    <row r="306" spans="1:11" ht="15.75">
      <c r="A306"/>
      <c r="B306"/>
      <c r="C306"/>
      <c r="D306"/>
      <c r="E306"/>
      <c r="F306"/>
      <c r="G306"/>
      <c r="H306"/>
      <c r="I306"/>
      <c r="J306"/>
      <c r="K306"/>
    </row>
    <row r="307" spans="1:11" ht="15.75">
      <c r="A307"/>
      <c r="B307"/>
      <c r="C307"/>
      <c r="D307"/>
      <c r="E307"/>
      <c r="F307"/>
      <c r="G307"/>
      <c r="H307"/>
      <c r="I307"/>
      <c r="J307"/>
      <c r="K307"/>
    </row>
    <row r="308" spans="1:11" ht="15.75">
      <c r="A308"/>
      <c r="B308"/>
      <c r="C308"/>
      <c r="D308"/>
      <c r="E308"/>
      <c r="F308"/>
      <c r="G308"/>
      <c r="H308"/>
      <c r="I308"/>
      <c r="J308"/>
      <c r="K308"/>
    </row>
    <row r="309" spans="1:11" ht="15.75">
      <c r="A309"/>
      <c r="B309"/>
      <c r="C309"/>
      <c r="D309"/>
      <c r="E309"/>
      <c r="F309"/>
      <c r="G309"/>
      <c r="H309"/>
      <c r="I309"/>
      <c r="J309"/>
      <c r="K309"/>
    </row>
    <row r="310" spans="1:11" ht="15.75">
      <c r="A310"/>
      <c r="B310"/>
      <c r="C310"/>
      <c r="D310"/>
      <c r="E310"/>
      <c r="F310"/>
      <c r="G310"/>
      <c r="H310"/>
      <c r="I310"/>
      <c r="J310"/>
      <c r="K310"/>
    </row>
    <row r="311" spans="1:11" ht="15.75">
      <c r="A311"/>
      <c r="B311"/>
      <c r="C311"/>
      <c r="D311"/>
      <c r="E311"/>
      <c r="F311"/>
      <c r="G311"/>
      <c r="H311"/>
      <c r="I311"/>
      <c r="J311"/>
      <c r="K311"/>
    </row>
    <row r="312" spans="1:11" ht="15.75">
      <c r="A312"/>
      <c r="B312"/>
      <c r="C312"/>
      <c r="D312"/>
      <c r="E312"/>
      <c r="F312"/>
      <c r="G312"/>
      <c r="H312"/>
      <c r="I312"/>
      <c r="J312"/>
      <c r="K312"/>
    </row>
    <row r="313" spans="1:11" ht="15.75">
      <c r="A313"/>
      <c r="B313"/>
      <c r="C313"/>
      <c r="D313"/>
      <c r="E313"/>
      <c r="F313"/>
      <c r="G313"/>
      <c r="H313"/>
      <c r="I313"/>
      <c r="J313"/>
      <c r="K313"/>
    </row>
    <row r="314" spans="1:11" ht="15.75">
      <c r="A314"/>
      <c r="B314"/>
      <c r="C314"/>
      <c r="D314"/>
      <c r="E314"/>
      <c r="F314"/>
      <c r="G314"/>
      <c r="H314"/>
      <c r="I314"/>
      <c r="J314"/>
      <c r="K314"/>
    </row>
    <row r="315" spans="1:11" ht="15.75">
      <c r="A315"/>
      <c r="B315"/>
      <c r="C315"/>
      <c r="D315"/>
      <c r="E315"/>
      <c r="F315"/>
      <c r="G315"/>
      <c r="H315"/>
      <c r="I315"/>
      <c r="J315"/>
      <c r="K315"/>
    </row>
    <row r="316" spans="1:11" ht="15.75">
      <c r="A316"/>
      <c r="B316"/>
      <c r="C316"/>
      <c r="D316"/>
      <c r="E316"/>
      <c r="F316"/>
      <c r="G316"/>
      <c r="H316"/>
      <c r="I316"/>
      <c r="J316"/>
      <c r="K316"/>
    </row>
    <row r="317" spans="1:11" ht="15.75">
      <c r="A317"/>
      <c r="B317"/>
      <c r="C317"/>
      <c r="D317"/>
      <c r="E317"/>
      <c r="F317"/>
      <c r="G317"/>
      <c r="H317"/>
      <c r="I317"/>
      <c r="J317"/>
      <c r="K317"/>
    </row>
    <row r="318" spans="1:11" ht="15.75">
      <c r="A318"/>
      <c r="B318"/>
      <c r="C318"/>
      <c r="D318"/>
      <c r="E318"/>
      <c r="F318"/>
      <c r="G318"/>
      <c r="H318"/>
      <c r="I318"/>
      <c r="J318"/>
      <c r="K318"/>
    </row>
    <row r="319" spans="1:11" ht="15.75">
      <c r="A319"/>
      <c r="B319"/>
      <c r="C319"/>
      <c r="D319"/>
      <c r="E319"/>
      <c r="F319"/>
      <c r="G319"/>
      <c r="H319"/>
      <c r="I319"/>
      <c r="J319"/>
      <c r="K319"/>
    </row>
    <row r="320" spans="1:11" ht="15.75">
      <c r="A320"/>
      <c r="B320"/>
      <c r="C320"/>
      <c r="D320"/>
      <c r="E320"/>
      <c r="F320"/>
      <c r="G320"/>
      <c r="H320"/>
      <c r="I320"/>
      <c r="J320"/>
      <c r="K320"/>
    </row>
    <row r="321" spans="1:11" ht="15.75">
      <c r="A321"/>
      <c r="B321"/>
      <c r="C321"/>
      <c r="D321"/>
      <c r="E321"/>
      <c r="F321"/>
      <c r="G321"/>
      <c r="H321"/>
      <c r="I321"/>
      <c r="J321"/>
      <c r="K321"/>
    </row>
    <row r="322" spans="1:11" ht="15.75">
      <c r="A322"/>
      <c r="B322"/>
      <c r="C322"/>
      <c r="D322"/>
      <c r="E322"/>
      <c r="F322"/>
      <c r="G322"/>
      <c r="H322"/>
      <c r="I322"/>
      <c r="J322"/>
      <c r="K322"/>
    </row>
    <row r="323" spans="1:11" ht="15.75">
      <c r="A323"/>
      <c r="B323"/>
      <c r="C323"/>
      <c r="D323"/>
      <c r="E323"/>
      <c r="F323"/>
      <c r="G323"/>
      <c r="H323"/>
      <c r="I323"/>
      <c r="J323"/>
      <c r="K323"/>
    </row>
    <row r="324" spans="1:11" ht="15.75">
      <c r="A324"/>
      <c r="B324"/>
      <c r="C324"/>
      <c r="D324"/>
      <c r="E324"/>
      <c r="F324"/>
      <c r="G324"/>
      <c r="H324"/>
      <c r="I324"/>
      <c r="J324"/>
      <c r="K324"/>
    </row>
    <row r="325" spans="1:11" ht="15.75">
      <c r="A325"/>
      <c r="B325"/>
      <c r="C325"/>
      <c r="D325"/>
      <c r="E325"/>
      <c r="F325"/>
      <c r="G325"/>
      <c r="H325"/>
      <c r="I325"/>
      <c r="J325"/>
      <c r="K325"/>
    </row>
    <row r="326" spans="1:11" ht="15.75">
      <c r="A326"/>
      <c r="B326"/>
      <c r="C326"/>
      <c r="D326"/>
      <c r="E326"/>
      <c r="F326"/>
      <c r="G326"/>
      <c r="H326"/>
      <c r="I326"/>
      <c r="J326"/>
      <c r="K326"/>
    </row>
    <row r="327" spans="1:11" ht="15.75">
      <c r="A327"/>
      <c r="B327"/>
      <c r="C327"/>
      <c r="D327"/>
      <c r="E327"/>
      <c r="F327"/>
      <c r="G327"/>
      <c r="H327"/>
      <c r="I327"/>
      <c r="J327"/>
      <c r="K327"/>
    </row>
    <row r="328" spans="1:11" ht="15.75">
      <c r="A328"/>
      <c r="B328"/>
      <c r="C328"/>
      <c r="D328"/>
      <c r="E328"/>
      <c r="F328"/>
      <c r="G328"/>
      <c r="H328"/>
      <c r="I328"/>
      <c r="J328"/>
      <c r="K328"/>
    </row>
    <row r="329" spans="1:11" ht="15.75">
      <c r="A329"/>
      <c r="B329"/>
      <c r="C329"/>
      <c r="D329"/>
      <c r="E329"/>
      <c r="F329"/>
      <c r="G329"/>
      <c r="H329"/>
      <c r="I329"/>
      <c r="J329"/>
      <c r="K329"/>
    </row>
    <row r="330" spans="1:11" ht="15.75">
      <c r="A330"/>
      <c r="B330"/>
      <c r="C330"/>
      <c r="D330"/>
      <c r="E330"/>
      <c r="F330"/>
      <c r="G330"/>
      <c r="H330"/>
      <c r="I330"/>
      <c r="J330"/>
      <c r="K330"/>
    </row>
    <row r="331" spans="1:11" ht="15.75">
      <c r="A331"/>
      <c r="B331"/>
      <c r="C331"/>
      <c r="D331"/>
      <c r="E331"/>
      <c r="F331"/>
      <c r="G331"/>
      <c r="H331"/>
      <c r="I331"/>
      <c r="J331"/>
      <c r="K331"/>
    </row>
    <row r="332" spans="1:11" ht="15.75">
      <c r="A332"/>
      <c r="B332"/>
      <c r="C332"/>
      <c r="D332"/>
      <c r="E332"/>
      <c r="F332"/>
      <c r="G332"/>
      <c r="H332"/>
      <c r="I332"/>
      <c r="J332"/>
      <c r="K332"/>
    </row>
    <row r="333" spans="1:11" ht="15.75">
      <c r="A333"/>
      <c r="B333"/>
      <c r="C333"/>
      <c r="D333"/>
      <c r="E333"/>
      <c r="F333"/>
      <c r="G333"/>
      <c r="H333"/>
      <c r="I333"/>
      <c r="J333"/>
      <c r="K333"/>
    </row>
    <row r="334" spans="1:11" ht="15.75">
      <c r="A334"/>
      <c r="B334"/>
      <c r="C334"/>
      <c r="D334"/>
      <c r="E334"/>
      <c r="F334"/>
      <c r="G334"/>
      <c r="H334"/>
      <c r="I334"/>
      <c r="J334"/>
      <c r="K334"/>
    </row>
    <row r="335" spans="1:11" ht="15.75">
      <c r="A335"/>
      <c r="B335"/>
      <c r="C335"/>
      <c r="D335"/>
      <c r="E335"/>
      <c r="F335"/>
      <c r="G335"/>
      <c r="H335"/>
      <c r="I335"/>
      <c r="J335"/>
      <c r="K335"/>
    </row>
    <row r="336" spans="1:11" ht="15.75">
      <c r="A336"/>
      <c r="B336"/>
      <c r="C336"/>
      <c r="D336"/>
      <c r="E336"/>
      <c r="F336"/>
      <c r="G336"/>
      <c r="H336"/>
      <c r="I336"/>
      <c r="J336"/>
      <c r="K336"/>
    </row>
    <row r="337" spans="1:11" ht="15.75">
      <c r="A337"/>
      <c r="B337"/>
      <c r="C337"/>
      <c r="D337"/>
      <c r="E337"/>
      <c r="F337"/>
      <c r="G337"/>
      <c r="H337"/>
      <c r="I337"/>
      <c r="J337"/>
      <c r="K337"/>
    </row>
    <row r="338" spans="1:11" ht="15.75">
      <c r="A338"/>
      <c r="B338"/>
      <c r="C338"/>
      <c r="D338"/>
      <c r="E338"/>
      <c r="F338"/>
      <c r="G338"/>
      <c r="H338"/>
      <c r="I338"/>
      <c r="J338"/>
      <c r="K338"/>
    </row>
    <row r="339" spans="1:11" ht="15.75">
      <c r="A339"/>
      <c r="B339"/>
      <c r="C339"/>
      <c r="D339"/>
      <c r="E339"/>
      <c r="F339"/>
      <c r="G339"/>
      <c r="H339"/>
      <c r="I339"/>
      <c r="J339"/>
      <c r="K339"/>
    </row>
    <row r="340" spans="1:11" ht="15.75">
      <c r="A340"/>
      <c r="B340"/>
      <c r="C340"/>
      <c r="D340"/>
      <c r="E340"/>
      <c r="F340"/>
      <c r="G340"/>
      <c r="H340"/>
      <c r="I340"/>
      <c r="J340"/>
      <c r="K340"/>
    </row>
    <row r="341" spans="1:11" ht="15.75">
      <c r="A341"/>
      <c r="B341"/>
      <c r="C341"/>
      <c r="D341"/>
      <c r="E341"/>
      <c r="F341"/>
      <c r="G341"/>
      <c r="H341"/>
      <c r="I341"/>
      <c r="J341"/>
      <c r="K341"/>
    </row>
    <row r="342" spans="1:11" ht="15.75">
      <c r="A342"/>
      <c r="B342"/>
      <c r="C342"/>
      <c r="D342"/>
      <c r="E342"/>
      <c r="F342"/>
      <c r="G342"/>
      <c r="H342"/>
      <c r="I342"/>
      <c r="J342"/>
      <c r="K342"/>
    </row>
    <row r="343" spans="1:11" ht="15.75">
      <c r="A343"/>
      <c r="B343"/>
      <c r="C343"/>
      <c r="D343"/>
      <c r="E343"/>
      <c r="F343"/>
      <c r="G343"/>
      <c r="H343"/>
      <c r="I343"/>
      <c r="J343"/>
      <c r="K343"/>
    </row>
    <row r="344" spans="1:11" ht="15.75">
      <c r="A344"/>
      <c r="B344"/>
      <c r="C344"/>
      <c r="D344"/>
      <c r="E344"/>
      <c r="F344"/>
      <c r="G344"/>
      <c r="H344"/>
      <c r="I344"/>
      <c r="J344"/>
      <c r="K344"/>
    </row>
    <row r="345" spans="1:11" ht="15.75">
      <c r="A345"/>
      <c r="B345"/>
      <c r="C345"/>
      <c r="D345"/>
      <c r="E345"/>
      <c r="F345"/>
      <c r="G345"/>
      <c r="H345"/>
      <c r="I345"/>
      <c r="J345"/>
      <c r="K345"/>
    </row>
    <row r="346" spans="1:11" ht="15.75">
      <c r="A346"/>
      <c r="B346"/>
      <c r="C346"/>
      <c r="D346"/>
      <c r="E346"/>
      <c r="F346"/>
      <c r="G346"/>
      <c r="H346"/>
      <c r="I346"/>
      <c r="J346"/>
      <c r="K346"/>
    </row>
    <row r="347" spans="1:11" ht="15.75">
      <c r="A347"/>
      <c r="B347"/>
      <c r="C347"/>
      <c r="D347"/>
      <c r="E347"/>
      <c r="F347"/>
      <c r="G347"/>
      <c r="H347"/>
      <c r="I347"/>
      <c r="J347"/>
      <c r="K347"/>
    </row>
    <row r="348" spans="1:11" ht="15.75">
      <c r="A348"/>
      <c r="B348"/>
      <c r="C348"/>
      <c r="D348"/>
      <c r="E348"/>
      <c r="F348"/>
      <c r="G348"/>
      <c r="H348"/>
      <c r="I348"/>
      <c r="J348"/>
      <c r="K348"/>
    </row>
    <row r="349" spans="1:11" ht="15.75">
      <c r="A349"/>
      <c r="B349"/>
      <c r="C349"/>
      <c r="D349"/>
      <c r="E349"/>
      <c r="F349"/>
      <c r="G349"/>
      <c r="H349"/>
      <c r="I349"/>
      <c r="J349"/>
      <c r="K349"/>
    </row>
    <row r="350" spans="1:11" ht="15.75">
      <c r="A350"/>
      <c r="B350"/>
      <c r="C350"/>
      <c r="D350"/>
      <c r="E350"/>
      <c r="F350"/>
      <c r="G350"/>
      <c r="H350"/>
      <c r="I350"/>
      <c r="J350"/>
      <c r="K350"/>
    </row>
    <row r="351" spans="1:11" ht="15.75">
      <c r="A351"/>
      <c r="B351"/>
      <c r="C351"/>
      <c r="D351"/>
      <c r="E351"/>
      <c r="F351"/>
      <c r="G351"/>
      <c r="H351"/>
      <c r="I351"/>
      <c r="J351"/>
      <c r="K351"/>
    </row>
    <row r="352" spans="1:11" ht="15.75">
      <c r="A352"/>
      <c r="B352"/>
      <c r="C352"/>
      <c r="D352"/>
      <c r="E352"/>
      <c r="F352"/>
      <c r="G352"/>
      <c r="H352"/>
      <c r="I352"/>
      <c r="J352"/>
      <c r="K352"/>
    </row>
    <row r="353" spans="1:11" ht="15.75">
      <c r="A353"/>
      <c r="B353"/>
      <c r="C353"/>
      <c r="D353"/>
      <c r="E353"/>
      <c r="F353"/>
      <c r="G353"/>
      <c r="H353"/>
      <c r="I353"/>
      <c r="J353"/>
      <c r="K353"/>
    </row>
    <row r="354" spans="1:11" ht="15.75">
      <c r="A354"/>
      <c r="B354"/>
      <c r="C354"/>
      <c r="D354"/>
      <c r="E354"/>
      <c r="F354"/>
      <c r="G354"/>
      <c r="H354"/>
      <c r="I354"/>
      <c r="J354"/>
      <c r="K354"/>
    </row>
    <row r="355" spans="1:11" ht="15.75">
      <c r="A355"/>
      <c r="B355"/>
      <c r="C355"/>
      <c r="D355"/>
      <c r="E355"/>
      <c r="F355"/>
      <c r="G355"/>
      <c r="H355"/>
      <c r="I355"/>
      <c r="J355"/>
      <c r="K355"/>
    </row>
    <row r="356" spans="1:11" ht="15.75">
      <c r="A356"/>
      <c r="B356"/>
      <c r="C356"/>
      <c r="D356"/>
      <c r="E356"/>
      <c r="F356"/>
      <c r="G356"/>
      <c r="H356"/>
      <c r="I356"/>
      <c r="J356"/>
      <c r="K356"/>
    </row>
    <row r="357" spans="1:11" ht="15.75">
      <c r="A357"/>
      <c r="B357"/>
      <c r="C357"/>
      <c r="D357"/>
      <c r="E357"/>
      <c r="F357"/>
      <c r="G357"/>
      <c r="H357"/>
      <c r="I357"/>
      <c r="J357"/>
      <c r="K357"/>
    </row>
    <row r="358" spans="1:11" ht="15.75">
      <c r="A358"/>
      <c r="B358"/>
      <c r="C358"/>
      <c r="D358"/>
      <c r="E358"/>
      <c r="F358"/>
      <c r="G358"/>
      <c r="H358"/>
      <c r="I358"/>
      <c r="J358"/>
      <c r="K358"/>
    </row>
    <row r="359" spans="1:11" ht="15.75">
      <c r="A359"/>
      <c r="B359"/>
      <c r="C359"/>
      <c r="D359"/>
      <c r="E359"/>
      <c r="F359"/>
      <c r="G359"/>
      <c r="H359"/>
      <c r="I359"/>
      <c r="J359"/>
      <c r="K359"/>
    </row>
    <row r="360" spans="1:11" ht="15.75">
      <c r="A360"/>
      <c r="B360"/>
      <c r="C360"/>
      <c r="D360"/>
      <c r="E360"/>
      <c r="F360"/>
      <c r="G360"/>
      <c r="H360"/>
      <c r="I360"/>
      <c r="J360"/>
      <c r="K360"/>
    </row>
    <row r="361" spans="1:11" ht="15.75">
      <c r="A361"/>
      <c r="B361"/>
      <c r="C361"/>
      <c r="D361"/>
      <c r="E361"/>
      <c r="F361"/>
      <c r="G361"/>
      <c r="H361"/>
      <c r="I361"/>
      <c r="J361"/>
      <c r="K361"/>
    </row>
    <row r="362" spans="1:11" ht="15.75">
      <c r="A362"/>
      <c r="B362"/>
      <c r="C362"/>
      <c r="D362"/>
      <c r="E362"/>
      <c r="F362"/>
      <c r="G362"/>
      <c r="H362"/>
      <c r="I362"/>
      <c r="J362"/>
      <c r="K362"/>
    </row>
    <row r="363" spans="1:11" ht="15.75">
      <c r="A363"/>
      <c r="B363"/>
      <c r="C363"/>
      <c r="D363"/>
      <c r="E363"/>
      <c r="F363"/>
      <c r="G363"/>
      <c r="H363"/>
      <c r="I363"/>
      <c r="J363"/>
      <c r="K363"/>
    </row>
    <row r="364" spans="1:11" ht="15.75">
      <c r="A364"/>
      <c r="B364"/>
      <c r="C364"/>
      <c r="D364"/>
      <c r="E364"/>
      <c r="F364"/>
      <c r="G364"/>
      <c r="H364"/>
      <c r="I364"/>
      <c r="J364"/>
      <c r="K364"/>
    </row>
    <row r="365" spans="1:11" ht="15.75">
      <c r="A365"/>
      <c r="B365"/>
      <c r="C365"/>
      <c r="D365"/>
      <c r="E365"/>
      <c r="F365"/>
      <c r="G365"/>
      <c r="H365"/>
      <c r="I365"/>
      <c r="J365"/>
      <c r="K365"/>
    </row>
    <row r="366" spans="1:11" ht="15.75">
      <c r="A366"/>
      <c r="B366"/>
      <c r="C366"/>
      <c r="D366"/>
      <c r="E366"/>
      <c r="F366"/>
      <c r="G366"/>
      <c r="H366"/>
      <c r="I366"/>
      <c r="J366"/>
      <c r="K366"/>
    </row>
    <row r="367" spans="1:11" ht="15.75">
      <c r="A367"/>
      <c r="B367"/>
      <c r="C367"/>
      <c r="D367"/>
      <c r="E367"/>
      <c r="F367"/>
      <c r="G367"/>
      <c r="H367"/>
      <c r="I367"/>
      <c r="J367"/>
      <c r="K367"/>
    </row>
    <row r="368" spans="1:11" ht="15.75">
      <c r="A368"/>
      <c r="B368"/>
      <c r="C368"/>
      <c r="D368"/>
      <c r="E368"/>
      <c r="F368"/>
      <c r="G368"/>
      <c r="H368"/>
      <c r="I368"/>
      <c r="J368"/>
      <c r="K368"/>
    </row>
    <row r="369" spans="1:11" ht="15.75">
      <c r="A369"/>
      <c r="B369"/>
      <c r="C369"/>
      <c r="D369"/>
      <c r="E369"/>
      <c r="F369"/>
      <c r="G369"/>
      <c r="H369"/>
      <c r="I369"/>
      <c r="J369"/>
      <c r="K369"/>
    </row>
    <row r="370" spans="1:11" ht="15.75">
      <c r="A370"/>
      <c r="B370"/>
      <c r="C370"/>
      <c r="D370"/>
      <c r="E370"/>
      <c r="F370"/>
      <c r="G370"/>
      <c r="H370"/>
      <c r="I370"/>
      <c r="J370"/>
      <c r="K370"/>
    </row>
    <row r="371" spans="1:11" ht="15.75">
      <c r="A371"/>
      <c r="B371"/>
      <c r="C371"/>
      <c r="D371"/>
      <c r="E371"/>
      <c r="F371"/>
      <c r="G371"/>
      <c r="H371"/>
      <c r="I371"/>
      <c r="J371"/>
      <c r="K371"/>
    </row>
    <row r="372" spans="1:11" ht="15.75">
      <c r="A372"/>
      <c r="B372"/>
      <c r="C372"/>
      <c r="D372"/>
      <c r="E372"/>
      <c r="F372"/>
      <c r="G372"/>
      <c r="H372"/>
      <c r="I372"/>
      <c r="J372"/>
      <c r="K372"/>
    </row>
    <row r="373" spans="1:11" ht="15.75">
      <c r="A373"/>
      <c r="B373"/>
      <c r="C373"/>
      <c r="D373"/>
      <c r="E373"/>
      <c r="F373"/>
      <c r="G373"/>
      <c r="H373"/>
      <c r="I373"/>
      <c r="J373"/>
      <c r="K373"/>
    </row>
    <row r="374" spans="1:11" ht="15.75">
      <c r="A374"/>
      <c r="B374"/>
      <c r="C374"/>
      <c r="D374"/>
      <c r="E374"/>
      <c r="F374"/>
      <c r="G374"/>
      <c r="H374"/>
      <c r="I374"/>
      <c r="J374"/>
      <c r="K374"/>
    </row>
    <row r="375" spans="1:11" ht="15.75">
      <c r="A375"/>
      <c r="B375"/>
      <c r="C375"/>
      <c r="D375"/>
      <c r="E375"/>
      <c r="F375"/>
      <c r="G375"/>
      <c r="H375"/>
      <c r="I375"/>
      <c r="J375"/>
      <c r="K375"/>
    </row>
    <row r="376" spans="1:11" ht="15.75">
      <c r="A376"/>
      <c r="B376"/>
      <c r="C376"/>
      <c r="D376"/>
      <c r="E376"/>
      <c r="F376"/>
      <c r="G376"/>
      <c r="H376"/>
      <c r="I376"/>
      <c r="J376"/>
      <c r="K376"/>
    </row>
    <row r="377" spans="1:11" ht="15.75">
      <c r="A377"/>
      <c r="B377"/>
      <c r="C377"/>
      <c r="D377"/>
      <c r="E377"/>
      <c r="F377"/>
      <c r="G377"/>
      <c r="H377"/>
      <c r="I377"/>
      <c r="J377"/>
      <c r="K377"/>
    </row>
    <row r="378" spans="1:11" ht="15.75">
      <c r="A378"/>
      <c r="B378"/>
      <c r="C378"/>
      <c r="D378"/>
      <c r="E378"/>
      <c r="F378"/>
      <c r="G378"/>
      <c r="H378"/>
      <c r="I378"/>
      <c r="J378"/>
      <c r="K378"/>
    </row>
    <row r="379" spans="1:11" ht="15.75">
      <c r="A379"/>
      <c r="B379"/>
      <c r="C379"/>
      <c r="D379"/>
      <c r="E379"/>
      <c r="F379"/>
      <c r="G379"/>
      <c r="H379"/>
      <c r="I379"/>
      <c r="J379"/>
      <c r="K379"/>
    </row>
    <row r="380" spans="1:11" ht="15.75">
      <c r="A380"/>
      <c r="B380"/>
      <c r="C380"/>
      <c r="D380"/>
      <c r="E380"/>
      <c r="F380"/>
      <c r="G380"/>
      <c r="H380"/>
      <c r="I380"/>
      <c r="J380"/>
      <c r="K380"/>
    </row>
    <row r="381" spans="1:11" ht="15.75">
      <c r="A381"/>
      <c r="B381"/>
      <c r="C381"/>
      <c r="D381"/>
      <c r="E381"/>
      <c r="F381"/>
      <c r="G381"/>
      <c r="H381"/>
      <c r="I381"/>
      <c r="J381"/>
      <c r="K381"/>
    </row>
    <row r="382" spans="1:11" ht="15.75">
      <c r="A382"/>
      <c r="B382"/>
      <c r="C382"/>
      <c r="D382"/>
      <c r="E382"/>
      <c r="F382"/>
      <c r="G382"/>
      <c r="H382"/>
      <c r="I382"/>
      <c r="J382"/>
      <c r="K382"/>
    </row>
    <row r="383" spans="1:11" ht="15.75">
      <c r="A383"/>
      <c r="B383"/>
      <c r="C383"/>
      <c r="D383"/>
      <c r="E383"/>
      <c r="F383"/>
      <c r="G383"/>
      <c r="H383"/>
      <c r="I383"/>
      <c r="J383"/>
      <c r="K383"/>
    </row>
    <row r="384" spans="1:11" ht="15.75">
      <c r="A384"/>
      <c r="B384"/>
      <c r="C384"/>
      <c r="D384"/>
      <c r="E384"/>
      <c r="F384"/>
      <c r="G384"/>
      <c r="H384"/>
      <c r="I384"/>
      <c r="J384"/>
      <c r="K384"/>
    </row>
    <row r="385" spans="1:11" ht="15.75">
      <c r="A385"/>
      <c r="B385"/>
      <c r="C385"/>
      <c r="D385"/>
      <c r="E385"/>
      <c r="F385"/>
      <c r="G385"/>
      <c r="H385"/>
      <c r="I385"/>
      <c r="J385"/>
      <c r="K385"/>
    </row>
    <row r="386" spans="1:11" ht="15.75">
      <c r="A386"/>
      <c r="B386"/>
      <c r="C386"/>
      <c r="D386"/>
      <c r="E386"/>
      <c r="F386"/>
      <c r="G386"/>
      <c r="H386"/>
      <c r="I386"/>
      <c r="J386"/>
      <c r="K386"/>
    </row>
    <row r="387" spans="1:11" ht="15.75">
      <c r="A387"/>
      <c r="B387"/>
      <c r="C387"/>
      <c r="D387"/>
      <c r="E387"/>
      <c r="F387"/>
      <c r="G387"/>
      <c r="H387"/>
      <c r="I387"/>
      <c r="J387"/>
      <c r="K387"/>
    </row>
    <row r="388" spans="1:11" ht="15.75">
      <c r="A388"/>
      <c r="B388"/>
      <c r="C388"/>
      <c r="D388"/>
      <c r="E388"/>
      <c r="F388"/>
      <c r="G388"/>
      <c r="H388"/>
      <c r="I388"/>
      <c r="J388"/>
      <c r="K388"/>
    </row>
    <row r="389" spans="1:11" ht="15.75">
      <c r="A389"/>
      <c r="B389"/>
      <c r="C389"/>
      <c r="D389"/>
      <c r="E389"/>
      <c r="F389"/>
      <c r="G389"/>
      <c r="H389"/>
      <c r="I389"/>
      <c r="J389"/>
      <c r="K389"/>
    </row>
    <row r="390" spans="1:11" ht="15.75">
      <c r="A390"/>
      <c r="B390"/>
      <c r="C390"/>
      <c r="D390"/>
      <c r="E390"/>
      <c r="F390"/>
      <c r="G390"/>
      <c r="H390"/>
      <c r="I390"/>
      <c r="J390"/>
      <c r="K390"/>
    </row>
    <row r="391" spans="1:11" ht="15.75">
      <c r="A391"/>
      <c r="B391"/>
      <c r="C391"/>
      <c r="D391"/>
      <c r="E391"/>
      <c r="F391"/>
      <c r="G391"/>
      <c r="H391"/>
      <c r="I391"/>
      <c r="J391"/>
      <c r="K391"/>
    </row>
    <row r="392" spans="1:11" ht="15.75">
      <c r="A392"/>
      <c r="B392"/>
      <c r="C392"/>
      <c r="D392"/>
      <c r="E392"/>
      <c r="F392"/>
      <c r="G392"/>
      <c r="H392"/>
      <c r="I392"/>
      <c r="J392"/>
      <c r="K392"/>
    </row>
    <row r="393" spans="1:11" ht="15.75">
      <c r="A393"/>
      <c r="B393"/>
      <c r="C393"/>
      <c r="D393"/>
      <c r="E393"/>
      <c r="F393"/>
      <c r="G393"/>
      <c r="H393"/>
      <c r="I393"/>
      <c r="J393"/>
      <c r="K393"/>
    </row>
    <row r="394" spans="1:11" ht="15.75">
      <c r="A394"/>
      <c r="B394"/>
      <c r="C394"/>
      <c r="D394"/>
      <c r="E394"/>
      <c r="F394"/>
      <c r="G394"/>
      <c r="H394"/>
      <c r="I394"/>
      <c r="J394"/>
      <c r="K394"/>
    </row>
    <row r="395" spans="1:11" ht="15.75">
      <c r="A395"/>
      <c r="B395"/>
      <c r="C395"/>
      <c r="D395"/>
      <c r="E395"/>
      <c r="F395"/>
      <c r="G395"/>
      <c r="H395"/>
      <c r="I395"/>
      <c r="J395"/>
      <c r="K395"/>
    </row>
    <row r="396" spans="1:11" ht="15.75">
      <c r="A396"/>
      <c r="B396"/>
      <c r="C396"/>
      <c r="D396"/>
      <c r="E396"/>
      <c r="F396"/>
      <c r="G396"/>
      <c r="H396"/>
      <c r="I396"/>
      <c r="J396"/>
      <c r="K396"/>
    </row>
    <row r="397" spans="1:11" ht="15.75">
      <c r="A397"/>
      <c r="B397"/>
      <c r="C397"/>
      <c r="D397"/>
      <c r="E397"/>
      <c r="F397"/>
      <c r="G397"/>
      <c r="H397"/>
      <c r="I397"/>
      <c r="J397"/>
      <c r="K397"/>
    </row>
    <row r="398" spans="1:11" ht="15.75">
      <c r="A398"/>
      <c r="B398"/>
      <c r="C398"/>
      <c r="D398"/>
      <c r="E398"/>
      <c r="F398"/>
      <c r="G398"/>
      <c r="H398"/>
      <c r="I398"/>
      <c r="J398"/>
      <c r="K398"/>
    </row>
    <row r="399" spans="1:11" ht="15.75">
      <c r="A399"/>
      <c r="B399"/>
      <c r="C399"/>
      <c r="D399"/>
      <c r="E399"/>
      <c r="F399"/>
      <c r="G399"/>
      <c r="H399"/>
      <c r="I399"/>
      <c r="J399"/>
      <c r="K399"/>
    </row>
    <row r="400" spans="1:11" ht="15.75">
      <c r="A400"/>
      <c r="B400"/>
      <c r="C400"/>
      <c r="D400"/>
      <c r="E400"/>
      <c r="F400"/>
      <c r="G400"/>
      <c r="H400"/>
      <c r="I400"/>
      <c r="J400"/>
      <c r="K400"/>
    </row>
    <row r="401" spans="1:11" ht="15.75">
      <c r="A401"/>
      <c r="B401"/>
      <c r="C401"/>
      <c r="D401"/>
      <c r="E401"/>
      <c r="F401"/>
      <c r="G401"/>
      <c r="H401"/>
      <c r="I401"/>
      <c r="J401"/>
      <c r="K401"/>
    </row>
    <row r="402" spans="1:11" ht="15.75">
      <c r="A402"/>
      <c r="B402"/>
      <c r="C402"/>
      <c r="D402"/>
      <c r="E402"/>
      <c r="F402"/>
      <c r="G402"/>
      <c r="H402"/>
      <c r="I402"/>
      <c r="J402"/>
      <c r="K402"/>
    </row>
    <row r="403" spans="1:11" ht="15.75">
      <c r="A403"/>
      <c r="B403"/>
      <c r="C403"/>
      <c r="D403"/>
      <c r="E403"/>
      <c r="F403"/>
      <c r="G403"/>
      <c r="H403"/>
      <c r="I403"/>
      <c r="J403"/>
      <c r="K403"/>
    </row>
    <row r="404" spans="1:11" ht="15.75">
      <c r="A404"/>
      <c r="B404"/>
      <c r="C404"/>
      <c r="D404"/>
      <c r="E404"/>
      <c r="F404"/>
      <c r="G404"/>
      <c r="H404"/>
      <c r="I404"/>
      <c r="J404"/>
      <c r="K404"/>
    </row>
    <row r="405" spans="1:11" ht="15.75">
      <c r="A405"/>
      <c r="B405"/>
      <c r="C405"/>
      <c r="D405"/>
      <c r="E405"/>
      <c r="F405"/>
      <c r="G405"/>
      <c r="H405"/>
      <c r="I405"/>
      <c r="J405"/>
      <c r="K405"/>
    </row>
    <row r="406" spans="1:11" ht="15.75">
      <c r="A406"/>
      <c r="B406"/>
      <c r="C406"/>
      <c r="D406"/>
      <c r="E406"/>
      <c r="F406"/>
      <c r="G406"/>
      <c r="H406"/>
      <c r="I406"/>
      <c r="J406"/>
      <c r="K406"/>
    </row>
    <row r="407" spans="1:11" ht="15.75">
      <c r="A407"/>
      <c r="B407"/>
      <c r="C407"/>
      <c r="D407"/>
      <c r="E407"/>
      <c r="F407"/>
      <c r="G407"/>
      <c r="H407"/>
      <c r="I407"/>
      <c r="J407"/>
      <c r="K407"/>
    </row>
    <row r="408" spans="1:11" ht="15.75">
      <c r="A408"/>
      <c r="B408"/>
      <c r="C408"/>
      <c r="D408"/>
      <c r="E408"/>
      <c r="F408"/>
      <c r="G408"/>
      <c r="H408"/>
      <c r="I408"/>
      <c r="J408"/>
      <c r="K408"/>
    </row>
    <row r="409" spans="1:11" ht="15.75">
      <c r="A409"/>
      <c r="B409"/>
      <c r="C409"/>
      <c r="D409"/>
      <c r="E409"/>
      <c r="F409"/>
      <c r="G409"/>
      <c r="H409"/>
      <c r="I409"/>
      <c r="J409"/>
      <c r="K409"/>
    </row>
    <row r="410" spans="1:11" ht="15.75">
      <c r="A410"/>
      <c r="B410"/>
      <c r="C410"/>
      <c r="D410"/>
      <c r="E410"/>
      <c r="F410"/>
      <c r="G410"/>
      <c r="H410"/>
      <c r="I410"/>
      <c r="J410"/>
      <c r="K410"/>
    </row>
    <row r="411" spans="1:11" ht="15.75">
      <c r="A411"/>
      <c r="B411"/>
      <c r="C411"/>
      <c r="D411"/>
      <c r="E411"/>
      <c r="F411"/>
      <c r="G411"/>
      <c r="H411"/>
      <c r="I411"/>
      <c r="J411"/>
      <c r="K411"/>
    </row>
    <row r="412" spans="1:11" ht="15.75">
      <c r="A412"/>
      <c r="B412"/>
      <c r="C412"/>
      <c r="D412"/>
      <c r="E412"/>
      <c r="F412"/>
      <c r="G412"/>
      <c r="H412"/>
      <c r="I412"/>
      <c r="J412"/>
      <c r="K412"/>
    </row>
    <row r="413" spans="1:11" ht="15.75">
      <c r="A413"/>
      <c r="B413"/>
      <c r="C413"/>
      <c r="D413"/>
      <c r="E413"/>
      <c r="F413"/>
      <c r="G413"/>
      <c r="H413"/>
      <c r="I413"/>
      <c r="J413"/>
      <c r="K413"/>
    </row>
    <row r="414" spans="1:11" ht="15.75">
      <c r="A414"/>
      <c r="B414"/>
      <c r="C414"/>
      <c r="D414"/>
      <c r="E414"/>
      <c r="F414"/>
      <c r="G414"/>
      <c r="H414"/>
      <c r="I414"/>
      <c r="J414"/>
      <c r="K414"/>
    </row>
    <row r="415" spans="1:11" ht="15.75">
      <c r="A415"/>
      <c r="B415"/>
      <c r="C415"/>
      <c r="D415"/>
      <c r="E415"/>
      <c r="F415"/>
      <c r="G415"/>
      <c r="H415"/>
      <c r="I415"/>
      <c r="J415"/>
      <c r="K415"/>
    </row>
    <row r="416" spans="1:11" ht="15.75">
      <c r="A416"/>
      <c r="B416"/>
      <c r="C416"/>
      <c r="D416"/>
      <c r="E416"/>
      <c r="F416"/>
      <c r="G416"/>
      <c r="H416"/>
      <c r="I416"/>
      <c r="J416"/>
      <c r="K416"/>
    </row>
    <row r="417" spans="1:11" ht="15.75">
      <c r="A417"/>
      <c r="B417"/>
      <c r="C417"/>
      <c r="D417"/>
      <c r="E417"/>
      <c r="F417"/>
      <c r="G417"/>
      <c r="H417"/>
      <c r="I417"/>
      <c r="J417"/>
      <c r="K417"/>
    </row>
    <row r="418" spans="1:11" ht="15.75">
      <c r="A418"/>
      <c r="B418"/>
      <c r="C418"/>
      <c r="D418"/>
      <c r="E418"/>
      <c r="F418"/>
      <c r="G418"/>
      <c r="H418"/>
      <c r="I418"/>
      <c r="J418"/>
      <c r="K418"/>
    </row>
    <row r="419" spans="1:11" ht="15.75">
      <c r="A419"/>
      <c r="B419"/>
      <c r="C419"/>
      <c r="D419"/>
      <c r="E419"/>
      <c r="F419"/>
      <c r="G419"/>
      <c r="H419"/>
      <c r="I419"/>
      <c r="J419"/>
      <c r="K419"/>
    </row>
    <row r="420" spans="1:11" ht="15.75">
      <c r="A420"/>
      <c r="B420"/>
      <c r="C420"/>
      <c r="D420"/>
      <c r="E420"/>
      <c r="F420"/>
      <c r="G420"/>
      <c r="H420"/>
      <c r="I420"/>
      <c r="J420"/>
      <c r="K420"/>
    </row>
    <row r="421" spans="1:11" ht="15.75">
      <c r="A421"/>
      <c r="B421"/>
      <c r="C421"/>
      <c r="D421"/>
      <c r="E421"/>
      <c r="F421"/>
      <c r="G421"/>
      <c r="H421"/>
      <c r="I421"/>
      <c r="J421"/>
      <c r="K421"/>
    </row>
    <row r="422" spans="1:11" ht="15.75">
      <c r="A422"/>
      <c r="B422"/>
      <c r="C422"/>
      <c r="D422"/>
      <c r="E422"/>
      <c r="F422"/>
      <c r="G422"/>
      <c r="H422"/>
      <c r="I422"/>
      <c r="J422"/>
      <c r="K422"/>
    </row>
    <row r="423" spans="1:11" ht="15.75">
      <c r="A423"/>
      <c r="B423"/>
      <c r="C423"/>
      <c r="D423"/>
      <c r="E423"/>
      <c r="F423"/>
      <c r="G423"/>
      <c r="H423"/>
      <c r="I423"/>
      <c r="J423"/>
      <c r="K423"/>
    </row>
    <row r="424" spans="1:11" ht="15.75">
      <c r="A424"/>
      <c r="B424"/>
      <c r="C424"/>
      <c r="D424"/>
      <c r="E424"/>
      <c r="F424"/>
      <c r="G424"/>
      <c r="H424"/>
      <c r="I424"/>
      <c r="J424"/>
      <c r="K424"/>
    </row>
    <row r="425" spans="1:11" ht="15.75">
      <c r="A425"/>
      <c r="B425"/>
      <c r="C425"/>
      <c r="D425"/>
      <c r="E425"/>
      <c r="F425"/>
      <c r="G425"/>
      <c r="H425"/>
      <c r="I425"/>
      <c r="J425"/>
      <c r="K425"/>
    </row>
    <row r="426" spans="1:11" ht="15.75">
      <c r="A426"/>
      <c r="B426"/>
      <c r="C426"/>
      <c r="D426"/>
      <c r="E426"/>
      <c r="F426"/>
      <c r="G426"/>
      <c r="H426"/>
      <c r="I426"/>
      <c r="J426"/>
      <c r="K426"/>
    </row>
    <row r="427" spans="1:11" ht="15.75">
      <c r="A427"/>
      <c r="B427"/>
      <c r="C427"/>
      <c r="D427"/>
      <c r="E427"/>
      <c r="F427"/>
      <c r="G427"/>
      <c r="H427"/>
      <c r="I427"/>
      <c r="J427"/>
      <c r="K427"/>
    </row>
    <row r="428" spans="1:11" ht="15.75">
      <c r="A428"/>
      <c r="B428"/>
      <c r="C428"/>
      <c r="D428"/>
      <c r="E428"/>
      <c r="F428"/>
      <c r="G428"/>
      <c r="H428"/>
      <c r="I428"/>
      <c r="J428"/>
      <c r="K428"/>
    </row>
    <row r="429" spans="1:11" ht="15.75">
      <c r="A429"/>
      <c r="B429"/>
      <c r="C429"/>
      <c r="D429"/>
      <c r="E429"/>
      <c r="F429"/>
      <c r="G429"/>
      <c r="H429"/>
      <c r="I429"/>
      <c r="J429"/>
      <c r="K429"/>
    </row>
    <row r="430" spans="1:11" ht="15.75">
      <c r="A430"/>
      <c r="B430"/>
      <c r="C430"/>
      <c r="D430"/>
      <c r="E430"/>
      <c r="F430"/>
      <c r="G430"/>
      <c r="H430"/>
      <c r="I430"/>
      <c r="J430"/>
      <c r="K430"/>
    </row>
    <row r="431" spans="1:11" ht="15.75">
      <c r="A431"/>
      <c r="B431"/>
      <c r="C431"/>
      <c r="D431"/>
      <c r="E431"/>
      <c r="F431"/>
      <c r="G431"/>
      <c r="H431"/>
      <c r="I431"/>
      <c r="J431"/>
      <c r="K431"/>
    </row>
    <row r="432" spans="1:11" ht="15.75">
      <c r="A432"/>
      <c r="B432"/>
      <c r="C432"/>
      <c r="D432"/>
      <c r="E432"/>
      <c r="F432"/>
      <c r="G432"/>
      <c r="H432"/>
      <c r="I432"/>
      <c r="J432"/>
      <c r="K432"/>
    </row>
    <row r="433" spans="1:11" ht="15.75">
      <c r="A433"/>
      <c r="B433"/>
      <c r="C433"/>
      <c r="D433"/>
      <c r="E433"/>
      <c r="F433"/>
      <c r="G433"/>
      <c r="H433"/>
      <c r="I433"/>
      <c r="J433"/>
      <c r="K433"/>
    </row>
    <row r="434" spans="1:11" ht="15.75">
      <c r="A434"/>
      <c r="B434"/>
      <c r="C434"/>
      <c r="D434"/>
      <c r="E434"/>
      <c r="F434"/>
      <c r="G434"/>
      <c r="H434"/>
      <c r="I434"/>
      <c r="J434"/>
      <c r="K434"/>
    </row>
    <row r="435" spans="1:11" ht="15.75">
      <c r="A435"/>
      <c r="B435"/>
      <c r="C435"/>
      <c r="D435"/>
      <c r="E435"/>
      <c r="F435"/>
      <c r="G435"/>
      <c r="H435"/>
      <c r="I435"/>
      <c r="J435"/>
      <c r="K435"/>
    </row>
    <row r="436" spans="1:11" ht="15.75">
      <c r="A436"/>
      <c r="B436"/>
      <c r="C436"/>
      <c r="D436"/>
      <c r="E436"/>
      <c r="F436"/>
      <c r="G436"/>
      <c r="H436"/>
      <c r="I436"/>
      <c r="J436"/>
      <c r="K436"/>
    </row>
    <row r="437" spans="1:11" ht="15.75">
      <c r="A437"/>
      <c r="B437"/>
      <c r="C437"/>
      <c r="D437"/>
      <c r="E437"/>
      <c r="F437"/>
      <c r="G437"/>
      <c r="H437"/>
      <c r="I437"/>
      <c r="J437"/>
      <c r="K437"/>
    </row>
    <row r="438" spans="1:11" ht="15.75">
      <c r="A438"/>
      <c r="B438"/>
      <c r="C438"/>
      <c r="D438"/>
      <c r="E438"/>
      <c r="F438"/>
      <c r="G438"/>
      <c r="H438"/>
      <c r="I438"/>
      <c r="J438"/>
      <c r="K438"/>
    </row>
    <row r="439" spans="1:11" ht="15.75">
      <c r="A439"/>
      <c r="B439"/>
      <c r="C439"/>
      <c r="D439"/>
      <c r="E439"/>
      <c r="F439"/>
      <c r="G439"/>
      <c r="H439"/>
      <c r="I439"/>
      <c r="J439"/>
      <c r="K439"/>
    </row>
    <row r="440" spans="1:11" ht="15.75">
      <c r="A440"/>
      <c r="B440"/>
      <c r="C440"/>
      <c r="D440"/>
      <c r="E440"/>
      <c r="F440"/>
      <c r="G440"/>
      <c r="H440"/>
      <c r="I440"/>
      <c r="J440"/>
      <c r="K440"/>
    </row>
    <row r="441" spans="1:11" ht="15.75">
      <c r="A441"/>
      <c r="B441"/>
      <c r="C441"/>
      <c r="D441"/>
      <c r="E441"/>
      <c r="F441"/>
      <c r="G441"/>
      <c r="H441"/>
      <c r="I441"/>
      <c r="J441"/>
      <c r="K441"/>
    </row>
    <row r="442" spans="1:11" ht="15.75">
      <c r="A442"/>
      <c r="B442"/>
      <c r="C442"/>
      <c r="D442"/>
      <c r="E442"/>
      <c r="F442"/>
      <c r="G442"/>
      <c r="H442"/>
      <c r="I442"/>
      <c r="J442"/>
      <c r="K442"/>
    </row>
    <row r="443" spans="1:11" ht="15.75">
      <c r="A443"/>
      <c r="B443"/>
      <c r="C443"/>
      <c r="D443"/>
      <c r="E443"/>
      <c r="F443"/>
      <c r="G443"/>
      <c r="H443"/>
      <c r="I443"/>
      <c r="J443"/>
      <c r="K443"/>
    </row>
    <row r="444" spans="1:11" ht="15.75">
      <c r="A444"/>
      <c r="B444"/>
      <c r="C444"/>
      <c r="D444"/>
      <c r="E444"/>
      <c r="F444"/>
      <c r="G444"/>
      <c r="H444"/>
      <c r="I444"/>
      <c r="J444"/>
      <c r="K444"/>
    </row>
    <row r="445" spans="1:11" ht="15.75">
      <c r="A445"/>
      <c r="B445"/>
      <c r="C445"/>
      <c r="D445"/>
      <c r="E445"/>
      <c r="F445"/>
      <c r="G445"/>
      <c r="H445"/>
      <c r="I445"/>
      <c r="J445"/>
      <c r="K445"/>
    </row>
    <row r="446" spans="1:11" ht="15.75">
      <c r="A446"/>
      <c r="B446"/>
      <c r="C446"/>
      <c r="D446"/>
      <c r="E446"/>
      <c r="F446"/>
      <c r="G446"/>
      <c r="H446"/>
      <c r="I446"/>
      <c r="J446"/>
      <c r="K446"/>
    </row>
    <row r="447" spans="1:11" ht="15.75">
      <c r="A447"/>
      <c r="B447"/>
      <c r="C447"/>
      <c r="D447"/>
      <c r="E447"/>
      <c r="F447"/>
      <c r="G447"/>
      <c r="H447"/>
      <c r="I447"/>
      <c r="J447"/>
      <c r="K447"/>
    </row>
    <row r="448" spans="1:11" ht="15.75">
      <c r="A448"/>
      <c r="B448"/>
      <c r="C448"/>
      <c r="D448"/>
      <c r="E448"/>
      <c r="F448"/>
      <c r="G448"/>
      <c r="H448"/>
      <c r="I448"/>
      <c r="J448"/>
      <c r="K448"/>
    </row>
    <row r="449" spans="1:11" ht="15.75">
      <c r="A449"/>
      <c r="B449"/>
      <c r="C449"/>
      <c r="D449"/>
      <c r="E449"/>
      <c r="F449"/>
      <c r="G449"/>
      <c r="H449"/>
      <c r="I449"/>
      <c r="J449"/>
      <c r="K449"/>
    </row>
    <row r="450" spans="1:11" ht="15.75">
      <c r="A450"/>
      <c r="B450"/>
      <c r="C450"/>
      <c r="D450"/>
      <c r="E450"/>
      <c r="F450"/>
      <c r="G450"/>
      <c r="H450"/>
      <c r="I450"/>
      <c r="J450"/>
      <c r="K450"/>
    </row>
    <row r="451" spans="1:11" ht="15.75">
      <c r="A451"/>
      <c r="B451"/>
      <c r="C451"/>
      <c r="D451"/>
      <c r="E451"/>
      <c r="F451"/>
      <c r="G451"/>
      <c r="H451"/>
      <c r="I451"/>
      <c r="J451"/>
      <c r="K451"/>
    </row>
    <row r="452" spans="1:11" ht="15.75">
      <c r="A452"/>
      <c r="B452"/>
      <c r="C452"/>
      <c r="D452"/>
      <c r="E452"/>
      <c r="F452"/>
      <c r="G452"/>
      <c r="H452"/>
      <c r="I452"/>
      <c r="J452"/>
      <c r="K452"/>
    </row>
    <row r="453" spans="1:11" ht="15.75">
      <c r="A453"/>
      <c r="B453"/>
      <c r="C453"/>
      <c r="D453"/>
      <c r="E453"/>
      <c r="F453"/>
      <c r="G453"/>
      <c r="H453"/>
      <c r="I453"/>
      <c r="J453"/>
      <c r="K453"/>
    </row>
    <row r="454" spans="1:11" ht="15.75">
      <c r="A454"/>
      <c r="B454"/>
      <c r="C454"/>
      <c r="D454"/>
      <c r="E454"/>
      <c r="F454"/>
      <c r="G454"/>
      <c r="H454"/>
      <c r="I454"/>
      <c r="J454"/>
      <c r="K454"/>
    </row>
    <row r="455" spans="1:11" ht="15.75">
      <c r="A455"/>
      <c r="B455"/>
      <c r="C455"/>
      <c r="D455"/>
      <c r="E455"/>
      <c r="F455"/>
      <c r="G455"/>
      <c r="H455"/>
      <c r="I455"/>
      <c r="J455"/>
      <c r="K455"/>
    </row>
    <row r="456" spans="1:11" ht="15.75">
      <c r="A456"/>
      <c r="B456"/>
      <c r="C456"/>
      <c r="D456"/>
      <c r="E456"/>
      <c r="F456"/>
      <c r="G456"/>
      <c r="H456"/>
      <c r="I456"/>
      <c r="J456"/>
      <c r="K456"/>
    </row>
    <row r="457" spans="1:11" ht="15.75">
      <c r="A457"/>
      <c r="B457"/>
      <c r="C457"/>
      <c r="D457"/>
      <c r="E457"/>
      <c r="F457"/>
      <c r="G457"/>
      <c r="H457"/>
      <c r="I457"/>
      <c r="J457"/>
      <c r="K457"/>
    </row>
    <row r="458" spans="1:11" ht="15.75">
      <c r="A458"/>
      <c r="B458"/>
      <c r="C458"/>
      <c r="D458"/>
      <c r="E458"/>
      <c r="F458"/>
      <c r="G458"/>
      <c r="H458"/>
      <c r="I458"/>
      <c r="J458"/>
      <c r="K458"/>
    </row>
    <row r="459" spans="1:11" ht="15.75">
      <c r="A459"/>
      <c r="B459"/>
      <c r="C459"/>
      <c r="D459"/>
      <c r="E459"/>
      <c r="F459"/>
      <c r="G459"/>
      <c r="H459"/>
      <c r="I459"/>
      <c r="J459"/>
      <c r="K459"/>
    </row>
    <row r="460" spans="1:11" ht="15.75">
      <c r="A460"/>
      <c r="B460"/>
      <c r="C460"/>
      <c r="D460"/>
      <c r="E460"/>
      <c r="F460"/>
      <c r="G460"/>
      <c r="H460"/>
      <c r="I460"/>
      <c r="J460"/>
      <c r="K460"/>
    </row>
    <row r="461" spans="1:11" ht="15.75">
      <c r="A461"/>
      <c r="B461"/>
      <c r="C461"/>
      <c r="D461"/>
      <c r="E461"/>
      <c r="F461"/>
      <c r="G461"/>
      <c r="H461"/>
      <c r="I461"/>
      <c r="J461"/>
      <c r="K461"/>
    </row>
    <row r="462" spans="1:11" ht="15.75">
      <c r="A462"/>
      <c r="B462"/>
      <c r="C462"/>
      <c r="D462"/>
      <c r="E462"/>
      <c r="F462"/>
      <c r="G462"/>
      <c r="H462"/>
      <c r="I462"/>
      <c r="J462"/>
      <c r="K462"/>
    </row>
    <row r="463" spans="1:11" ht="15.75">
      <c r="A463"/>
      <c r="B463"/>
      <c r="C463"/>
      <c r="D463"/>
      <c r="E463"/>
      <c r="F463"/>
      <c r="G463"/>
      <c r="H463"/>
      <c r="I463"/>
      <c r="J463"/>
      <c r="K463"/>
    </row>
    <row r="464" spans="1:11" ht="15.75">
      <c r="A464"/>
      <c r="B464"/>
      <c r="C464"/>
      <c r="D464"/>
      <c r="E464"/>
      <c r="F464"/>
      <c r="G464"/>
      <c r="H464"/>
      <c r="I464"/>
      <c r="J464"/>
      <c r="K464"/>
    </row>
    <row r="465" spans="1:11" ht="15.75">
      <c r="A465"/>
      <c r="B465"/>
      <c r="C465"/>
      <c r="D465"/>
      <c r="E465"/>
      <c r="F465"/>
      <c r="G465"/>
      <c r="H465"/>
      <c r="I465"/>
      <c r="J465"/>
      <c r="K465"/>
    </row>
    <row r="466" spans="1:11" ht="15.75">
      <c r="A466"/>
      <c r="B466"/>
      <c r="C466"/>
      <c r="D466"/>
      <c r="E466"/>
      <c r="F466"/>
      <c r="G466"/>
      <c r="H466"/>
      <c r="I466"/>
      <c r="J466"/>
      <c r="K466"/>
    </row>
    <row r="467" spans="1:11" ht="15.75">
      <c r="A467"/>
      <c r="B467"/>
      <c r="C467"/>
      <c r="D467"/>
      <c r="E467"/>
      <c r="F467"/>
      <c r="G467"/>
      <c r="H467"/>
      <c r="I467"/>
      <c r="J467"/>
      <c r="K467"/>
    </row>
    <row r="468" spans="1:11" ht="15.75">
      <c r="A468"/>
      <c r="B468"/>
      <c r="C468"/>
      <c r="D468"/>
      <c r="E468"/>
      <c r="F468"/>
      <c r="G468"/>
      <c r="H468"/>
      <c r="I468"/>
      <c r="J468"/>
      <c r="K468"/>
    </row>
    <row r="469" spans="1:11" ht="15.75">
      <c r="A469"/>
      <c r="B469"/>
      <c r="C469"/>
      <c r="D469"/>
      <c r="E469"/>
      <c r="F469"/>
      <c r="G469"/>
      <c r="H469"/>
      <c r="I469"/>
      <c r="J469"/>
      <c r="K469"/>
    </row>
    <row r="470" spans="1:11" ht="15.75">
      <c r="A470"/>
      <c r="B470"/>
      <c r="C470"/>
      <c r="D470"/>
      <c r="E470"/>
      <c r="F470"/>
      <c r="G470"/>
      <c r="H470"/>
      <c r="I470"/>
      <c r="J470"/>
      <c r="K470"/>
    </row>
    <row r="471" spans="1:11" ht="15.75">
      <c r="A471"/>
      <c r="B471"/>
      <c r="C471"/>
      <c r="D471"/>
      <c r="E471"/>
      <c r="F471"/>
      <c r="G471"/>
      <c r="H471"/>
      <c r="I471"/>
      <c r="J471"/>
      <c r="K471"/>
    </row>
    <row r="472" spans="1:11" ht="15.75">
      <c r="A472"/>
      <c r="B472"/>
      <c r="C472"/>
      <c r="D472"/>
      <c r="E472"/>
      <c r="F472"/>
      <c r="G472"/>
      <c r="H472"/>
      <c r="I472"/>
      <c r="J472"/>
      <c r="K472"/>
    </row>
    <row r="473" spans="1:11" ht="15.75">
      <c r="A473"/>
      <c r="B473"/>
      <c r="C473"/>
      <c r="D473"/>
      <c r="E473"/>
      <c r="F473"/>
      <c r="G473"/>
      <c r="H473"/>
      <c r="I473"/>
      <c r="J473"/>
      <c r="K473"/>
    </row>
    <row r="474" spans="1:11" ht="15.75">
      <c r="A474"/>
      <c r="B474"/>
      <c r="C474"/>
      <c r="D474"/>
      <c r="E474"/>
      <c r="F474"/>
      <c r="G474"/>
      <c r="H474"/>
      <c r="I474"/>
      <c r="J474"/>
      <c r="K474"/>
    </row>
    <row r="475" spans="1:11" ht="15.75">
      <c r="A475"/>
      <c r="B475"/>
      <c r="C475"/>
      <c r="D475"/>
      <c r="E475"/>
      <c r="F475"/>
      <c r="G475"/>
      <c r="H475"/>
      <c r="I475"/>
      <c r="J475"/>
      <c r="K475"/>
    </row>
    <row r="476" spans="1:11" ht="15.75">
      <c r="A476"/>
      <c r="B476"/>
      <c r="C476"/>
      <c r="D476"/>
      <c r="E476"/>
      <c r="F476"/>
      <c r="G476"/>
      <c r="H476"/>
      <c r="I476"/>
      <c r="J476"/>
      <c r="K476"/>
    </row>
    <row r="477" spans="1:11" ht="15.75">
      <c r="A477"/>
      <c r="B477"/>
      <c r="C477"/>
      <c r="D477"/>
      <c r="E477"/>
      <c r="F477"/>
      <c r="G477"/>
      <c r="H477"/>
      <c r="I477"/>
      <c r="J477"/>
      <c r="K477"/>
    </row>
    <row r="478" spans="1:11" ht="15.75">
      <c r="A478"/>
      <c r="B478"/>
      <c r="C478"/>
      <c r="D478"/>
      <c r="E478"/>
      <c r="F478"/>
      <c r="G478"/>
      <c r="H478"/>
      <c r="I478"/>
      <c r="J478"/>
      <c r="K478"/>
    </row>
    <row r="479" spans="1:11" ht="15.75">
      <c r="A479"/>
      <c r="B479"/>
      <c r="C479"/>
      <c r="D479"/>
      <c r="E479"/>
      <c r="F479"/>
      <c r="G479"/>
      <c r="H479"/>
      <c r="I479"/>
      <c r="J479"/>
      <c r="K479"/>
    </row>
    <row r="480" spans="1:11" ht="15.75">
      <c r="A480"/>
      <c r="B480"/>
      <c r="C480"/>
      <c r="D480"/>
      <c r="E480"/>
      <c r="F480"/>
      <c r="G480"/>
      <c r="H480"/>
      <c r="I480"/>
      <c r="J480"/>
      <c r="K480"/>
    </row>
    <row r="481" spans="1:11" ht="15.75">
      <c r="A481"/>
      <c r="B481"/>
      <c r="C481"/>
      <c r="D481"/>
      <c r="E481"/>
      <c r="F481"/>
      <c r="G481"/>
      <c r="H481"/>
      <c r="I481"/>
      <c r="J481"/>
      <c r="K481"/>
    </row>
    <row r="482" spans="1:11" ht="15.75">
      <c r="A482"/>
      <c r="B482"/>
      <c r="C482"/>
      <c r="D482"/>
      <c r="E482"/>
      <c r="F482"/>
      <c r="G482"/>
      <c r="H482"/>
      <c r="I482"/>
      <c r="J482"/>
      <c r="K482"/>
    </row>
    <row r="483" spans="1:11" ht="15.75">
      <c r="A483"/>
      <c r="B483"/>
      <c r="C483"/>
      <c r="D483"/>
      <c r="E483"/>
      <c r="F483"/>
      <c r="G483"/>
      <c r="H483"/>
      <c r="I483"/>
      <c r="J483"/>
      <c r="K483"/>
    </row>
    <row r="484" spans="1:11" ht="15.75">
      <c r="A484"/>
      <c r="B484"/>
      <c r="C484"/>
      <c r="D484"/>
      <c r="E484"/>
      <c r="F484"/>
      <c r="G484"/>
      <c r="H484"/>
      <c r="I484"/>
      <c r="J484"/>
      <c r="K484"/>
    </row>
    <row r="485" spans="1:11" ht="15.75">
      <c r="A485"/>
      <c r="B485"/>
      <c r="C485"/>
      <c r="D485"/>
      <c r="E485"/>
      <c r="F485"/>
      <c r="G485"/>
      <c r="H485"/>
      <c r="I485"/>
      <c r="J485"/>
      <c r="K485"/>
    </row>
    <row r="486" spans="1:11" ht="15.75">
      <c r="A486"/>
      <c r="B486"/>
      <c r="C486"/>
      <c r="D486"/>
      <c r="E486"/>
      <c r="F486"/>
      <c r="G486"/>
      <c r="H486"/>
      <c r="I486"/>
      <c r="J486"/>
      <c r="K486"/>
    </row>
    <row r="487" spans="1:11" ht="15.75">
      <c r="A487"/>
      <c r="B487"/>
      <c r="C487"/>
      <c r="D487"/>
      <c r="E487"/>
      <c r="F487"/>
      <c r="G487"/>
      <c r="H487"/>
      <c r="I487"/>
      <c r="J487"/>
      <c r="K487"/>
    </row>
    <row r="488" spans="1:11" ht="15.75">
      <c r="A488"/>
      <c r="B488"/>
      <c r="C488"/>
      <c r="D488"/>
      <c r="E488"/>
      <c r="F488"/>
      <c r="G488"/>
      <c r="H488"/>
      <c r="I488"/>
      <c r="J488"/>
      <c r="K488"/>
    </row>
    <row r="489" spans="1:11" ht="15.75">
      <c r="A489"/>
      <c r="B489"/>
      <c r="C489"/>
      <c r="D489"/>
      <c r="E489"/>
      <c r="F489"/>
      <c r="G489"/>
      <c r="H489"/>
      <c r="I489"/>
      <c r="J489"/>
      <c r="K489"/>
    </row>
    <row r="490" spans="1:11" ht="15.75">
      <c r="A490"/>
      <c r="B490"/>
      <c r="C490"/>
      <c r="D490"/>
      <c r="E490"/>
      <c r="F490"/>
      <c r="G490"/>
      <c r="H490"/>
      <c r="I490"/>
      <c r="J490"/>
      <c r="K490"/>
    </row>
    <row r="491" spans="1:11" ht="15.75">
      <c r="A491"/>
      <c r="B491"/>
      <c r="C491"/>
      <c r="D491"/>
      <c r="E491"/>
      <c r="F491"/>
      <c r="G491"/>
      <c r="H491"/>
      <c r="I491"/>
      <c r="J491"/>
      <c r="K491"/>
    </row>
    <row r="492" spans="1:11" ht="15.75">
      <c r="A492"/>
      <c r="B492"/>
      <c r="C492"/>
      <c r="D492"/>
      <c r="E492"/>
      <c r="F492"/>
      <c r="G492"/>
      <c r="H492"/>
      <c r="I492"/>
      <c r="J492"/>
      <c r="K492"/>
    </row>
    <row r="493" spans="1:11" ht="15.75">
      <c r="A493"/>
      <c r="B493"/>
      <c r="C493"/>
      <c r="D493"/>
      <c r="E493"/>
      <c r="F493"/>
      <c r="G493"/>
      <c r="H493"/>
      <c r="I493"/>
      <c r="J493"/>
      <c r="K493"/>
    </row>
    <row r="494" spans="1:11" ht="15.75">
      <c r="A494"/>
      <c r="B494"/>
      <c r="C494"/>
      <c r="D494"/>
      <c r="E494"/>
      <c r="F494"/>
      <c r="G494"/>
      <c r="H494"/>
      <c r="I494"/>
      <c r="J494"/>
      <c r="K494"/>
    </row>
    <row r="495" spans="1:11" ht="15.75">
      <c r="A495"/>
      <c r="B495"/>
      <c r="C495"/>
      <c r="D495"/>
      <c r="E495"/>
      <c r="F495"/>
      <c r="G495"/>
      <c r="H495"/>
      <c r="I495"/>
      <c r="J495"/>
      <c r="K495"/>
    </row>
    <row r="496" spans="1:11" ht="15.75">
      <c r="A496"/>
      <c r="B496"/>
      <c r="C496"/>
      <c r="D496"/>
      <c r="E496"/>
      <c r="F496"/>
      <c r="G496"/>
      <c r="H496"/>
      <c r="I496"/>
      <c r="J496"/>
      <c r="K496"/>
    </row>
    <row r="497" spans="1:11" ht="15.75">
      <c r="A497"/>
      <c r="B497"/>
      <c r="C497"/>
      <c r="D497"/>
      <c r="E497"/>
      <c r="F497"/>
      <c r="G497"/>
      <c r="H497"/>
      <c r="I497"/>
      <c r="J497"/>
      <c r="K497"/>
    </row>
    <row r="498" spans="1:11" ht="15.75">
      <c r="A498"/>
      <c r="B498"/>
      <c r="C498"/>
      <c r="D498"/>
      <c r="E498"/>
      <c r="F498"/>
      <c r="G498"/>
      <c r="H498"/>
      <c r="I498"/>
      <c r="J498"/>
      <c r="K498"/>
    </row>
    <row r="499" spans="1:11" ht="15.75">
      <c r="A499"/>
      <c r="B499"/>
      <c r="C499"/>
      <c r="D499"/>
      <c r="E499"/>
      <c r="F499"/>
      <c r="G499"/>
      <c r="H499"/>
      <c r="I499"/>
      <c r="J499"/>
      <c r="K499"/>
    </row>
    <row r="500" spans="1:11" ht="15.75">
      <c r="A500"/>
      <c r="B500"/>
      <c r="C500"/>
      <c r="D500"/>
      <c r="E500"/>
      <c r="F500"/>
      <c r="G500"/>
      <c r="H500"/>
      <c r="I500"/>
      <c r="J500"/>
      <c r="K500"/>
    </row>
    <row r="501" spans="1:11" ht="15.75">
      <c r="A501"/>
      <c r="B501"/>
      <c r="C501"/>
      <c r="D501"/>
      <c r="E501"/>
      <c r="F501"/>
      <c r="G501"/>
      <c r="H501"/>
      <c r="I501"/>
      <c r="J501"/>
      <c r="K501"/>
    </row>
    <row r="502" spans="1:11" ht="15.75">
      <c r="A502"/>
      <c r="B502"/>
      <c r="C502"/>
      <c r="D502"/>
      <c r="E502"/>
      <c r="F502"/>
      <c r="G502"/>
      <c r="H502"/>
      <c r="I502"/>
      <c r="J502"/>
      <c r="K502"/>
    </row>
    <row r="503" spans="1:11" ht="15.75">
      <c r="A503"/>
      <c r="B503"/>
      <c r="C503"/>
      <c r="D503"/>
      <c r="E503"/>
      <c r="F503"/>
      <c r="G503"/>
      <c r="H503"/>
      <c r="I503"/>
      <c r="J503"/>
      <c r="K503"/>
    </row>
    <row r="504" spans="1:11" ht="15.75">
      <c r="A504"/>
      <c r="B504"/>
      <c r="C504"/>
      <c r="D504"/>
      <c r="E504"/>
      <c r="F504"/>
      <c r="G504"/>
      <c r="H504"/>
      <c r="I504"/>
      <c r="J504"/>
      <c r="K504"/>
    </row>
    <row r="505" spans="1:11" ht="15.75">
      <c r="A505"/>
      <c r="B505"/>
      <c r="C505"/>
      <c r="D505"/>
      <c r="E505"/>
      <c r="F505"/>
      <c r="G505"/>
      <c r="H505"/>
      <c r="I505"/>
      <c r="J505"/>
      <c r="K505"/>
    </row>
    <row r="506" spans="1:11" ht="15.75">
      <c r="A506"/>
      <c r="B506"/>
      <c r="C506"/>
      <c r="D506"/>
      <c r="E506"/>
      <c r="F506"/>
      <c r="G506"/>
      <c r="H506"/>
      <c r="I506"/>
      <c r="J506"/>
      <c r="K506"/>
    </row>
    <row r="507" spans="1:11" ht="15.75">
      <c r="A507"/>
      <c r="B507"/>
      <c r="C507"/>
      <c r="D507"/>
      <c r="E507"/>
      <c r="F507"/>
      <c r="G507"/>
      <c r="H507"/>
      <c r="I507"/>
      <c r="J507"/>
      <c r="K507"/>
    </row>
    <row r="508" spans="1:11" ht="15.75">
      <c r="A508"/>
      <c r="B508"/>
      <c r="C508"/>
      <c r="D508"/>
      <c r="E508"/>
      <c r="F508"/>
      <c r="G508"/>
      <c r="H508"/>
      <c r="I508"/>
      <c r="J508"/>
      <c r="K508"/>
    </row>
    <row r="509" spans="1:11" ht="15.75">
      <c r="A509"/>
      <c r="B509"/>
      <c r="C509"/>
      <c r="D509"/>
      <c r="E509"/>
      <c r="F509"/>
      <c r="G509"/>
      <c r="H509"/>
      <c r="I509"/>
      <c r="J509"/>
      <c r="K509"/>
    </row>
    <row r="510" spans="1:11" ht="15.75">
      <c r="A510"/>
      <c r="B510"/>
      <c r="C510"/>
      <c r="D510"/>
      <c r="E510"/>
      <c r="F510"/>
      <c r="G510"/>
      <c r="H510"/>
      <c r="I510"/>
      <c r="J510"/>
      <c r="K510"/>
    </row>
    <row r="511" spans="1:11" ht="15.75">
      <c r="A511"/>
      <c r="B511"/>
      <c r="C511"/>
      <c r="D511"/>
      <c r="E511"/>
      <c r="F511"/>
      <c r="G511"/>
      <c r="H511"/>
      <c r="I511"/>
      <c r="J511"/>
      <c r="K511"/>
    </row>
    <row r="512" spans="1:11" ht="15.75">
      <c r="A512"/>
      <c r="B512"/>
      <c r="C512"/>
      <c r="D512"/>
      <c r="E512"/>
      <c r="F512"/>
      <c r="G512"/>
      <c r="H512"/>
      <c r="I512"/>
      <c r="J512"/>
      <c r="K512"/>
    </row>
    <row r="513" spans="1:11" ht="15.75">
      <c r="A513"/>
      <c r="B513"/>
      <c r="C513"/>
      <c r="D513"/>
      <c r="E513"/>
      <c r="F513"/>
      <c r="G513"/>
      <c r="H513"/>
      <c r="I513"/>
      <c r="J513"/>
      <c r="K513"/>
    </row>
    <row r="514" spans="1:11" ht="15.75">
      <c r="A514"/>
      <c r="B514"/>
      <c r="C514"/>
      <c r="D514"/>
      <c r="E514"/>
      <c r="F514"/>
      <c r="G514"/>
      <c r="H514"/>
      <c r="I514"/>
      <c r="J514"/>
      <c r="K514"/>
    </row>
    <row r="515" spans="1:11" ht="15.75">
      <c r="A515"/>
      <c r="B515"/>
      <c r="C515"/>
      <c r="D515"/>
      <c r="E515"/>
      <c r="F515"/>
      <c r="G515"/>
      <c r="H515"/>
      <c r="I515"/>
      <c r="J515"/>
      <c r="K515"/>
    </row>
    <row r="516" spans="1:11" ht="15.75">
      <c r="A516"/>
      <c r="B516"/>
      <c r="C516"/>
      <c r="D516"/>
      <c r="E516"/>
      <c r="F516"/>
      <c r="G516"/>
      <c r="H516"/>
      <c r="I516"/>
      <c r="J516"/>
      <c r="K516"/>
    </row>
    <row r="517" spans="1:11" ht="15.75">
      <c r="A517"/>
      <c r="B517"/>
      <c r="C517"/>
      <c r="D517"/>
      <c r="E517"/>
      <c r="F517"/>
      <c r="G517"/>
      <c r="H517"/>
      <c r="I517"/>
      <c r="J517"/>
      <c r="K517"/>
    </row>
    <row r="518" spans="1:11" ht="15.75">
      <c r="A518"/>
      <c r="B518"/>
      <c r="C518"/>
      <c r="D518"/>
      <c r="E518"/>
      <c r="F518"/>
      <c r="G518"/>
      <c r="H518"/>
      <c r="I518"/>
      <c r="J518"/>
      <c r="K518"/>
    </row>
    <row r="519" spans="1:11" ht="15.75">
      <c r="A519"/>
      <c r="B519"/>
      <c r="C519"/>
      <c r="D519"/>
      <c r="E519"/>
      <c r="F519"/>
      <c r="G519"/>
      <c r="H519"/>
      <c r="I519"/>
      <c r="J519"/>
      <c r="K519"/>
    </row>
    <row r="520" spans="1:11" ht="15.75">
      <c r="A520"/>
      <c r="B520"/>
      <c r="C520"/>
      <c r="D520"/>
      <c r="E520"/>
      <c r="F520"/>
      <c r="G520"/>
      <c r="H520"/>
      <c r="I520"/>
      <c r="J520"/>
      <c r="K520"/>
    </row>
    <row r="521" spans="1:11" ht="15.75">
      <c r="A521"/>
      <c r="B521"/>
      <c r="C521"/>
      <c r="D521"/>
      <c r="E521"/>
      <c r="F521"/>
      <c r="G521"/>
      <c r="H521"/>
      <c r="I521"/>
      <c r="J521"/>
      <c r="K521"/>
    </row>
    <row r="522" spans="1:11" ht="15.75">
      <c r="A522"/>
      <c r="B522"/>
      <c r="C522"/>
      <c r="D522"/>
      <c r="E522"/>
      <c r="F522"/>
      <c r="G522"/>
      <c r="H522"/>
      <c r="I522"/>
      <c r="J522"/>
      <c r="K522"/>
    </row>
    <row r="523" spans="1:11" ht="15.75">
      <c r="A523"/>
      <c r="B523"/>
      <c r="C523"/>
      <c r="D523"/>
      <c r="E523"/>
      <c r="F523"/>
      <c r="G523"/>
      <c r="H523"/>
      <c r="I523"/>
      <c r="J523"/>
      <c r="K523"/>
    </row>
    <row r="524" spans="1:11" ht="15.75">
      <c r="A524"/>
      <c r="B524"/>
      <c r="C524"/>
      <c r="D524"/>
      <c r="E524"/>
      <c r="F524"/>
      <c r="G524"/>
      <c r="H524"/>
      <c r="I524"/>
      <c r="J524"/>
      <c r="K524"/>
    </row>
    <row r="525" spans="1:11" ht="15.75">
      <c r="A525"/>
      <c r="B525"/>
      <c r="C525"/>
      <c r="D525"/>
      <c r="E525"/>
      <c r="F525"/>
      <c r="G525"/>
      <c r="H525"/>
      <c r="I525"/>
      <c r="J525"/>
      <c r="K525"/>
    </row>
    <row r="526" spans="1:11" ht="15.75">
      <c r="A526"/>
      <c r="B526"/>
      <c r="C526"/>
      <c r="D526"/>
      <c r="E526"/>
      <c r="F526"/>
      <c r="G526"/>
      <c r="H526"/>
      <c r="I526"/>
      <c r="J526"/>
      <c r="K526"/>
    </row>
    <row r="527" spans="1:11" ht="15.75">
      <c r="A527"/>
      <c r="B527"/>
      <c r="C527"/>
      <c r="D527"/>
      <c r="E527"/>
      <c r="F527"/>
      <c r="G527"/>
      <c r="H527"/>
      <c r="I527"/>
      <c r="J527"/>
      <c r="K527"/>
    </row>
    <row r="528" spans="1:11" ht="15.75">
      <c r="A528"/>
      <c r="B528"/>
      <c r="C528"/>
      <c r="D528"/>
      <c r="E528"/>
      <c r="F528"/>
      <c r="G528"/>
      <c r="H528"/>
      <c r="I528"/>
      <c r="J528"/>
      <c r="K528"/>
    </row>
    <row r="529" spans="1:11" ht="15.75">
      <c r="A529"/>
      <c r="B529"/>
      <c r="C529"/>
      <c r="D529"/>
      <c r="E529"/>
      <c r="F529"/>
      <c r="G529"/>
      <c r="H529"/>
      <c r="I529"/>
      <c r="J529"/>
      <c r="K529"/>
    </row>
    <row r="530" spans="1:11" ht="15.75">
      <c r="A530"/>
      <c r="B530"/>
      <c r="C530"/>
      <c r="D530"/>
      <c r="E530"/>
      <c r="F530"/>
      <c r="G530"/>
      <c r="H530"/>
      <c r="I530"/>
      <c r="J530"/>
      <c r="K530"/>
    </row>
    <row r="531" spans="1:11" ht="15.75">
      <c r="A531"/>
      <c r="B531"/>
      <c r="C531"/>
      <c r="D531"/>
      <c r="E531"/>
      <c r="F531"/>
      <c r="G531"/>
      <c r="H531"/>
      <c r="I531"/>
      <c r="J531"/>
      <c r="K531"/>
    </row>
    <row r="532" spans="1:11" ht="15.75">
      <c r="A532"/>
      <c r="B532"/>
      <c r="C532"/>
      <c r="D532"/>
      <c r="E532"/>
      <c r="F532"/>
      <c r="G532"/>
      <c r="H532"/>
      <c r="I532"/>
      <c r="J532"/>
      <c r="K532"/>
    </row>
    <row r="533" spans="1:11" ht="15.75">
      <c r="A533"/>
      <c r="B533"/>
      <c r="C533"/>
      <c r="D533"/>
      <c r="E533"/>
      <c r="F533"/>
      <c r="G533"/>
      <c r="H533"/>
      <c r="I533"/>
      <c r="J533"/>
      <c r="K533"/>
    </row>
    <row r="534" spans="1:11" ht="15.75">
      <c r="A534"/>
      <c r="B534"/>
      <c r="C534"/>
      <c r="D534"/>
      <c r="E534"/>
      <c r="F534"/>
      <c r="G534"/>
      <c r="H534"/>
      <c r="I534"/>
      <c r="J534"/>
      <c r="K534"/>
    </row>
    <row r="535" spans="1:11" ht="15.75">
      <c r="A535"/>
      <c r="B535"/>
      <c r="C535"/>
      <c r="D535"/>
      <c r="E535"/>
      <c r="F535"/>
      <c r="G535"/>
      <c r="H535"/>
      <c r="I535"/>
      <c r="J535"/>
      <c r="K535"/>
    </row>
    <row r="536" spans="1:11" ht="15.75">
      <c r="A536"/>
      <c r="B536"/>
      <c r="C536"/>
      <c r="D536"/>
      <c r="E536"/>
      <c r="F536"/>
      <c r="G536"/>
      <c r="H536"/>
      <c r="I536"/>
      <c r="J536"/>
      <c r="K536"/>
    </row>
    <row r="537" spans="1:11" ht="15.75">
      <c r="A537"/>
      <c r="B537"/>
      <c r="C537"/>
      <c r="D537"/>
      <c r="E537"/>
      <c r="F537"/>
      <c r="G537"/>
      <c r="H537"/>
      <c r="I537"/>
      <c r="J537"/>
      <c r="K537"/>
    </row>
    <row r="538" spans="1:11" ht="15.75">
      <c r="A538"/>
      <c r="B538"/>
      <c r="C538"/>
      <c r="D538"/>
      <c r="E538"/>
      <c r="F538"/>
      <c r="G538"/>
      <c r="H538"/>
      <c r="I538"/>
      <c r="J538"/>
      <c r="K538"/>
    </row>
    <row r="539" spans="1:11" ht="15.75">
      <c r="A539"/>
      <c r="B539"/>
      <c r="C539"/>
      <c r="D539"/>
      <c r="E539"/>
      <c r="F539"/>
      <c r="G539"/>
      <c r="H539"/>
      <c r="I539"/>
      <c r="J539"/>
      <c r="K539"/>
    </row>
    <row r="540" spans="1:11" ht="15.75">
      <c r="A540"/>
      <c r="B540"/>
      <c r="C540"/>
      <c r="D540"/>
      <c r="E540"/>
      <c r="F540"/>
      <c r="G540"/>
      <c r="H540"/>
      <c r="I540"/>
      <c r="J540"/>
      <c r="K540"/>
    </row>
    <row r="541" spans="1:11" ht="15.75">
      <c r="A541"/>
      <c r="B541"/>
      <c r="C541"/>
      <c r="D541"/>
      <c r="E541"/>
      <c r="F541"/>
      <c r="G541"/>
      <c r="H541"/>
      <c r="I541"/>
      <c r="J541"/>
      <c r="K541"/>
    </row>
    <row r="542" spans="1:11" ht="15.75">
      <c r="A542"/>
      <c r="B542"/>
      <c r="C542"/>
      <c r="D542"/>
      <c r="E542"/>
      <c r="F542"/>
      <c r="G542"/>
      <c r="H542"/>
      <c r="I542"/>
      <c r="J542"/>
      <c r="K542"/>
    </row>
    <row r="543" spans="1:11" ht="15.75">
      <c r="A543"/>
      <c r="B543"/>
      <c r="C543"/>
      <c r="D543"/>
      <c r="E543"/>
      <c r="F543"/>
      <c r="G543"/>
      <c r="H543"/>
      <c r="I543"/>
      <c r="J543"/>
      <c r="K543"/>
    </row>
    <row r="544" spans="1:11" ht="15.75">
      <c r="A544"/>
      <c r="B544"/>
      <c r="C544"/>
      <c r="D544"/>
      <c r="E544"/>
      <c r="F544"/>
      <c r="G544"/>
      <c r="H544"/>
      <c r="I544"/>
      <c r="J544"/>
      <c r="K544"/>
    </row>
    <row r="545" spans="1:11" ht="15.75">
      <c r="A545"/>
      <c r="B545"/>
      <c r="C545"/>
      <c r="D545"/>
      <c r="E545"/>
      <c r="F545"/>
      <c r="G545"/>
      <c r="H545"/>
      <c r="I545"/>
      <c r="J545"/>
      <c r="K545"/>
    </row>
    <row r="546" spans="1:11" ht="15.75">
      <c r="A546"/>
      <c r="B546"/>
      <c r="C546"/>
      <c r="D546"/>
      <c r="E546"/>
      <c r="F546"/>
      <c r="G546"/>
      <c r="H546"/>
      <c r="I546"/>
      <c r="J546"/>
      <c r="K546"/>
    </row>
    <row r="547" spans="1:11" ht="15.75">
      <c r="A547"/>
      <c r="B547"/>
      <c r="C547"/>
      <c r="D547"/>
      <c r="E547"/>
      <c r="F547"/>
      <c r="G547"/>
      <c r="H547"/>
      <c r="I547"/>
      <c r="J547"/>
      <c r="K547"/>
    </row>
    <row r="548" spans="1:11" ht="15.75">
      <c r="A548"/>
      <c r="B548"/>
      <c r="C548"/>
      <c r="D548"/>
      <c r="E548"/>
      <c r="F548"/>
      <c r="G548"/>
      <c r="H548"/>
      <c r="I548"/>
      <c r="J548"/>
      <c r="K548"/>
    </row>
    <row r="549" spans="1:11" ht="15.75">
      <c r="A549"/>
      <c r="B549"/>
      <c r="C549"/>
      <c r="D549"/>
      <c r="E549"/>
      <c r="F549"/>
      <c r="G549"/>
      <c r="H549"/>
      <c r="I549"/>
      <c r="J549"/>
      <c r="K549"/>
    </row>
    <row r="550" spans="1:11" ht="15.75">
      <c r="A550"/>
      <c r="B550"/>
      <c r="C550"/>
      <c r="D550"/>
      <c r="E550"/>
      <c r="F550"/>
      <c r="G550"/>
      <c r="H550"/>
      <c r="I550"/>
      <c r="J550"/>
      <c r="K550"/>
    </row>
    <row r="551" spans="1:11" ht="15.75">
      <c r="A551"/>
      <c r="B551"/>
      <c r="C551"/>
      <c r="D551"/>
      <c r="E551"/>
      <c r="F551"/>
      <c r="G551"/>
      <c r="H551"/>
      <c r="I551"/>
      <c r="J551"/>
      <c r="K551"/>
    </row>
    <row r="552" spans="1:11" ht="15.75">
      <c r="A552"/>
      <c r="B552"/>
      <c r="C552"/>
      <c r="D552"/>
      <c r="E552"/>
      <c r="F552"/>
      <c r="G552"/>
      <c r="H552"/>
      <c r="I552"/>
      <c r="J552"/>
      <c r="K552"/>
    </row>
    <row r="553" spans="1:11" ht="15.75">
      <c r="A553"/>
      <c r="B553"/>
      <c r="C553"/>
      <c r="D553"/>
      <c r="E553"/>
      <c r="F553"/>
      <c r="G553"/>
      <c r="H553"/>
      <c r="I553"/>
      <c r="J553"/>
      <c r="K553"/>
    </row>
    <row r="554" spans="1:11" ht="15.75">
      <c r="A554"/>
      <c r="B554"/>
      <c r="C554"/>
      <c r="D554"/>
      <c r="E554"/>
      <c r="F554"/>
      <c r="G554"/>
      <c r="H554"/>
      <c r="I554"/>
      <c r="J554"/>
      <c r="K554"/>
    </row>
    <row r="555" spans="1:11" ht="15.75">
      <c r="A555"/>
      <c r="B555"/>
      <c r="C555"/>
      <c r="D555"/>
      <c r="E555"/>
      <c r="F555"/>
      <c r="G555"/>
      <c r="H555"/>
      <c r="I555"/>
      <c r="J555"/>
      <c r="K555"/>
    </row>
    <row r="556" spans="1:11" ht="15.75">
      <c r="A556"/>
      <c r="B556"/>
      <c r="C556"/>
      <c r="D556"/>
      <c r="E556"/>
      <c r="F556"/>
      <c r="G556"/>
      <c r="H556"/>
      <c r="I556"/>
      <c r="J556"/>
      <c r="K556"/>
    </row>
    <row r="557" spans="1:11" ht="15.75">
      <c r="A557"/>
      <c r="B557"/>
      <c r="C557"/>
      <c r="D557"/>
      <c r="E557"/>
      <c r="F557"/>
      <c r="G557"/>
      <c r="H557"/>
      <c r="I557"/>
      <c r="J557"/>
      <c r="K557"/>
    </row>
    <row r="558" spans="1:11" ht="15.75">
      <c r="A558"/>
      <c r="B558"/>
      <c r="C558"/>
      <c r="D558"/>
      <c r="E558"/>
      <c r="F558"/>
      <c r="G558"/>
      <c r="H558"/>
      <c r="I558"/>
      <c r="J558"/>
      <c r="K558"/>
    </row>
    <row r="559" spans="1:11" ht="15.75">
      <c r="A559"/>
      <c r="B559"/>
      <c r="C559"/>
      <c r="D559"/>
      <c r="E559"/>
      <c r="F559"/>
      <c r="G559"/>
      <c r="H559"/>
      <c r="I559"/>
      <c r="J559"/>
      <c r="K559"/>
    </row>
    <row r="560" spans="1:11" ht="15.75">
      <c r="A560"/>
      <c r="B560"/>
      <c r="C560"/>
      <c r="D560"/>
      <c r="E560"/>
      <c r="F560"/>
      <c r="G560"/>
      <c r="H560"/>
      <c r="I560"/>
      <c r="J560"/>
      <c r="K560"/>
    </row>
    <row r="561" spans="1:11" ht="15.75">
      <c r="A561"/>
      <c r="B561"/>
      <c r="C561"/>
      <c r="D561"/>
      <c r="E561"/>
      <c r="F561"/>
      <c r="G561"/>
      <c r="H561"/>
      <c r="I561"/>
      <c r="J561"/>
      <c r="K561"/>
    </row>
    <row r="562" spans="1:11" ht="15.75">
      <c r="A562"/>
      <c r="B562"/>
      <c r="C562"/>
      <c r="D562"/>
      <c r="E562"/>
      <c r="F562"/>
      <c r="G562"/>
      <c r="H562"/>
      <c r="I562"/>
      <c r="J562"/>
      <c r="K562"/>
    </row>
    <row r="563" spans="1:11" ht="15.75">
      <c r="A563"/>
      <c r="B563"/>
      <c r="C563"/>
      <c r="D563"/>
      <c r="E563"/>
      <c r="F563"/>
      <c r="G563"/>
      <c r="H563"/>
      <c r="I563"/>
      <c r="J563"/>
      <c r="K563"/>
    </row>
    <row r="564" spans="1:11" ht="15.75">
      <c r="A564"/>
      <c r="B564"/>
      <c r="C564"/>
      <c r="D564"/>
      <c r="E564"/>
      <c r="F564"/>
      <c r="G564"/>
      <c r="H564"/>
      <c r="I564"/>
      <c r="J564"/>
      <c r="K564"/>
    </row>
    <row r="565" spans="1:11" ht="15.75">
      <c r="A565"/>
      <c r="B565"/>
      <c r="C565"/>
      <c r="D565"/>
      <c r="E565"/>
      <c r="F565"/>
      <c r="G565"/>
      <c r="H565"/>
      <c r="I565"/>
      <c r="J565"/>
      <c r="K565"/>
    </row>
    <row r="566" spans="1:11" ht="15.75">
      <c r="A566"/>
      <c r="B566"/>
      <c r="C566"/>
      <c r="D566"/>
      <c r="E566"/>
      <c r="F566"/>
      <c r="G566"/>
      <c r="H566"/>
      <c r="I566"/>
      <c r="J566"/>
      <c r="K566"/>
    </row>
    <row r="567" spans="1:11" ht="15.75">
      <c r="A567"/>
      <c r="B567"/>
      <c r="C567"/>
      <c r="D567"/>
      <c r="E567"/>
      <c r="F567"/>
      <c r="G567"/>
      <c r="H567"/>
      <c r="I567"/>
      <c r="J567"/>
      <c r="K567"/>
    </row>
    <row r="568" spans="1:11" ht="15.75">
      <c r="A568"/>
      <c r="B568"/>
      <c r="C568"/>
      <c r="D568"/>
      <c r="E568"/>
      <c r="F568"/>
      <c r="G568"/>
      <c r="H568"/>
      <c r="I568"/>
      <c r="J568"/>
      <c r="K568"/>
    </row>
    <row r="569" spans="1:11" ht="15.75">
      <c r="A569"/>
      <c r="B569"/>
      <c r="C569"/>
      <c r="D569"/>
      <c r="E569"/>
      <c r="F569"/>
      <c r="G569"/>
      <c r="H569"/>
      <c r="I569"/>
      <c r="J569"/>
      <c r="K569"/>
    </row>
    <row r="570" spans="1:11" ht="15.75">
      <c r="A570"/>
      <c r="B570"/>
      <c r="C570"/>
      <c r="D570"/>
      <c r="E570"/>
      <c r="F570"/>
      <c r="G570"/>
      <c r="H570"/>
      <c r="I570"/>
      <c r="J570"/>
      <c r="K570"/>
    </row>
    <row r="571" spans="1:11" ht="15.75">
      <c r="A571"/>
      <c r="B571"/>
      <c r="C571"/>
      <c r="D571"/>
      <c r="E571"/>
      <c r="F571"/>
      <c r="G571"/>
      <c r="H571"/>
      <c r="I571"/>
      <c r="J571"/>
      <c r="K571"/>
    </row>
    <row r="572" spans="1:11" ht="15.75">
      <c r="A572"/>
      <c r="B572"/>
      <c r="C572"/>
      <c r="D572"/>
      <c r="E572"/>
      <c r="F572"/>
      <c r="G572"/>
      <c r="H572"/>
      <c r="I572"/>
      <c r="J572"/>
      <c r="K572"/>
    </row>
    <row r="573" spans="1:11" ht="15.75">
      <c r="A573"/>
      <c r="B573"/>
      <c r="C573"/>
      <c r="D573"/>
      <c r="E573"/>
      <c r="F573"/>
      <c r="G573"/>
      <c r="H573"/>
      <c r="I573"/>
      <c r="J573"/>
      <c r="K573"/>
    </row>
    <row r="574" spans="1:11" ht="15.75">
      <c r="A574"/>
      <c r="B574"/>
      <c r="C574"/>
      <c r="D574"/>
      <c r="E574"/>
      <c r="F574"/>
      <c r="G574"/>
      <c r="H574"/>
      <c r="I574"/>
      <c r="J574"/>
      <c r="K574"/>
    </row>
    <row r="575" spans="1:11" ht="15.75">
      <c r="A575"/>
      <c r="B575"/>
      <c r="C575"/>
      <c r="D575"/>
      <c r="E575"/>
      <c r="F575"/>
      <c r="G575"/>
      <c r="H575"/>
      <c r="I575"/>
      <c r="J575"/>
      <c r="K575"/>
    </row>
    <row r="576" spans="1:11" ht="15.75">
      <c r="A576"/>
      <c r="B576"/>
      <c r="C576"/>
      <c r="D576"/>
      <c r="E576"/>
      <c r="F576"/>
      <c r="G576"/>
      <c r="H576"/>
      <c r="I576"/>
      <c r="J576"/>
      <c r="K576"/>
    </row>
    <row r="577" spans="1:11" ht="15.75">
      <c r="A577"/>
      <c r="B577"/>
      <c r="C577"/>
      <c r="D577"/>
      <c r="E577"/>
      <c r="F577"/>
      <c r="G577"/>
      <c r="H577"/>
      <c r="I577"/>
      <c r="J577"/>
      <c r="K577"/>
    </row>
    <row r="578" spans="1:11" ht="15.75">
      <c r="A578"/>
      <c r="B578"/>
      <c r="C578"/>
      <c r="D578"/>
      <c r="E578"/>
      <c r="F578"/>
      <c r="G578"/>
      <c r="H578"/>
      <c r="I578"/>
      <c r="J578"/>
      <c r="K578"/>
    </row>
    <row r="579" spans="1:11" ht="15.75">
      <c r="A579"/>
      <c r="B579"/>
      <c r="C579"/>
      <c r="D579"/>
      <c r="E579"/>
      <c r="F579"/>
      <c r="G579"/>
      <c r="H579"/>
      <c r="I579"/>
      <c r="J579"/>
      <c r="K579"/>
    </row>
    <row r="580" spans="1:11" ht="15.75">
      <c r="A580"/>
      <c r="B580"/>
      <c r="C580"/>
      <c r="D580"/>
      <c r="E580"/>
      <c r="F580"/>
      <c r="G580"/>
      <c r="H580"/>
      <c r="I580"/>
      <c r="J580"/>
      <c r="K580"/>
    </row>
    <row r="581" spans="1:11" ht="15.75">
      <c r="A581"/>
      <c r="B581"/>
      <c r="C581"/>
      <c r="D581"/>
      <c r="E581"/>
      <c r="F581"/>
      <c r="G581"/>
      <c r="H581"/>
      <c r="I581"/>
      <c r="J581"/>
      <c r="K581"/>
    </row>
    <row r="582" spans="1:11" ht="15.75">
      <c r="A582"/>
      <c r="B582"/>
      <c r="C582"/>
      <c r="D582"/>
      <c r="E582"/>
      <c r="F582"/>
      <c r="G582"/>
      <c r="H582"/>
      <c r="I582"/>
      <c r="J582"/>
      <c r="K582"/>
    </row>
    <row r="583" spans="1:11" ht="15.75">
      <c r="A583"/>
      <c r="B583"/>
      <c r="C583"/>
      <c r="D583"/>
      <c r="E583"/>
      <c r="F583"/>
      <c r="G583"/>
      <c r="H583"/>
      <c r="I583"/>
      <c r="J583"/>
      <c r="K583"/>
    </row>
    <row r="584" spans="1:11" ht="15.75">
      <c r="A584"/>
      <c r="B584"/>
      <c r="C584"/>
      <c r="D584"/>
      <c r="E584"/>
      <c r="F584"/>
      <c r="G584"/>
      <c r="H584"/>
      <c r="I584"/>
      <c r="J584"/>
      <c r="K584"/>
    </row>
    <row r="585" spans="1:11" ht="15.75">
      <c r="A585"/>
      <c r="B585"/>
      <c r="C585"/>
      <c r="D585"/>
      <c r="E585"/>
      <c r="F585"/>
      <c r="G585"/>
      <c r="H585"/>
      <c r="I585"/>
      <c r="J585"/>
      <c r="K585"/>
    </row>
    <row r="586" spans="1:11" ht="15.75">
      <c r="A586"/>
      <c r="B586"/>
      <c r="C586"/>
      <c r="D586"/>
      <c r="E586"/>
      <c r="F586"/>
      <c r="G586"/>
      <c r="H586"/>
      <c r="I586"/>
      <c r="J586"/>
      <c r="K586"/>
    </row>
    <row r="587" spans="1:11" ht="15.75">
      <c r="A587"/>
      <c r="B587"/>
      <c r="C587"/>
      <c r="D587"/>
      <c r="E587"/>
      <c r="F587"/>
      <c r="G587"/>
      <c r="H587"/>
      <c r="I587"/>
      <c r="J587"/>
      <c r="K587"/>
    </row>
    <row r="588" spans="1:11" ht="15.75">
      <c r="A588"/>
      <c r="B588"/>
      <c r="C588"/>
      <c r="D588"/>
      <c r="E588"/>
      <c r="F588"/>
      <c r="G588"/>
      <c r="H588"/>
      <c r="I588"/>
      <c r="J588"/>
      <c r="K588"/>
    </row>
    <row r="589" spans="1:11" ht="15.75">
      <c r="A589"/>
      <c r="B589"/>
      <c r="C589"/>
      <c r="D589"/>
      <c r="E589"/>
      <c r="F589"/>
      <c r="G589"/>
      <c r="H589"/>
      <c r="I589"/>
      <c r="J589"/>
      <c r="K589"/>
    </row>
    <row r="590" spans="1:11" ht="15.75">
      <c r="A590"/>
      <c r="B590"/>
      <c r="C590"/>
      <c r="D590"/>
      <c r="E590"/>
      <c r="F590"/>
      <c r="G590"/>
      <c r="H590"/>
      <c r="I590"/>
      <c r="J590"/>
      <c r="K590"/>
    </row>
    <row r="591" spans="1:11" ht="15.75">
      <c r="A591"/>
      <c r="B591"/>
      <c r="C591"/>
      <c r="D591"/>
      <c r="E591"/>
      <c r="F591"/>
      <c r="G591"/>
      <c r="H591"/>
      <c r="I591"/>
      <c r="J591"/>
      <c r="K591"/>
    </row>
    <row r="592" spans="1:11" ht="15.75">
      <c r="A592"/>
      <c r="B592"/>
      <c r="C592"/>
      <c r="D592"/>
      <c r="E592"/>
      <c r="F592"/>
      <c r="G592"/>
      <c r="H592"/>
      <c r="I592"/>
      <c r="J592"/>
      <c r="K592"/>
    </row>
    <row r="593" spans="1:11" ht="15.75">
      <c r="A593"/>
      <c r="B593"/>
      <c r="C593"/>
      <c r="D593"/>
      <c r="E593"/>
      <c r="F593"/>
      <c r="G593"/>
      <c r="H593"/>
      <c r="I593"/>
      <c r="J593"/>
      <c r="K593"/>
    </row>
    <row r="594" spans="1:11" ht="15.75">
      <c r="A594"/>
      <c r="B594"/>
      <c r="C594"/>
      <c r="D594"/>
      <c r="E594"/>
      <c r="F594"/>
      <c r="G594"/>
      <c r="H594"/>
      <c r="I594"/>
      <c r="J594"/>
      <c r="K594"/>
    </row>
    <row r="595" spans="1:11" ht="15.75">
      <c r="A595"/>
      <c r="B595"/>
      <c r="C595"/>
      <c r="D595"/>
      <c r="E595"/>
      <c r="F595"/>
      <c r="G595"/>
      <c r="H595"/>
      <c r="I595"/>
      <c r="J595"/>
      <c r="K595"/>
    </row>
    <row r="596" spans="1:11" ht="15.75">
      <c r="A596"/>
      <c r="B596"/>
      <c r="C596"/>
      <c r="D596"/>
      <c r="E596"/>
      <c r="F596"/>
      <c r="G596"/>
      <c r="H596"/>
      <c r="I596"/>
      <c r="J596"/>
      <c r="K596"/>
    </row>
    <row r="597" spans="1:11" ht="15.75">
      <c r="A597"/>
      <c r="B597"/>
      <c r="C597"/>
      <c r="D597"/>
      <c r="E597"/>
      <c r="F597"/>
      <c r="G597"/>
      <c r="H597"/>
      <c r="I597"/>
      <c r="J597"/>
      <c r="K597"/>
    </row>
    <row r="598" spans="1:11" ht="15.75">
      <c r="A598"/>
      <c r="B598"/>
      <c r="C598"/>
      <c r="D598"/>
      <c r="E598"/>
      <c r="F598"/>
      <c r="G598"/>
      <c r="H598"/>
      <c r="I598"/>
      <c r="J598"/>
      <c r="K598"/>
    </row>
    <row r="599" spans="1:11" ht="15.75">
      <c r="A599"/>
      <c r="B599"/>
      <c r="C599"/>
      <c r="D599"/>
      <c r="E599"/>
      <c r="F599"/>
      <c r="G599"/>
      <c r="H599"/>
      <c r="I599"/>
      <c r="J599"/>
      <c r="K599"/>
    </row>
    <row r="600" spans="1:11" ht="15.75">
      <c r="A600"/>
      <c r="B600"/>
      <c r="C600"/>
      <c r="D600"/>
      <c r="E600"/>
      <c r="F600"/>
      <c r="G600"/>
      <c r="H600"/>
      <c r="I600"/>
      <c r="J600"/>
      <c r="K600"/>
    </row>
    <row r="601" spans="1:11" ht="15.75">
      <c r="A601"/>
      <c r="B601"/>
      <c r="C601"/>
      <c r="D601"/>
      <c r="E601"/>
      <c r="F601"/>
      <c r="G601"/>
      <c r="H601"/>
      <c r="I601"/>
      <c r="J601"/>
      <c r="K601"/>
    </row>
    <row r="602" spans="1:11" ht="15.75">
      <c r="A602"/>
      <c r="B602"/>
      <c r="C602"/>
      <c r="D602"/>
      <c r="E602"/>
      <c r="F602"/>
      <c r="G602"/>
      <c r="H602"/>
      <c r="I602"/>
      <c r="J602"/>
      <c r="K602"/>
    </row>
    <row r="603" spans="1:11" ht="15.75">
      <c r="A603"/>
      <c r="B603"/>
      <c r="C603"/>
      <c r="D603"/>
      <c r="E603"/>
      <c r="F603"/>
      <c r="G603"/>
      <c r="H603"/>
      <c r="I603"/>
      <c r="J603"/>
      <c r="K603"/>
    </row>
    <row r="604" spans="1:11" ht="15.75">
      <c r="A604"/>
      <c r="B604"/>
      <c r="C604"/>
      <c r="D604"/>
      <c r="E604"/>
      <c r="F604"/>
      <c r="G604"/>
      <c r="H604"/>
      <c r="I604"/>
      <c r="J604"/>
      <c r="K604"/>
    </row>
    <row r="605" spans="1:11" ht="15.75">
      <c r="A605"/>
      <c r="B605"/>
      <c r="C605"/>
      <c r="D605"/>
      <c r="E605"/>
      <c r="F605"/>
      <c r="G605"/>
      <c r="H605"/>
      <c r="I605"/>
      <c r="J605"/>
      <c r="K605"/>
    </row>
    <row r="606" spans="1:11" ht="15.75">
      <c r="A606"/>
      <c r="B606"/>
      <c r="C606"/>
      <c r="D606"/>
      <c r="E606"/>
      <c r="F606"/>
      <c r="G606"/>
      <c r="H606"/>
      <c r="I606"/>
      <c r="J606"/>
      <c r="K606"/>
    </row>
    <row r="607" spans="1:11" ht="15.75">
      <c r="A607"/>
      <c r="B607"/>
      <c r="C607"/>
      <c r="D607"/>
      <c r="E607"/>
      <c r="F607"/>
      <c r="G607"/>
      <c r="H607"/>
      <c r="I607"/>
      <c r="J607"/>
      <c r="K607"/>
    </row>
    <row r="608" spans="1:11" ht="15.75">
      <c r="A608"/>
      <c r="B608"/>
      <c r="C608"/>
      <c r="D608"/>
      <c r="E608"/>
      <c r="F608"/>
      <c r="G608"/>
      <c r="H608"/>
      <c r="I608"/>
      <c r="J608"/>
      <c r="K608"/>
    </row>
    <row r="609" spans="1:11" ht="15.75">
      <c r="A609"/>
      <c r="B609"/>
      <c r="C609"/>
      <c r="D609"/>
      <c r="E609"/>
      <c r="F609"/>
      <c r="G609"/>
      <c r="H609"/>
      <c r="I609"/>
      <c r="J609"/>
      <c r="K609"/>
    </row>
    <row r="610" spans="1:11" ht="15.75">
      <c r="A610"/>
      <c r="B610"/>
      <c r="C610"/>
      <c r="D610"/>
      <c r="E610"/>
      <c r="F610"/>
      <c r="G610"/>
      <c r="H610"/>
      <c r="I610"/>
      <c r="J610"/>
      <c r="K610"/>
    </row>
    <row r="611" spans="1:11" ht="15.75">
      <c r="A611"/>
      <c r="B611"/>
      <c r="C611"/>
      <c r="D611"/>
      <c r="E611"/>
      <c r="F611"/>
      <c r="G611"/>
      <c r="H611"/>
      <c r="I611"/>
      <c r="J611"/>
      <c r="K611"/>
    </row>
    <row r="612" spans="1:11" ht="15.75">
      <c r="A612"/>
      <c r="B612"/>
      <c r="C612"/>
      <c r="D612"/>
      <c r="E612"/>
      <c r="F612"/>
      <c r="G612"/>
      <c r="H612"/>
      <c r="I612"/>
      <c r="J612"/>
      <c r="K612"/>
    </row>
    <row r="613" spans="1:11" ht="15.75">
      <c r="A613"/>
      <c r="B613"/>
      <c r="C613"/>
      <c r="D613"/>
      <c r="E613"/>
      <c r="F613"/>
      <c r="G613"/>
      <c r="H613"/>
      <c r="I613"/>
      <c r="J613"/>
      <c r="K613"/>
    </row>
    <row r="614" spans="1:11" ht="15.75">
      <c r="A614"/>
      <c r="B614"/>
      <c r="C614"/>
      <c r="D614"/>
      <c r="E614"/>
      <c r="F614"/>
      <c r="G614"/>
      <c r="H614"/>
      <c r="I614"/>
      <c r="J614"/>
      <c r="K614"/>
    </row>
    <row r="615" spans="1:11" ht="15.75">
      <c r="A615"/>
      <c r="B615"/>
      <c r="C615"/>
      <c r="D615"/>
      <c r="E615"/>
      <c r="F615"/>
      <c r="G615"/>
      <c r="H615"/>
      <c r="I615"/>
      <c r="J615"/>
      <c r="K615"/>
    </row>
    <row r="616" spans="1:11" ht="15.75">
      <c r="A616"/>
      <c r="B616"/>
      <c r="C616"/>
      <c r="D616"/>
      <c r="E616"/>
      <c r="F616"/>
      <c r="G616"/>
      <c r="H616"/>
      <c r="I616"/>
      <c r="J616"/>
      <c r="K616"/>
    </row>
    <row r="617" spans="1:11" ht="15.75">
      <c r="A617"/>
      <c r="B617"/>
      <c r="C617"/>
      <c r="D617"/>
      <c r="E617"/>
      <c r="F617"/>
      <c r="G617"/>
      <c r="H617"/>
      <c r="I617"/>
      <c r="J617"/>
      <c r="K617"/>
    </row>
    <row r="618" spans="1:11" ht="15.75">
      <c r="A618"/>
      <c r="B618"/>
      <c r="C618"/>
      <c r="D618"/>
      <c r="E618"/>
      <c r="F618"/>
      <c r="G618"/>
      <c r="H618"/>
      <c r="I618"/>
      <c r="J618"/>
      <c r="K618"/>
    </row>
    <row r="619" spans="1:11" ht="15.75">
      <c r="A619"/>
      <c r="B619"/>
      <c r="C619"/>
      <c r="D619"/>
      <c r="E619"/>
      <c r="F619"/>
      <c r="G619"/>
      <c r="H619"/>
      <c r="I619"/>
      <c r="J619"/>
      <c r="K619"/>
    </row>
    <row r="620" spans="1:11" ht="15.75">
      <c r="A620"/>
      <c r="B620"/>
      <c r="C620"/>
      <c r="D620"/>
      <c r="E620"/>
      <c r="F620"/>
      <c r="G620"/>
      <c r="H620"/>
      <c r="I620"/>
      <c r="J620"/>
      <c r="K620"/>
    </row>
    <row r="621" spans="1:11" ht="15.75">
      <c r="A621"/>
      <c r="B621"/>
      <c r="C621"/>
      <c r="D621"/>
      <c r="E621"/>
      <c r="F621"/>
      <c r="G621"/>
      <c r="H621"/>
      <c r="I621"/>
      <c r="J621"/>
      <c r="K621"/>
    </row>
    <row r="622" spans="1:11" ht="15.75">
      <c r="A622"/>
      <c r="B622"/>
      <c r="C622"/>
      <c r="D622"/>
      <c r="E622"/>
      <c r="F622"/>
      <c r="G622"/>
      <c r="H622"/>
      <c r="I622"/>
      <c r="J622"/>
      <c r="K622"/>
    </row>
    <row r="623" spans="1:11" ht="15.75">
      <c r="A623"/>
      <c r="B623"/>
      <c r="C623"/>
      <c r="D623"/>
      <c r="E623"/>
      <c r="F623"/>
      <c r="G623"/>
      <c r="H623"/>
      <c r="I623"/>
      <c r="J623"/>
      <c r="K623"/>
    </row>
    <row r="624" spans="1:11" ht="15.75">
      <c r="A624"/>
      <c r="B624"/>
      <c r="C624"/>
      <c r="D624"/>
      <c r="E624"/>
      <c r="F624"/>
      <c r="G624"/>
      <c r="H624"/>
      <c r="I624"/>
      <c r="J624"/>
      <c r="K624"/>
    </row>
    <row r="625" spans="1:11" ht="15.75">
      <c r="A625"/>
      <c r="B625"/>
      <c r="C625"/>
      <c r="D625"/>
      <c r="E625"/>
      <c r="F625"/>
      <c r="G625"/>
      <c r="H625"/>
      <c r="I625"/>
      <c r="J625"/>
      <c r="K625"/>
    </row>
    <row r="626" spans="1:11" ht="15.75">
      <c r="A626"/>
      <c r="B626"/>
      <c r="C626"/>
      <c r="D626"/>
      <c r="E626"/>
      <c r="F626"/>
      <c r="G626"/>
      <c r="H626"/>
      <c r="I626"/>
      <c r="J626"/>
      <c r="K626"/>
    </row>
    <row r="627" spans="1:11" ht="15.75">
      <c r="A627"/>
      <c r="B627"/>
      <c r="C627"/>
      <c r="D627"/>
      <c r="E627"/>
      <c r="F627"/>
      <c r="G627"/>
      <c r="H627"/>
      <c r="I627"/>
      <c r="J627"/>
      <c r="K627"/>
    </row>
    <row r="628" spans="1:11" ht="15.75">
      <c r="A628"/>
      <c r="B628"/>
      <c r="C628"/>
      <c r="D628"/>
      <c r="E628"/>
      <c r="F628"/>
      <c r="G628"/>
      <c r="H628"/>
      <c r="I628"/>
      <c r="J628"/>
      <c r="K628"/>
    </row>
    <row r="629" spans="1:11" ht="15.75">
      <c r="A629"/>
      <c r="B629"/>
      <c r="C629"/>
      <c r="D629"/>
      <c r="E629"/>
      <c r="F629"/>
      <c r="G629"/>
      <c r="H629"/>
      <c r="I629"/>
      <c r="J629"/>
      <c r="K629"/>
    </row>
    <row r="630" spans="1:11" ht="15.75">
      <c r="A630"/>
      <c r="B630"/>
      <c r="C630"/>
      <c r="D630"/>
      <c r="E630"/>
      <c r="F630"/>
      <c r="G630"/>
      <c r="H630"/>
      <c r="I630"/>
      <c r="J630"/>
      <c r="K630"/>
    </row>
    <row r="631" spans="1:11" ht="15.75">
      <c r="A631"/>
      <c r="B631"/>
      <c r="C631"/>
      <c r="D631"/>
      <c r="E631"/>
      <c r="F631"/>
      <c r="G631"/>
      <c r="H631"/>
      <c r="I631"/>
      <c r="J631"/>
      <c r="K631"/>
    </row>
    <row r="632" spans="1:11" ht="15.75">
      <c r="A632"/>
      <c r="B632"/>
      <c r="C632"/>
      <c r="D632"/>
      <c r="E632"/>
      <c r="F632"/>
      <c r="G632"/>
      <c r="H632"/>
      <c r="I632"/>
      <c r="J632"/>
      <c r="K632"/>
    </row>
    <row r="633" spans="1:11" ht="15.75">
      <c r="A633"/>
      <c r="B633"/>
      <c r="C633"/>
      <c r="D633"/>
      <c r="E633"/>
      <c r="F633"/>
      <c r="G633"/>
      <c r="H633"/>
      <c r="I633"/>
      <c r="J633"/>
      <c r="K633"/>
    </row>
    <row r="634" spans="1:11" ht="15.75">
      <c r="A634"/>
      <c r="B634"/>
      <c r="C634"/>
      <c r="D634"/>
      <c r="E634"/>
      <c r="F634"/>
      <c r="G634"/>
      <c r="H634"/>
      <c r="I634"/>
      <c r="J634"/>
      <c r="K634"/>
    </row>
    <row r="635" spans="1:11" ht="15.75">
      <c r="A635"/>
      <c r="B635"/>
      <c r="C635"/>
      <c r="D635"/>
      <c r="E635"/>
      <c r="F635"/>
      <c r="G635"/>
      <c r="H635"/>
      <c r="I635"/>
      <c r="J635"/>
      <c r="K635"/>
    </row>
    <row r="636" spans="1:11" ht="15.75">
      <c r="A636"/>
      <c r="B636"/>
      <c r="C636"/>
      <c r="D636"/>
      <c r="E636"/>
      <c r="F636"/>
      <c r="G636"/>
      <c r="H636"/>
      <c r="I636"/>
      <c r="J636"/>
      <c r="K636"/>
    </row>
    <row r="637" spans="1:11" ht="15.75">
      <c r="A637"/>
      <c r="B637"/>
      <c r="C637"/>
      <c r="D637"/>
      <c r="E637"/>
      <c r="F637"/>
      <c r="G637"/>
      <c r="H637"/>
      <c r="I637"/>
      <c r="J637"/>
      <c r="K637"/>
    </row>
    <row r="638" spans="1:11" ht="15.75">
      <c r="A638"/>
      <c r="B638"/>
      <c r="C638"/>
      <c r="D638"/>
      <c r="E638"/>
      <c r="F638"/>
      <c r="G638"/>
      <c r="H638"/>
      <c r="I638"/>
      <c r="J638"/>
      <c r="K638"/>
    </row>
    <row r="639" spans="1:11" ht="15.75">
      <c r="A639"/>
      <c r="B639"/>
      <c r="C639"/>
      <c r="D639"/>
      <c r="E639"/>
      <c r="F639"/>
      <c r="G639"/>
      <c r="H639"/>
      <c r="I639"/>
      <c r="J639"/>
      <c r="K639"/>
    </row>
    <row r="640" spans="1:11" ht="15.75">
      <c r="A640"/>
      <c r="B640"/>
      <c r="C640"/>
      <c r="D640"/>
      <c r="E640"/>
      <c r="F640"/>
      <c r="G640"/>
      <c r="H640"/>
      <c r="I640"/>
      <c r="J640"/>
      <c r="K640"/>
    </row>
    <row r="641" spans="1:11" ht="15.75">
      <c r="A641"/>
      <c r="B641"/>
      <c r="C641"/>
      <c r="D641"/>
      <c r="E641"/>
      <c r="F641"/>
      <c r="G641"/>
      <c r="H641"/>
      <c r="I641"/>
      <c r="J641"/>
      <c r="K641"/>
    </row>
    <row r="642" spans="1:11" ht="15.75">
      <c r="A642"/>
      <c r="B642"/>
      <c r="C642"/>
      <c r="D642"/>
      <c r="E642"/>
      <c r="F642"/>
      <c r="G642"/>
      <c r="H642"/>
      <c r="I642"/>
      <c r="J642"/>
      <c r="K642"/>
    </row>
    <row r="643" spans="1:11" ht="15.75">
      <c r="A643"/>
      <c r="B643"/>
      <c r="C643"/>
      <c r="D643"/>
      <c r="E643"/>
      <c r="F643"/>
      <c r="G643"/>
      <c r="H643"/>
      <c r="I643"/>
      <c r="J643"/>
      <c r="K643"/>
    </row>
    <row r="644" spans="1:11" ht="15.75">
      <c r="A644"/>
      <c r="B644"/>
      <c r="C644"/>
      <c r="D644"/>
      <c r="E644"/>
      <c r="F644"/>
      <c r="G644"/>
      <c r="H644"/>
      <c r="I644"/>
      <c r="J644"/>
      <c r="K644"/>
    </row>
    <row r="645" spans="1:11" ht="15.75">
      <c r="A645"/>
      <c r="B645"/>
      <c r="C645"/>
      <c r="D645"/>
      <c r="E645"/>
      <c r="F645"/>
      <c r="G645"/>
      <c r="H645"/>
      <c r="I645"/>
      <c r="J645"/>
      <c r="K645"/>
    </row>
    <row r="646" spans="1:11" ht="15.75">
      <c r="A646"/>
      <c r="B646"/>
      <c r="C646"/>
      <c r="D646"/>
      <c r="E646"/>
      <c r="F646"/>
      <c r="G646"/>
      <c r="H646"/>
      <c r="I646"/>
      <c r="J646"/>
      <c r="K646"/>
    </row>
    <row r="647" spans="1:11" ht="15.75">
      <c r="A647"/>
      <c r="B647"/>
      <c r="C647"/>
      <c r="D647"/>
      <c r="E647"/>
      <c r="F647"/>
      <c r="G647"/>
      <c r="H647"/>
      <c r="I647"/>
      <c r="J647"/>
      <c r="K647"/>
    </row>
    <row r="648" spans="1:11" ht="15.75">
      <c r="A648"/>
      <c r="B648"/>
      <c r="C648"/>
      <c r="D648"/>
      <c r="E648"/>
      <c r="F648"/>
      <c r="G648"/>
      <c r="H648"/>
      <c r="I648"/>
      <c r="J648"/>
      <c r="K648"/>
    </row>
    <row r="649" spans="1:11" ht="15.75">
      <c r="A649"/>
      <c r="B649"/>
      <c r="C649"/>
      <c r="D649"/>
      <c r="E649"/>
      <c r="F649"/>
      <c r="G649"/>
      <c r="H649"/>
      <c r="I649"/>
      <c r="J649"/>
      <c r="K649"/>
    </row>
    <row r="650" spans="1:11" ht="15.75">
      <c r="A650"/>
      <c r="B650"/>
      <c r="C650"/>
      <c r="D650"/>
      <c r="E650"/>
      <c r="F650"/>
      <c r="G650"/>
      <c r="H650"/>
      <c r="I650"/>
      <c r="J650"/>
      <c r="K650"/>
    </row>
    <row r="651" spans="1:11" ht="15.75">
      <c r="A651"/>
      <c r="B651"/>
      <c r="C651"/>
      <c r="D651"/>
      <c r="E651"/>
      <c r="F651"/>
      <c r="G651"/>
      <c r="H651"/>
      <c r="I651"/>
      <c r="J651"/>
      <c r="K651"/>
    </row>
    <row r="652" spans="1:11" ht="15.75">
      <c r="A652"/>
      <c r="B652"/>
      <c r="C652"/>
      <c r="D652"/>
      <c r="E652"/>
      <c r="F652"/>
      <c r="G652"/>
      <c r="H652"/>
      <c r="I652"/>
      <c r="J652"/>
      <c r="K652"/>
    </row>
    <row r="653" spans="1:11" ht="15.75">
      <c r="A653"/>
      <c r="B653"/>
      <c r="C653"/>
      <c r="D653"/>
      <c r="E653"/>
      <c r="F653"/>
      <c r="G653"/>
      <c r="H653"/>
      <c r="I653"/>
      <c r="J653"/>
      <c r="K653"/>
    </row>
    <row r="654" spans="1:11" ht="15.75">
      <c r="A654"/>
      <c r="B654"/>
      <c r="C654"/>
      <c r="D654"/>
      <c r="E654"/>
      <c r="F654"/>
      <c r="G654"/>
      <c r="H654"/>
      <c r="I654"/>
      <c r="J654"/>
      <c r="K654"/>
    </row>
    <row r="655" spans="1:11" ht="15.75">
      <c r="A655"/>
      <c r="B655"/>
      <c r="C655"/>
      <c r="D655"/>
      <c r="E655"/>
      <c r="F655"/>
      <c r="G655"/>
      <c r="H655"/>
      <c r="I655"/>
      <c r="J655"/>
      <c r="K655"/>
    </row>
    <row r="656" spans="1:11" ht="15.75">
      <c r="A656"/>
      <c r="B656"/>
      <c r="C656"/>
      <c r="D656"/>
      <c r="E656"/>
      <c r="F656"/>
      <c r="G656"/>
      <c r="H656"/>
      <c r="I656"/>
      <c r="J656"/>
      <c r="K656"/>
    </row>
    <row r="657" spans="1:11" ht="15.75">
      <c r="A657"/>
      <c r="B657"/>
      <c r="C657"/>
      <c r="D657"/>
      <c r="E657"/>
      <c r="F657"/>
      <c r="G657"/>
      <c r="H657"/>
      <c r="I657"/>
      <c r="J657"/>
      <c r="K657"/>
    </row>
    <row r="658" spans="1:11" ht="15.75">
      <c r="A658"/>
      <c r="B658"/>
      <c r="C658"/>
      <c r="D658"/>
      <c r="E658"/>
      <c r="F658"/>
      <c r="G658"/>
      <c r="H658"/>
      <c r="I658"/>
      <c r="J658"/>
      <c r="K658"/>
    </row>
    <row r="659" spans="1:11" ht="15.75">
      <c r="A659"/>
      <c r="B659"/>
      <c r="C659"/>
      <c r="D659"/>
      <c r="E659"/>
      <c r="F659"/>
      <c r="G659"/>
      <c r="H659"/>
      <c r="I659"/>
      <c r="J659"/>
      <c r="K659"/>
    </row>
    <row r="660" spans="1:11" ht="15.75">
      <c r="A660"/>
      <c r="B660"/>
      <c r="C660"/>
      <c r="D660"/>
      <c r="E660"/>
      <c r="F660"/>
      <c r="G660"/>
      <c r="H660"/>
      <c r="I660"/>
      <c r="J660"/>
      <c r="K660"/>
    </row>
    <row r="661" spans="1:11" ht="15.75">
      <c r="A661"/>
      <c r="B661"/>
      <c r="C661"/>
      <c r="D661"/>
      <c r="E661"/>
      <c r="F661"/>
      <c r="G661"/>
      <c r="H661"/>
      <c r="I661"/>
      <c r="J661"/>
      <c r="K661"/>
    </row>
    <row r="662" spans="1:11" ht="15.75">
      <c r="A662"/>
      <c r="B662"/>
      <c r="C662"/>
      <c r="D662"/>
      <c r="E662"/>
      <c r="F662"/>
      <c r="G662"/>
      <c r="H662"/>
      <c r="I662"/>
      <c r="J662"/>
      <c r="K662"/>
    </row>
    <row r="663" spans="1:11" ht="15.75">
      <c r="A663"/>
      <c r="B663"/>
      <c r="C663"/>
      <c r="D663"/>
      <c r="E663"/>
      <c r="F663"/>
      <c r="G663"/>
      <c r="H663"/>
      <c r="I663"/>
      <c r="J663"/>
      <c r="K663"/>
    </row>
    <row r="664" spans="1:11" ht="15.75">
      <c r="A664"/>
      <c r="B664"/>
      <c r="C664"/>
      <c r="D664"/>
      <c r="E664"/>
      <c r="F664"/>
      <c r="G664"/>
      <c r="H664"/>
      <c r="I664"/>
      <c r="J664"/>
      <c r="K664"/>
    </row>
    <row r="665" spans="1:11" ht="15.75">
      <c r="A665"/>
      <c r="B665"/>
      <c r="C665"/>
      <c r="D665"/>
      <c r="E665"/>
      <c r="F665"/>
      <c r="G665"/>
      <c r="H665"/>
      <c r="I665"/>
      <c r="J665"/>
      <c r="K665"/>
    </row>
    <row r="666" spans="1:11" ht="15.75">
      <c r="A666"/>
      <c r="B666"/>
      <c r="C666"/>
      <c r="D666"/>
      <c r="E666"/>
      <c r="F666"/>
      <c r="G666"/>
      <c r="H666"/>
      <c r="I666"/>
      <c r="J666"/>
      <c r="K666"/>
    </row>
    <row r="667" spans="1:11" ht="15.75">
      <c r="A667"/>
      <c r="B667"/>
      <c r="C667"/>
      <c r="D667"/>
      <c r="E667"/>
      <c r="F667"/>
      <c r="G667"/>
      <c r="H667"/>
      <c r="I667"/>
      <c r="J667"/>
      <c r="K667"/>
    </row>
    <row r="668" spans="1:11" ht="15.75">
      <c r="A668"/>
      <c r="B668"/>
      <c r="C668"/>
      <c r="D668"/>
      <c r="E668"/>
      <c r="F668"/>
      <c r="G668"/>
      <c r="H668"/>
      <c r="I668"/>
      <c r="J668"/>
      <c r="K668"/>
    </row>
    <row r="669" spans="1:11" ht="15.75">
      <c r="A669"/>
      <c r="B669"/>
      <c r="C669"/>
      <c r="D669"/>
      <c r="E669"/>
      <c r="F669"/>
      <c r="G669"/>
      <c r="H669"/>
      <c r="I669"/>
      <c r="J669"/>
      <c r="K669"/>
    </row>
    <row r="670" spans="1:11" ht="15.75">
      <c r="A670"/>
      <c r="B670"/>
      <c r="C670"/>
      <c r="D670"/>
      <c r="E670"/>
      <c r="F670"/>
      <c r="G670"/>
      <c r="H670"/>
      <c r="I670"/>
      <c r="J670"/>
      <c r="K670"/>
    </row>
    <row r="671" spans="1:11" ht="15.75">
      <c r="A671"/>
      <c r="B671"/>
      <c r="C671"/>
      <c r="D671"/>
      <c r="E671"/>
      <c r="F671"/>
      <c r="G671"/>
      <c r="H671"/>
      <c r="I671"/>
      <c r="J671"/>
      <c r="K671"/>
    </row>
    <row r="672" spans="1:11" ht="15.75">
      <c r="A672"/>
      <c r="B672"/>
      <c r="C672"/>
      <c r="D672"/>
      <c r="E672"/>
      <c r="F672"/>
      <c r="G672"/>
      <c r="H672"/>
      <c r="I672"/>
      <c r="J672"/>
      <c r="K672"/>
    </row>
    <row r="673" spans="1:11" ht="15.75">
      <c r="A673"/>
      <c r="B673"/>
      <c r="C673"/>
      <c r="D673"/>
      <c r="E673"/>
      <c r="F673"/>
      <c r="G673"/>
      <c r="H673"/>
      <c r="I673"/>
      <c r="J673"/>
      <c r="K673"/>
    </row>
    <row r="674" spans="1:11" ht="15.75">
      <c r="A674"/>
      <c r="B674"/>
      <c r="C674"/>
      <c r="D674"/>
      <c r="E674"/>
      <c r="F674"/>
      <c r="G674"/>
      <c r="H674"/>
      <c r="I674"/>
      <c r="J674"/>
      <c r="K674"/>
    </row>
    <row r="675" spans="1:11" ht="15.75">
      <c r="A675"/>
      <c r="B675"/>
      <c r="C675"/>
      <c r="D675"/>
      <c r="E675"/>
      <c r="F675"/>
      <c r="G675"/>
      <c r="H675"/>
      <c r="I675"/>
      <c r="J675"/>
      <c r="K675"/>
    </row>
    <row r="676" spans="1:11" ht="15.75">
      <c r="A676"/>
      <c r="B676"/>
      <c r="C676"/>
      <c r="D676"/>
      <c r="E676"/>
      <c r="F676"/>
      <c r="G676"/>
      <c r="H676"/>
      <c r="I676"/>
      <c r="J676"/>
      <c r="K676"/>
    </row>
    <row r="677" spans="1:11" ht="15.75">
      <c r="A677"/>
      <c r="B677"/>
      <c r="C677"/>
      <c r="D677"/>
      <c r="E677"/>
      <c r="F677"/>
      <c r="G677"/>
      <c r="H677"/>
      <c r="I677"/>
      <c r="J677"/>
      <c r="K677"/>
    </row>
    <row r="678" spans="1:11" ht="15.75">
      <c r="A678"/>
      <c r="B678"/>
      <c r="C678"/>
      <c r="D678"/>
      <c r="E678"/>
      <c r="F678"/>
      <c r="G678"/>
      <c r="H678"/>
      <c r="I678"/>
      <c r="J678"/>
      <c r="K678"/>
    </row>
    <row r="679" spans="1:11" ht="15.75">
      <c r="A679"/>
      <c r="B679"/>
      <c r="C679"/>
      <c r="D679"/>
      <c r="E679"/>
      <c r="F679"/>
      <c r="G679"/>
      <c r="H679"/>
      <c r="I679"/>
      <c r="J679"/>
      <c r="K679"/>
    </row>
    <row r="680" spans="1:11" ht="15.75">
      <c r="A680"/>
      <c r="B680"/>
      <c r="C680"/>
      <c r="D680"/>
      <c r="E680"/>
      <c r="F680"/>
      <c r="G680"/>
      <c r="H680"/>
      <c r="I680"/>
      <c r="J680"/>
      <c r="K680"/>
    </row>
    <row r="681" spans="1:11" ht="15.75">
      <c r="A681"/>
      <c r="B681"/>
      <c r="C681"/>
      <c r="D681"/>
      <c r="E681"/>
      <c r="F681"/>
      <c r="G681"/>
      <c r="H681"/>
      <c r="I681"/>
      <c r="J681"/>
      <c r="K681"/>
    </row>
    <row r="682" spans="1:11" ht="15.75">
      <c r="A682"/>
      <c r="B682"/>
      <c r="C682"/>
      <c r="D682"/>
      <c r="E682"/>
      <c r="F682"/>
      <c r="G682"/>
      <c r="H682"/>
      <c r="I682"/>
      <c r="J682"/>
      <c r="K682"/>
    </row>
    <row r="683" spans="1:11" ht="15.75">
      <c r="A683"/>
      <c r="B683"/>
      <c r="C683"/>
      <c r="D683"/>
      <c r="E683"/>
      <c r="F683"/>
      <c r="G683"/>
      <c r="H683"/>
      <c r="I683"/>
      <c r="J683"/>
      <c r="K683"/>
    </row>
    <row r="684" spans="1:11" ht="15.75">
      <c r="A684"/>
      <c r="B684"/>
      <c r="C684"/>
      <c r="D684"/>
      <c r="E684"/>
      <c r="F684"/>
      <c r="G684"/>
      <c r="H684"/>
      <c r="I684"/>
      <c r="J684"/>
      <c r="K684"/>
    </row>
    <row r="685" spans="1:11" ht="15.75">
      <c r="A685"/>
      <c r="B685"/>
      <c r="C685"/>
      <c r="D685"/>
      <c r="E685"/>
      <c r="F685"/>
      <c r="G685"/>
      <c r="H685"/>
      <c r="I685"/>
      <c r="J685"/>
      <c r="K685"/>
    </row>
    <row r="686" spans="1:11" ht="15.75">
      <c r="A686"/>
      <c r="B686"/>
      <c r="C686"/>
      <c r="D686"/>
      <c r="E686"/>
      <c r="F686"/>
      <c r="G686"/>
      <c r="H686"/>
      <c r="I686"/>
      <c r="J686"/>
      <c r="K686"/>
    </row>
    <row r="687" spans="1:11" ht="15.75">
      <c r="A687"/>
      <c r="B687"/>
      <c r="C687"/>
      <c r="D687"/>
      <c r="E687"/>
      <c r="F687"/>
      <c r="G687"/>
      <c r="H687"/>
      <c r="I687"/>
      <c r="J687"/>
      <c r="K687"/>
    </row>
    <row r="688" spans="1:11" ht="15.75">
      <c r="A688"/>
      <c r="B688"/>
      <c r="C688"/>
      <c r="D688"/>
      <c r="E688"/>
      <c r="F688"/>
      <c r="G688"/>
      <c r="H688"/>
      <c r="I688"/>
      <c r="J688"/>
      <c r="K688"/>
    </row>
    <row r="689" spans="1:11" ht="15.75">
      <c r="A689"/>
      <c r="B689"/>
      <c r="C689"/>
      <c r="D689"/>
      <c r="E689"/>
      <c r="F689"/>
      <c r="G689"/>
      <c r="H689"/>
      <c r="I689"/>
      <c r="J689"/>
      <c r="K689"/>
    </row>
    <row r="690" spans="1:11" ht="15.75">
      <c r="A690"/>
      <c r="B690"/>
      <c r="C690"/>
      <c r="D690"/>
      <c r="E690"/>
      <c r="F690"/>
      <c r="G690"/>
      <c r="H690"/>
      <c r="I690"/>
      <c r="J690"/>
      <c r="K690"/>
    </row>
    <row r="691" spans="1:11" ht="15.75">
      <c r="A691"/>
      <c r="B691"/>
      <c r="C691"/>
      <c r="D691"/>
      <c r="E691"/>
      <c r="F691"/>
      <c r="G691"/>
      <c r="H691"/>
      <c r="I691"/>
      <c r="J691"/>
      <c r="K691"/>
    </row>
    <row r="692" spans="1:11" ht="15.75">
      <c r="A692"/>
      <c r="B692"/>
      <c r="C692"/>
      <c r="D692"/>
      <c r="E692"/>
      <c r="F692"/>
      <c r="G692"/>
      <c r="H692"/>
      <c r="I692"/>
      <c r="J692"/>
      <c r="K692"/>
    </row>
    <row r="693" spans="1:11" ht="15.75">
      <c r="A693"/>
      <c r="B693"/>
      <c r="C693"/>
      <c r="D693"/>
      <c r="E693"/>
      <c r="F693"/>
      <c r="G693"/>
      <c r="H693"/>
      <c r="I693"/>
      <c r="J693"/>
      <c r="K693"/>
    </row>
    <row r="694" spans="1:11" ht="15.75">
      <c r="A694"/>
      <c r="B694"/>
      <c r="C694"/>
      <c r="D694"/>
      <c r="E694"/>
      <c r="F694"/>
      <c r="G694"/>
      <c r="H694"/>
      <c r="I694"/>
      <c r="J694"/>
      <c r="K694"/>
    </row>
    <row r="695" spans="1:11" ht="15.75">
      <c r="A695"/>
      <c r="B695"/>
      <c r="C695"/>
      <c r="D695"/>
      <c r="E695"/>
      <c r="F695"/>
      <c r="G695"/>
      <c r="H695"/>
      <c r="I695"/>
      <c r="J695"/>
      <c r="K695"/>
    </row>
    <row r="696" spans="1:11" ht="15.75">
      <c r="A696"/>
      <c r="B696"/>
      <c r="C696"/>
      <c r="D696"/>
      <c r="E696"/>
      <c r="F696"/>
      <c r="G696"/>
      <c r="H696"/>
      <c r="I696"/>
      <c r="J696"/>
      <c r="K696"/>
    </row>
    <row r="697" spans="1:11" ht="15.75">
      <c r="A697"/>
      <c r="B697"/>
      <c r="C697"/>
      <c r="D697"/>
      <c r="E697"/>
      <c r="F697"/>
      <c r="G697"/>
      <c r="H697"/>
      <c r="I697"/>
      <c r="J697"/>
      <c r="K697"/>
    </row>
    <row r="698" spans="1:11" ht="15.75">
      <c r="A698"/>
      <c r="B698"/>
      <c r="C698"/>
      <c r="D698"/>
      <c r="E698"/>
      <c r="F698"/>
      <c r="G698"/>
      <c r="H698"/>
      <c r="I698"/>
      <c r="J698"/>
      <c r="K698"/>
    </row>
    <row r="699" spans="1:11" ht="15.75">
      <c r="A699"/>
      <c r="B699"/>
      <c r="C699"/>
      <c r="D699"/>
      <c r="E699"/>
      <c r="F699"/>
      <c r="G699"/>
      <c r="H699"/>
      <c r="I699"/>
      <c r="J699"/>
      <c r="K699"/>
    </row>
    <row r="700" spans="1:11" ht="15.75">
      <c r="A700"/>
      <c r="B700"/>
      <c r="C700"/>
      <c r="D700"/>
      <c r="E700"/>
      <c r="F700"/>
      <c r="G700"/>
      <c r="H700"/>
      <c r="I700"/>
      <c r="J700"/>
      <c r="K700"/>
    </row>
    <row r="701" spans="1:11" ht="15.75">
      <c r="A701"/>
      <c r="B701"/>
      <c r="C701"/>
      <c r="D701"/>
      <c r="E701"/>
      <c r="F701"/>
      <c r="G701"/>
      <c r="H701"/>
      <c r="I701"/>
      <c r="J701"/>
      <c r="K701"/>
    </row>
    <row r="702" spans="1:11" ht="15.75">
      <c r="A702"/>
      <c r="B702"/>
      <c r="C702"/>
      <c r="D702"/>
      <c r="E702"/>
      <c r="F702"/>
      <c r="G702"/>
      <c r="H702"/>
      <c r="I702"/>
      <c r="J702"/>
      <c r="K702"/>
    </row>
    <row r="703" spans="1:11" ht="15.75">
      <c r="A703"/>
      <c r="B703"/>
      <c r="C703"/>
      <c r="D703"/>
      <c r="E703"/>
      <c r="F703"/>
      <c r="G703"/>
      <c r="H703"/>
      <c r="I703"/>
      <c r="J703"/>
      <c r="K703"/>
    </row>
    <row r="704" spans="1:11" ht="15.75">
      <c r="A704"/>
      <c r="B704"/>
      <c r="C704"/>
      <c r="D704"/>
      <c r="E704"/>
      <c r="F704"/>
      <c r="G704"/>
      <c r="H704"/>
      <c r="I704"/>
      <c r="J704"/>
      <c r="K704"/>
    </row>
    <row r="705" spans="1:11" ht="15.75">
      <c r="A705"/>
      <c r="B705"/>
      <c r="C705"/>
      <c r="D705"/>
      <c r="E705"/>
      <c r="F705"/>
      <c r="G705"/>
      <c r="H705"/>
      <c r="I705"/>
      <c r="J705"/>
      <c r="K705"/>
    </row>
    <row r="706" spans="1:11" ht="15.75">
      <c r="A706"/>
      <c r="B706"/>
      <c r="C706"/>
      <c r="D706"/>
      <c r="E706"/>
      <c r="F706"/>
      <c r="G706"/>
      <c r="H706"/>
      <c r="I706"/>
      <c r="J706"/>
      <c r="K706"/>
    </row>
    <row r="707" spans="1:11" ht="15.75">
      <c r="A707"/>
      <c r="B707"/>
      <c r="C707"/>
      <c r="D707"/>
      <c r="E707"/>
      <c r="F707"/>
      <c r="G707"/>
      <c r="H707"/>
      <c r="I707"/>
      <c r="J707"/>
      <c r="K707"/>
    </row>
    <row r="708" spans="1:11" ht="15.75">
      <c r="A708"/>
      <c r="B708"/>
      <c r="C708"/>
      <c r="D708"/>
      <c r="E708"/>
      <c r="F708"/>
      <c r="G708"/>
      <c r="H708"/>
      <c r="I708"/>
      <c r="J708"/>
      <c r="K708"/>
    </row>
    <row r="709" spans="1:11" ht="15.75">
      <c r="A709"/>
      <c r="B709"/>
      <c r="C709"/>
      <c r="D709"/>
      <c r="E709"/>
      <c r="F709"/>
      <c r="G709"/>
      <c r="H709"/>
      <c r="I709"/>
      <c r="J709"/>
      <c r="K709"/>
    </row>
    <row r="710" spans="1:11" ht="15.75">
      <c r="A710"/>
      <c r="B710"/>
      <c r="C710"/>
      <c r="D710"/>
      <c r="E710"/>
      <c r="F710"/>
      <c r="G710"/>
      <c r="H710"/>
      <c r="I710"/>
      <c r="J710"/>
      <c r="K710"/>
    </row>
    <row r="711" spans="1:11" ht="15.75">
      <c r="A711"/>
      <c r="B711"/>
      <c r="C711"/>
      <c r="D711"/>
      <c r="E711"/>
      <c r="F711"/>
      <c r="G711"/>
      <c r="H711"/>
      <c r="I711"/>
      <c r="J711"/>
      <c r="K711"/>
    </row>
    <row r="712" spans="1:11" ht="15.75">
      <c r="A712"/>
      <c r="B712"/>
      <c r="C712"/>
      <c r="D712"/>
      <c r="E712"/>
      <c r="F712"/>
      <c r="G712"/>
      <c r="H712"/>
      <c r="I712"/>
      <c r="J712"/>
      <c r="K712"/>
    </row>
    <row r="713" spans="1:11" ht="15.75">
      <c r="A713"/>
      <c r="B713"/>
      <c r="C713"/>
      <c r="D713"/>
      <c r="E713"/>
      <c r="F713"/>
      <c r="G713"/>
      <c r="H713"/>
      <c r="I713"/>
      <c r="J713"/>
      <c r="K713"/>
    </row>
    <row r="714" spans="1:11" ht="15.75">
      <c r="A714"/>
      <c r="B714"/>
      <c r="C714"/>
      <c r="D714"/>
      <c r="E714"/>
      <c r="F714"/>
      <c r="G714"/>
      <c r="H714"/>
      <c r="I714"/>
      <c r="J714"/>
      <c r="K714"/>
    </row>
    <row r="715" spans="1:11" ht="15.75">
      <c r="A715"/>
      <c r="B715"/>
      <c r="C715"/>
      <c r="D715"/>
      <c r="E715"/>
      <c r="F715"/>
      <c r="G715"/>
      <c r="H715"/>
      <c r="I715"/>
      <c r="J715"/>
      <c r="K715"/>
    </row>
    <row r="716" spans="1:11" ht="15.75">
      <c r="A716"/>
      <c r="B716"/>
      <c r="C716"/>
      <c r="D716"/>
      <c r="E716"/>
      <c r="F716"/>
      <c r="G716"/>
      <c r="H716"/>
      <c r="I716"/>
      <c r="J716"/>
      <c r="K716"/>
    </row>
    <row r="717" spans="1:11" ht="15.75">
      <c r="A717"/>
      <c r="B717"/>
      <c r="C717"/>
      <c r="D717"/>
      <c r="E717"/>
      <c r="F717"/>
      <c r="G717"/>
      <c r="H717"/>
      <c r="I717"/>
      <c r="J717"/>
      <c r="K717"/>
    </row>
    <row r="718" spans="1:11" ht="15.75">
      <c r="A718"/>
      <c r="B718"/>
      <c r="C718"/>
      <c r="D718"/>
      <c r="E718"/>
      <c r="F718"/>
      <c r="G718"/>
      <c r="H718"/>
      <c r="I718"/>
      <c r="J718"/>
      <c r="K718"/>
    </row>
    <row r="719" spans="1:11" ht="15.75">
      <c r="A719"/>
      <c r="B719"/>
      <c r="C719"/>
      <c r="D719"/>
      <c r="E719"/>
      <c r="F719"/>
      <c r="G719"/>
      <c r="H719"/>
      <c r="I719"/>
      <c r="J719"/>
      <c r="K719"/>
    </row>
    <row r="720" spans="1:11" ht="15.75">
      <c r="A720"/>
      <c r="B720"/>
      <c r="C720"/>
      <c r="D720"/>
      <c r="E720"/>
      <c r="F720"/>
      <c r="G720"/>
      <c r="H720"/>
      <c r="I720"/>
      <c r="J720"/>
      <c r="K720"/>
    </row>
    <row r="721" spans="1:11" ht="15.75">
      <c r="A721"/>
      <c r="B721"/>
      <c r="C721"/>
      <c r="D721"/>
      <c r="E721"/>
      <c r="F721"/>
      <c r="G721"/>
      <c r="H721"/>
      <c r="I721"/>
      <c r="J721"/>
      <c r="K721"/>
    </row>
    <row r="722" spans="1:11" ht="15.75">
      <c r="A722"/>
      <c r="B722"/>
      <c r="C722"/>
      <c r="D722"/>
      <c r="E722"/>
      <c r="F722"/>
      <c r="G722"/>
      <c r="H722"/>
      <c r="I722"/>
      <c r="J722"/>
      <c r="K722"/>
    </row>
    <row r="723" spans="1:11" ht="15.75">
      <c r="A723"/>
      <c r="B723"/>
      <c r="C723"/>
      <c r="D723"/>
      <c r="E723"/>
      <c r="F723"/>
      <c r="G723"/>
      <c r="H723"/>
      <c r="I723"/>
      <c r="J723"/>
      <c r="K723"/>
    </row>
    <row r="724" spans="1:11" ht="15.75">
      <c r="A724"/>
      <c r="B724"/>
      <c r="C724"/>
      <c r="D724"/>
      <c r="E724"/>
      <c r="F724"/>
      <c r="G724"/>
      <c r="H724"/>
      <c r="I724"/>
      <c r="J724"/>
      <c r="K724"/>
    </row>
    <row r="725" spans="1:11" ht="15.75">
      <c r="A725"/>
      <c r="B725"/>
      <c r="C725"/>
      <c r="D725"/>
      <c r="E725"/>
      <c r="F725"/>
      <c r="G725"/>
      <c r="H725"/>
      <c r="I725"/>
      <c r="J725"/>
      <c r="K725"/>
    </row>
    <row r="726" spans="1:11" ht="15.75">
      <c r="A726"/>
      <c r="B726"/>
      <c r="C726"/>
      <c r="D726"/>
      <c r="E726"/>
      <c r="F726"/>
      <c r="G726"/>
      <c r="H726"/>
      <c r="I726"/>
      <c r="J726"/>
      <c r="K726"/>
    </row>
    <row r="727" spans="1:11" ht="15.75">
      <c r="A727"/>
      <c r="B727"/>
      <c r="C727"/>
      <c r="D727"/>
      <c r="E727"/>
      <c r="F727"/>
      <c r="G727"/>
      <c r="H727"/>
      <c r="I727"/>
      <c r="J727"/>
      <c r="K727"/>
    </row>
    <row r="728" spans="1:11" ht="15.75">
      <c r="A728"/>
      <c r="B728"/>
      <c r="C728"/>
      <c r="D728"/>
      <c r="E728"/>
      <c r="F728"/>
      <c r="G728"/>
      <c r="H728"/>
      <c r="I728"/>
      <c r="J728"/>
      <c r="K728"/>
    </row>
    <row r="729" spans="1:11" ht="15.75">
      <c r="A729"/>
      <c r="B729"/>
      <c r="C729"/>
      <c r="D729"/>
      <c r="E729"/>
      <c r="F729"/>
      <c r="G729"/>
      <c r="H729"/>
      <c r="I729"/>
      <c r="J729"/>
      <c r="K729"/>
    </row>
    <row r="730" spans="1:11" ht="15.75">
      <c r="A730"/>
      <c r="B730"/>
      <c r="C730"/>
      <c r="D730"/>
      <c r="E730"/>
      <c r="F730"/>
      <c r="G730"/>
      <c r="H730"/>
      <c r="I730"/>
      <c r="J730"/>
      <c r="K730"/>
    </row>
    <row r="731" spans="1:11" ht="15.75">
      <c r="A731"/>
      <c r="B731"/>
      <c r="C731"/>
      <c r="D731"/>
      <c r="E731"/>
      <c r="F731"/>
      <c r="G731"/>
      <c r="H731"/>
      <c r="I731"/>
      <c r="J731"/>
      <c r="K731"/>
    </row>
    <row r="732" spans="1:11" ht="15.75">
      <c r="A732"/>
      <c r="B732"/>
      <c r="C732"/>
      <c r="D732"/>
      <c r="E732"/>
      <c r="F732"/>
      <c r="G732"/>
      <c r="H732"/>
      <c r="I732"/>
      <c r="J732"/>
      <c r="K732"/>
    </row>
    <row r="733" spans="1:11" ht="15.75">
      <c r="A733"/>
      <c r="B733"/>
      <c r="C733"/>
      <c r="D733"/>
      <c r="E733"/>
      <c r="F733"/>
      <c r="G733"/>
      <c r="H733"/>
      <c r="I733"/>
      <c r="J733"/>
      <c r="K733"/>
    </row>
    <row r="734" spans="1:11" ht="15.75">
      <c r="A734"/>
      <c r="B734"/>
      <c r="C734"/>
      <c r="D734"/>
      <c r="E734"/>
      <c r="F734"/>
      <c r="G734"/>
      <c r="H734"/>
      <c r="I734"/>
      <c r="J734"/>
      <c r="K734"/>
    </row>
    <row r="735" spans="1:11" ht="15.75">
      <c r="A735"/>
      <c r="B735"/>
      <c r="C735"/>
      <c r="D735"/>
      <c r="E735"/>
      <c r="F735"/>
      <c r="G735"/>
      <c r="H735"/>
      <c r="I735"/>
      <c r="J735"/>
      <c r="K735"/>
    </row>
    <row r="736" spans="1:11" ht="15.75">
      <c r="A736"/>
      <c r="B736"/>
      <c r="C736"/>
      <c r="D736"/>
      <c r="E736"/>
      <c r="F736"/>
      <c r="G736"/>
      <c r="H736"/>
      <c r="I736"/>
      <c r="J736"/>
      <c r="K736"/>
    </row>
    <row r="737" spans="1:11" ht="15.75">
      <c r="A737"/>
      <c r="B737"/>
      <c r="C737"/>
      <c r="D737"/>
      <c r="E737"/>
      <c r="F737"/>
      <c r="G737"/>
      <c r="H737"/>
      <c r="I737"/>
      <c r="J737"/>
      <c r="K737"/>
    </row>
    <row r="738" spans="1:11" ht="15.75">
      <c r="A738"/>
      <c r="B738"/>
      <c r="C738"/>
      <c r="D738"/>
      <c r="E738"/>
      <c r="F738"/>
      <c r="G738"/>
      <c r="H738"/>
      <c r="I738"/>
      <c r="J738"/>
      <c r="K738"/>
    </row>
    <row r="739" spans="1:11" ht="15.75">
      <c r="A739"/>
      <c r="B739"/>
      <c r="C739"/>
      <c r="D739"/>
      <c r="E739"/>
      <c r="F739"/>
      <c r="G739"/>
      <c r="H739"/>
      <c r="I739"/>
      <c r="J739"/>
      <c r="K739"/>
    </row>
    <row r="740" spans="1:11" ht="15.75">
      <c r="A740"/>
      <c r="B740"/>
      <c r="C740"/>
      <c r="D740"/>
      <c r="E740"/>
      <c r="F740"/>
      <c r="G740"/>
      <c r="H740"/>
      <c r="I740"/>
      <c r="J740"/>
      <c r="K740"/>
    </row>
    <row r="741" spans="1:11" ht="15.75">
      <c r="A741"/>
      <c r="B741"/>
      <c r="C741"/>
      <c r="D741"/>
      <c r="E741"/>
      <c r="F741"/>
      <c r="G741"/>
      <c r="H741"/>
      <c r="I741"/>
      <c r="J741"/>
      <c r="K741"/>
    </row>
    <row r="742" spans="1:11" ht="15.75">
      <c r="A742"/>
      <c r="B742"/>
      <c r="C742"/>
      <c r="D742"/>
      <c r="E742"/>
      <c r="F742"/>
      <c r="G742"/>
      <c r="H742"/>
      <c r="I742"/>
      <c r="J742"/>
      <c r="K742"/>
    </row>
    <row r="743" spans="1:11" ht="15.75">
      <c r="A743"/>
      <c r="B743"/>
      <c r="C743"/>
      <c r="D743"/>
      <c r="E743"/>
      <c r="F743"/>
      <c r="G743"/>
      <c r="H743"/>
      <c r="I743"/>
      <c r="J743"/>
      <c r="K743"/>
    </row>
    <row r="744" spans="1:11" ht="15.75">
      <c r="A744"/>
      <c r="B744"/>
      <c r="C744"/>
      <c r="D744"/>
      <c r="E744"/>
      <c r="F744"/>
      <c r="G744"/>
      <c r="H744"/>
      <c r="I744"/>
      <c r="J744"/>
      <c r="K744"/>
    </row>
    <row r="745" spans="1:11" ht="15.75">
      <c r="A745"/>
      <c r="B745"/>
      <c r="C745"/>
      <c r="D745"/>
      <c r="E745"/>
      <c r="F745"/>
      <c r="G745"/>
      <c r="H745"/>
      <c r="I745"/>
      <c r="J745"/>
      <c r="K745"/>
    </row>
    <row r="746" spans="1:11" ht="15.75">
      <c r="A746"/>
      <c r="B746"/>
      <c r="C746"/>
      <c r="D746"/>
      <c r="E746"/>
      <c r="F746"/>
      <c r="G746"/>
      <c r="H746"/>
      <c r="I746"/>
      <c r="J746"/>
      <c r="K746"/>
    </row>
    <row r="747" spans="1:11" ht="15.75">
      <c r="A747"/>
      <c r="B747"/>
      <c r="C747"/>
      <c r="D747"/>
      <c r="E747"/>
      <c r="F747"/>
      <c r="G747"/>
      <c r="H747"/>
      <c r="I747"/>
      <c r="J747"/>
      <c r="K747"/>
    </row>
    <row r="748" spans="1:11" ht="15.75">
      <c r="A748"/>
      <c r="B748"/>
      <c r="C748"/>
      <c r="D748"/>
      <c r="E748"/>
      <c r="F748"/>
      <c r="G748"/>
      <c r="H748"/>
      <c r="I748"/>
      <c r="J748"/>
      <c r="K748"/>
    </row>
    <row r="749" spans="1:11" ht="15.75">
      <c r="A749"/>
      <c r="B749"/>
      <c r="C749"/>
      <c r="D749"/>
      <c r="E749"/>
      <c r="F749"/>
      <c r="G749"/>
      <c r="H749"/>
      <c r="I749"/>
      <c r="J749"/>
      <c r="K749"/>
    </row>
    <row r="750" spans="1:11" ht="15.75">
      <c r="A750"/>
      <c r="B750"/>
      <c r="C750"/>
      <c r="D750"/>
      <c r="E750"/>
      <c r="F750"/>
      <c r="G750"/>
      <c r="H750"/>
      <c r="I750"/>
      <c r="J750"/>
      <c r="K750"/>
    </row>
    <row r="751" spans="1:11" ht="15.75">
      <c r="A751"/>
      <c r="B751"/>
      <c r="C751"/>
      <c r="D751"/>
      <c r="E751"/>
      <c r="F751"/>
      <c r="G751"/>
      <c r="H751"/>
      <c r="I751"/>
      <c r="J751"/>
      <c r="K751"/>
    </row>
    <row r="752" spans="1:11" ht="15.75">
      <c r="A752"/>
      <c r="B752"/>
      <c r="C752"/>
      <c r="D752"/>
      <c r="E752"/>
      <c r="F752"/>
      <c r="G752"/>
      <c r="H752"/>
      <c r="I752"/>
      <c r="J752"/>
      <c r="K752"/>
    </row>
    <row r="753" spans="1:11" ht="15.75">
      <c r="A753"/>
      <c r="B753"/>
      <c r="C753"/>
      <c r="D753"/>
      <c r="E753"/>
      <c r="F753"/>
      <c r="G753"/>
      <c r="H753"/>
      <c r="I753"/>
      <c r="J753"/>
      <c r="K753"/>
    </row>
    <row r="754" spans="1:11" ht="15.75">
      <c r="A754"/>
      <c r="B754"/>
      <c r="C754"/>
      <c r="D754"/>
      <c r="E754"/>
      <c r="F754"/>
      <c r="G754"/>
      <c r="H754"/>
      <c r="I754"/>
      <c r="J754"/>
      <c r="K754"/>
    </row>
    <row r="755" spans="1:11" ht="15.75">
      <c r="A755"/>
      <c r="B755"/>
      <c r="C755"/>
      <c r="D755"/>
      <c r="E755"/>
      <c r="F755"/>
      <c r="G755"/>
      <c r="H755"/>
      <c r="I755"/>
      <c r="J755"/>
      <c r="K755"/>
    </row>
    <row r="756" spans="1:11" ht="15.75">
      <c r="A756"/>
      <c r="B756"/>
      <c r="C756"/>
      <c r="D756"/>
      <c r="E756"/>
      <c r="F756"/>
      <c r="G756"/>
      <c r="H756"/>
      <c r="I756"/>
      <c r="J756"/>
      <c r="K756"/>
    </row>
    <row r="757" spans="1:11" ht="15.75">
      <c r="A757"/>
      <c r="B757"/>
      <c r="C757"/>
      <c r="D757"/>
      <c r="E757"/>
      <c r="F757"/>
      <c r="G757"/>
      <c r="H757"/>
      <c r="I757"/>
      <c r="J757"/>
      <c r="K757"/>
    </row>
    <row r="758" spans="1:11" ht="15.75">
      <c r="A758"/>
      <c r="B758"/>
      <c r="C758"/>
      <c r="D758"/>
      <c r="E758"/>
      <c r="F758"/>
      <c r="G758"/>
      <c r="H758"/>
      <c r="I758"/>
      <c r="J758"/>
      <c r="K758"/>
    </row>
    <row r="759" spans="1:11" ht="15.75">
      <c r="A759"/>
      <c r="B759"/>
      <c r="C759"/>
      <c r="D759"/>
      <c r="E759"/>
      <c r="F759"/>
      <c r="G759"/>
      <c r="H759"/>
      <c r="I759"/>
      <c r="J759"/>
      <c r="K759"/>
    </row>
    <row r="760" spans="1:11" ht="15.75">
      <c r="A760"/>
      <c r="B760"/>
      <c r="C760"/>
      <c r="D760"/>
      <c r="E760"/>
      <c r="F760"/>
      <c r="G760"/>
      <c r="H760"/>
      <c r="I760"/>
      <c r="J760"/>
      <c r="K760"/>
    </row>
    <row r="761" spans="1:11" ht="15.75">
      <c r="A761"/>
      <c r="B761"/>
      <c r="C761"/>
      <c r="D761"/>
      <c r="E761"/>
      <c r="F761"/>
      <c r="G761"/>
      <c r="H761"/>
      <c r="I761"/>
      <c r="J761"/>
      <c r="K761"/>
    </row>
    <row r="762" spans="1:11" ht="15.75">
      <c r="A762"/>
      <c r="B762"/>
      <c r="C762"/>
      <c r="D762"/>
      <c r="E762"/>
      <c r="F762"/>
      <c r="G762"/>
      <c r="H762"/>
      <c r="I762"/>
      <c r="J762"/>
      <c r="K762"/>
    </row>
    <row r="763" spans="1:11" ht="15.75">
      <c r="A763"/>
      <c r="B763"/>
      <c r="C763"/>
      <c r="D763"/>
      <c r="E763"/>
      <c r="F763"/>
      <c r="G763"/>
      <c r="H763"/>
      <c r="I763"/>
      <c r="J763"/>
      <c r="K763"/>
    </row>
    <row r="764" spans="1:11" ht="15.75">
      <c r="A764"/>
      <c r="B764"/>
      <c r="C764"/>
      <c r="D764"/>
      <c r="E764"/>
      <c r="F764"/>
      <c r="G764"/>
      <c r="H764"/>
      <c r="I764"/>
      <c r="J764"/>
      <c r="K764"/>
    </row>
    <row r="765" spans="1:11" ht="15.75">
      <c r="A765"/>
      <c r="B765"/>
      <c r="C765"/>
      <c r="D765"/>
      <c r="E765"/>
      <c r="F765"/>
      <c r="G765"/>
      <c r="H765"/>
      <c r="I765"/>
      <c r="J765"/>
      <c r="K765"/>
    </row>
    <row r="766" spans="1:11" ht="15.75">
      <c r="A766"/>
      <c r="B766"/>
      <c r="C766"/>
      <c r="D766"/>
      <c r="E766"/>
      <c r="F766"/>
      <c r="G766"/>
      <c r="H766"/>
      <c r="I766"/>
      <c r="J766"/>
      <c r="K766"/>
    </row>
    <row r="767" spans="1:11" ht="15.75">
      <c r="A767"/>
      <c r="B767"/>
      <c r="C767"/>
      <c r="D767"/>
      <c r="E767"/>
      <c r="F767"/>
      <c r="G767"/>
      <c r="H767"/>
      <c r="I767"/>
      <c r="J767"/>
      <c r="K767"/>
    </row>
    <row r="768" spans="1:11" ht="15.75">
      <c r="A768"/>
      <c r="B768"/>
      <c r="C768"/>
      <c r="D768"/>
      <c r="E768"/>
      <c r="F768"/>
      <c r="G768"/>
      <c r="H768"/>
      <c r="I768"/>
      <c r="J768"/>
      <c r="K768"/>
    </row>
    <row r="769" spans="1:11" ht="15.75">
      <c r="A769"/>
      <c r="B769"/>
      <c r="C769"/>
      <c r="D769"/>
      <c r="E769"/>
      <c r="F769"/>
      <c r="G769"/>
      <c r="H769"/>
      <c r="I769"/>
      <c r="J769"/>
      <c r="K769"/>
    </row>
    <row r="770" spans="1:11" ht="15.75">
      <c r="A770"/>
      <c r="B770"/>
      <c r="C770"/>
      <c r="D770"/>
      <c r="E770"/>
      <c r="F770"/>
      <c r="G770"/>
      <c r="H770"/>
      <c r="I770"/>
      <c r="J770"/>
      <c r="K770"/>
    </row>
    <row r="771" spans="1:11" ht="15.75">
      <c r="A771"/>
      <c r="B771"/>
      <c r="C771"/>
      <c r="D771"/>
      <c r="E771"/>
      <c r="F771"/>
      <c r="G771"/>
      <c r="H771"/>
      <c r="I771"/>
      <c r="J771"/>
      <c r="K771"/>
    </row>
    <row r="772" spans="1:11" ht="15.75">
      <c r="A772"/>
      <c r="B772"/>
      <c r="C772"/>
      <c r="D772"/>
      <c r="E772"/>
      <c r="F772"/>
      <c r="G772"/>
      <c r="H772"/>
      <c r="I772"/>
      <c r="J772"/>
      <c r="K772"/>
    </row>
    <row r="773" spans="1:11" ht="15.75">
      <c r="A773"/>
      <c r="B773"/>
      <c r="C773"/>
      <c r="D773"/>
      <c r="E773"/>
      <c r="F773"/>
      <c r="G773"/>
      <c r="H773"/>
      <c r="I773"/>
      <c r="J773"/>
      <c r="K773"/>
    </row>
    <row r="774" spans="1:11" ht="15.75">
      <c r="A774"/>
      <c r="B774"/>
      <c r="C774"/>
      <c r="D774"/>
      <c r="E774"/>
      <c r="F774"/>
      <c r="G774"/>
      <c r="H774"/>
      <c r="I774"/>
      <c r="J774"/>
      <c r="K774"/>
    </row>
    <row r="775" spans="1:11" ht="15.75">
      <c r="A775"/>
      <c r="B775"/>
      <c r="C775"/>
      <c r="D775"/>
      <c r="E775"/>
      <c r="F775"/>
      <c r="G775"/>
      <c r="H775"/>
      <c r="I775"/>
      <c r="J775"/>
      <c r="K775"/>
    </row>
    <row r="776" spans="1:11" ht="15.75">
      <c r="A776"/>
      <c r="B776"/>
      <c r="C776"/>
      <c r="D776"/>
      <c r="E776"/>
      <c r="F776"/>
      <c r="G776"/>
      <c r="H776"/>
      <c r="I776"/>
      <c r="J776"/>
      <c r="K776"/>
    </row>
    <row r="777" spans="1:11" ht="15.75">
      <c r="A777"/>
      <c r="B777"/>
      <c r="C777"/>
      <c r="D777"/>
      <c r="E777"/>
      <c r="F777"/>
      <c r="G777"/>
      <c r="H777"/>
      <c r="I777"/>
      <c r="J777"/>
      <c r="K777"/>
    </row>
    <row r="778" spans="1:11" ht="15.75">
      <c r="A778"/>
      <c r="B778"/>
      <c r="C778"/>
      <c r="D778"/>
      <c r="E778"/>
      <c r="F778"/>
      <c r="G778"/>
      <c r="H778"/>
      <c r="I778"/>
      <c r="J778"/>
      <c r="K778"/>
    </row>
    <row r="779" spans="1:11" ht="15.75">
      <c r="A779"/>
      <c r="B779"/>
      <c r="C779"/>
      <c r="D779"/>
      <c r="E779"/>
      <c r="F779"/>
      <c r="G779"/>
      <c r="H779"/>
      <c r="I779"/>
      <c r="J779"/>
      <c r="K779"/>
    </row>
    <row r="780" spans="1:11" ht="15.75">
      <c r="A780"/>
      <c r="B780"/>
      <c r="C780"/>
      <c r="D780"/>
      <c r="E780"/>
      <c r="F780"/>
      <c r="G780"/>
      <c r="H780"/>
      <c r="I780"/>
      <c r="J780"/>
      <c r="K780"/>
    </row>
    <row r="781" spans="1:11" ht="15.75">
      <c r="A781"/>
      <c r="B781"/>
      <c r="C781"/>
      <c r="D781"/>
      <c r="E781"/>
      <c r="F781"/>
      <c r="G781"/>
      <c r="H781"/>
      <c r="I781"/>
      <c r="J781"/>
      <c r="K781"/>
    </row>
    <row r="782" spans="1:11" ht="15.75">
      <c r="A782"/>
      <c r="B782"/>
      <c r="C782"/>
      <c r="D782"/>
      <c r="E782"/>
      <c r="F782"/>
      <c r="G782"/>
      <c r="H782"/>
      <c r="I782"/>
      <c r="J782"/>
      <c r="K782"/>
    </row>
    <row r="783" spans="1:11" ht="15.75">
      <c r="A783"/>
      <c r="B783"/>
      <c r="C783"/>
      <c r="D783"/>
      <c r="E783"/>
      <c r="F783"/>
      <c r="G783"/>
      <c r="H783"/>
      <c r="I783"/>
      <c r="J783"/>
      <c r="K783"/>
    </row>
    <row r="784" spans="1:11" ht="15.75">
      <c r="A784"/>
      <c r="B784"/>
      <c r="C784"/>
      <c r="D784"/>
      <c r="E784"/>
      <c r="F784"/>
      <c r="G784"/>
      <c r="H784"/>
      <c r="I784"/>
      <c r="J784"/>
      <c r="K784"/>
    </row>
    <row r="785" spans="1:11" ht="15.75">
      <c r="A785"/>
      <c r="B785"/>
      <c r="C785"/>
      <c r="D785"/>
      <c r="E785"/>
      <c r="F785"/>
      <c r="G785"/>
      <c r="H785"/>
      <c r="I785"/>
      <c r="J785"/>
      <c r="K785"/>
    </row>
    <row r="786" spans="1:11" ht="15.75">
      <c r="A786"/>
      <c r="B786"/>
      <c r="C786"/>
      <c r="D786"/>
      <c r="E786"/>
      <c r="F786"/>
      <c r="G786"/>
      <c r="H786"/>
      <c r="I786"/>
      <c r="J786"/>
      <c r="K786"/>
    </row>
    <row r="787" spans="1:11" ht="15.75">
      <c r="A787"/>
      <c r="B787"/>
      <c r="C787"/>
      <c r="D787"/>
      <c r="E787"/>
      <c r="F787"/>
      <c r="G787"/>
      <c r="H787"/>
      <c r="I787"/>
      <c r="J787"/>
      <c r="K787"/>
    </row>
    <row r="788" spans="1:11" ht="15.75">
      <c r="A788"/>
      <c r="B788"/>
      <c r="C788"/>
      <c r="D788"/>
      <c r="E788"/>
      <c r="F788"/>
      <c r="G788"/>
      <c r="H788"/>
      <c r="I788"/>
      <c r="J788"/>
      <c r="K788"/>
    </row>
    <row r="789" spans="1:11" ht="15.75">
      <c r="A789"/>
      <c r="B789"/>
      <c r="C789"/>
      <c r="D789"/>
      <c r="E789"/>
      <c r="F789"/>
      <c r="G789"/>
      <c r="H789"/>
      <c r="I789"/>
      <c r="J789"/>
      <c r="K789"/>
    </row>
    <row r="790" spans="1:11" ht="15.75">
      <c r="A790"/>
      <c r="B790"/>
      <c r="C790"/>
      <c r="D790"/>
      <c r="E790"/>
      <c r="F790"/>
      <c r="G790"/>
      <c r="H790"/>
      <c r="I790"/>
      <c r="J790"/>
      <c r="K790"/>
    </row>
    <row r="791" spans="1:11" ht="15.75">
      <c r="A791"/>
      <c r="B791"/>
      <c r="C791"/>
      <c r="D791"/>
      <c r="E791"/>
      <c r="F791"/>
      <c r="G791"/>
      <c r="H791"/>
      <c r="I791"/>
      <c r="J791"/>
      <c r="K791"/>
    </row>
    <row r="792" spans="1:11" ht="15.75">
      <c r="A792"/>
      <c r="B792"/>
      <c r="C792"/>
      <c r="D792"/>
      <c r="E792"/>
      <c r="F792"/>
      <c r="G792"/>
      <c r="H792"/>
      <c r="I792"/>
      <c r="J792"/>
      <c r="K792"/>
    </row>
    <row r="793" spans="1:11" ht="15.75">
      <c r="A793"/>
      <c r="B793"/>
      <c r="C793"/>
      <c r="D793"/>
      <c r="E793"/>
      <c r="F793"/>
      <c r="G793"/>
      <c r="H793"/>
      <c r="I793"/>
      <c r="J793"/>
      <c r="K793"/>
    </row>
    <row r="794" spans="1:11" ht="15.75">
      <c r="A794"/>
      <c r="B794"/>
      <c r="C794"/>
      <c r="D794"/>
      <c r="E794"/>
      <c r="F794"/>
      <c r="G794"/>
      <c r="H794"/>
      <c r="I794"/>
      <c r="J794"/>
      <c r="K794"/>
    </row>
    <row r="795" spans="1:11" ht="15.75">
      <c r="A795"/>
      <c r="B795"/>
      <c r="C795"/>
      <c r="D795"/>
      <c r="E795"/>
      <c r="F795"/>
      <c r="G795"/>
      <c r="H795"/>
      <c r="I795"/>
      <c r="J795"/>
      <c r="K795"/>
    </row>
    <row r="796" spans="1:11" ht="15.75">
      <c r="A796"/>
      <c r="B796"/>
      <c r="C796"/>
      <c r="D796"/>
      <c r="E796"/>
      <c r="F796"/>
      <c r="G796"/>
      <c r="H796"/>
      <c r="I796"/>
      <c r="J796"/>
      <c r="K796"/>
    </row>
    <row r="797" spans="1:11" ht="15.75">
      <c r="A797"/>
      <c r="B797"/>
      <c r="C797"/>
      <c r="D797"/>
      <c r="E797"/>
      <c r="F797"/>
      <c r="G797"/>
      <c r="H797"/>
      <c r="I797"/>
      <c r="J797"/>
      <c r="K797"/>
    </row>
    <row r="798" spans="1:11" ht="15.75">
      <c r="A798"/>
      <c r="B798"/>
      <c r="C798"/>
      <c r="D798"/>
      <c r="E798"/>
      <c r="F798"/>
      <c r="G798"/>
      <c r="H798"/>
      <c r="I798"/>
      <c r="J798"/>
      <c r="K798"/>
    </row>
    <row r="799" spans="1:11" ht="15.75">
      <c r="A799"/>
      <c r="B799"/>
      <c r="C799"/>
      <c r="D799"/>
      <c r="E799"/>
      <c r="F799"/>
      <c r="G799"/>
      <c r="H799"/>
      <c r="I799"/>
      <c r="J799"/>
      <c r="K799"/>
    </row>
    <row r="800" spans="1:11" ht="15.75">
      <c r="A800"/>
      <c r="B800"/>
      <c r="C800"/>
      <c r="D800"/>
      <c r="E800"/>
      <c r="F800"/>
      <c r="G800"/>
      <c r="H800"/>
      <c r="I800"/>
      <c r="J800"/>
      <c r="K800"/>
    </row>
    <row r="801" spans="1:11" ht="15.75">
      <c r="A801"/>
      <c r="B801"/>
      <c r="C801"/>
      <c r="D801"/>
      <c r="E801"/>
      <c r="F801"/>
      <c r="G801"/>
      <c r="H801"/>
      <c r="I801"/>
      <c r="J801"/>
      <c r="K801"/>
    </row>
    <row r="802" spans="1:11" ht="15.75">
      <c r="A802"/>
      <c r="B802"/>
      <c r="C802"/>
      <c r="D802"/>
      <c r="E802"/>
      <c r="F802"/>
      <c r="G802"/>
      <c r="H802"/>
      <c r="I802"/>
      <c r="J802"/>
      <c r="K802"/>
    </row>
    <row r="803" spans="1:11" ht="15.75">
      <c r="A803"/>
      <c r="B803"/>
      <c r="C803"/>
      <c r="D803"/>
      <c r="E803"/>
      <c r="F803"/>
      <c r="G803"/>
      <c r="H803"/>
      <c r="I803"/>
      <c r="J803"/>
      <c r="K803"/>
    </row>
    <row r="804" spans="1:11" ht="15.75">
      <c r="A804"/>
      <c r="B804"/>
      <c r="C804"/>
      <c r="D804"/>
      <c r="E804"/>
      <c r="F804"/>
      <c r="G804"/>
      <c r="H804"/>
      <c r="I804"/>
      <c r="J804"/>
      <c r="K804"/>
    </row>
    <row r="805" spans="1:11" ht="15.75">
      <c r="A805"/>
      <c r="B805"/>
      <c r="C805"/>
      <c r="D805"/>
      <c r="E805"/>
      <c r="F805"/>
      <c r="G805"/>
      <c r="H805"/>
      <c r="I805"/>
      <c r="J805"/>
      <c r="K805"/>
    </row>
    <row r="806" spans="1:11" ht="15.75">
      <c r="A806"/>
      <c r="B806"/>
      <c r="C806"/>
      <c r="D806"/>
      <c r="E806"/>
      <c r="F806"/>
      <c r="G806"/>
      <c r="H806"/>
      <c r="I806"/>
      <c r="J806"/>
      <c r="K806"/>
    </row>
    <row r="807" spans="1:11" ht="15.75">
      <c r="A807"/>
      <c r="B807"/>
      <c r="C807"/>
      <c r="D807"/>
      <c r="E807"/>
      <c r="F807"/>
      <c r="G807"/>
      <c r="H807"/>
      <c r="I807"/>
      <c r="J807"/>
      <c r="K807"/>
    </row>
    <row r="808" spans="1:11" ht="15.75">
      <c r="A808"/>
      <c r="B808"/>
      <c r="C808"/>
      <c r="D808"/>
      <c r="E808"/>
      <c r="F808"/>
      <c r="G808"/>
      <c r="H808"/>
      <c r="I808"/>
      <c r="J808"/>
      <c r="K808"/>
    </row>
    <row r="809" spans="1:11" ht="15.75">
      <c r="A809"/>
      <c r="B809"/>
      <c r="C809"/>
      <c r="D809"/>
      <c r="E809"/>
      <c r="F809"/>
      <c r="G809"/>
      <c r="H809"/>
      <c r="I809"/>
      <c r="J809"/>
      <c r="K809"/>
    </row>
    <row r="810" spans="1:11" ht="15.75">
      <c r="A810"/>
      <c r="B810"/>
      <c r="C810"/>
      <c r="D810"/>
      <c r="E810"/>
      <c r="F810"/>
      <c r="G810"/>
      <c r="H810"/>
      <c r="I810"/>
      <c r="J810"/>
      <c r="K810"/>
    </row>
    <row r="811" spans="1:11" ht="15.75">
      <c r="A811"/>
      <c r="B811"/>
      <c r="C811"/>
      <c r="D811"/>
      <c r="E811"/>
      <c r="F811"/>
      <c r="G811"/>
      <c r="H811"/>
      <c r="I811"/>
      <c r="J811"/>
      <c r="K811"/>
    </row>
    <row r="812" spans="1:11" ht="15.75">
      <c r="A812"/>
      <c r="B812"/>
      <c r="C812"/>
      <c r="D812"/>
      <c r="E812"/>
      <c r="F812"/>
      <c r="G812"/>
      <c r="H812"/>
      <c r="I812"/>
      <c r="J812"/>
      <c r="K812"/>
    </row>
    <row r="813" spans="1:11" ht="15.75">
      <c r="A813"/>
      <c r="B813"/>
      <c r="C813"/>
      <c r="D813"/>
      <c r="E813"/>
      <c r="F813"/>
      <c r="G813"/>
      <c r="H813"/>
      <c r="I813"/>
      <c r="J813"/>
      <c r="K813"/>
    </row>
    <row r="814" spans="1:11" ht="15.75">
      <c r="A814"/>
      <c r="B814"/>
      <c r="C814"/>
      <c r="D814"/>
      <c r="E814"/>
      <c r="F814"/>
      <c r="G814"/>
      <c r="H814"/>
      <c r="I814"/>
      <c r="J814"/>
      <c r="K814"/>
    </row>
    <row r="815" spans="1:11" ht="15.75">
      <c r="A815"/>
      <c r="B815"/>
      <c r="C815"/>
      <c r="D815"/>
      <c r="E815"/>
      <c r="F815"/>
      <c r="G815"/>
      <c r="H815"/>
      <c r="I815"/>
      <c r="J815"/>
      <c r="K815"/>
    </row>
    <row r="816" spans="1:11" ht="15.75">
      <c r="A816"/>
      <c r="B816"/>
      <c r="C816"/>
      <c r="D816"/>
      <c r="E816"/>
      <c r="F816"/>
      <c r="G816"/>
      <c r="H816"/>
      <c r="I816"/>
      <c r="J816"/>
      <c r="K816"/>
    </row>
    <row r="817" spans="1:11" ht="15.75">
      <c r="A817"/>
      <c r="B817"/>
      <c r="C817"/>
      <c r="D817"/>
      <c r="E817"/>
      <c r="F817"/>
      <c r="G817"/>
      <c r="H817"/>
      <c r="I817"/>
      <c r="J817"/>
      <c r="K817"/>
    </row>
    <row r="818" spans="1:11" ht="15.75">
      <c r="A818"/>
      <c r="B818"/>
      <c r="C818"/>
      <c r="D818"/>
      <c r="E818"/>
      <c r="F818"/>
      <c r="G818"/>
      <c r="H818"/>
      <c r="I818"/>
      <c r="J818"/>
      <c r="K818"/>
    </row>
    <row r="819" spans="1:11" ht="15.75">
      <c r="A819"/>
      <c r="B819"/>
      <c r="C819"/>
      <c r="D819"/>
      <c r="E819"/>
      <c r="F819"/>
      <c r="G819"/>
      <c r="H819"/>
      <c r="I819"/>
      <c r="J819"/>
      <c r="K819"/>
    </row>
    <row r="820" spans="1:11" ht="15.75">
      <c r="A820"/>
      <c r="B820"/>
      <c r="C820"/>
      <c r="D820"/>
      <c r="E820"/>
      <c r="F820"/>
      <c r="G820"/>
      <c r="H820"/>
      <c r="I820"/>
      <c r="J820"/>
      <c r="K820"/>
    </row>
    <row r="821" spans="1:11" ht="15.75">
      <c r="A821"/>
      <c r="B821"/>
      <c r="C821"/>
      <c r="D821"/>
      <c r="E821"/>
      <c r="F821"/>
      <c r="G821"/>
      <c r="H821"/>
      <c r="I821"/>
      <c r="J821"/>
      <c r="K821"/>
    </row>
    <row r="822" spans="1:11" ht="15.75">
      <c r="A822"/>
      <c r="B822"/>
      <c r="C822"/>
      <c r="D822"/>
      <c r="E822"/>
      <c r="F822"/>
      <c r="G822"/>
      <c r="H822"/>
      <c r="I822"/>
      <c r="J822"/>
      <c r="K822"/>
    </row>
    <row r="823" spans="1:11" ht="15.75">
      <c r="A823"/>
      <c r="B823"/>
      <c r="C823"/>
      <c r="D823"/>
      <c r="E823"/>
      <c r="F823"/>
      <c r="G823"/>
      <c r="H823"/>
      <c r="I823"/>
      <c r="J823"/>
      <c r="K823"/>
    </row>
    <row r="824" spans="1:11" ht="15.75">
      <c r="A824"/>
      <c r="B824"/>
      <c r="C824"/>
      <c r="D824"/>
      <c r="E824"/>
      <c r="F824"/>
      <c r="G824"/>
      <c r="H824"/>
      <c r="I824"/>
      <c r="J824"/>
      <c r="K824"/>
    </row>
    <row r="825" spans="1:11" ht="15.75">
      <c r="A825"/>
      <c r="B825"/>
      <c r="C825"/>
      <c r="D825"/>
      <c r="E825"/>
      <c r="F825"/>
      <c r="G825"/>
      <c r="H825"/>
      <c r="I825"/>
      <c r="J825"/>
      <c r="K825"/>
    </row>
    <row r="826" spans="1:11" ht="15.75">
      <c r="A826"/>
      <c r="B826"/>
      <c r="C826"/>
      <c r="D826"/>
      <c r="E826"/>
      <c r="F826"/>
      <c r="G826"/>
      <c r="H826"/>
      <c r="I826"/>
      <c r="J826"/>
      <c r="K826"/>
    </row>
    <row r="827" spans="1:11" ht="15.75">
      <c r="A827"/>
      <c r="B827"/>
      <c r="C827"/>
      <c r="D827"/>
      <c r="E827"/>
      <c r="F827"/>
      <c r="G827"/>
      <c r="H827"/>
      <c r="I827"/>
      <c r="J827"/>
      <c r="K827"/>
    </row>
    <row r="828" spans="1:11" ht="15.75">
      <c r="A828"/>
      <c r="B828"/>
      <c r="C828"/>
      <c r="D828"/>
      <c r="E828"/>
      <c r="F828"/>
      <c r="G828"/>
      <c r="H828"/>
      <c r="I828"/>
      <c r="J828"/>
      <c r="K828"/>
    </row>
    <row r="829" spans="1:11" ht="15.75">
      <c r="A829"/>
      <c r="B829"/>
      <c r="C829"/>
      <c r="D829"/>
      <c r="E829"/>
      <c r="F829"/>
      <c r="G829"/>
      <c r="H829"/>
      <c r="I829"/>
      <c r="J829"/>
      <c r="K829"/>
    </row>
    <row r="830" spans="1:11" ht="15.75">
      <c r="A830"/>
      <c r="B830"/>
      <c r="C830"/>
      <c r="D830"/>
      <c r="E830"/>
      <c r="F830"/>
      <c r="G830"/>
      <c r="H830"/>
      <c r="I830"/>
      <c r="J830"/>
      <c r="K830"/>
    </row>
    <row r="831" spans="1:11" ht="15.75">
      <c r="A831"/>
      <c r="B831"/>
      <c r="C831"/>
      <c r="D831"/>
      <c r="E831"/>
      <c r="F831"/>
      <c r="G831"/>
      <c r="H831"/>
      <c r="I831"/>
      <c r="J831"/>
      <c r="K831"/>
    </row>
    <row r="832" spans="1:11" ht="15.75">
      <c r="A832"/>
      <c r="B832"/>
      <c r="C832"/>
      <c r="D832"/>
      <c r="E832"/>
      <c r="F832"/>
      <c r="G832"/>
      <c r="H832"/>
      <c r="I832"/>
      <c r="J832"/>
      <c r="K832"/>
    </row>
    <row r="833" spans="1:11" ht="15.75">
      <c r="A833"/>
      <c r="B833"/>
      <c r="C833"/>
      <c r="D833"/>
      <c r="E833"/>
      <c r="F833"/>
      <c r="G833"/>
      <c r="H833"/>
      <c r="I833"/>
      <c r="J833"/>
      <c r="K833"/>
    </row>
    <row r="834" spans="1:11" ht="15.75">
      <c r="A834"/>
      <c r="B834"/>
      <c r="C834"/>
      <c r="D834"/>
      <c r="E834"/>
      <c r="F834"/>
      <c r="G834"/>
      <c r="H834"/>
      <c r="I834"/>
      <c r="J834"/>
      <c r="K834"/>
    </row>
    <row r="835" spans="1:11" ht="15.75">
      <c r="A835"/>
      <c r="B835"/>
      <c r="C835"/>
      <c r="D835"/>
      <c r="E835"/>
      <c r="F835"/>
      <c r="G835"/>
      <c r="H835"/>
      <c r="I835"/>
      <c r="J835"/>
      <c r="K835"/>
    </row>
    <row r="836" spans="1:11" ht="15.75">
      <c r="A836"/>
      <c r="B836"/>
      <c r="C836"/>
      <c r="D836"/>
      <c r="E836"/>
      <c r="F836"/>
      <c r="G836"/>
      <c r="H836"/>
      <c r="I836"/>
      <c r="J836"/>
      <c r="K836"/>
    </row>
    <row r="837" spans="1:11" ht="15.75">
      <c r="A837"/>
      <c r="B837"/>
      <c r="C837"/>
      <c r="D837"/>
      <c r="E837"/>
      <c r="F837"/>
      <c r="G837"/>
      <c r="H837"/>
      <c r="I837"/>
      <c r="J837"/>
      <c r="K837"/>
    </row>
    <row r="838" spans="1:11" ht="15.75">
      <c r="A838"/>
      <c r="B838"/>
      <c r="C838"/>
      <c r="D838"/>
      <c r="E838"/>
      <c r="F838"/>
      <c r="G838"/>
      <c r="H838"/>
      <c r="I838"/>
      <c r="J838"/>
      <c r="K838"/>
    </row>
    <row r="839" spans="1:11" ht="15.75">
      <c r="A839"/>
      <c r="B839"/>
      <c r="C839"/>
      <c r="D839"/>
      <c r="E839"/>
      <c r="F839"/>
      <c r="G839"/>
      <c r="H839"/>
      <c r="I839"/>
      <c r="J839"/>
      <c r="K839"/>
    </row>
    <row r="840" spans="1:11" ht="15.75">
      <c r="A840"/>
      <c r="B840"/>
      <c r="C840"/>
      <c r="D840"/>
      <c r="E840"/>
      <c r="F840"/>
      <c r="G840"/>
      <c r="H840"/>
      <c r="I840"/>
      <c r="J840"/>
      <c r="K840"/>
    </row>
    <row r="841" spans="1:11" ht="15.75">
      <c r="A841"/>
      <c r="B841"/>
      <c r="C841"/>
      <c r="D841"/>
      <c r="E841"/>
      <c r="F841"/>
      <c r="G841"/>
      <c r="H841"/>
      <c r="I841"/>
      <c r="J841"/>
      <c r="K841"/>
    </row>
    <row r="842" spans="1:11" ht="15.75">
      <c r="A842"/>
      <c r="B842"/>
      <c r="C842"/>
      <c r="D842"/>
      <c r="E842"/>
      <c r="F842"/>
      <c r="G842"/>
      <c r="H842"/>
      <c r="I842"/>
      <c r="J842"/>
      <c r="K842"/>
    </row>
    <row r="843" spans="1:11" ht="15.75">
      <c r="A843"/>
      <c r="B843"/>
      <c r="C843"/>
      <c r="D843"/>
      <c r="E843"/>
      <c r="F843"/>
      <c r="G843"/>
      <c r="H843"/>
      <c r="I843"/>
      <c r="J843"/>
      <c r="K843"/>
    </row>
    <row r="844" spans="1:11" ht="15.75">
      <c r="A844"/>
      <c r="B844"/>
      <c r="C844"/>
      <c r="D844"/>
      <c r="E844"/>
      <c r="F844"/>
      <c r="G844"/>
      <c r="H844"/>
      <c r="I844"/>
      <c r="J844"/>
      <c r="K844"/>
    </row>
    <row r="845" spans="1:11" ht="15.75">
      <c r="A845"/>
      <c r="B845"/>
      <c r="C845"/>
      <c r="D845"/>
      <c r="E845"/>
      <c r="F845"/>
      <c r="G845"/>
      <c r="H845"/>
      <c r="I845"/>
      <c r="J845"/>
      <c r="K845"/>
    </row>
    <row r="846" spans="1:11" ht="15.75">
      <c r="A846"/>
      <c r="B846"/>
      <c r="C846"/>
      <c r="D846"/>
      <c r="E846"/>
      <c r="F846"/>
      <c r="G846"/>
      <c r="H846"/>
      <c r="I846"/>
      <c r="J846"/>
      <c r="K846"/>
    </row>
    <row r="847" spans="1:11" ht="15.75">
      <c r="A847"/>
      <c r="B847"/>
      <c r="C847"/>
      <c r="D847"/>
      <c r="E847"/>
      <c r="F847"/>
      <c r="G847"/>
      <c r="H847"/>
      <c r="I847"/>
      <c r="J847"/>
      <c r="K847"/>
    </row>
    <row r="848" spans="1:11" ht="15.75">
      <c r="A848"/>
      <c r="B848"/>
      <c r="C848"/>
      <c r="D848"/>
      <c r="E848"/>
      <c r="F848"/>
      <c r="G848"/>
      <c r="H848"/>
      <c r="I848"/>
      <c r="J848"/>
      <c r="K848"/>
    </row>
    <row r="849" spans="1:11" ht="15.75">
      <c r="A849"/>
      <c r="B849"/>
      <c r="C849"/>
      <c r="D849"/>
      <c r="E849"/>
      <c r="F849"/>
      <c r="G849"/>
      <c r="H849"/>
      <c r="I849"/>
      <c r="J849"/>
      <c r="K849"/>
    </row>
    <row r="850" spans="1:11" ht="15.75">
      <c r="A850"/>
      <c r="B850"/>
      <c r="C850"/>
      <c r="D850"/>
      <c r="E850"/>
      <c r="F850"/>
      <c r="G850"/>
      <c r="H850"/>
      <c r="I850"/>
      <c r="J850"/>
      <c r="K850"/>
    </row>
    <row r="851" spans="1:11" ht="15.75">
      <c r="A851"/>
      <c r="B851"/>
      <c r="C851"/>
      <c r="D851"/>
      <c r="E851"/>
      <c r="F851"/>
      <c r="G851"/>
      <c r="H851"/>
      <c r="I851"/>
      <c r="J851"/>
      <c r="K851"/>
    </row>
    <row r="852" spans="1:11" ht="15.75">
      <c r="A852"/>
      <c r="B852"/>
      <c r="C852"/>
      <c r="D852"/>
      <c r="E852"/>
      <c r="F852"/>
      <c r="G852"/>
      <c r="H852"/>
      <c r="I852"/>
      <c r="J852"/>
      <c r="K852"/>
    </row>
    <row r="853" spans="1:11" ht="15.75">
      <c r="A853"/>
      <c r="B853"/>
      <c r="C853"/>
      <c r="D853"/>
      <c r="E853"/>
      <c r="F853"/>
      <c r="G853"/>
      <c r="H853"/>
      <c r="I853"/>
      <c r="J853"/>
      <c r="K853"/>
    </row>
    <row r="854" spans="1:11" ht="15.75">
      <c r="A854"/>
      <c r="B854"/>
      <c r="C854"/>
      <c r="D854"/>
      <c r="E854"/>
      <c r="F854"/>
      <c r="G854"/>
      <c r="H854"/>
      <c r="I854"/>
      <c r="J854"/>
      <c r="K854"/>
    </row>
    <row r="855" spans="1:11" ht="15.75">
      <c r="A855"/>
      <c r="B855"/>
      <c r="C855"/>
      <c r="D855"/>
      <c r="E855"/>
      <c r="F855"/>
      <c r="G855"/>
      <c r="H855"/>
      <c r="I855"/>
      <c r="J855"/>
      <c r="K855"/>
    </row>
    <row r="856" spans="1:11" ht="15.75">
      <c r="A856"/>
      <c r="B856"/>
      <c r="C856"/>
      <c r="D856"/>
      <c r="E856"/>
      <c r="F856"/>
      <c r="G856"/>
      <c r="H856"/>
      <c r="I856"/>
      <c r="J856"/>
      <c r="K856"/>
    </row>
    <row r="857" spans="1:11" ht="15.75">
      <c r="A857"/>
      <c r="B857"/>
      <c r="C857"/>
      <c r="D857"/>
      <c r="E857"/>
      <c r="F857"/>
      <c r="G857"/>
      <c r="H857"/>
      <c r="I857"/>
      <c r="J857"/>
      <c r="K857"/>
    </row>
    <row r="858" spans="1:11" ht="15.75">
      <c r="A858"/>
      <c r="B858"/>
      <c r="C858"/>
      <c r="D858"/>
      <c r="E858"/>
      <c r="F858"/>
      <c r="G858"/>
      <c r="H858"/>
      <c r="I858"/>
      <c r="J858"/>
      <c r="K858"/>
    </row>
    <row r="859" spans="1:11" ht="15.75">
      <c r="A859"/>
      <c r="B859"/>
      <c r="C859"/>
      <c r="D859"/>
      <c r="E859"/>
      <c r="F859"/>
      <c r="G859"/>
      <c r="H859"/>
      <c r="I859"/>
      <c r="J859"/>
      <c r="K859"/>
    </row>
    <row r="860" spans="1:11" ht="15.75">
      <c r="A860"/>
      <c r="B860"/>
      <c r="C860"/>
      <c r="D860"/>
      <c r="E860"/>
      <c r="F860"/>
      <c r="G860"/>
      <c r="H860"/>
      <c r="I860"/>
      <c r="J860"/>
      <c r="K860"/>
    </row>
    <row r="861" spans="1:11" ht="15.75">
      <c r="A861"/>
      <c r="B861"/>
      <c r="C861"/>
      <c r="D861"/>
      <c r="E861"/>
      <c r="F861"/>
      <c r="G861"/>
      <c r="H861"/>
      <c r="I861"/>
      <c r="J861"/>
      <c r="K861"/>
    </row>
    <row r="862" spans="1:11" ht="15.75">
      <c r="A862"/>
      <c r="B862"/>
      <c r="C862"/>
      <c r="D862"/>
      <c r="E862"/>
      <c r="F862"/>
      <c r="G862"/>
      <c r="H862"/>
      <c r="I862"/>
      <c r="J862"/>
      <c r="K862"/>
    </row>
    <row r="863" spans="1:11" ht="15.75">
      <c r="A863"/>
      <c r="B863"/>
      <c r="C863"/>
      <c r="D863"/>
      <c r="E863"/>
      <c r="F863"/>
      <c r="G863"/>
      <c r="H863"/>
      <c r="I863"/>
      <c r="J863"/>
      <c r="K863"/>
    </row>
    <row r="864" spans="1:11" ht="15.75">
      <c r="A864"/>
      <c r="B864"/>
      <c r="C864"/>
      <c r="D864"/>
      <c r="E864"/>
      <c r="F864"/>
      <c r="G864"/>
      <c r="H864"/>
      <c r="I864"/>
      <c r="J864"/>
      <c r="K864"/>
    </row>
    <row r="865" spans="1:11" ht="15.75">
      <c r="A865"/>
      <c r="B865"/>
      <c r="C865"/>
      <c r="D865"/>
      <c r="E865"/>
      <c r="F865"/>
      <c r="G865"/>
      <c r="H865"/>
      <c r="I865"/>
      <c r="J865"/>
      <c r="K865"/>
    </row>
    <row r="866" spans="1:11" ht="15.75">
      <c r="A866"/>
      <c r="B866"/>
      <c r="C866"/>
      <c r="D866"/>
      <c r="E866"/>
      <c r="F866"/>
      <c r="G866"/>
      <c r="H866"/>
      <c r="I866"/>
      <c r="J866"/>
      <c r="K866"/>
    </row>
    <row r="867" spans="1:11" ht="15.75">
      <c r="A867"/>
      <c r="B867"/>
      <c r="C867"/>
      <c r="D867"/>
      <c r="E867"/>
      <c r="F867"/>
      <c r="G867"/>
      <c r="H867"/>
      <c r="I867"/>
      <c r="J867"/>
      <c r="K867"/>
    </row>
    <row r="868" spans="1:11" ht="15.75">
      <c r="A868"/>
      <c r="B868"/>
      <c r="C868"/>
      <c r="D868"/>
      <c r="E868"/>
      <c r="F868"/>
      <c r="G868"/>
      <c r="H868"/>
      <c r="I868"/>
      <c r="J868"/>
      <c r="K868"/>
    </row>
    <row r="869" spans="1:11" ht="15.75">
      <c r="A869"/>
      <c r="B869"/>
      <c r="C869"/>
      <c r="D869"/>
      <c r="E869"/>
      <c r="F869"/>
      <c r="G869"/>
      <c r="H869"/>
      <c r="I869"/>
      <c r="J869"/>
      <c r="K869"/>
    </row>
    <row r="870" spans="1:11" ht="15.75">
      <c r="A870"/>
      <c r="B870"/>
      <c r="C870"/>
      <c r="D870"/>
      <c r="E870"/>
      <c r="F870"/>
      <c r="G870"/>
      <c r="H870"/>
      <c r="I870"/>
      <c r="J870"/>
      <c r="K870"/>
    </row>
    <row r="871" spans="1:11" ht="15.75">
      <c r="A871"/>
      <c r="B871"/>
      <c r="C871"/>
      <c r="D871"/>
      <c r="E871"/>
      <c r="F871"/>
      <c r="G871"/>
      <c r="H871"/>
      <c r="I871"/>
      <c r="J871"/>
      <c r="K871"/>
    </row>
    <row r="872" spans="1:11" ht="15.75">
      <c r="A872"/>
      <c r="B872"/>
      <c r="C872"/>
      <c r="D872"/>
      <c r="E872"/>
      <c r="F872"/>
      <c r="G872"/>
      <c r="H872"/>
      <c r="I872"/>
      <c r="J872"/>
      <c r="K872"/>
    </row>
    <row r="873" spans="1:11" ht="15.75">
      <c r="A873"/>
      <c r="B873"/>
      <c r="C873"/>
      <c r="D873"/>
      <c r="E873"/>
      <c r="F873"/>
      <c r="G873"/>
      <c r="H873"/>
      <c r="I873"/>
      <c r="J873"/>
      <c r="K873"/>
    </row>
    <row r="874" spans="1:11" ht="15.75">
      <c r="A874"/>
      <c r="B874"/>
      <c r="C874"/>
      <c r="D874"/>
      <c r="E874"/>
      <c r="F874"/>
      <c r="G874"/>
      <c r="H874"/>
      <c r="I874"/>
      <c r="J874"/>
      <c r="K874"/>
    </row>
    <row r="875" spans="1:11" ht="15.75">
      <c r="A875"/>
      <c r="B875"/>
      <c r="C875"/>
      <c r="D875"/>
      <c r="E875"/>
      <c r="F875"/>
      <c r="G875"/>
      <c r="H875"/>
      <c r="I875"/>
      <c r="J875"/>
      <c r="K875"/>
    </row>
    <row r="876" spans="1:11" ht="15.75">
      <c r="A876"/>
      <c r="B876"/>
      <c r="C876"/>
      <c r="D876"/>
      <c r="E876"/>
      <c r="F876"/>
      <c r="G876"/>
      <c r="H876"/>
      <c r="I876"/>
      <c r="J876"/>
      <c r="K876"/>
    </row>
    <row r="877" spans="1:11" ht="15.75">
      <c r="A877"/>
      <c r="B877"/>
      <c r="C877"/>
      <c r="D877"/>
      <c r="E877"/>
      <c r="F877"/>
      <c r="G877"/>
      <c r="H877"/>
      <c r="I877"/>
      <c r="J877"/>
      <c r="K877"/>
    </row>
    <row r="878" spans="1:11" ht="15.75">
      <c r="A878"/>
      <c r="B878"/>
      <c r="C878"/>
      <c r="D878"/>
      <c r="E878"/>
      <c r="F878"/>
      <c r="G878"/>
      <c r="H878"/>
      <c r="I878"/>
      <c r="J878"/>
      <c r="K878"/>
    </row>
    <row r="879" spans="1:11" ht="15.75">
      <c r="A879"/>
      <c r="B879"/>
      <c r="C879"/>
      <c r="D879"/>
      <c r="E879"/>
      <c r="F879"/>
      <c r="G879"/>
      <c r="H879"/>
      <c r="I879"/>
      <c r="J879"/>
      <c r="K879"/>
    </row>
    <row r="880" spans="1:11" ht="15.75">
      <c r="A880"/>
      <c r="B880"/>
      <c r="C880"/>
      <c r="D880"/>
      <c r="E880"/>
      <c r="F880"/>
      <c r="G880"/>
      <c r="H880"/>
      <c r="I880"/>
      <c r="J880"/>
      <c r="K880"/>
    </row>
    <row r="881" spans="1:11" ht="15.75">
      <c r="A881"/>
      <c r="B881"/>
      <c r="C881"/>
      <c r="D881"/>
      <c r="E881"/>
      <c r="F881"/>
      <c r="G881"/>
      <c r="H881"/>
      <c r="I881"/>
      <c r="J881"/>
      <c r="K881"/>
    </row>
    <row r="882" spans="1:11" ht="15.75">
      <c r="A882"/>
      <c r="B882"/>
      <c r="C882"/>
      <c r="D882"/>
      <c r="E882"/>
      <c r="F882"/>
      <c r="G882"/>
      <c r="H882"/>
      <c r="I882"/>
      <c r="J882"/>
      <c r="K882"/>
    </row>
    <row r="883" spans="1:11" ht="15.75">
      <c r="A883"/>
      <c r="B883"/>
      <c r="C883"/>
      <c r="D883"/>
      <c r="E883"/>
      <c r="F883"/>
      <c r="G883"/>
      <c r="H883"/>
      <c r="I883"/>
      <c r="J883"/>
      <c r="K883"/>
    </row>
    <row r="884" spans="1:11" ht="15.75">
      <c r="A884"/>
      <c r="B884"/>
      <c r="C884"/>
      <c r="D884"/>
      <c r="E884"/>
      <c r="F884"/>
      <c r="G884"/>
      <c r="H884"/>
      <c r="I884"/>
      <c r="J884"/>
      <c r="K884"/>
    </row>
    <row r="885" spans="1:11" ht="15.75">
      <c r="A885"/>
      <c r="B885"/>
      <c r="C885"/>
      <c r="D885"/>
      <c r="E885"/>
      <c r="F885"/>
      <c r="G885"/>
      <c r="H885"/>
      <c r="I885"/>
      <c r="J885"/>
      <c r="K885"/>
    </row>
    <row r="886" spans="1:11" ht="15.75">
      <c r="A886"/>
      <c r="B886"/>
      <c r="C886"/>
      <c r="D886"/>
      <c r="E886"/>
      <c r="F886"/>
      <c r="G886"/>
      <c r="H886"/>
      <c r="I886"/>
      <c r="J886"/>
      <c r="K886"/>
    </row>
    <row r="887" spans="1:11" ht="15.75">
      <c r="A887"/>
      <c r="B887"/>
      <c r="C887"/>
      <c r="D887"/>
      <c r="E887"/>
      <c r="F887"/>
      <c r="G887"/>
      <c r="H887"/>
      <c r="I887"/>
      <c r="J887"/>
      <c r="K887"/>
    </row>
    <row r="888" spans="1:11" ht="15.75">
      <c r="A888"/>
      <c r="B888"/>
      <c r="C888"/>
      <c r="D888"/>
      <c r="E888"/>
      <c r="F888"/>
      <c r="G888"/>
      <c r="H888"/>
      <c r="I888"/>
      <c r="J888"/>
      <c r="K888"/>
    </row>
    <row r="889" spans="1:11" ht="15.75">
      <c r="A889"/>
      <c r="B889"/>
      <c r="C889"/>
      <c r="D889"/>
      <c r="E889"/>
      <c r="F889"/>
      <c r="G889"/>
      <c r="H889"/>
      <c r="I889"/>
      <c r="J889"/>
      <c r="K889"/>
    </row>
    <row r="890" spans="1:11" ht="15.75">
      <c r="A890"/>
      <c r="B890"/>
      <c r="C890"/>
      <c r="D890"/>
      <c r="E890"/>
      <c r="F890"/>
      <c r="G890"/>
      <c r="H890"/>
      <c r="I890"/>
      <c r="J890"/>
      <c r="K890"/>
    </row>
    <row r="891" spans="1:11" ht="15.75">
      <c r="A891"/>
      <c r="B891"/>
      <c r="C891"/>
      <c r="D891"/>
      <c r="E891"/>
      <c r="F891"/>
      <c r="G891"/>
      <c r="H891"/>
      <c r="I891"/>
      <c r="J891"/>
      <c r="K891"/>
    </row>
    <row r="892" spans="1:11" ht="15.75">
      <c r="A892"/>
      <c r="B892"/>
      <c r="C892"/>
      <c r="D892"/>
      <c r="E892"/>
      <c r="F892"/>
      <c r="G892"/>
      <c r="H892"/>
      <c r="I892"/>
      <c r="J892"/>
      <c r="K892"/>
    </row>
    <row r="893" spans="1:11" ht="15.75">
      <c r="A893"/>
      <c r="B893"/>
      <c r="C893"/>
      <c r="D893"/>
      <c r="E893"/>
      <c r="F893"/>
      <c r="G893"/>
      <c r="H893"/>
      <c r="I893"/>
      <c r="J893"/>
      <c r="K893"/>
    </row>
    <row r="894" spans="1:11" ht="15.75">
      <c r="A894"/>
      <c r="B894"/>
      <c r="C894"/>
      <c r="D894"/>
      <c r="E894"/>
      <c r="F894"/>
      <c r="G894"/>
      <c r="H894"/>
      <c r="I894"/>
      <c r="J894"/>
      <c r="K894"/>
    </row>
    <row r="895" spans="1:11" ht="15.75">
      <c r="A895"/>
      <c r="B895"/>
      <c r="C895"/>
      <c r="D895"/>
      <c r="E895"/>
      <c r="F895"/>
      <c r="G895"/>
      <c r="H895"/>
      <c r="I895"/>
      <c r="J895"/>
      <c r="K895"/>
    </row>
    <row r="896" spans="1:11" ht="15.75">
      <c r="A896"/>
      <c r="B896"/>
      <c r="C896"/>
      <c r="D896"/>
      <c r="E896"/>
      <c r="F896"/>
      <c r="G896"/>
      <c r="H896"/>
      <c r="I896"/>
      <c r="J896"/>
      <c r="K896"/>
    </row>
    <row r="897" spans="1:11" ht="15.75">
      <c r="A897"/>
      <c r="B897"/>
      <c r="C897"/>
      <c r="D897"/>
      <c r="E897"/>
      <c r="F897"/>
      <c r="G897"/>
      <c r="H897"/>
      <c r="I897"/>
      <c r="J897"/>
      <c r="K897"/>
    </row>
    <row r="898" spans="1:11" ht="15.75">
      <c r="A898"/>
      <c r="B898"/>
      <c r="C898"/>
      <c r="D898"/>
      <c r="E898"/>
      <c r="F898"/>
      <c r="G898"/>
      <c r="H898"/>
      <c r="I898"/>
      <c r="J898"/>
      <c r="K898"/>
    </row>
    <row r="899" spans="1:11" ht="15.75">
      <c r="A899"/>
      <c r="B899"/>
      <c r="C899"/>
      <c r="D899"/>
      <c r="E899"/>
      <c r="F899"/>
      <c r="G899"/>
      <c r="H899"/>
      <c r="I899"/>
      <c r="J899"/>
      <c r="K899"/>
    </row>
    <row r="900" spans="1:11" ht="15.75">
      <c r="A900"/>
      <c r="B900"/>
      <c r="C900"/>
      <c r="D900"/>
      <c r="E900"/>
      <c r="F900"/>
      <c r="G900"/>
      <c r="H900"/>
      <c r="I900"/>
      <c r="J900"/>
      <c r="K900"/>
    </row>
    <row r="901" spans="1:11" ht="15.75">
      <c r="A901"/>
      <c r="B901"/>
      <c r="C901"/>
      <c r="D901"/>
      <c r="E901"/>
      <c r="F901"/>
      <c r="G901"/>
      <c r="H901"/>
      <c r="I901"/>
      <c r="J901"/>
      <c r="K901"/>
    </row>
    <row r="902" spans="1:11" ht="15.75">
      <c r="A902"/>
      <c r="B902"/>
      <c r="C902"/>
      <c r="D902"/>
      <c r="E902"/>
      <c r="F902"/>
      <c r="G902"/>
      <c r="H902"/>
      <c r="I902"/>
      <c r="J902"/>
      <c r="K902"/>
    </row>
    <row r="903" spans="1:11" ht="15.75">
      <c r="A903"/>
      <c r="B903"/>
      <c r="C903"/>
      <c r="D903"/>
      <c r="E903"/>
      <c r="F903"/>
      <c r="G903"/>
      <c r="H903"/>
      <c r="I903"/>
      <c r="J903"/>
      <c r="K903"/>
    </row>
    <row r="904" spans="1:11" ht="15.75">
      <c r="A904"/>
      <c r="B904"/>
      <c r="C904"/>
      <c r="D904"/>
      <c r="E904"/>
      <c r="F904"/>
      <c r="G904"/>
      <c r="H904"/>
      <c r="I904"/>
      <c r="J904"/>
      <c r="K904"/>
    </row>
    <row r="905" spans="1:11" ht="15.75">
      <c r="A905"/>
      <c r="B905"/>
      <c r="C905"/>
      <c r="D905"/>
      <c r="E905"/>
      <c r="F905"/>
      <c r="G905"/>
      <c r="H905"/>
      <c r="I905"/>
      <c r="J905"/>
      <c r="K905"/>
    </row>
    <row r="906" spans="1:11" ht="15.75">
      <c r="A906"/>
      <c r="B906"/>
      <c r="C906"/>
      <c r="D906"/>
      <c r="E906"/>
      <c r="F906"/>
      <c r="G906"/>
      <c r="H906"/>
      <c r="I906"/>
      <c r="J906"/>
      <c r="K906"/>
    </row>
    <row r="907" spans="1:11" ht="15.75">
      <c r="A907"/>
      <c r="B907"/>
      <c r="C907"/>
      <c r="D907"/>
      <c r="E907"/>
      <c r="F907"/>
      <c r="G907"/>
      <c r="H907"/>
      <c r="I907"/>
      <c r="J907"/>
      <c r="K907"/>
    </row>
    <row r="908" spans="1:11" ht="15.75">
      <c r="A908"/>
      <c r="B908"/>
      <c r="C908"/>
      <c r="D908"/>
      <c r="E908"/>
      <c r="F908"/>
      <c r="G908"/>
      <c r="H908"/>
      <c r="I908"/>
      <c r="J908"/>
      <c r="K908"/>
    </row>
    <row r="909" spans="1:11" ht="15.75">
      <c r="A909"/>
      <c r="B909"/>
      <c r="C909"/>
      <c r="D909"/>
      <c r="E909"/>
      <c r="F909"/>
      <c r="G909"/>
      <c r="H909"/>
      <c r="I909"/>
      <c r="J909"/>
      <c r="K909"/>
    </row>
    <row r="910" spans="1:11" ht="15.75">
      <c r="A910"/>
      <c r="B910"/>
      <c r="C910"/>
      <c r="D910"/>
      <c r="E910"/>
      <c r="F910"/>
      <c r="G910"/>
      <c r="H910"/>
      <c r="I910"/>
      <c r="J910"/>
      <c r="K910"/>
    </row>
    <row r="911" spans="1:11" ht="15.75">
      <c r="A911"/>
      <c r="B911"/>
      <c r="C911"/>
      <c r="D911"/>
      <c r="E911"/>
      <c r="F911"/>
      <c r="G911"/>
      <c r="H911"/>
      <c r="I911"/>
      <c r="J911"/>
      <c r="K911"/>
    </row>
    <row r="912" spans="1:11" ht="15.75">
      <c r="A912"/>
      <c r="B912"/>
      <c r="C912"/>
      <c r="D912"/>
      <c r="E912"/>
      <c r="F912"/>
      <c r="G912"/>
      <c r="H912"/>
      <c r="I912"/>
      <c r="J912"/>
      <c r="K912"/>
    </row>
    <row r="913" spans="1:11" ht="15.75">
      <c r="A913"/>
      <c r="B913"/>
      <c r="C913"/>
      <c r="D913"/>
      <c r="E913"/>
      <c r="F913"/>
      <c r="G913"/>
      <c r="H913"/>
      <c r="I913"/>
      <c r="J913"/>
      <c r="K913"/>
    </row>
    <row r="914" spans="1:11" ht="15.75">
      <c r="A914"/>
      <c r="B914"/>
      <c r="C914"/>
      <c r="D914"/>
      <c r="E914"/>
      <c r="F914"/>
      <c r="G914"/>
      <c r="H914"/>
      <c r="I914"/>
      <c r="J914"/>
      <c r="K914"/>
    </row>
    <row r="915" spans="1:11" ht="15.75">
      <c r="A915"/>
      <c r="B915"/>
      <c r="C915"/>
      <c r="D915"/>
      <c r="E915"/>
      <c r="F915"/>
      <c r="G915"/>
      <c r="H915"/>
      <c r="I915"/>
      <c r="J915"/>
      <c r="K915"/>
    </row>
    <row r="916" spans="1:11" ht="15.75">
      <c r="A916"/>
      <c r="B916"/>
      <c r="C916"/>
      <c r="D916"/>
      <c r="E916"/>
      <c r="F916"/>
      <c r="G916"/>
      <c r="H916"/>
      <c r="I916"/>
      <c r="J916"/>
      <c r="K916"/>
    </row>
    <row r="917" spans="1:11" ht="15.75">
      <c r="A917"/>
      <c r="B917"/>
      <c r="C917"/>
      <c r="D917"/>
      <c r="E917"/>
      <c r="F917"/>
      <c r="G917"/>
      <c r="H917"/>
      <c r="I917"/>
      <c r="J917"/>
      <c r="K917"/>
    </row>
    <row r="918" spans="1:11" ht="15.75">
      <c r="A918"/>
      <c r="B918"/>
      <c r="C918"/>
      <c r="D918"/>
      <c r="E918"/>
      <c r="F918"/>
      <c r="G918"/>
      <c r="H918"/>
      <c r="I918"/>
      <c r="J918"/>
      <c r="K918"/>
    </row>
    <row r="919" spans="1:11" ht="15.75">
      <c r="A919"/>
      <c r="B919"/>
      <c r="C919"/>
      <c r="D919"/>
      <c r="E919"/>
      <c r="F919"/>
      <c r="G919"/>
      <c r="H919"/>
      <c r="I919"/>
      <c r="J919"/>
      <c r="K919"/>
    </row>
    <row r="920" spans="1:11" ht="15.75">
      <c r="A920"/>
      <c r="B920"/>
      <c r="C920"/>
      <c r="D920"/>
      <c r="E920"/>
      <c r="F920"/>
      <c r="G920"/>
      <c r="H920"/>
      <c r="I920"/>
      <c r="J920"/>
      <c r="K920"/>
    </row>
    <row r="921" spans="1:11" ht="15.75">
      <c r="A921"/>
      <c r="B921"/>
      <c r="C921"/>
      <c r="D921"/>
      <c r="E921"/>
      <c r="F921"/>
      <c r="G921"/>
      <c r="H921"/>
      <c r="I921"/>
      <c r="J921"/>
      <c r="K921"/>
    </row>
    <row r="922" spans="1:11" ht="15.75">
      <c r="A922"/>
      <c r="B922"/>
      <c r="C922"/>
      <c r="D922"/>
      <c r="E922"/>
      <c r="F922"/>
      <c r="G922"/>
      <c r="H922"/>
      <c r="I922"/>
      <c r="J922"/>
      <c r="K922"/>
    </row>
    <row r="923" spans="1:11" ht="15.75">
      <c r="A923"/>
      <c r="B923"/>
      <c r="C923"/>
      <c r="D923"/>
      <c r="E923"/>
      <c r="F923"/>
      <c r="G923"/>
      <c r="H923"/>
      <c r="I923"/>
      <c r="J923"/>
      <c r="K923"/>
    </row>
    <row r="924" spans="1:11" ht="15.75">
      <c r="A924"/>
      <c r="B924"/>
      <c r="C924"/>
      <c r="D924"/>
      <c r="E924"/>
      <c r="F924"/>
      <c r="G924"/>
      <c r="H924"/>
      <c r="I924"/>
      <c r="J924"/>
      <c r="K924"/>
    </row>
    <row r="925" spans="1:11" ht="15.75">
      <c r="A925"/>
      <c r="B925"/>
      <c r="C925"/>
      <c r="D925"/>
      <c r="E925"/>
      <c r="F925"/>
      <c r="G925"/>
      <c r="H925"/>
      <c r="I925"/>
      <c r="J925"/>
      <c r="K925"/>
    </row>
    <row r="926" spans="1:11" ht="15.75">
      <c r="A926"/>
      <c r="B926"/>
      <c r="C926"/>
      <c r="D926"/>
      <c r="E926"/>
      <c r="F926"/>
      <c r="G926"/>
      <c r="H926"/>
      <c r="I926"/>
      <c r="J926"/>
      <c r="K926"/>
    </row>
    <row r="927" spans="1:11" ht="15.75">
      <c r="A927"/>
      <c r="B927"/>
      <c r="C927"/>
      <c r="D927"/>
      <c r="E927"/>
      <c r="F927"/>
      <c r="G927"/>
      <c r="H927"/>
      <c r="I927"/>
      <c r="J927"/>
      <c r="K927"/>
    </row>
    <row r="928" spans="1:11" ht="15.75">
      <c r="A928"/>
      <c r="B928"/>
      <c r="C928"/>
      <c r="D928"/>
      <c r="E928"/>
      <c r="F928"/>
      <c r="G928"/>
      <c r="H928"/>
      <c r="I928"/>
      <c r="J928"/>
      <c r="K928"/>
    </row>
    <row r="929" spans="1:11" ht="15.75">
      <c r="A929"/>
      <c r="B929"/>
      <c r="C929"/>
      <c r="D929"/>
      <c r="E929"/>
      <c r="F929"/>
      <c r="G929"/>
      <c r="H929"/>
      <c r="I929"/>
      <c r="J929"/>
      <c r="K929"/>
    </row>
    <row r="930" spans="1:11" ht="15.75">
      <c r="A930"/>
      <c r="B930"/>
      <c r="C930"/>
      <c r="D930"/>
      <c r="E930"/>
      <c r="F930"/>
      <c r="G930"/>
      <c r="H930"/>
      <c r="I930"/>
      <c r="J930"/>
      <c r="K930"/>
    </row>
    <row r="931" spans="1:11" ht="15.75">
      <c r="A931"/>
      <c r="B931"/>
      <c r="C931"/>
      <c r="D931"/>
      <c r="E931"/>
      <c r="F931"/>
      <c r="G931"/>
      <c r="H931"/>
      <c r="I931"/>
      <c r="J931"/>
      <c r="K931"/>
    </row>
    <row r="932" spans="1:11" ht="15.75">
      <c r="A932"/>
      <c r="B932"/>
      <c r="C932"/>
      <c r="D932"/>
      <c r="E932"/>
      <c r="F932"/>
      <c r="G932"/>
      <c r="H932"/>
      <c r="I932"/>
      <c r="J932"/>
      <c r="K932"/>
    </row>
    <row r="933" spans="1:11" ht="15.75">
      <c r="A933"/>
      <c r="B933"/>
      <c r="C933"/>
      <c r="D933"/>
      <c r="E933"/>
      <c r="F933"/>
      <c r="G933"/>
      <c r="H933"/>
      <c r="I933"/>
      <c r="J933"/>
      <c r="K933"/>
    </row>
    <row r="934" spans="1:11" ht="15.75">
      <c r="A934"/>
      <c r="B934"/>
      <c r="C934"/>
      <c r="D934"/>
      <c r="E934"/>
      <c r="F934"/>
      <c r="G934"/>
      <c r="H934"/>
      <c r="I934"/>
      <c r="J934"/>
      <c r="K934"/>
    </row>
    <row r="935" spans="1:11" ht="15.75">
      <c r="A935"/>
      <c r="B935"/>
      <c r="C935"/>
      <c r="D935"/>
      <c r="E935"/>
      <c r="F935"/>
      <c r="G935"/>
      <c r="H935"/>
      <c r="I935"/>
      <c r="J935"/>
      <c r="K935"/>
    </row>
    <row r="936" spans="1:11" ht="15.75">
      <c r="A936"/>
      <c r="B936"/>
      <c r="C936"/>
      <c r="D936"/>
      <c r="E936"/>
      <c r="F936"/>
      <c r="G936"/>
      <c r="H936"/>
      <c r="I936"/>
      <c r="J936"/>
      <c r="K936"/>
    </row>
    <row r="937" spans="1:11" ht="15.75">
      <c r="A937"/>
      <c r="B937"/>
      <c r="C937"/>
      <c r="D937"/>
      <c r="E937"/>
      <c r="F937"/>
      <c r="G937"/>
      <c r="H937"/>
      <c r="I937"/>
      <c r="J937"/>
      <c r="K937"/>
    </row>
    <row r="938" spans="1:11" ht="15.75">
      <c r="A938"/>
      <c r="B938"/>
      <c r="C938"/>
      <c r="D938"/>
      <c r="E938"/>
      <c r="F938"/>
      <c r="G938"/>
      <c r="H938"/>
      <c r="I938"/>
      <c r="J938"/>
      <c r="K938"/>
    </row>
    <row r="939" spans="1:11" ht="15.75">
      <c r="A939"/>
      <c r="B939"/>
      <c r="C939"/>
      <c r="D939"/>
      <c r="E939"/>
      <c r="F939"/>
      <c r="G939"/>
      <c r="H939"/>
      <c r="I939"/>
      <c r="J939"/>
      <c r="K939"/>
    </row>
    <row r="940" spans="1:11" ht="15.75">
      <c r="A940"/>
      <c r="B940"/>
      <c r="C940"/>
      <c r="D940"/>
      <c r="E940"/>
      <c r="F940"/>
      <c r="G940"/>
      <c r="H940"/>
      <c r="I940"/>
      <c r="J940"/>
      <c r="K940"/>
    </row>
    <row r="941" spans="1:11" ht="15.75">
      <c r="A941"/>
      <c r="B941"/>
      <c r="C941"/>
      <c r="D941"/>
      <c r="E941"/>
      <c r="F941"/>
      <c r="G941"/>
      <c r="H941"/>
      <c r="I941"/>
      <c r="J941"/>
      <c r="K941"/>
    </row>
    <row r="942" spans="1:11" ht="15.75">
      <c r="A942"/>
      <c r="B942"/>
      <c r="C942"/>
      <c r="D942"/>
      <c r="E942"/>
      <c r="F942"/>
      <c r="G942"/>
      <c r="H942"/>
      <c r="I942"/>
      <c r="J942"/>
      <c r="K942"/>
    </row>
    <row r="943" spans="1:11" ht="15.75">
      <c r="A943"/>
      <c r="B943"/>
      <c r="C943"/>
      <c r="D943"/>
      <c r="E943"/>
      <c r="F943"/>
      <c r="G943"/>
      <c r="H943"/>
      <c r="I943"/>
      <c r="J943"/>
      <c r="K943"/>
    </row>
    <row r="944" spans="1:11" ht="15.75">
      <c r="A944"/>
      <c r="B944"/>
      <c r="C944"/>
      <c r="D944"/>
      <c r="E944"/>
      <c r="F944"/>
      <c r="G944"/>
      <c r="H944"/>
      <c r="I944"/>
      <c r="J944"/>
      <c r="K944"/>
    </row>
    <row r="945" spans="1:11" ht="15.75">
      <c r="A945"/>
      <c r="B945"/>
      <c r="C945"/>
      <c r="D945"/>
      <c r="E945"/>
      <c r="F945"/>
      <c r="G945"/>
      <c r="H945"/>
      <c r="I945"/>
      <c r="J945"/>
      <c r="K945"/>
    </row>
    <row r="946" spans="1:11" ht="15.75">
      <c r="A946"/>
      <c r="B946"/>
      <c r="C946"/>
      <c r="D946"/>
      <c r="E946"/>
      <c r="F946"/>
      <c r="G946"/>
      <c r="H946"/>
      <c r="I946"/>
      <c r="J946"/>
      <c r="K946"/>
    </row>
    <row r="947" spans="1:11" ht="15.75">
      <c r="A947"/>
      <c r="B947"/>
      <c r="C947"/>
      <c r="D947"/>
      <c r="E947"/>
      <c r="F947"/>
      <c r="G947"/>
      <c r="H947"/>
      <c r="I947"/>
      <c r="J947"/>
      <c r="K947"/>
    </row>
    <row r="948" spans="1:11" ht="15.75">
      <c r="A948"/>
      <c r="B948"/>
      <c r="C948"/>
      <c r="D948"/>
      <c r="E948"/>
      <c r="F948"/>
      <c r="G948"/>
      <c r="H948"/>
      <c r="I948"/>
      <c r="J948"/>
      <c r="K948"/>
    </row>
    <row r="949" spans="1:11" ht="15.75">
      <c r="A949"/>
      <c r="B949"/>
      <c r="C949"/>
      <c r="D949"/>
      <c r="E949"/>
      <c r="F949"/>
      <c r="G949"/>
      <c r="H949"/>
      <c r="I949"/>
      <c r="J949"/>
      <c r="K949"/>
    </row>
    <row r="950" spans="1:11" ht="15.75">
      <c r="A950"/>
      <c r="B950"/>
      <c r="C950"/>
      <c r="D950"/>
      <c r="E950"/>
      <c r="F950"/>
      <c r="G950"/>
      <c r="H950"/>
      <c r="I950"/>
      <c r="J950"/>
      <c r="K950"/>
    </row>
    <row r="951" spans="1:11" ht="15.75">
      <c r="A951"/>
      <c r="B951"/>
      <c r="C951"/>
      <c r="D951"/>
      <c r="E951"/>
      <c r="F951"/>
      <c r="G951"/>
      <c r="H951"/>
      <c r="I951"/>
      <c r="J951"/>
      <c r="K951"/>
    </row>
    <row r="952" spans="1:11" ht="15.75">
      <c r="A952"/>
      <c r="B952"/>
      <c r="C952"/>
      <c r="D952"/>
      <c r="E952"/>
      <c r="F952"/>
      <c r="G952"/>
      <c r="H952"/>
      <c r="I952"/>
      <c r="J952"/>
      <c r="K952"/>
    </row>
    <row r="953" spans="1:11" ht="15.75">
      <c r="A953"/>
      <c r="B953"/>
      <c r="C953"/>
      <c r="D953"/>
      <c r="E953"/>
      <c r="F953"/>
      <c r="G953"/>
      <c r="H953"/>
      <c r="I953"/>
      <c r="J953"/>
      <c r="K953"/>
    </row>
    <row r="954" spans="1:11" ht="15.75">
      <c r="A954"/>
      <c r="B954"/>
      <c r="C954"/>
      <c r="D954"/>
      <c r="E954"/>
      <c r="F954"/>
      <c r="G954"/>
      <c r="H954"/>
      <c r="I954"/>
      <c r="J954"/>
      <c r="K954"/>
    </row>
    <row r="955" spans="1:11" ht="15.75">
      <c r="A955"/>
      <c r="B955"/>
      <c r="C955"/>
      <c r="D955"/>
      <c r="E955"/>
      <c r="F955"/>
      <c r="G955"/>
      <c r="H955"/>
      <c r="I955"/>
      <c r="J955"/>
      <c r="K955"/>
    </row>
    <row r="956" spans="1:11" ht="15.75">
      <c r="A956"/>
      <c r="B956"/>
      <c r="C956"/>
      <c r="D956"/>
      <c r="E956"/>
      <c r="F956"/>
      <c r="G956"/>
      <c r="H956"/>
      <c r="I956"/>
      <c r="J956"/>
      <c r="K956"/>
    </row>
    <row r="957" spans="1:11" ht="15.75">
      <c r="A957"/>
      <c r="B957"/>
      <c r="C957"/>
      <c r="D957"/>
      <c r="E957"/>
      <c r="F957"/>
      <c r="G957"/>
      <c r="H957"/>
      <c r="I957"/>
      <c r="J957"/>
      <c r="K957"/>
    </row>
    <row r="958" spans="1:11" ht="15.75">
      <c r="A958"/>
      <c r="B958"/>
      <c r="C958"/>
      <c r="D958"/>
      <c r="E958"/>
      <c r="F958"/>
      <c r="G958"/>
      <c r="H958"/>
      <c r="I958"/>
      <c r="J958"/>
      <c r="K958"/>
    </row>
    <row r="959" spans="1:11" ht="15.75">
      <c r="A959"/>
      <c r="B959"/>
      <c r="C959"/>
      <c r="D959"/>
      <c r="E959"/>
      <c r="F959"/>
      <c r="G959"/>
      <c r="H959"/>
      <c r="I959"/>
      <c r="J959"/>
      <c r="K959"/>
    </row>
    <row r="960" spans="1:11" ht="15.75">
      <c r="A960"/>
      <c r="B960"/>
      <c r="C960"/>
      <c r="D960"/>
      <c r="E960"/>
      <c r="F960"/>
      <c r="G960"/>
      <c r="H960"/>
      <c r="I960"/>
      <c r="J960"/>
      <c r="K960"/>
    </row>
    <row r="961" spans="1:11" ht="15.75">
      <c r="A961"/>
      <c r="B961"/>
      <c r="C961"/>
      <c r="D961"/>
      <c r="E961"/>
      <c r="F961"/>
      <c r="G961"/>
      <c r="H961"/>
      <c r="I961"/>
      <c r="J961"/>
      <c r="K961"/>
    </row>
    <row r="962" spans="1:11" ht="15.75">
      <c r="A962"/>
      <c r="B962"/>
      <c r="C962"/>
      <c r="D962"/>
      <c r="E962"/>
      <c r="F962"/>
      <c r="G962"/>
      <c r="H962"/>
      <c r="I962"/>
      <c r="J962"/>
      <c r="K962"/>
    </row>
    <row r="963" spans="1:11" ht="15.75">
      <c r="A963"/>
      <c r="B963"/>
      <c r="C963"/>
      <c r="D963"/>
      <c r="E963"/>
      <c r="F963"/>
      <c r="G963"/>
      <c r="H963"/>
      <c r="I963"/>
      <c r="J963"/>
      <c r="K963"/>
    </row>
    <row r="964" spans="1:11" ht="15.75">
      <c r="A964"/>
      <c r="B964"/>
      <c r="C964"/>
      <c r="D964"/>
      <c r="E964"/>
      <c r="F964"/>
      <c r="G964"/>
      <c r="H964"/>
      <c r="I964"/>
      <c r="J964"/>
      <c r="K964"/>
    </row>
    <row r="965" spans="1:11" ht="15.75">
      <c r="A965"/>
      <c r="B965"/>
      <c r="C965"/>
      <c r="D965"/>
      <c r="E965"/>
      <c r="F965"/>
      <c r="G965"/>
      <c r="H965"/>
      <c r="I965"/>
      <c r="J965"/>
      <c r="K965"/>
    </row>
    <row r="966" spans="1:11" ht="15.75">
      <c r="A966"/>
      <c r="B966"/>
      <c r="C966"/>
      <c r="D966"/>
      <c r="E966"/>
      <c r="F966"/>
      <c r="G966"/>
      <c r="H966"/>
      <c r="I966"/>
      <c r="J966"/>
      <c r="K966"/>
    </row>
    <row r="967" spans="1:11" ht="15.75">
      <c r="A967"/>
      <c r="B967"/>
      <c r="C967"/>
      <c r="D967"/>
      <c r="E967"/>
      <c r="F967"/>
      <c r="G967"/>
      <c r="H967"/>
      <c r="I967"/>
      <c r="J967"/>
      <c r="K967"/>
    </row>
    <row r="968" spans="1:11" ht="15.75">
      <c r="A968"/>
      <c r="B968"/>
      <c r="C968"/>
      <c r="D968"/>
      <c r="E968"/>
      <c r="F968"/>
      <c r="G968"/>
      <c r="H968"/>
      <c r="I968"/>
      <c r="J968"/>
      <c r="K968"/>
    </row>
    <row r="969" spans="1:11" ht="15.75">
      <c r="A969"/>
      <c r="B969"/>
      <c r="C969"/>
      <c r="D969"/>
      <c r="E969"/>
      <c r="F969"/>
      <c r="G969"/>
      <c r="H969"/>
      <c r="I969"/>
      <c r="J969"/>
      <c r="K969"/>
    </row>
    <row r="970" spans="1:11" ht="15.75">
      <c r="A970"/>
      <c r="B970"/>
      <c r="C970"/>
      <c r="D970"/>
      <c r="E970"/>
      <c r="F970"/>
      <c r="G970"/>
      <c r="H970"/>
      <c r="I970"/>
      <c r="J970"/>
      <c r="K970"/>
    </row>
    <row r="971" spans="1:11" ht="15.75">
      <c r="A971"/>
      <c r="B971"/>
      <c r="C971"/>
      <c r="D971"/>
      <c r="E971"/>
      <c r="F971"/>
      <c r="G971"/>
      <c r="H971"/>
      <c r="I971"/>
      <c r="J971"/>
      <c r="K971"/>
    </row>
    <row r="972" spans="1:11" ht="15.75">
      <c r="A972"/>
      <c r="B972"/>
      <c r="C972"/>
      <c r="D972"/>
      <c r="E972"/>
      <c r="F972"/>
      <c r="G972"/>
      <c r="H972"/>
      <c r="I972"/>
      <c r="J972"/>
      <c r="K972"/>
    </row>
    <row r="973" spans="1:11" ht="15.75">
      <c r="A973"/>
      <c r="B973"/>
      <c r="C973"/>
      <c r="D973"/>
      <c r="E973"/>
      <c r="F973"/>
      <c r="G973"/>
      <c r="H973"/>
      <c r="I973"/>
      <c r="J973"/>
      <c r="K973"/>
    </row>
    <row r="974" spans="1:11" ht="15.75">
      <c r="A974"/>
      <c r="B974"/>
      <c r="C974"/>
      <c r="D974"/>
      <c r="E974"/>
      <c r="F974"/>
      <c r="G974"/>
      <c r="H974"/>
      <c r="I974"/>
      <c r="J974"/>
      <c r="K974"/>
    </row>
    <row r="975" spans="1:11" ht="15.75">
      <c r="A975"/>
      <c r="B975"/>
      <c r="C975"/>
      <c r="D975"/>
      <c r="E975"/>
      <c r="F975"/>
      <c r="G975"/>
      <c r="H975"/>
      <c r="I975"/>
      <c r="J975"/>
      <c r="K975"/>
    </row>
    <row r="976" spans="1:11" ht="15.75">
      <c r="A976"/>
      <c r="B976"/>
      <c r="C976"/>
      <c r="D976"/>
      <c r="E976"/>
      <c r="F976"/>
      <c r="G976"/>
      <c r="H976"/>
      <c r="I976"/>
      <c r="J976"/>
      <c r="K976"/>
    </row>
    <row r="977" spans="1:11" ht="15.75">
      <c r="A977"/>
      <c r="B977"/>
      <c r="C977"/>
      <c r="D977"/>
      <c r="E977"/>
      <c r="F977"/>
      <c r="G977"/>
      <c r="H977"/>
      <c r="I977"/>
      <c r="J977"/>
      <c r="K977"/>
    </row>
    <row r="978" spans="1:11" ht="15.75">
      <c r="A978"/>
      <c r="B978"/>
      <c r="C978"/>
      <c r="D978"/>
      <c r="E978"/>
      <c r="F978"/>
      <c r="G978"/>
      <c r="H978"/>
      <c r="I978"/>
      <c r="J978"/>
      <c r="K978"/>
    </row>
    <row r="979" spans="1:11" ht="15.75">
      <c r="A979"/>
      <c r="B979"/>
      <c r="C979"/>
      <c r="D979"/>
      <c r="E979"/>
      <c r="F979"/>
      <c r="G979"/>
      <c r="H979"/>
      <c r="I979"/>
      <c r="J979"/>
      <c r="K979"/>
    </row>
    <row r="980" spans="1:11" ht="15.75">
      <c r="A980"/>
      <c r="B980"/>
      <c r="C980"/>
      <c r="D980"/>
      <c r="E980"/>
      <c r="F980"/>
      <c r="G980"/>
      <c r="H980"/>
      <c r="I980"/>
      <c r="J980"/>
      <c r="K980"/>
    </row>
    <row r="981" spans="1:11" ht="15.75">
      <c r="A981"/>
      <c r="B981"/>
      <c r="C981"/>
      <c r="D981"/>
      <c r="E981"/>
      <c r="F981"/>
      <c r="G981"/>
      <c r="H981"/>
      <c r="I981"/>
      <c r="J981"/>
      <c r="K981"/>
    </row>
    <row r="982" spans="1:11" ht="15.75">
      <c r="A982"/>
      <c r="B982"/>
      <c r="C982"/>
      <c r="D982"/>
      <c r="E982"/>
      <c r="F982"/>
      <c r="G982"/>
      <c r="H982"/>
      <c r="I982"/>
      <c r="J982"/>
      <c r="K982"/>
    </row>
    <row r="983" spans="1:11" ht="15.75">
      <c r="A983"/>
      <c r="B983"/>
      <c r="C983"/>
      <c r="D983"/>
      <c r="E983"/>
      <c r="F983"/>
      <c r="G983"/>
      <c r="H983"/>
      <c r="I983"/>
      <c r="J983"/>
      <c r="K983"/>
    </row>
    <row r="984" spans="1:11" ht="15.75">
      <c r="A984"/>
      <c r="B984"/>
      <c r="C984"/>
      <c r="D984"/>
      <c r="E984"/>
      <c r="F984"/>
      <c r="G984"/>
      <c r="H984"/>
      <c r="I984"/>
      <c r="J984"/>
      <c r="K984"/>
    </row>
    <row r="985" spans="1:11" ht="15.75">
      <c r="A985"/>
      <c r="B985"/>
      <c r="C985"/>
      <c r="D985"/>
      <c r="E985"/>
      <c r="F985"/>
      <c r="G985"/>
      <c r="H985"/>
      <c r="I985"/>
      <c r="J985"/>
      <c r="K985"/>
    </row>
    <row r="986" spans="1:11" ht="15.75">
      <c r="A986"/>
      <c r="B986"/>
      <c r="C986"/>
      <c r="D986"/>
      <c r="E986"/>
      <c r="F986"/>
      <c r="G986"/>
      <c r="H986"/>
      <c r="I986"/>
      <c r="J986"/>
      <c r="K986"/>
    </row>
    <row r="987" spans="1:11" ht="15.75">
      <c r="A987"/>
      <c r="B987"/>
      <c r="C987"/>
      <c r="D987"/>
      <c r="E987"/>
      <c r="F987"/>
      <c r="G987"/>
      <c r="H987"/>
      <c r="I987"/>
      <c r="J987"/>
      <c r="K987"/>
    </row>
    <row r="988" spans="1:11" ht="15.75">
      <c r="A988"/>
      <c r="B988"/>
      <c r="C988"/>
      <c r="D988"/>
      <c r="E988"/>
      <c r="F988"/>
      <c r="G988"/>
      <c r="H988"/>
      <c r="I988"/>
      <c r="J988"/>
      <c r="K988"/>
    </row>
    <row r="989" spans="1:11" ht="15.75">
      <c r="A989"/>
      <c r="B989"/>
      <c r="C989"/>
      <c r="D989"/>
      <c r="E989"/>
      <c r="F989"/>
      <c r="G989"/>
      <c r="H989"/>
      <c r="I989"/>
      <c r="J989"/>
      <c r="K989"/>
    </row>
    <row r="990" spans="1:11" ht="15.75">
      <c r="A990"/>
      <c r="B990"/>
      <c r="C990"/>
      <c r="D990"/>
      <c r="E990"/>
      <c r="F990"/>
      <c r="G990"/>
      <c r="H990"/>
      <c r="I990"/>
      <c r="J990"/>
      <c r="K990"/>
    </row>
    <row r="991" spans="1:11" ht="15.75">
      <c r="A991"/>
      <c r="B991"/>
      <c r="C991"/>
      <c r="D991"/>
      <c r="E991"/>
      <c r="F991"/>
      <c r="G991"/>
      <c r="H991"/>
      <c r="I991"/>
      <c r="J991"/>
      <c r="K991"/>
    </row>
    <row r="992" spans="1:11" ht="15.75">
      <c r="A992"/>
      <c r="B992"/>
      <c r="C992"/>
      <c r="D992"/>
      <c r="E992"/>
      <c r="F992"/>
      <c r="G992"/>
      <c r="H992"/>
      <c r="I992"/>
      <c r="J992"/>
      <c r="K992"/>
    </row>
    <row r="993" spans="1:11" ht="15.75">
      <c r="A993"/>
      <c r="B993"/>
      <c r="C993"/>
      <c r="D993"/>
      <c r="E993"/>
      <c r="F993"/>
      <c r="G993"/>
      <c r="H993"/>
      <c r="I993"/>
      <c r="J993"/>
      <c r="K993"/>
    </row>
    <row r="994" spans="1:11" ht="15.75">
      <c r="A994"/>
      <c r="B994"/>
      <c r="C994"/>
      <c r="D994"/>
      <c r="E994"/>
      <c r="F994"/>
      <c r="G994"/>
      <c r="H994"/>
      <c r="I994"/>
      <c r="J994"/>
      <c r="K994"/>
    </row>
    <row r="995" spans="1:11" ht="15.75">
      <c r="A995"/>
      <c r="B995"/>
      <c r="C995"/>
      <c r="D995"/>
      <c r="E995"/>
      <c r="F995"/>
      <c r="G995"/>
      <c r="H995"/>
      <c r="I995"/>
      <c r="J995"/>
      <c r="K995"/>
    </row>
    <row r="996" spans="1:11" ht="15.75">
      <c r="A996"/>
      <c r="B996"/>
      <c r="C996"/>
      <c r="D996"/>
      <c r="E996"/>
      <c r="F996"/>
      <c r="G996"/>
      <c r="H996"/>
      <c r="I996"/>
      <c r="J996"/>
      <c r="K996"/>
    </row>
    <row r="997" spans="1:11" ht="15.75">
      <c r="A997"/>
      <c r="B997"/>
      <c r="C997"/>
      <c r="D997"/>
      <c r="E997"/>
      <c r="F997"/>
      <c r="G997"/>
      <c r="H997"/>
      <c r="I997"/>
      <c r="J997"/>
      <c r="K997"/>
    </row>
    <row r="998" spans="1:11" ht="15.75">
      <c r="A998"/>
      <c r="B998"/>
      <c r="C998"/>
      <c r="D998"/>
      <c r="E998"/>
      <c r="F998"/>
      <c r="G998"/>
      <c r="H998"/>
      <c r="I998"/>
      <c r="J998"/>
      <c r="K998"/>
    </row>
    <row r="999" spans="1:11" ht="15.75">
      <c r="A999"/>
      <c r="B999"/>
      <c r="C999"/>
      <c r="D999"/>
      <c r="E999"/>
      <c r="F999"/>
      <c r="G999"/>
      <c r="H999"/>
      <c r="I999"/>
      <c r="J999"/>
      <c r="K999"/>
    </row>
    <row r="1000" spans="1:11" ht="15.75">
      <c r="A1000"/>
      <c r="B1000"/>
      <c r="C1000"/>
      <c r="D1000"/>
      <c r="E1000"/>
      <c r="F1000"/>
      <c r="G1000"/>
      <c r="H1000"/>
      <c r="I1000"/>
      <c r="J1000"/>
      <c r="K1000"/>
    </row>
    <row r="1001" spans="1:11" ht="15.75">
      <c r="A1001"/>
      <c r="B1001"/>
      <c r="C1001"/>
      <c r="D1001"/>
      <c r="E1001"/>
      <c r="F1001"/>
      <c r="G1001"/>
      <c r="H1001"/>
      <c r="I1001"/>
      <c r="J1001"/>
      <c r="K1001"/>
    </row>
    <row r="1002" spans="1:11" ht="15.75">
      <c r="A1002"/>
      <c r="B1002"/>
      <c r="C1002"/>
      <c r="D1002"/>
      <c r="E1002"/>
      <c r="F1002"/>
      <c r="G1002"/>
      <c r="H1002"/>
      <c r="I1002"/>
      <c r="J1002"/>
      <c r="K1002"/>
    </row>
    <row r="1003" spans="1:11" ht="15.75">
      <c r="A1003"/>
      <c r="B1003"/>
      <c r="C1003"/>
      <c r="D1003"/>
      <c r="E1003"/>
      <c r="F1003"/>
      <c r="G1003"/>
      <c r="H1003"/>
      <c r="I1003"/>
      <c r="J1003"/>
      <c r="K1003"/>
    </row>
    <row r="1004" spans="1:11" ht="15.75">
      <c r="A1004"/>
      <c r="B1004"/>
      <c r="C1004"/>
      <c r="D1004"/>
      <c r="E1004"/>
      <c r="F1004"/>
      <c r="G1004"/>
      <c r="H1004"/>
      <c r="I1004"/>
      <c r="J1004"/>
      <c r="K1004"/>
    </row>
    <row r="1005" spans="1:11" ht="15.75">
      <c r="A1005"/>
      <c r="B1005"/>
      <c r="C1005"/>
      <c r="D1005"/>
      <c r="E1005"/>
      <c r="F1005"/>
      <c r="G1005"/>
      <c r="H1005"/>
      <c r="I1005"/>
      <c r="J1005"/>
      <c r="K1005"/>
    </row>
    <row r="1006" spans="1:11" ht="15.75">
      <c r="A1006"/>
      <c r="B1006"/>
      <c r="C1006"/>
      <c r="D1006"/>
      <c r="E1006"/>
      <c r="F1006"/>
      <c r="G1006"/>
      <c r="H1006"/>
      <c r="I1006"/>
      <c r="J1006"/>
      <c r="K1006"/>
    </row>
    <row r="1007" spans="1:11" ht="15.75">
      <c r="A1007"/>
      <c r="B1007"/>
      <c r="C1007"/>
      <c r="D1007"/>
      <c r="E1007"/>
      <c r="F1007"/>
      <c r="G1007"/>
      <c r="H1007"/>
      <c r="I1007"/>
      <c r="J1007"/>
      <c r="K1007"/>
    </row>
    <row r="1008" spans="1:11" ht="15.75">
      <c r="A1008"/>
      <c r="B1008"/>
      <c r="C1008"/>
      <c r="D1008"/>
      <c r="E1008"/>
      <c r="F1008"/>
      <c r="G1008"/>
      <c r="H1008"/>
      <c r="I1008"/>
      <c r="J1008"/>
      <c r="K1008"/>
    </row>
    <row r="1009" spans="1:11" ht="15.75">
      <c r="A1009"/>
      <c r="B1009"/>
      <c r="C1009"/>
      <c r="D1009"/>
      <c r="E1009"/>
      <c r="F1009"/>
      <c r="G1009"/>
      <c r="H1009"/>
      <c r="I1009"/>
      <c r="J1009"/>
      <c r="K1009"/>
    </row>
    <row r="1010" spans="1:11" ht="15.75">
      <c r="A1010"/>
      <c r="B1010"/>
      <c r="C1010"/>
      <c r="D1010"/>
      <c r="E1010"/>
      <c r="F1010"/>
      <c r="G1010"/>
      <c r="H1010"/>
      <c r="I1010"/>
      <c r="J1010"/>
      <c r="K1010"/>
    </row>
    <row r="1011" spans="1:11" ht="15.75">
      <c r="A1011"/>
      <c r="B1011"/>
      <c r="C1011"/>
      <c r="D1011"/>
      <c r="E1011"/>
      <c r="F1011"/>
      <c r="G1011"/>
      <c r="H1011"/>
      <c r="I1011"/>
      <c r="J1011"/>
      <c r="K1011"/>
    </row>
    <row r="1012" spans="1:11" ht="15.75">
      <c r="A1012"/>
      <c r="B1012"/>
      <c r="C1012"/>
      <c r="D1012"/>
      <c r="E1012"/>
      <c r="F1012"/>
      <c r="G1012"/>
      <c r="H1012"/>
      <c r="I1012"/>
      <c r="J1012"/>
      <c r="K1012"/>
    </row>
    <row r="1013" spans="1:11" ht="15.75">
      <c r="A1013"/>
      <c r="B1013"/>
      <c r="C1013"/>
      <c r="D1013"/>
      <c r="E1013"/>
      <c r="F1013"/>
      <c r="G1013"/>
      <c r="H1013"/>
      <c r="I1013"/>
      <c r="J1013"/>
      <c r="K1013"/>
    </row>
    <row r="1014" spans="1:11" ht="15.75">
      <c r="A1014"/>
      <c r="B1014"/>
      <c r="C1014"/>
      <c r="D1014"/>
      <c r="E1014"/>
      <c r="F1014"/>
      <c r="G1014"/>
      <c r="H1014"/>
      <c r="I1014"/>
      <c r="J1014"/>
      <c r="K1014"/>
    </row>
    <row r="1015" spans="1:11" ht="15.75">
      <c r="A1015"/>
      <c r="B1015"/>
      <c r="C1015"/>
      <c r="D1015"/>
      <c r="E1015"/>
      <c r="F1015"/>
      <c r="G1015"/>
      <c r="H1015"/>
      <c r="I1015"/>
      <c r="J1015"/>
      <c r="K1015"/>
    </row>
    <row r="1016" spans="1:11" ht="15.75">
      <c r="A1016"/>
      <c r="B1016"/>
      <c r="C1016"/>
      <c r="D1016"/>
      <c r="E1016"/>
      <c r="F1016"/>
      <c r="G1016"/>
      <c r="H1016"/>
      <c r="I1016"/>
      <c r="J1016"/>
      <c r="K1016"/>
    </row>
    <row r="1017" spans="1:11" ht="15.75">
      <c r="A1017"/>
      <c r="B1017"/>
      <c r="C1017"/>
      <c r="D1017"/>
      <c r="E1017"/>
      <c r="F1017"/>
      <c r="G1017"/>
      <c r="H1017"/>
      <c r="I1017"/>
      <c r="J1017"/>
      <c r="K1017"/>
    </row>
    <row r="1018" spans="1:11" ht="15.75">
      <c r="A1018"/>
      <c r="B1018"/>
      <c r="C1018"/>
      <c r="D1018"/>
      <c r="E1018"/>
      <c r="F1018"/>
      <c r="G1018"/>
      <c r="H1018"/>
      <c r="I1018"/>
      <c r="J1018"/>
      <c r="K1018"/>
    </row>
    <row r="1019" spans="1:11" ht="15.75">
      <c r="A1019"/>
      <c r="B1019"/>
      <c r="C1019"/>
      <c r="D1019"/>
      <c r="E1019"/>
      <c r="F1019"/>
      <c r="G1019"/>
      <c r="H1019"/>
      <c r="I1019"/>
      <c r="J1019"/>
      <c r="K1019"/>
    </row>
    <row r="1020" spans="1:11" ht="15.75">
      <c r="A1020"/>
      <c r="B1020"/>
      <c r="C1020"/>
      <c r="D1020"/>
      <c r="E1020"/>
      <c r="F1020"/>
      <c r="G1020"/>
      <c r="H1020"/>
      <c r="I1020"/>
      <c r="J1020"/>
      <c r="K1020"/>
    </row>
    <row r="1021" spans="1:11" ht="15.75">
      <c r="A1021"/>
      <c r="B1021"/>
      <c r="C1021"/>
      <c r="D1021"/>
      <c r="E1021"/>
      <c r="F1021"/>
      <c r="G1021"/>
      <c r="H1021"/>
      <c r="I1021"/>
      <c r="J1021"/>
      <c r="K1021"/>
    </row>
    <row r="1022" spans="1:11" ht="15.75">
      <c r="A1022"/>
      <c r="B1022"/>
      <c r="C1022"/>
      <c r="D1022"/>
      <c r="E1022"/>
      <c r="F1022"/>
      <c r="G1022"/>
      <c r="H1022"/>
      <c r="I1022"/>
      <c r="J1022"/>
      <c r="K1022"/>
    </row>
    <row r="1023" spans="1:11" ht="15.75">
      <c r="A1023"/>
      <c r="B1023"/>
      <c r="C1023"/>
      <c r="D1023"/>
      <c r="E1023"/>
      <c r="F1023"/>
      <c r="G1023"/>
      <c r="H1023"/>
      <c r="I1023"/>
      <c r="J1023"/>
      <c r="K1023"/>
    </row>
    <row r="1024" spans="1:11" ht="15.75">
      <c r="A1024"/>
      <c r="B1024"/>
      <c r="C1024"/>
      <c r="D1024"/>
      <c r="E1024"/>
      <c r="F1024"/>
      <c r="G1024"/>
      <c r="H1024"/>
      <c r="I1024"/>
      <c r="J1024"/>
      <c r="K1024"/>
    </row>
    <row r="1025" spans="1:11" ht="15.75">
      <c r="A1025"/>
      <c r="B1025"/>
      <c r="C1025"/>
      <c r="D1025"/>
      <c r="E1025"/>
      <c r="F1025"/>
      <c r="G1025"/>
      <c r="H1025"/>
      <c r="I1025"/>
      <c r="J1025"/>
      <c r="K1025"/>
    </row>
    <row r="1026" spans="1:11" ht="15.75">
      <c r="A1026"/>
      <c r="B1026"/>
      <c r="C1026"/>
      <c r="D1026"/>
      <c r="E1026"/>
      <c r="F1026"/>
      <c r="G1026"/>
      <c r="H1026"/>
      <c r="I1026"/>
      <c r="J1026"/>
      <c r="K1026"/>
    </row>
    <row r="1027" spans="1:11" ht="15.75">
      <c r="A1027"/>
      <c r="B1027"/>
      <c r="C1027"/>
      <c r="D1027"/>
      <c r="E1027"/>
      <c r="F1027"/>
      <c r="G1027"/>
      <c r="H1027"/>
      <c r="I1027"/>
      <c r="J1027"/>
      <c r="K1027"/>
    </row>
    <row r="1028" spans="1:11" ht="15.75">
      <c r="A1028"/>
      <c r="B1028"/>
      <c r="C1028"/>
      <c r="D1028"/>
      <c r="E1028"/>
      <c r="F1028"/>
      <c r="G1028"/>
      <c r="H1028"/>
      <c r="I1028"/>
      <c r="J1028"/>
      <c r="K1028"/>
    </row>
    <row r="1029" spans="1:11" ht="15.75">
      <c r="A1029"/>
      <c r="B1029"/>
      <c r="C1029"/>
      <c r="D1029"/>
      <c r="E1029"/>
      <c r="F1029"/>
      <c r="G1029"/>
      <c r="H1029"/>
      <c r="I1029"/>
      <c r="J1029"/>
      <c r="K1029"/>
    </row>
    <row r="1030" spans="1:11" ht="15.75">
      <c r="A1030"/>
      <c r="B1030"/>
      <c r="C1030"/>
      <c r="D1030"/>
      <c r="E1030"/>
      <c r="F1030"/>
      <c r="G1030"/>
      <c r="H1030"/>
      <c r="I1030"/>
      <c r="J1030"/>
      <c r="K1030"/>
    </row>
    <row r="1031" spans="1:11" ht="15.75">
      <c r="A1031"/>
      <c r="B1031"/>
      <c r="C1031"/>
      <c r="D1031"/>
      <c r="E1031"/>
      <c r="F1031"/>
      <c r="G1031"/>
      <c r="H1031"/>
      <c r="I1031"/>
      <c r="J1031"/>
      <c r="K1031"/>
    </row>
    <row r="1032" spans="1:11" ht="15.75">
      <c r="A1032"/>
      <c r="B1032"/>
      <c r="C1032"/>
      <c r="D1032"/>
      <c r="E1032"/>
      <c r="F1032"/>
      <c r="G1032"/>
      <c r="H1032"/>
      <c r="I1032"/>
      <c r="J1032"/>
      <c r="K1032"/>
    </row>
    <row r="1033" spans="1:11" ht="15.75">
      <c r="A1033"/>
      <c r="B1033"/>
      <c r="C1033"/>
      <c r="D1033"/>
      <c r="E1033"/>
      <c r="F1033"/>
      <c r="G1033"/>
      <c r="H1033"/>
      <c r="I1033"/>
      <c r="J1033"/>
      <c r="K1033"/>
    </row>
    <row r="1034" spans="1:11" ht="15.75">
      <c r="A1034"/>
      <c r="B1034"/>
      <c r="C1034"/>
      <c r="D1034"/>
      <c r="E1034"/>
      <c r="F1034"/>
      <c r="G1034"/>
      <c r="H1034"/>
      <c r="I1034"/>
      <c r="J1034"/>
      <c r="K1034"/>
    </row>
    <row r="1035" spans="1:11" ht="15.75">
      <c r="A1035"/>
      <c r="B1035"/>
      <c r="C1035"/>
      <c r="D1035"/>
      <c r="E1035"/>
      <c r="F1035"/>
      <c r="G1035"/>
      <c r="H1035"/>
      <c r="I1035"/>
      <c r="J1035"/>
      <c r="K1035"/>
    </row>
    <row r="1036" spans="1:11" ht="15.75">
      <c r="A1036"/>
      <c r="B1036"/>
      <c r="C1036"/>
      <c r="D1036"/>
      <c r="E1036"/>
      <c r="F1036"/>
      <c r="G1036"/>
      <c r="H1036"/>
      <c r="I1036"/>
      <c r="J1036"/>
      <c r="K1036"/>
    </row>
    <row r="1037" spans="1:11" ht="15.75">
      <c r="A1037"/>
      <c r="B1037"/>
      <c r="C1037"/>
      <c r="D1037"/>
      <c r="E1037"/>
      <c r="F1037"/>
      <c r="G1037"/>
      <c r="H1037"/>
      <c r="I1037"/>
      <c r="J1037"/>
      <c r="K1037"/>
    </row>
    <row r="1038" spans="1:11" ht="15.75">
      <c r="A1038"/>
      <c r="B1038"/>
      <c r="C1038"/>
      <c r="D1038"/>
      <c r="E1038"/>
      <c r="F1038"/>
      <c r="G1038"/>
      <c r="H1038"/>
      <c r="I1038"/>
      <c r="J1038"/>
      <c r="K1038"/>
    </row>
    <row r="1039" spans="1:11" ht="15.75">
      <c r="A1039"/>
      <c r="B1039"/>
      <c r="C1039"/>
      <c r="D1039"/>
      <c r="E1039"/>
      <c r="F1039"/>
      <c r="G1039"/>
      <c r="H1039"/>
      <c r="I1039"/>
      <c r="J1039"/>
      <c r="K1039"/>
    </row>
    <row r="1040" spans="1:11" ht="15.75">
      <c r="A1040"/>
      <c r="B1040"/>
      <c r="C1040"/>
      <c r="D1040"/>
      <c r="E1040"/>
      <c r="F1040"/>
      <c r="G1040"/>
      <c r="H1040"/>
      <c r="I1040"/>
      <c r="J1040"/>
      <c r="K1040"/>
    </row>
    <row r="1041" spans="1:11" ht="15.75">
      <c r="A1041"/>
      <c r="B1041"/>
      <c r="C1041"/>
      <c r="D1041"/>
      <c r="E1041"/>
      <c r="F1041"/>
      <c r="G1041"/>
      <c r="H1041"/>
      <c r="I1041"/>
      <c r="J1041"/>
      <c r="K1041"/>
    </row>
    <row r="1042" spans="1:11" ht="15.75">
      <c r="A1042"/>
      <c r="B1042"/>
      <c r="C1042"/>
      <c r="D1042"/>
      <c r="E1042"/>
      <c r="F1042"/>
      <c r="G1042"/>
      <c r="H1042"/>
      <c r="I1042"/>
      <c r="J1042"/>
      <c r="K1042"/>
    </row>
    <row r="1043" spans="1:11" ht="15.75">
      <c r="A1043"/>
      <c r="B1043"/>
      <c r="C1043"/>
      <c r="D1043"/>
      <c r="E1043"/>
      <c r="F1043"/>
      <c r="G1043"/>
      <c r="H1043"/>
      <c r="I1043"/>
      <c r="J1043"/>
      <c r="K1043"/>
    </row>
    <row r="1044" spans="1:11" ht="15.75">
      <c r="A1044"/>
      <c r="B1044"/>
      <c r="C1044"/>
      <c r="D1044"/>
      <c r="E1044"/>
      <c r="F1044"/>
      <c r="G1044"/>
      <c r="H1044"/>
      <c r="I1044"/>
      <c r="J1044"/>
      <c r="K1044"/>
    </row>
    <row r="1045" spans="1:11" ht="15.75">
      <c r="A1045"/>
      <c r="B1045"/>
      <c r="C1045"/>
      <c r="D1045"/>
      <c r="E1045"/>
      <c r="F1045"/>
      <c r="G1045"/>
      <c r="H1045"/>
      <c r="I1045"/>
      <c r="J1045"/>
      <c r="K1045"/>
    </row>
    <row r="1046" spans="1:11" ht="15.75">
      <c r="A1046"/>
      <c r="B1046"/>
      <c r="C1046"/>
      <c r="D1046"/>
      <c r="E1046"/>
      <c r="F1046"/>
      <c r="G1046"/>
      <c r="H1046"/>
      <c r="I1046"/>
      <c r="J1046"/>
      <c r="K1046"/>
    </row>
    <row r="1047" spans="1:11" ht="15.75">
      <c r="A1047"/>
      <c r="B1047"/>
      <c r="C1047"/>
      <c r="D1047"/>
      <c r="E1047"/>
      <c r="F1047"/>
      <c r="G1047"/>
      <c r="H1047"/>
      <c r="I1047"/>
      <c r="J1047"/>
      <c r="K1047"/>
    </row>
    <row r="1048" spans="1:11" ht="15.75">
      <c r="A1048"/>
      <c r="B1048"/>
      <c r="C1048"/>
      <c r="D1048"/>
      <c r="E1048"/>
      <c r="F1048"/>
      <c r="G1048"/>
      <c r="H1048"/>
      <c r="I1048"/>
      <c r="J1048"/>
      <c r="K1048"/>
    </row>
    <row r="1049" spans="1:11" ht="15.75">
      <c r="A1049"/>
      <c r="B1049"/>
      <c r="C1049"/>
      <c r="D1049"/>
      <c r="E1049"/>
      <c r="F1049"/>
      <c r="G1049"/>
      <c r="H1049"/>
      <c r="I1049"/>
      <c r="J1049"/>
      <c r="K1049"/>
    </row>
    <row r="1050" spans="1:11" ht="15.75">
      <c r="A1050"/>
      <c r="B1050"/>
      <c r="C1050"/>
      <c r="D1050"/>
      <c r="E1050"/>
      <c r="F1050"/>
      <c r="G1050"/>
      <c r="H1050"/>
      <c r="I1050"/>
      <c r="J1050"/>
      <c r="K1050"/>
    </row>
    <row r="1051" spans="1:11" ht="15.75">
      <c r="A1051"/>
      <c r="B1051"/>
      <c r="C1051"/>
      <c r="D1051"/>
      <c r="E1051"/>
      <c r="F1051"/>
      <c r="G1051"/>
      <c r="H1051"/>
      <c r="I1051"/>
      <c r="J1051"/>
      <c r="K1051"/>
    </row>
    <row r="1052" spans="1:11" ht="15.75">
      <c r="A1052"/>
      <c r="B1052"/>
      <c r="C1052"/>
      <c r="D1052"/>
      <c r="E1052"/>
      <c r="F1052"/>
      <c r="G1052"/>
      <c r="H1052"/>
      <c r="I1052"/>
      <c r="J1052"/>
      <c r="K1052"/>
    </row>
    <row r="1053" spans="1:11" ht="15.75">
      <c r="A1053"/>
      <c r="B1053"/>
      <c r="C1053"/>
      <c r="D1053"/>
      <c r="E1053"/>
      <c r="F1053"/>
      <c r="G1053"/>
      <c r="H1053"/>
      <c r="I1053"/>
      <c r="J1053"/>
      <c r="K1053"/>
    </row>
    <row r="1054" spans="1:11" ht="15.75">
      <c r="A1054"/>
      <c r="B1054"/>
      <c r="C1054"/>
      <c r="D1054"/>
      <c r="E1054"/>
      <c r="F1054"/>
      <c r="G1054"/>
      <c r="H1054"/>
      <c r="I1054"/>
      <c r="J1054"/>
      <c r="K1054"/>
    </row>
    <row r="1055" spans="1:11" ht="15.75">
      <c r="A1055"/>
      <c r="B1055"/>
      <c r="C1055"/>
      <c r="D1055"/>
      <c r="E1055"/>
      <c r="F1055"/>
      <c r="G1055"/>
      <c r="H1055"/>
      <c r="I1055"/>
      <c r="J1055"/>
      <c r="K1055"/>
    </row>
    <row r="1056" spans="1:11" ht="15.75">
      <c r="A1056"/>
      <c r="B1056"/>
      <c r="C1056"/>
      <c r="D1056"/>
      <c r="E1056"/>
      <c r="F1056"/>
      <c r="G1056"/>
      <c r="H1056"/>
      <c r="I1056"/>
      <c r="J1056"/>
      <c r="K1056"/>
    </row>
    <row r="1057" spans="1:11" ht="15.75">
      <c r="A1057"/>
      <c r="B1057"/>
      <c r="C1057"/>
      <c r="D1057"/>
      <c r="E1057"/>
      <c r="F1057"/>
      <c r="G1057"/>
      <c r="H1057"/>
      <c r="I1057"/>
      <c r="J1057"/>
      <c r="K1057"/>
    </row>
    <row r="1058" spans="1:11" ht="15.75">
      <c r="A1058"/>
      <c r="B1058"/>
      <c r="C1058"/>
      <c r="D1058"/>
      <c r="E1058"/>
      <c r="F1058"/>
      <c r="G1058"/>
      <c r="H1058"/>
      <c r="I1058"/>
      <c r="J1058"/>
      <c r="K1058"/>
    </row>
    <row r="1059" spans="1:11" ht="15.75">
      <c r="A1059"/>
      <c r="B1059"/>
      <c r="C1059"/>
      <c r="D1059"/>
      <c r="E1059"/>
      <c r="F1059"/>
      <c r="G1059"/>
      <c r="H1059"/>
      <c r="I1059"/>
      <c r="J1059"/>
      <c r="K1059"/>
    </row>
    <row r="1060" spans="1:11" ht="15.75">
      <c r="A1060"/>
      <c r="B1060"/>
      <c r="C1060"/>
      <c r="D1060"/>
      <c r="E1060"/>
      <c r="F1060"/>
      <c r="G1060"/>
      <c r="H1060"/>
      <c r="I1060"/>
      <c r="J1060"/>
      <c r="K1060"/>
    </row>
    <row r="1061" spans="1:11" ht="15.75">
      <c r="A1061"/>
      <c r="B1061"/>
      <c r="C1061"/>
      <c r="D1061"/>
      <c r="E1061"/>
      <c r="F1061"/>
      <c r="G1061"/>
      <c r="H1061"/>
      <c r="I1061"/>
      <c r="J1061"/>
      <c r="K1061"/>
    </row>
    <row r="1062" spans="1:11" ht="15.75">
      <c r="A1062"/>
      <c r="B1062"/>
      <c r="C1062"/>
      <c r="D1062"/>
      <c r="E1062"/>
      <c r="F1062"/>
      <c r="G1062"/>
      <c r="H1062"/>
      <c r="I1062"/>
      <c r="J1062"/>
      <c r="K1062"/>
    </row>
    <row r="1063" spans="1:11" ht="15.75">
      <c r="A1063"/>
      <c r="B1063"/>
      <c r="C1063"/>
      <c r="D1063"/>
      <c r="E1063"/>
      <c r="F1063"/>
      <c r="G1063"/>
      <c r="H1063"/>
      <c r="I1063"/>
      <c r="J1063"/>
      <c r="K1063"/>
    </row>
    <row r="1064" spans="1:11" ht="15.75">
      <c r="A1064"/>
      <c r="B1064"/>
      <c r="C1064"/>
      <c r="D1064"/>
      <c r="E1064"/>
      <c r="F1064"/>
      <c r="G1064"/>
      <c r="H1064"/>
      <c r="I1064"/>
      <c r="J1064"/>
      <c r="K1064"/>
    </row>
    <row r="1065" spans="1:11" ht="15.75">
      <c r="A1065"/>
      <c r="B1065"/>
      <c r="C1065"/>
      <c r="D1065"/>
      <c r="E1065"/>
      <c r="F1065"/>
      <c r="G1065"/>
      <c r="H1065"/>
      <c r="I1065"/>
      <c r="J1065"/>
      <c r="K1065"/>
    </row>
    <row r="1066" spans="1:11" ht="15.75">
      <c r="A1066"/>
      <c r="B1066"/>
      <c r="C1066"/>
      <c r="D1066"/>
      <c r="E1066"/>
      <c r="F1066"/>
      <c r="G1066"/>
      <c r="H1066"/>
      <c r="I1066"/>
      <c r="J1066"/>
      <c r="K1066"/>
    </row>
    <row r="1067" spans="1:11" ht="15.75">
      <c r="A1067"/>
      <c r="B1067"/>
      <c r="C1067"/>
      <c r="D1067"/>
      <c r="E1067"/>
      <c r="F1067"/>
      <c r="G1067"/>
      <c r="H1067"/>
      <c r="I1067"/>
      <c r="J1067"/>
      <c r="K1067"/>
    </row>
    <row r="1068" spans="1:11" ht="15.75">
      <c r="A1068"/>
      <c r="B1068"/>
      <c r="C1068"/>
      <c r="D1068"/>
      <c r="E1068"/>
      <c r="F1068"/>
      <c r="G1068"/>
      <c r="H1068"/>
      <c r="I1068"/>
      <c r="J1068"/>
      <c r="K1068"/>
    </row>
    <row r="1069" spans="1:11" ht="15.75">
      <c r="A1069"/>
      <c r="B1069"/>
      <c r="C1069"/>
      <c r="D1069"/>
      <c r="E1069"/>
      <c r="F1069"/>
      <c r="G1069"/>
      <c r="H1069"/>
      <c r="I1069"/>
      <c r="J1069"/>
      <c r="K1069"/>
    </row>
    <row r="1070" spans="1:11" ht="15.75">
      <c r="A1070"/>
      <c r="B1070"/>
      <c r="C1070"/>
      <c r="D1070"/>
      <c r="E1070"/>
      <c r="F1070"/>
      <c r="G1070"/>
      <c r="H1070"/>
      <c r="I1070"/>
      <c r="J1070"/>
      <c r="K1070"/>
    </row>
    <row r="1071" spans="1:11" ht="15.75">
      <c r="A1071"/>
      <c r="B1071"/>
      <c r="C1071"/>
      <c r="D1071"/>
      <c r="E1071"/>
      <c r="F1071"/>
      <c r="G1071"/>
      <c r="H1071"/>
      <c r="I1071"/>
      <c r="J1071"/>
      <c r="K1071"/>
    </row>
    <row r="1072" spans="1:11" ht="15.75">
      <c r="A1072"/>
      <c r="B1072"/>
      <c r="C1072"/>
      <c r="D1072"/>
      <c r="E1072"/>
      <c r="F1072"/>
      <c r="G1072"/>
      <c r="H1072"/>
      <c r="I1072"/>
      <c r="J1072"/>
      <c r="K1072"/>
    </row>
    <row r="1073" spans="1:11" ht="15.75">
      <c r="A1073"/>
      <c r="B1073"/>
      <c r="C1073"/>
      <c r="D1073"/>
      <c r="E1073"/>
      <c r="F1073"/>
      <c r="G1073"/>
      <c r="H1073"/>
      <c r="I1073"/>
      <c r="J1073"/>
      <c r="K1073"/>
    </row>
    <row r="1074" spans="1:11" ht="15.75">
      <c r="A1074"/>
      <c r="B1074"/>
      <c r="C1074"/>
      <c r="D1074"/>
      <c r="E1074"/>
      <c r="F1074"/>
      <c r="G1074"/>
      <c r="H1074"/>
      <c r="I1074"/>
      <c r="J1074"/>
      <c r="K1074"/>
    </row>
    <row r="1075" spans="1:11" ht="15.75">
      <c r="A1075"/>
      <c r="B1075"/>
      <c r="C1075"/>
      <c r="D1075"/>
      <c r="E1075"/>
      <c r="F1075"/>
      <c r="G1075"/>
      <c r="H1075"/>
      <c r="I1075"/>
      <c r="J1075"/>
      <c r="K1075"/>
    </row>
    <row r="1076" spans="1:11" ht="15.75">
      <c r="A1076"/>
      <c r="B1076"/>
      <c r="C1076"/>
      <c r="D1076"/>
      <c r="E1076"/>
      <c r="F1076"/>
      <c r="G1076"/>
      <c r="H1076"/>
      <c r="I1076"/>
      <c r="J1076"/>
      <c r="K1076"/>
    </row>
    <row r="1077" spans="1:11" ht="15.75">
      <c r="A1077"/>
      <c r="B1077"/>
      <c r="C1077"/>
      <c r="D1077"/>
      <c r="E1077"/>
      <c r="F1077"/>
      <c r="G1077"/>
      <c r="H1077"/>
      <c r="I1077"/>
      <c r="J1077"/>
      <c r="K1077"/>
    </row>
    <row r="1078" spans="1:11" ht="15.75">
      <c r="A1078"/>
      <c r="B1078"/>
      <c r="C1078"/>
      <c r="D1078"/>
      <c r="E1078"/>
      <c r="F1078"/>
      <c r="G1078"/>
      <c r="H1078"/>
      <c r="I1078"/>
      <c r="J1078"/>
      <c r="K1078"/>
    </row>
    <row r="1079" spans="1:11" ht="15.75">
      <c r="A1079"/>
      <c r="B1079"/>
      <c r="C1079"/>
      <c r="D1079"/>
      <c r="E1079"/>
      <c r="F1079"/>
      <c r="G1079"/>
      <c r="H1079"/>
      <c r="I1079"/>
      <c r="J1079"/>
      <c r="K1079"/>
    </row>
    <row r="1080" spans="1:11" ht="15.75">
      <c r="A1080"/>
      <c r="B1080"/>
      <c r="C1080"/>
      <c r="D1080"/>
      <c r="E1080"/>
      <c r="F1080"/>
      <c r="G1080"/>
      <c r="H1080"/>
      <c r="I1080"/>
      <c r="J1080"/>
      <c r="K1080"/>
    </row>
    <row r="1081" spans="1:11" ht="15.75">
      <c r="A1081"/>
      <c r="B1081"/>
      <c r="C1081"/>
      <c r="D1081"/>
      <c r="E1081"/>
      <c r="F1081"/>
      <c r="G1081"/>
      <c r="H1081"/>
      <c r="I1081"/>
      <c r="J1081"/>
      <c r="K1081"/>
    </row>
    <row r="1082" spans="1:11" ht="15.75">
      <c r="A1082"/>
      <c r="B1082"/>
      <c r="C1082"/>
      <c r="D1082"/>
      <c r="E1082"/>
      <c r="F1082"/>
      <c r="G1082"/>
      <c r="H1082"/>
      <c r="I1082"/>
      <c r="J1082"/>
      <c r="K1082"/>
    </row>
    <row r="1083" spans="1:11" ht="15.75">
      <c r="A1083"/>
      <c r="B1083"/>
      <c r="C1083"/>
      <c r="D1083"/>
      <c r="E1083"/>
      <c r="F1083"/>
      <c r="G1083"/>
      <c r="H1083"/>
      <c r="I1083"/>
      <c r="J1083"/>
      <c r="K1083"/>
    </row>
    <row r="1084" spans="1:11" ht="15.75">
      <c r="A1084"/>
      <c r="B1084"/>
      <c r="C1084"/>
      <c r="D1084"/>
      <c r="E1084"/>
      <c r="F1084"/>
      <c r="G1084"/>
      <c r="H1084"/>
      <c r="I1084"/>
      <c r="J1084"/>
      <c r="K1084"/>
    </row>
    <row r="1085" spans="1:11" ht="15.75">
      <c r="A1085"/>
      <c r="B1085"/>
      <c r="C1085"/>
      <c r="D1085"/>
      <c r="E1085"/>
      <c r="F1085"/>
      <c r="G1085"/>
      <c r="H1085"/>
      <c r="I1085"/>
      <c r="J1085"/>
      <c r="K1085"/>
    </row>
  </sheetData>
  <mergeCells count="1">
    <mergeCell ref="B5:L5"/>
  </mergeCells>
  <phoneticPr fontId="49" type="noConversion"/>
  <hyperlinks>
    <hyperlink ref="C7" location="Contents!A1" display="(Front Page)"/>
    <hyperlink ref="B5:L5" location="'OS Combined Devices'!A8" display="'OS Combined Devices'!A8"/>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C599"/>
  <sheetViews>
    <sheetView topLeftCell="A13" zoomScale="90" zoomScaleNormal="90" workbookViewId="0">
      <selection activeCell="F31" activeCellId="3" sqref="F17:J17 F21:J21 F26:J26 F31:J31"/>
    </sheetView>
  </sheetViews>
  <sheetFormatPr defaultColWidth="8" defaultRowHeight="12"/>
  <cols>
    <col min="1" max="1" width="20.5" style="270" customWidth="1"/>
    <col min="2" max="2" width="13.5" style="272" customWidth="1"/>
    <col min="3" max="3" width="10.5" style="272" customWidth="1"/>
    <col min="4" max="7" width="9.375" style="272" customWidth="1"/>
    <col min="8" max="10" width="9.375" style="270" customWidth="1"/>
    <col min="11" max="37" width="6.75" style="270" customWidth="1"/>
    <col min="38" max="38" width="8.875" style="270" customWidth="1"/>
    <col min="39" max="104" width="18.875" style="270" customWidth="1"/>
    <col min="105" max="105" width="22.75" style="270" customWidth="1"/>
    <col min="106" max="106" width="19.75" style="270" bestFit="1" customWidth="1"/>
    <col min="107" max="107" width="16.125" style="270" bestFit="1" customWidth="1"/>
    <col min="108" max="16384" width="8" style="270"/>
  </cols>
  <sheetData>
    <row r="1" spans="1:19" ht="20.25">
      <c r="A1" s="269" t="s">
        <v>295</v>
      </c>
      <c r="B1"/>
      <c r="C1"/>
      <c r="D1"/>
      <c r="E1"/>
      <c r="F1"/>
      <c r="G1"/>
      <c r="H1"/>
      <c r="I1"/>
      <c r="J1"/>
    </row>
    <row r="2" spans="1:19" ht="20.25">
      <c r="A2" s="271" t="s">
        <v>699</v>
      </c>
      <c r="B2" s="271"/>
      <c r="C2" s="271"/>
      <c r="D2" s="271"/>
      <c r="E2" s="271"/>
      <c r="F2" s="271"/>
      <c r="G2" s="271"/>
      <c r="H2" s="271"/>
      <c r="I2" s="271"/>
      <c r="J2" s="271"/>
    </row>
    <row r="3" spans="1:19">
      <c r="G3" s="273"/>
    </row>
    <row r="4" spans="1:19">
      <c r="B4" s="274" t="s">
        <v>296</v>
      </c>
      <c r="G4" s="273"/>
    </row>
    <row r="5" spans="1:19" ht="15.75">
      <c r="A5" s="275" t="s">
        <v>363</v>
      </c>
      <c r="B5" s="973" t="s">
        <v>700</v>
      </c>
      <c r="C5" s="973"/>
      <c r="D5" s="973"/>
      <c r="E5" s="973"/>
      <c r="F5" s="973"/>
      <c r="G5" s="973"/>
      <c r="H5" s="973"/>
      <c r="I5" s="973"/>
      <c r="J5" s="973"/>
      <c r="K5" s="973"/>
      <c r="L5" s="973"/>
    </row>
    <row r="6" spans="1:19">
      <c r="A6" s="276"/>
      <c r="B6" s="277"/>
      <c r="G6" s="273"/>
    </row>
    <row r="7" spans="1:19">
      <c r="A7" s="276"/>
      <c r="B7" s="278"/>
      <c r="C7" s="278" t="s">
        <v>297</v>
      </c>
    </row>
    <row r="8" spans="1:19" ht="12" customHeight="1">
      <c r="A8" s="279" t="s">
        <v>365</v>
      </c>
      <c r="D8" s="280"/>
      <c r="E8" s="280"/>
      <c r="F8" s="280"/>
      <c r="G8" s="281"/>
    </row>
    <row r="9" spans="1:19" ht="12" customHeight="1">
      <c r="A9" s="282" t="s">
        <v>700</v>
      </c>
      <c r="B9" s="280"/>
      <c r="C9" s="280"/>
      <c r="D9" s="280"/>
      <c r="E9" s="280"/>
      <c r="F9" s="283"/>
      <c r="G9" s="281"/>
    </row>
    <row r="10" spans="1:19">
      <c r="A10" s="284" t="s">
        <v>696</v>
      </c>
    </row>
    <row r="11" spans="1:19" ht="15.75">
      <c r="A11"/>
      <c r="B11"/>
    </row>
    <row r="12" spans="1:19" ht="15.75">
      <c r="A12" s="874" t="s">
        <v>273</v>
      </c>
      <c r="B12" s="285" t="s">
        <v>298</v>
      </c>
      <c r="C12" s="286"/>
    </row>
    <row r="13" spans="1:19" ht="15.75">
      <c r="A13" s="874" t="s">
        <v>299</v>
      </c>
      <c r="B13" s="285" t="s">
        <v>298</v>
      </c>
      <c r="C13" s="286"/>
    </row>
    <row r="14" spans="1:19" ht="15.75">
      <c r="A14" s="874" t="s">
        <v>277</v>
      </c>
      <c r="B14" s="285" t="s">
        <v>279</v>
      </c>
      <c r="C14" s="286"/>
    </row>
    <row r="15" spans="1:19" ht="15.75">
      <c r="A15"/>
      <c r="B15"/>
      <c r="C15"/>
      <c r="D15"/>
      <c r="E15"/>
      <c r="F15"/>
      <c r="G15"/>
      <c r="H15"/>
      <c r="I15"/>
      <c r="J15"/>
    </row>
    <row r="16" spans="1:19" ht="15.75">
      <c r="A16" s="875" t="s">
        <v>300</v>
      </c>
      <c r="B16" s="870"/>
      <c r="C16" s="875" t="s">
        <v>272</v>
      </c>
      <c r="D16" s="287"/>
      <c r="E16" s="287"/>
      <c r="F16" s="287"/>
      <c r="G16" s="287"/>
      <c r="H16" s="287"/>
      <c r="I16" s="287"/>
      <c r="J16" s="288"/>
      <c r="K16"/>
      <c r="L16"/>
      <c r="M16"/>
      <c r="N16"/>
      <c r="O16"/>
      <c r="P16"/>
      <c r="Q16"/>
      <c r="R16"/>
      <c r="S16"/>
    </row>
    <row r="17" spans="1:107" ht="15.75">
      <c r="A17" s="875" t="s">
        <v>275</v>
      </c>
      <c r="B17" s="875" t="s">
        <v>301</v>
      </c>
      <c r="C17" s="871" t="s">
        <v>287</v>
      </c>
      <c r="D17" s="872" t="s">
        <v>20</v>
      </c>
      <c r="E17" s="872" t="s">
        <v>21</v>
      </c>
      <c r="F17" s="872" t="s">
        <v>22</v>
      </c>
      <c r="G17" s="872" t="s">
        <v>23</v>
      </c>
      <c r="H17" s="872" t="s">
        <v>24</v>
      </c>
      <c r="I17" s="872" t="s">
        <v>25</v>
      </c>
      <c r="J17" s="873" t="s">
        <v>619</v>
      </c>
      <c r="K17"/>
      <c r="L17"/>
      <c r="M17"/>
      <c r="N17"/>
      <c r="O17"/>
      <c r="P17"/>
      <c r="Q17"/>
      <c r="R17"/>
      <c r="S17"/>
    </row>
    <row r="18" spans="1:107" ht="15.75">
      <c r="A18" s="289" t="s">
        <v>292</v>
      </c>
      <c r="B18" s="289" t="s">
        <v>302</v>
      </c>
      <c r="C18" s="290">
        <v>50603.884999994109</v>
      </c>
      <c r="D18" s="291">
        <v>43582.103000000105</v>
      </c>
      <c r="E18" s="291">
        <v>40880.81949654637</v>
      </c>
      <c r="F18" s="291">
        <v>42509.213399999993</v>
      </c>
      <c r="G18" s="291">
        <v>43039.583000000013</v>
      </c>
      <c r="H18" s="291">
        <v>42815.077999999994</v>
      </c>
      <c r="I18" s="291">
        <v>42788.734700000008</v>
      </c>
      <c r="J18" s="292">
        <v>43034.114700000006</v>
      </c>
      <c r="K18"/>
      <c r="L18"/>
      <c r="M18"/>
      <c r="N18"/>
      <c r="O18"/>
      <c r="P18"/>
      <c r="Q18"/>
      <c r="R18"/>
      <c r="S18"/>
    </row>
    <row r="19" spans="1:107" ht="15.75">
      <c r="A19" s="289" t="s">
        <v>303</v>
      </c>
      <c r="B19" s="287"/>
      <c r="C19" s="290">
        <v>50603.884999994109</v>
      </c>
      <c r="D19" s="291">
        <v>43582.103000000105</v>
      </c>
      <c r="E19" s="291">
        <v>40880.81949654637</v>
      </c>
      <c r="F19" s="291">
        <v>42509.213399999993</v>
      </c>
      <c r="G19" s="291">
        <v>43039.583000000013</v>
      </c>
      <c r="H19" s="291">
        <v>42815.077999999994</v>
      </c>
      <c r="I19" s="291">
        <v>42788.734700000008</v>
      </c>
      <c r="J19" s="292">
        <v>43034.114700000006</v>
      </c>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row>
    <row r="20" spans="1:107" ht="15.75">
      <c r="A20" s="863" t="s">
        <v>304</v>
      </c>
      <c r="B20" s="864"/>
      <c r="C20" s="865">
        <v>50603.884999994109</v>
      </c>
      <c r="D20" s="866">
        <v>43582.103000000105</v>
      </c>
      <c r="E20" s="866">
        <v>40880.81949654637</v>
      </c>
      <c r="F20" s="866">
        <v>42509.213399999993</v>
      </c>
      <c r="G20" s="866">
        <v>43039.583000000013</v>
      </c>
      <c r="H20" s="866">
        <v>42815.077999999994</v>
      </c>
      <c r="I20" s="866">
        <v>42788.734700000008</v>
      </c>
      <c r="J20" s="867">
        <v>43034.114700000006</v>
      </c>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row>
    <row r="21" spans="1:107" ht="15.75">
      <c r="A21"/>
      <c r="B21"/>
      <c r="C21"/>
      <c r="D21"/>
      <c r="E21"/>
      <c r="F21" s="265">
        <f>F20/E20-1</f>
        <v>3.983271185625803E-2</v>
      </c>
      <c r="G21" s="265">
        <f t="shared" ref="G21:J21" si="0">G20/F20-1</f>
        <v>1.2476579959487477E-2</v>
      </c>
      <c r="H21" s="265">
        <f t="shared" si="0"/>
        <v>-5.2162447763497433E-3</v>
      </c>
      <c r="I21" s="265">
        <f t="shared" si="0"/>
        <v>-6.1528090641305155E-4</v>
      </c>
      <c r="J21" s="265">
        <f t="shared" si="0"/>
        <v>5.7346869852639148E-3</v>
      </c>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row>
    <row r="22" spans="1:107" ht="15.75">
      <c r="A22"/>
      <c r="B22"/>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row>
    <row r="23" spans="1:107" ht="15.75">
      <c r="A23"/>
      <c r="B23"/>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row>
    <row r="24" spans="1:107" ht="15.75">
      <c r="A24"/>
      <c r="B24"/>
      <c r="C24" s="871" t="s">
        <v>287</v>
      </c>
      <c r="D24" s="872" t="s">
        <v>20</v>
      </c>
      <c r="E24" s="872" t="s">
        <v>21</v>
      </c>
      <c r="F24" s="872" t="s">
        <v>22</v>
      </c>
      <c r="G24" s="872" t="s">
        <v>23</v>
      </c>
      <c r="H24" s="872" t="s">
        <v>24</v>
      </c>
      <c r="I24" s="872" t="s">
        <v>25</v>
      </c>
      <c r="J24" s="873" t="s">
        <v>619</v>
      </c>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row>
    <row r="25" spans="1:107" ht="15.75">
      <c r="A25"/>
      <c r="B25" t="s">
        <v>701</v>
      </c>
      <c r="C25" s="865">
        <v>240186.60156433799</v>
      </c>
      <c r="D25" s="866">
        <v>219000.70193926964</v>
      </c>
      <c r="E25" s="866">
        <v>215769.51939986649</v>
      </c>
      <c r="F25" s="866">
        <v>226235.64979999998</v>
      </c>
      <c r="G25" s="866">
        <v>235407.41890000002</v>
      </c>
      <c r="H25" s="866">
        <v>241104.56499999994</v>
      </c>
      <c r="I25" s="866">
        <v>244924.16519999996</v>
      </c>
      <c r="J25" s="867">
        <v>249167.85060000001</v>
      </c>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row>
    <row r="26" spans="1:107" ht="15.75">
      <c r="A26"/>
      <c r="B26"/>
      <c r="C26"/>
      <c r="D26"/>
      <c r="E26"/>
      <c r="F26" s="265">
        <f>F25/E25-1</f>
        <v>4.8506065311002322E-2</v>
      </c>
      <c r="G26" s="265">
        <f t="shared" ref="G26:J26" si="1">G25/F25-1</f>
        <v>4.0540777318288201E-2</v>
      </c>
      <c r="H26" s="265">
        <f t="shared" si="1"/>
        <v>2.4201217304965494E-2</v>
      </c>
      <c r="I26" s="265">
        <f t="shared" si="1"/>
        <v>1.584208992475955E-2</v>
      </c>
      <c r="J26" s="265">
        <f t="shared" si="1"/>
        <v>1.7326527974627304E-2</v>
      </c>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row>
    <row r="27" spans="1:107" ht="15.75">
      <c r="A27"/>
      <c r="B27"/>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row>
    <row r="28" spans="1:107" ht="15.75">
      <c r="A28"/>
      <c r="B28"/>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row>
    <row r="29" spans="1:107" ht="15.75">
      <c r="A29"/>
      <c r="B29"/>
      <c r="C29" s="871" t="s">
        <v>287</v>
      </c>
      <c r="D29" s="872" t="s">
        <v>20</v>
      </c>
      <c r="E29" s="872" t="s">
        <v>21</v>
      </c>
      <c r="F29" s="872" t="s">
        <v>22</v>
      </c>
      <c r="G29" s="872" t="s">
        <v>23</v>
      </c>
      <c r="H29" s="872" t="s">
        <v>24</v>
      </c>
      <c r="I29" s="872" t="s">
        <v>25</v>
      </c>
      <c r="J29" s="873" t="s">
        <v>619</v>
      </c>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row>
    <row r="30" spans="1:107" ht="15.75">
      <c r="A30"/>
      <c r="B30" t="s">
        <v>702</v>
      </c>
      <c r="C30" s="865">
        <v>194897.14345491558</v>
      </c>
      <c r="D30" s="866">
        <v>164602.86380028437</v>
      </c>
      <c r="E30" s="866">
        <v>149148.85004407517</v>
      </c>
      <c r="F30" s="866">
        <v>150799.64760874098</v>
      </c>
      <c r="G30" s="866">
        <v>148737.29809315136</v>
      </c>
      <c r="H30" s="866">
        <v>147003.54428366772</v>
      </c>
      <c r="I30" s="866">
        <v>144757.67077677394</v>
      </c>
      <c r="J30" s="867">
        <v>143970.73851469177</v>
      </c>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row>
    <row r="31" spans="1:107" ht="15.75">
      <c r="A31"/>
      <c r="B31"/>
      <c r="C31"/>
      <c r="D31"/>
      <c r="E31"/>
      <c r="F31" s="265">
        <f>F30/E30-1</f>
        <v>1.1068121304173451E-2</v>
      </c>
      <c r="G31" s="265">
        <f t="shared" ref="G31:J31" si="2">G30/F30-1</f>
        <v>-1.3676089754138698E-2</v>
      </c>
      <c r="H31" s="265">
        <f t="shared" si="2"/>
        <v>-1.1656483153255959E-2</v>
      </c>
      <c r="I31" s="265">
        <f t="shared" si="2"/>
        <v>-1.5277682710561069E-2</v>
      </c>
      <c r="J31" s="265">
        <f t="shared" si="2"/>
        <v>-5.4362042291746793E-3</v>
      </c>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row>
    <row r="32" spans="1:107" ht="15.75">
      <c r="A32"/>
      <c r="B32"/>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row>
    <row r="33" spans="1:38" ht="15.75">
      <c r="A33"/>
      <c r="B33"/>
      <c r="C33"/>
      <c r="D33"/>
      <c r="E33"/>
      <c r="F33"/>
      <c r="G33"/>
      <c r="H33"/>
      <c r="I33"/>
      <c r="J33"/>
      <c r="K33"/>
      <c r="L33"/>
      <c r="M33"/>
      <c r="N33"/>
      <c r="O33"/>
      <c r="P33"/>
      <c r="Q33"/>
      <c r="R33"/>
      <c r="S33"/>
      <c r="T33"/>
      <c r="U33"/>
      <c r="V33"/>
      <c r="W33"/>
      <c r="X33"/>
      <c r="Y33"/>
      <c r="Z33"/>
      <c r="AA33"/>
      <c r="AB33"/>
      <c r="AC33"/>
      <c r="AD33"/>
      <c r="AE33"/>
      <c r="AF33"/>
      <c r="AG33"/>
      <c r="AH33"/>
      <c r="AI33"/>
      <c r="AJ33"/>
      <c r="AK33"/>
      <c r="AL33"/>
    </row>
    <row r="34" spans="1:38" ht="15.75">
      <c r="A34"/>
      <c r="B34"/>
      <c r="C34"/>
      <c r="D34"/>
      <c r="E34"/>
      <c r="F34"/>
      <c r="G34"/>
      <c r="H34"/>
      <c r="I34"/>
      <c r="J34"/>
      <c r="K34"/>
      <c r="L34"/>
      <c r="M34"/>
      <c r="N34"/>
      <c r="O34"/>
      <c r="P34"/>
      <c r="Q34"/>
      <c r="R34"/>
      <c r="S34"/>
      <c r="T34"/>
      <c r="U34"/>
      <c r="V34"/>
      <c r="W34"/>
      <c r="X34"/>
      <c r="Y34"/>
      <c r="Z34"/>
      <c r="AA34"/>
      <c r="AB34"/>
      <c r="AC34"/>
      <c r="AD34"/>
      <c r="AE34"/>
      <c r="AF34"/>
      <c r="AG34"/>
      <c r="AH34"/>
      <c r="AI34"/>
      <c r="AJ34"/>
      <c r="AK34"/>
      <c r="AL34"/>
    </row>
    <row r="35" spans="1:38" ht="15.75">
      <c r="A35"/>
      <c r="B35"/>
      <c r="C35"/>
      <c r="D35"/>
      <c r="E35"/>
      <c r="F35"/>
      <c r="G35"/>
      <c r="H35"/>
      <c r="I35"/>
      <c r="J35"/>
      <c r="K35"/>
      <c r="L35"/>
      <c r="M35"/>
      <c r="N35"/>
      <c r="O35"/>
      <c r="P35"/>
      <c r="Q35"/>
      <c r="R35"/>
      <c r="S35"/>
      <c r="T35"/>
      <c r="U35"/>
      <c r="V35"/>
      <c r="W35"/>
      <c r="X35"/>
      <c r="Y35"/>
      <c r="Z35"/>
      <c r="AA35"/>
      <c r="AB35"/>
      <c r="AC35"/>
      <c r="AD35"/>
      <c r="AE35"/>
      <c r="AF35"/>
      <c r="AG35"/>
      <c r="AH35"/>
      <c r="AI35"/>
      <c r="AJ35"/>
      <c r="AK35"/>
      <c r="AL35"/>
    </row>
    <row r="36" spans="1:38" ht="15.75">
      <c r="A36"/>
      <c r="B36"/>
      <c r="C36"/>
      <c r="D36"/>
      <c r="E36"/>
      <c r="F36"/>
      <c r="G36"/>
      <c r="H36"/>
      <c r="I36"/>
      <c r="J36"/>
      <c r="K36"/>
      <c r="L36"/>
      <c r="M36"/>
      <c r="N36"/>
      <c r="O36"/>
      <c r="P36"/>
      <c r="Q36"/>
      <c r="R36"/>
      <c r="S36"/>
      <c r="T36"/>
      <c r="U36"/>
      <c r="V36"/>
      <c r="W36"/>
      <c r="X36"/>
      <c r="Y36"/>
      <c r="Z36"/>
      <c r="AA36"/>
      <c r="AB36"/>
      <c r="AC36"/>
      <c r="AD36"/>
      <c r="AE36"/>
      <c r="AF36"/>
      <c r="AG36"/>
      <c r="AH36"/>
      <c r="AI36"/>
      <c r="AJ36"/>
      <c r="AK36"/>
      <c r="AL36"/>
    </row>
    <row r="37" spans="1:38" ht="15.75">
      <c r="A37"/>
      <c r="B37"/>
      <c r="C37"/>
      <c r="D37"/>
      <c r="E37"/>
      <c r="F37"/>
      <c r="G37"/>
      <c r="H37"/>
      <c r="I37"/>
      <c r="J37"/>
      <c r="K37"/>
      <c r="L37"/>
      <c r="M37"/>
      <c r="N37"/>
      <c r="O37"/>
      <c r="P37"/>
      <c r="Q37"/>
      <c r="R37"/>
      <c r="S37"/>
      <c r="T37"/>
      <c r="U37"/>
      <c r="V37"/>
      <c r="W37"/>
      <c r="X37"/>
      <c r="Y37"/>
      <c r="Z37"/>
      <c r="AA37"/>
      <c r="AB37"/>
      <c r="AC37"/>
      <c r="AD37"/>
      <c r="AE37"/>
      <c r="AF37"/>
      <c r="AG37"/>
      <c r="AH37"/>
      <c r="AI37"/>
      <c r="AJ37"/>
      <c r="AK37"/>
      <c r="AL37"/>
    </row>
    <row r="38" spans="1:38" ht="15.75">
      <c r="A38"/>
      <c r="B38"/>
      <c r="C38"/>
      <c r="D38"/>
      <c r="E38"/>
      <c r="F38"/>
      <c r="G38"/>
      <c r="H38"/>
      <c r="I38"/>
      <c r="J38"/>
      <c r="K38"/>
      <c r="L38"/>
      <c r="M38"/>
      <c r="N38"/>
      <c r="O38"/>
      <c r="P38"/>
      <c r="Q38"/>
      <c r="R38"/>
      <c r="S38"/>
      <c r="T38"/>
      <c r="U38"/>
      <c r="V38"/>
      <c r="W38"/>
      <c r="X38"/>
      <c r="Y38"/>
      <c r="Z38"/>
      <c r="AA38"/>
      <c r="AB38"/>
      <c r="AC38"/>
      <c r="AD38"/>
      <c r="AE38"/>
      <c r="AF38"/>
      <c r="AG38"/>
      <c r="AH38"/>
      <c r="AI38"/>
      <c r="AJ38"/>
      <c r="AK38"/>
      <c r="AL38"/>
    </row>
    <row r="39" spans="1:38" ht="15.75">
      <c r="A39"/>
      <c r="B39"/>
      <c r="C39"/>
      <c r="D39"/>
      <c r="E39"/>
      <c r="F39"/>
      <c r="G39"/>
      <c r="H39"/>
      <c r="I39"/>
      <c r="J39"/>
      <c r="K39"/>
      <c r="L39"/>
      <c r="M39"/>
      <c r="N39"/>
      <c r="O39"/>
      <c r="P39"/>
      <c r="Q39"/>
      <c r="R39"/>
      <c r="S39"/>
      <c r="T39"/>
      <c r="U39"/>
      <c r="V39"/>
      <c r="W39"/>
      <c r="X39"/>
      <c r="Y39"/>
      <c r="Z39"/>
      <c r="AA39"/>
      <c r="AB39"/>
      <c r="AC39"/>
      <c r="AD39"/>
      <c r="AE39"/>
      <c r="AF39"/>
      <c r="AG39"/>
      <c r="AH39"/>
      <c r="AI39"/>
      <c r="AJ39"/>
      <c r="AK39"/>
      <c r="AL39"/>
    </row>
    <row r="40" spans="1:38" ht="15.75">
      <c r="A40"/>
      <c r="B40"/>
      <c r="C40"/>
      <c r="D40"/>
      <c r="E40"/>
      <c r="F40"/>
      <c r="G40"/>
      <c r="H40"/>
      <c r="I40"/>
      <c r="J40"/>
      <c r="K40"/>
      <c r="L40"/>
      <c r="M40"/>
      <c r="N40"/>
      <c r="O40"/>
      <c r="P40"/>
      <c r="Q40"/>
      <c r="R40"/>
      <c r="S40"/>
      <c r="T40"/>
      <c r="U40"/>
      <c r="V40"/>
      <c r="W40"/>
      <c r="X40"/>
      <c r="Y40"/>
      <c r="Z40"/>
      <c r="AA40"/>
      <c r="AB40"/>
      <c r="AC40"/>
      <c r="AD40"/>
      <c r="AE40"/>
      <c r="AF40"/>
      <c r="AG40"/>
      <c r="AH40"/>
      <c r="AI40"/>
      <c r="AJ40"/>
      <c r="AK40"/>
      <c r="AL40"/>
    </row>
    <row r="41" spans="1:38" ht="15.75">
      <c r="A41"/>
      <c r="B41"/>
      <c r="C41"/>
      <c r="D41"/>
      <c r="E41"/>
      <c r="F41"/>
      <c r="G41"/>
      <c r="H41"/>
      <c r="I41"/>
      <c r="J41"/>
      <c r="K41"/>
      <c r="L41"/>
      <c r="M41"/>
      <c r="N41"/>
      <c r="O41"/>
      <c r="P41"/>
      <c r="Q41"/>
      <c r="R41"/>
      <c r="S41"/>
      <c r="T41"/>
      <c r="U41"/>
      <c r="V41"/>
      <c r="W41"/>
      <c r="X41"/>
      <c r="Y41"/>
      <c r="Z41"/>
      <c r="AA41"/>
      <c r="AB41"/>
      <c r="AC41"/>
      <c r="AD41"/>
      <c r="AE41"/>
      <c r="AF41"/>
      <c r="AG41"/>
      <c r="AH41"/>
      <c r="AI41"/>
      <c r="AJ41"/>
      <c r="AK41"/>
      <c r="AL41"/>
    </row>
    <row r="42" spans="1:38" ht="15.75">
      <c r="A42"/>
      <c r="B42"/>
      <c r="C42"/>
      <c r="D42"/>
      <c r="E42"/>
      <c r="F42"/>
      <c r="G42"/>
      <c r="H42"/>
      <c r="I42"/>
      <c r="J42"/>
      <c r="K42"/>
      <c r="L42"/>
      <c r="M42"/>
      <c r="N42"/>
      <c r="O42"/>
      <c r="P42"/>
      <c r="Q42"/>
      <c r="R42"/>
      <c r="S42"/>
      <c r="T42"/>
      <c r="U42"/>
      <c r="V42"/>
      <c r="W42"/>
      <c r="X42"/>
      <c r="Y42"/>
      <c r="Z42"/>
      <c r="AA42"/>
      <c r="AB42"/>
      <c r="AC42"/>
      <c r="AD42"/>
      <c r="AE42"/>
      <c r="AF42"/>
      <c r="AG42"/>
      <c r="AH42"/>
      <c r="AI42"/>
      <c r="AJ42"/>
      <c r="AK42"/>
      <c r="AL42"/>
    </row>
    <row r="43" spans="1:38" ht="15.75">
      <c r="A43"/>
      <c r="B43"/>
      <c r="C43"/>
      <c r="D43"/>
      <c r="E43"/>
      <c r="F43"/>
      <c r="G43"/>
      <c r="H43"/>
      <c r="I43"/>
      <c r="J43"/>
      <c r="K43"/>
      <c r="L43"/>
      <c r="M43"/>
      <c r="N43"/>
      <c r="O43"/>
      <c r="P43"/>
      <c r="Q43"/>
      <c r="R43"/>
      <c r="S43"/>
      <c r="T43"/>
      <c r="U43"/>
      <c r="V43"/>
      <c r="W43"/>
      <c r="X43"/>
      <c r="Y43"/>
      <c r="Z43"/>
      <c r="AA43"/>
      <c r="AB43"/>
      <c r="AC43"/>
      <c r="AD43"/>
      <c r="AE43"/>
      <c r="AF43"/>
      <c r="AG43"/>
      <c r="AH43"/>
      <c r="AI43"/>
      <c r="AJ43"/>
      <c r="AK43"/>
      <c r="AL43"/>
    </row>
    <row r="44" spans="1:38" ht="15.75">
      <c r="A44"/>
      <c r="B44"/>
      <c r="C44"/>
      <c r="D44"/>
      <c r="E44"/>
      <c r="F44"/>
      <c r="G44"/>
      <c r="H44"/>
      <c r="I44"/>
      <c r="J44"/>
      <c r="K44"/>
      <c r="L44"/>
      <c r="M44"/>
      <c r="N44"/>
      <c r="O44"/>
      <c r="P44"/>
      <c r="Q44"/>
      <c r="R44"/>
      <c r="S44"/>
      <c r="T44"/>
      <c r="U44"/>
      <c r="V44"/>
      <c r="W44"/>
      <c r="X44"/>
      <c r="Y44"/>
      <c r="Z44"/>
      <c r="AA44"/>
      <c r="AB44"/>
      <c r="AC44"/>
      <c r="AD44"/>
      <c r="AE44"/>
      <c r="AF44"/>
      <c r="AG44"/>
      <c r="AH44"/>
      <c r="AI44"/>
      <c r="AJ44"/>
      <c r="AK44"/>
      <c r="AL44"/>
    </row>
    <row r="45" spans="1:38" ht="15.75">
      <c r="A45"/>
      <c r="B45"/>
      <c r="C45"/>
      <c r="D45"/>
      <c r="E45"/>
      <c r="F45"/>
      <c r="G45"/>
      <c r="H45"/>
      <c r="I45"/>
      <c r="J45"/>
      <c r="K45"/>
      <c r="L45"/>
      <c r="M45"/>
      <c r="N45"/>
      <c r="O45"/>
      <c r="P45"/>
      <c r="Q45"/>
      <c r="R45"/>
      <c r="S45"/>
      <c r="T45"/>
      <c r="U45"/>
      <c r="V45"/>
      <c r="W45"/>
      <c r="X45"/>
      <c r="Y45"/>
      <c r="Z45"/>
      <c r="AA45"/>
      <c r="AB45"/>
      <c r="AC45"/>
      <c r="AD45"/>
      <c r="AE45"/>
      <c r="AF45"/>
      <c r="AG45"/>
      <c r="AH45"/>
      <c r="AI45"/>
      <c r="AJ45"/>
      <c r="AK45"/>
      <c r="AL45"/>
    </row>
    <row r="46" spans="1:38" ht="15.75">
      <c r="A46"/>
      <c r="B46"/>
      <c r="C46"/>
      <c r="D46"/>
      <c r="E46"/>
      <c r="F46"/>
      <c r="G46"/>
      <c r="H46"/>
      <c r="I46"/>
      <c r="J46"/>
      <c r="K46"/>
      <c r="L46"/>
      <c r="M46"/>
      <c r="N46"/>
      <c r="O46"/>
      <c r="P46"/>
      <c r="Q46"/>
      <c r="R46"/>
      <c r="S46"/>
      <c r="T46"/>
      <c r="U46"/>
      <c r="V46"/>
      <c r="W46"/>
      <c r="X46"/>
      <c r="Y46"/>
      <c r="Z46"/>
      <c r="AA46"/>
      <c r="AB46"/>
      <c r="AC46"/>
      <c r="AD46"/>
      <c r="AE46"/>
      <c r="AF46"/>
      <c r="AG46"/>
      <c r="AH46"/>
      <c r="AI46"/>
      <c r="AJ46"/>
      <c r="AK46"/>
      <c r="AL46"/>
    </row>
    <row r="47" spans="1:38" ht="15.75">
      <c r="A47"/>
      <c r="B47"/>
      <c r="C47"/>
      <c r="D47"/>
      <c r="E47"/>
      <c r="F47"/>
      <c r="G47"/>
      <c r="H47"/>
      <c r="I47"/>
      <c r="J47"/>
      <c r="K47"/>
      <c r="L47"/>
      <c r="M47"/>
      <c r="N47"/>
      <c r="O47"/>
      <c r="P47"/>
      <c r="Q47"/>
      <c r="R47"/>
      <c r="S47"/>
      <c r="T47"/>
      <c r="U47"/>
      <c r="V47"/>
      <c r="W47"/>
      <c r="X47"/>
      <c r="Y47"/>
      <c r="Z47"/>
      <c r="AA47"/>
      <c r="AB47"/>
      <c r="AC47"/>
      <c r="AD47"/>
      <c r="AE47"/>
      <c r="AF47"/>
      <c r="AG47"/>
      <c r="AH47"/>
      <c r="AI47"/>
      <c r="AJ47"/>
      <c r="AK47"/>
      <c r="AL47"/>
    </row>
    <row r="48" spans="1:38" ht="15.75">
      <c r="A48"/>
      <c r="B48"/>
      <c r="C48"/>
      <c r="D48"/>
      <c r="E48"/>
      <c r="F48"/>
      <c r="G48"/>
      <c r="H48"/>
      <c r="I48"/>
      <c r="J48"/>
      <c r="K48"/>
      <c r="L48"/>
      <c r="M48"/>
      <c r="N48"/>
      <c r="O48"/>
      <c r="P48"/>
      <c r="Q48"/>
      <c r="R48"/>
      <c r="S48"/>
      <c r="T48"/>
      <c r="U48"/>
      <c r="V48"/>
      <c r="W48"/>
      <c r="X48"/>
      <c r="Y48"/>
      <c r="Z48"/>
      <c r="AA48"/>
      <c r="AB48"/>
      <c r="AC48"/>
      <c r="AD48"/>
      <c r="AE48"/>
      <c r="AF48"/>
      <c r="AG48"/>
      <c r="AH48"/>
      <c r="AI48"/>
      <c r="AJ48"/>
      <c r="AK48"/>
      <c r="AL48"/>
    </row>
    <row r="49" spans="1:38" ht="15.75">
      <c r="A49"/>
      <c r="B49"/>
      <c r="C49"/>
      <c r="D49"/>
      <c r="E49"/>
      <c r="F49"/>
      <c r="G49"/>
      <c r="H49"/>
      <c r="I49"/>
      <c r="J49"/>
      <c r="K49"/>
      <c r="L49"/>
      <c r="M49"/>
      <c r="N49"/>
      <c r="O49"/>
      <c r="P49"/>
      <c r="Q49"/>
      <c r="R49"/>
      <c r="S49"/>
      <c r="T49"/>
      <c r="U49"/>
      <c r="V49"/>
      <c r="W49"/>
      <c r="X49"/>
      <c r="Y49"/>
      <c r="Z49"/>
      <c r="AA49"/>
      <c r="AB49"/>
      <c r="AC49"/>
      <c r="AD49"/>
      <c r="AE49"/>
      <c r="AF49"/>
      <c r="AG49"/>
      <c r="AH49"/>
      <c r="AI49"/>
      <c r="AJ49"/>
      <c r="AK49"/>
      <c r="AL49"/>
    </row>
    <row r="50" spans="1:38" ht="15.75">
      <c r="A50"/>
      <c r="B50"/>
      <c r="C50"/>
      <c r="D50"/>
      <c r="E50"/>
      <c r="F50"/>
      <c r="G50"/>
      <c r="H50"/>
      <c r="I50"/>
      <c r="J50"/>
      <c r="K50"/>
      <c r="L50"/>
      <c r="M50"/>
      <c r="N50"/>
      <c r="O50"/>
      <c r="P50"/>
      <c r="Q50"/>
      <c r="R50"/>
      <c r="S50"/>
      <c r="T50"/>
      <c r="U50"/>
      <c r="V50"/>
      <c r="W50"/>
      <c r="X50"/>
      <c r="Y50"/>
      <c r="Z50"/>
      <c r="AA50"/>
      <c r="AB50"/>
      <c r="AC50"/>
      <c r="AD50"/>
      <c r="AE50"/>
      <c r="AF50"/>
      <c r="AG50"/>
      <c r="AH50"/>
      <c r="AI50"/>
      <c r="AJ50"/>
      <c r="AK50"/>
      <c r="AL50"/>
    </row>
    <row r="51" spans="1:38" ht="15.75">
      <c r="A51"/>
      <c r="B51"/>
      <c r="C51"/>
      <c r="D51"/>
      <c r="E51"/>
      <c r="F51"/>
      <c r="G51"/>
      <c r="H51"/>
      <c r="I51"/>
      <c r="J51"/>
      <c r="K51"/>
      <c r="L51"/>
      <c r="M51"/>
      <c r="N51"/>
      <c r="O51"/>
      <c r="P51"/>
      <c r="Q51"/>
      <c r="R51"/>
      <c r="S51"/>
      <c r="T51"/>
      <c r="U51"/>
      <c r="V51"/>
      <c r="W51"/>
      <c r="X51"/>
      <c r="Y51"/>
      <c r="Z51"/>
      <c r="AA51"/>
      <c r="AB51"/>
      <c r="AC51"/>
      <c r="AD51"/>
      <c r="AE51"/>
      <c r="AF51"/>
      <c r="AG51"/>
      <c r="AH51"/>
      <c r="AI51"/>
      <c r="AJ51"/>
      <c r="AK51"/>
      <c r="AL51"/>
    </row>
    <row r="52" spans="1:38" ht="15.75">
      <c r="A52"/>
      <c r="B52"/>
      <c r="C52"/>
      <c r="D52"/>
      <c r="E52"/>
      <c r="F52"/>
      <c r="G52"/>
      <c r="H52"/>
      <c r="I52"/>
      <c r="J52"/>
      <c r="K52"/>
      <c r="L52"/>
      <c r="M52"/>
      <c r="N52"/>
      <c r="O52"/>
      <c r="P52"/>
      <c r="Q52"/>
      <c r="R52"/>
      <c r="S52"/>
      <c r="T52"/>
      <c r="U52"/>
      <c r="V52"/>
      <c r="W52"/>
      <c r="X52"/>
      <c r="Y52"/>
      <c r="Z52"/>
      <c r="AA52"/>
      <c r="AB52"/>
      <c r="AC52"/>
      <c r="AD52"/>
      <c r="AE52"/>
      <c r="AF52"/>
      <c r="AG52"/>
      <c r="AH52"/>
      <c r="AI52"/>
      <c r="AJ52"/>
      <c r="AK52"/>
    </row>
    <row r="53" spans="1:38" ht="15.75">
      <c r="A53"/>
      <c r="B53"/>
      <c r="C53"/>
      <c r="D53"/>
      <c r="E53"/>
      <c r="F53"/>
      <c r="G53"/>
      <c r="H53"/>
      <c r="I53"/>
      <c r="J53"/>
      <c r="K53"/>
      <c r="L53"/>
      <c r="M53"/>
      <c r="N53"/>
      <c r="O53"/>
      <c r="P53"/>
      <c r="Q53"/>
      <c r="R53"/>
      <c r="S53"/>
      <c r="T53"/>
      <c r="U53"/>
      <c r="V53"/>
      <c r="W53"/>
      <c r="X53"/>
      <c r="Y53"/>
      <c r="Z53"/>
      <c r="AA53"/>
      <c r="AB53"/>
      <c r="AC53"/>
      <c r="AD53"/>
      <c r="AE53"/>
      <c r="AF53"/>
      <c r="AG53"/>
      <c r="AH53"/>
      <c r="AI53"/>
      <c r="AJ53"/>
      <c r="AK53"/>
    </row>
    <row r="54" spans="1:38" ht="15.75">
      <c r="A54"/>
      <c r="B54"/>
      <c r="C54"/>
      <c r="D54"/>
      <c r="E54"/>
      <c r="F54"/>
      <c r="G54"/>
      <c r="H54"/>
      <c r="I54"/>
      <c r="J54"/>
      <c r="K54"/>
      <c r="L54"/>
      <c r="M54"/>
      <c r="N54"/>
      <c r="O54"/>
      <c r="P54"/>
      <c r="Q54"/>
      <c r="R54"/>
      <c r="S54"/>
      <c r="T54"/>
      <c r="U54"/>
      <c r="V54"/>
      <c r="W54"/>
      <c r="X54"/>
      <c r="Y54"/>
      <c r="Z54"/>
      <c r="AA54"/>
      <c r="AB54"/>
      <c r="AC54"/>
      <c r="AD54"/>
      <c r="AE54"/>
      <c r="AF54"/>
      <c r="AG54"/>
      <c r="AH54"/>
      <c r="AI54"/>
      <c r="AJ54"/>
      <c r="AK54"/>
    </row>
    <row r="55" spans="1:38" ht="15.75">
      <c r="A55"/>
      <c r="B55"/>
      <c r="C55"/>
      <c r="D55"/>
      <c r="E55"/>
      <c r="F55"/>
      <c r="G55"/>
      <c r="H55"/>
      <c r="I55"/>
      <c r="J55"/>
      <c r="K55"/>
      <c r="L55"/>
      <c r="M55"/>
      <c r="N55"/>
      <c r="O55"/>
      <c r="P55"/>
      <c r="Q55"/>
      <c r="R55"/>
      <c r="S55"/>
      <c r="T55"/>
      <c r="U55"/>
      <c r="V55"/>
      <c r="W55"/>
      <c r="X55"/>
      <c r="Y55"/>
      <c r="Z55"/>
      <c r="AA55"/>
      <c r="AB55"/>
      <c r="AC55"/>
      <c r="AD55"/>
      <c r="AE55"/>
      <c r="AF55"/>
      <c r="AG55"/>
      <c r="AH55"/>
      <c r="AI55"/>
      <c r="AJ55"/>
      <c r="AK55"/>
    </row>
    <row r="56" spans="1:38" ht="15.75">
      <c r="A56"/>
      <c r="B56"/>
      <c r="C56"/>
      <c r="D56"/>
      <c r="E56"/>
      <c r="F56"/>
      <c r="G56"/>
      <c r="H56"/>
      <c r="I56"/>
      <c r="J56"/>
      <c r="K56"/>
      <c r="L56"/>
      <c r="M56"/>
      <c r="N56"/>
      <c r="O56"/>
      <c r="P56"/>
      <c r="Q56"/>
      <c r="R56"/>
      <c r="S56"/>
      <c r="T56"/>
      <c r="U56"/>
      <c r="V56"/>
      <c r="W56"/>
      <c r="X56"/>
      <c r="Y56"/>
      <c r="Z56"/>
      <c r="AA56"/>
      <c r="AB56"/>
      <c r="AC56"/>
      <c r="AD56"/>
      <c r="AE56"/>
      <c r="AF56"/>
      <c r="AG56"/>
      <c r="AH56"/>
      <c r="AI56"/>
      <c r="AJ56"/>
      <c r="AK56"/>
    </row>
    <row r="57" spans="1:38" ht="15.75">
      <c r="A57"/>
      <c r="B57"/>
      <c r="C57"/>
      <c r="D57"/>
      <c r="E57"/>
      <c r="F57"/>
      <c r="G57"/>
      <c r="H57"/>
      <c r="I57"/>
      <c r="J57"/>
      <c r="K57"/>
      <c r="L57"/>
      <c r="M57"/>
      <c r="N57"/>
      <c r="O57"/>
      <c r="P57"/>
      <c r="Q57"/>
      <c r="R57"/>
      <c r="S57"/>
      <c r="T57"/>
      <c r="U57"/>
      <c r="V57"/>
      <c r="W57"/>
      <c r="X57"/>
      <c r="Y57"/>
      <c r="Z57"/>
      <c r="AA57"/>
      <c r="AB57"/>
      <c r="AC57"/>
      <c r="AD57"/>
      <c r="AE57"/>
      <c r="AF57"/>
      <c r="AG57"/>
      <c r="AH57"/>
      <c r="AI57"/>
      <c r="AJ57"/>
      <c r="AK57"/>
    </row>
    <row r="58" spans="1:38" ht="15.75">
      <c r="A58"/>
      <c r="B58"/>
      <c r="C58"/>
      <c r="D58"/>
      <c r="E58"/>
      <c r="F58"/>
      <c r="G58"/>
      <c r="H58"/>
      <c r="I58"/>
      <c r="J58"/>
      <c r="K58"/>
      <c r="L58"/>
      <c r="M58"/>
      <c r="N58"/>
      <c r="O58"/>
      <c r="P58"/>
      <c r="Q58"/>
      <c r="R58"/>
      <c r="S58"/>
    </row>
    <row r="59" spans="1:38" ht="15.75">
      <c r="A59"/>
      <c r="B59"/>
      <c r="C59"/>
      <c r="D59"/>
      <c r="E59"/>
      <c r="F59"/>
      <c r="G59"/>
      <c r="H59"/>
      <c r="I59"/>
      <c r="J59"/>
      <c r="K59"/>
      <c r="L59"/>
      <c r="M59"/>
      <c r="N59"/>
      <c r="O59"/>
      <c r="P59"/>
      <c r="Q59"/>
      <c r="R59"/>
      <c r="S59"/>
    </row>
    <row r="60" spans="1:38" ht="15.75">
      <c r="A60"/>
      <c r="B60"/>
      <c r="C60"/>
      <c r="D60"/>
      <c r="E60"/>
      <c r="F60"/>
      <c r="G60"/>
      <c r="H60"/>
      <c r="I60"/>
      <c r="J60"/>
      <c r="K60"/>
      <c r="L60"/>
      <c r="M60"/>
      <c r="N60"/>
      <c r="O60"/>
      <c r="P60"/>
      <c r="Q60"/>
      <c r="R60"/>
      <c r="S60"/>
    </row>
    <row r="61" spans="1:38" ht="15.75">
      <c r="A61"/>
      <c r="B61"/>
      <c r="C61"/>
      <c r="D61"/>
      <c r="E61"/>
      <c r="F61"/>
      <c r="G61"/>
      <c r="H61"/>
      <c r="I61"/>
      <c r="J61"/>
      <c r="K61"/>
      <c r="L61"/>
      <c r="M61"/>
      <c r="N61"/>
      <c r="O61"/>
      <c r="P61"/>
      <c r="Q61"/>
      <c r="R61"/>
      <c r="S61"/>
    </row>
    <row r="62" spans="1:38" ht="15.75">
      <c r="A62"/>
      <c r="B62"/>
      <c r="C62"/>
      <c r="D62"/>
      <c r="E62"/>
      <c r="F62"/>
      <c r="G62"/>
      <c r="H62"/>
      <c r="I62"/>
      <c r="J62"/>
      <c r="K62"/>
      <c r="L62"/>
      <c r="M62"/>
      <c r="N62"/>
      <c r="O62"/>
      <c r="P62"/>
      <c r="Q62"/>
      <c r="R62"/>
      <c r="S62"/>
    </row>
    <row r="63" spans="1:38" ht="15.75">
      <c r="A63"/>
      <c r="B63"/>
      <c r="C63"/>
      <c r="D63"/>
      <c r="E63"/>
      <c r="F63"/>
      <c r="G63"/>
      <c r="H63"/>
      <c r="I63"/>
      <c r="J63"/>
      <c r="K63"/>
      <c r="L63"/>
      <c r="M63"/>
      <c r="N63"/>
      <c r="O63"/>
      <c r="P63"/>
      <c r="Q63"/>
      <c r="R63"/>
      <c r="S63"/>
    </row>
    <row r="64" spans="1:38" ht="15.75">
      <c r="A64"/>
      <c r="B64"/>
      <c r="C64"/>
      <c r="D64"/>
      <c r="E64"/>
      <c r="F64"/>
      <c r="G64"/>
      <c r="H64"/>
      <c r="I64"/>
      <c r="J64"/>
      <c r="K64"/>
      <c r="L64"/>
      <c r="M64"/>
      <c r="N64"/>
      <c r="O64"/>
      <c r="P64"/>
      <c r="Q64"/>
      <c r="R64"/>
      <c r="S64"/>
    </row>
    <row r="65" spans="1:19" ht="15.75">
      <c r="A65"/>
      <c r="B65"/>
      <c r="C65"/>
      <c r="D65"/>
      <c r="E65"/>
      <c r="F65"/>
      <c r="G65"/>
      <c r="H65"/>
      <c r="I65"/>
      <c r="J65"/>
      <c r="K65"/>
      <c r="L65"/>
      <c r="M65"/>
      <c r="N65"/>
      <c r="O65"/>
      <c r="P65"/>
      <c r="Q65"/>
      <c r="R65"/>
      <c r="S65"/>
    </row>
    <row r="66" spans="1:19" ht="15.75">
      <c r="A66"/>
      <c r="B66"/>
      <c r="C66"/>
      <c r="D66"/>
      <c r="E66"/>
      <c r="F66"/>
      <c r="G66"/>
      <c r="H66"/>
      <c r="I66"/>
      <c r="J66"/>
      <c r="K66"/>
      <c r="L66"/>
      <c r="M66"/>
      <c r="N66"/>
      <c r="O66"/>
      <c r="P66"/>
      <c r="Q66"/>
      <c r="R66"/>
      <c r="S66"/>
    </row>
    <row r="67" spans="1:19" ht="15.75">
      <c r="A67"/>
      <c r="B67"/>
      <c r="C67"/>
      <c r="D67"/>
      <c r="E67"/>
      <c r="F67"/>
      <c r="G67"/>
      <c r="H67"/>
      <c r="I67"/>
      <c r="J67"/>
      <c r="K67"/>
      <c r="L67"/>
      <c r="M67"/>
      <c r="N67"/>
      <c r="O67"/>
      <c r="P67"/>
      <c r="Q67"/>
      <c r="R67"/>
      <c r="S67"/>
    </row>
    <row r="68" spans="1:19" ht="15.75">
      <c r="A68"/>
      <c r="B68"/>
      <c r="C68"/>
      <c r="D68"/>
      <c r="E68"/>
      <c r="F68"/>
      <c r="G68"/>
      <c r="H68"/>
      <c r="I68"/>
      <c r="J68"/>
      <c r="K68"/>
      <c r="L68"/>
      <c r="M68"/>
      <c r="N68"/>
      <c r="O68"/>
      <c r="P68"/>
      <c r="Q68"/>
      <c r="R68"/>
      <c r="S68"/>
    </row>
    <row r="69" spans="1:19" ht="15.75">
      <c r="A69"/>
      <c r="B69"/>
      <c r="C69"/>
      <c r="D69"/>
      <c r="E69"/>
      <c r="F69"/>
      <c r="G69"/>
      <c r="H69"/>
      <c r="I69"/>
      <c r="J69"/>
      <c r="K69"/>
      <c r="L69"/>
      <c r="M69"/>
      <c r="N69"/>
      <c r="O69"/>
      <c r="P69"/>
      <c r="Q69"/>
      <c r="R69"/>
      <c r="S69"/>
    </row>
    <row r="70" spans="1:19" ht="15.75">
      <c r="A70"/>
      <c r="B70"/>
      <c r="C70"/>
      <c r="D70"/>
      <c r="E70"/>
      <c r="F70"/>
      <c r="G70"/>
      <c r="H70"/>
      <c r="I70"/>
      <c r="J70"/>
      <c r="K70"/>
      <c r="L70"/>
      <c r="M70"/>
      <c r="N70"/>
      <c r="O70"/>
      <c r="P70"/>
      <c r="Q70"/>
      <c r="R70"/>
      <c r="S70"/>
    </row>
    <row r="71" spans="1:19" ht="15.75">
      <c r="A71"/>
      <c r="B71"/>
      <c r="C71"/>
      <c r="D71"/>
      <c r="E71"/>
      <c r="F71"/>
      <c r="G71"/>
      <c r="H71"/>
      <c r="I71"/>
      <c r="J71"/>
      <c r="K71"/>
      <c r="L71"/>
      <c r="M71"/>
      <c r="N71"/>
      <c r="O71"/>
      <c r="P71"/>
      <c r="Q71"/>
      <c r="R71"/>
      <c r="S71"/>
    </row>
    <row r="72" spans="1:19" ht="15.75">
      <c r="A72"/>
      <c r="B72"/>
      <c r="C72"/>
      <c r="D72"/>
      <c r="E72"/>
      <c r="F72"/>
      <c r="G72"/>
      <c r="H72"/>
      <c r="I72"/>
      <c r="J72"/>
      <c r="K72"/>
      <c r="L72"/>
      <c r="M72"/>
      <c r="N72"/>
      <c r="O72"/>
      <c r="P72"/>
      <c r="Q72"/>
      <c r="R72"/>
      <c r="S72"/>
    </row>
    <row r="73" spans="1:19" ht="15.75">
      <c r="A73"/>
      <c r="B73"/>
      <c r="C73"/>
      <c r="D73"/>
      <c r="E73"/>
      <c r="F73"/>
      <c r="G73"/>
      <c r="H73"/>
      <c r="I73"/>
      <c r="J73"/>
      <c r="K73"/>
      <c r="L73"/>
      <c r="M73"/>
      <c r="N73"/>
      <c r="O73"/>
      <c r="P73"/>
      <c r="Q73"/>
      <c r="R73"/>
      <c r="S73"/>
    </row>
    <row r="74" spans="1:19" ht="15.75">
      <c r="A74"/>
      <c r="B74"/>
      <c r="C74"/>
      <c r="D74"/>
      <c r="E74"/>
      <c r="F74"/>
      <c r="G74"/>
      <c r="H74"/>
      <c r="I74"/>
      <c r="J74"/>
      <c r="K74"/>
      <c r="L74"/>
      <c r="M74"/>
      <c r="N74"/>
      <c r="O74"/>
      <c r="P74"/>
      <c r="Q74"/>
      <c r="R74"/>
      <c r="S74"/>
    </row>
    <row r="75" spans="1:19" ht="15.75">
      <c r="A75"/>
      <c r="B75"/>
      <c r="C75"/>
      <c r="D75"/>
      <c r="E75"/>
      <c r="F75"/>
      <c r="G75"/>
      <c r="H75"/>
      <c r="I75"/>
      <c r="J75"/>
      <c r="K75"/>
      <c r="L75"/>
      <c r="M75"/>
      <c r="N75"/>
      <c r="O75"/>
      <c r="P75"/>
      <c r="Q75"/>
      <c r="R75"/>
      <c r="S75"/>
    </row>
    <row r="76" spans="1:19" ht="15.75">
      <c r="A76"/>
      <c r="B76"/>
      <c r="C76"/>
      <c r="D76"/>
      <c r="E76"/>
      <c r="F76"/>
      <c r="G76"/>
      <c r="H76"/>
      <c r="I76"/>
      <c r="J76"/>
      <c r="K76"/>
      <c r="L76"/>
      <c r="M76"/>
      <c r="N76"/>
      <c r="O76"/>
      <c r="P76"/>
      <c r="Q76"/>
      <c r="R76"/>
      <c r="S76"/>
    </row>
    <row r="77" spans="1:19" ht="15.75">
      <c r="A77"/>
      <c r="B77"/>
      <c r="C77"/>
      <c r="D77"/>
      <c r="E77"/>
      <c r="F77"/>
      <c r="G77"/>
      <c r="H77"/>
      <c r="I77"/>
      <c r="J77"/>
      <c r="K77"/>
      <c r="L77"/>
      <c r="M77"/>
      <c r="N77"/>
      <c r="O77"/>
      <c r="P77"/>
      <c r="Q77"/>
      <c r="R77"/>
      <c r="S77"/>
    </row>
    <row r="78" spans="1:19" ht="15.75">
      <c r="A78"/>
      <c r="B78"/>
      <c r="C78"/>
      <c r="D78"/>
      <c r="E78"/>
      <c r="F78"/>
      <c r="G78"/>
      <c r="H78"/>
      <c r="I78"/>
      <c r="J78"/>
      <c r="K78"/>
      <c r="L78"/>
      <c r="M78"/>
      <c r="N78"/>
      <c r="O78"/>
      <c r="P78"/>
      <c r="Q78"/>
      <c r="R78"/>
      <c r="S78"/>
    </row>
    <row r="79" spans="1:19" ht="15.75">
      <c r="A79"/>
      <c r="B79"/>
      <c r="C79"/>
      <c r="D79"/>
      <c r="E79"/>
      <c r="F79"/>
      <c r="G79"/>
      <c r="H79"/>
      <c r="I79"/>
      <c r="J79"/>
      <c r="K79"/>
      <c r="L79"/>
      <c r="M79"/>
      <c r="N79"/>
      <c r="O79"/>
      <c r="P79"/>
      <c r="Q79"/>
      <c r="R79"/>
      <c r="S79"/>
    </row>
    <row r="80" spans="1:19" ht="15.75">
      <c r="A80"/>
      <c r="B80"/>
      <c r="C80"/>
      <c r="D80"/>
      <c r="E80"/>
      <c r="F80"/>
      <c r="G80"/>
      <c r="H80"/>
      <c r="I80"/>
      <c r="J80"/>
      <c r="K80"/>
      <c r="L80"/>
      <c r="M80"/>
      <c r="N80"/>
      <c r="O80"/>
      <c r="P80"/>
      <c r="Q80"/>
      <c r="R80"/>
      <c r="S80"/>
    </row>
    <row r="81" spans="1:19" ht="15.75">
      <c r="A81"/>
      <c r="B81"/>
      <c r="C81"/>
      <c r="D81"/>
      <c r="E81"/>
      <c r="F81"/>
      <c r="G81"/>
      <c r="H81"/>
      <c r="I81"/>
      <c r="J81"/>
      <c r="K81"/>
      <c r="L81"/>
      <c r="M81"/>
      <c r="N81"/>
      <c r="O81"/>
      <c r="P81"/>
      <c r="Q81"/>
      <c r="R81"/>
      <c r="S81"/>
    </row>
    <row r="82" spans="1:19" ht="15.75">
      <c r="A82"/>
      <c r="B82"/>
      <c r="C82"/>
      <c r="D82"/>
      <c r="E82"/>
      <c r="F82"/>
      <c r="G82"/>
      <c r="H82"/>
      <c r="I82"/>
      <c r="J82"/>
      <c r="K82"/>
      <c r="L82"/>
      <c r="M82"/>
      <c r="N82"/>
      <c r="O82"/>
      <c r="P82"/>
      <c r="Q82"/>
      <c r="R82"/>
      <c r="S82"/>
    </row>
    <row r="83" spans="1:19" ht="15.75">
      <c r="A83"/>
      <c r="B83"/>
      <c r="C83"/>
      <c r="D83"/>
      <c r="E83"/>
      <c r="F83"/>
      <c r="G83"/>
      <c r="H83"/>
      <c r="I83"/>
      <c r="J83"/>
      <c r="K83"/>
      <c r="L83"/>
      <c r="M83"/>
      <c r="N83"/>
      <c r="O83"/>
      <c r="P83"/>
      <c r="Q83"/>
      <c r="R83"/>
      <c r="S83"/>
    </row>
    <row r="84" spans="1:19" ht="15.75">
      <c r="A84"/>
      <c r="B84"/>
      <c r="C84"/>
      <c r="D84"/>
      <c r="E84"/>
      <c r="F84"/>
      <c r="G84"/>
      <c r="H84"/>
      <c r="I84"/>
      <c r="J84"/>
      <c r="K84"/>
      <c r="L84"/>
      <c r="M84"/>
      <c r="N84"/>
      <c r="O84"/>
      <c r="P84"/>
      <c r="Q84"/>
      <c r="R84"/>
      <c r="S84"/>
    </row>
    <row r="85" spans="1:19" ht="15.75">
      <c r="A85"/>
      <c r="B85"/>
      <c r="C85"/>
      <c r="D85"/>
      <c r="E85"/>
      <c r="F85"/>
      <c r="G85"/>
      <c r="H85"/>
      <c r="I85"/>
      <c r="J85"/>
      <c r="K85"/>
      <c r="L85"/>
      <c r="M85"/>
      <c r="N85"/>
      <c r="O85"/>
      <c r="P85"/>
      <c r="Q85"/>
      <c r="R85"/>
      <c r="S85"/>
    </row>
    <row r="86" spans="1:19" ht="15.75">
      <c r="A86"/>
      <c r="B86"/>
      <c r="C86"/>
      <c r="D86"/>
      <c r="E86"/>
      <c r="F86"/>
      <c r="G86"/>
      <c r="H86"/>
      <c r="I86"/>
      <c r="J86"/>
      <c r="K86"/>
      <c r="L86"/>
      <c r="M86"/>
      <c r="N86"/>
      <c r="O86"/>
      <c r="P86"/>
      <c r="Q86"/>
      <c r="R86"/>
      <c r="S86"/>
    </row>
    <row r="87" spans="1:19" ht="15.75">
      <c r="A87"/>
      <c r="B87"/>
      <c r="C87"/>
      <c r="D87"/>
      <c r="E87"/>
      <c r="F87"/>
      <c r="G87"/>
      <c r="H87"/>
      <c r="I87"/>
      <c r="J87"/>
      <c r="K87"/>
      <c r="L87"/>
      <c r="M87"/>
      <c r="N87"/>
      <c r="O87"/>
      <c r="P87"/>
      <c r="Q87"/>
      <c r="R87"/>
      <c r="S87"/>
    </row>
    <row r="88" spans="1:19" ht="15.75">
      <c r="A88"/>
      <c r="B88"/>
      <c r="C88"/>
      <c r="D88"/>
      <c r="E88"/>
      <c r="F88"/>
      <c r="G88"/>
      <c r="H88"/>
      <c r="I88"/>
      <c r="J88"/>
      <c r="K88"/>
      <c r="L88"/>
      <c r="M88"/>
      <c r="N88"/>
      <c r="O88"/>
      <c r="P88"/>
      <c r="Q88"/>
      <c r="R88"/>
      <c r="S88"/>
    </row>
    <row r="89" spans="1:19" ht="15.75">
      <c r="A89"/>
      <c r="B89"/>
      <c r="C89"/>
      <c r="D89"/>
      <c r="E89"/>
      <c r="F89"/>
      <c r="G89"/>
      <c r="H89"/>
      <c r="I89"/>
      <c r="J89"/>
      <c r="K89"/>
      <c r="L89"/>
      <c r="M89"/>
      <c r="N89"/>
      <c r="O89"/>
      <c r="P89"/>
      <c r="Q89"/>
      <c r="R89"/>
      <c r="S89"/>
    </row>
    <row r="90" spans="1:19" ht="15.75">
      <c r="A90"/>
      <c r="B90"/>
      <c r="C90"/>
      <c r="D90"/>
      <c r="E90"/>
      <c r="F90"/>
      <c r="G90"/>
      <c r="H90"/>
      <c r="I90"/>
      <c r="J90"/>
      <c r="K90"/>
      <c r="L90" s="246"/>
    </row>
    <row r="91" spans="1:19" ht="15.75">
      <c r="A91"/>
      <c r="B91"/>
      <c r="C91"/>
      <c r="D91"/>
      <c r="E91"/>
      <c r="F91"/>
      <c r="G91"/>
      <c r="H91"/>
      <c r="I91"/>
      <c r="J91"/>
      <c r="K91"/>
      <c r="L91" s="246"/>
    </row>
    <row r="92" spans="1:19" ht="15.75">
      <c r="A92"/>
      <c r="B92"/>
      <c r="C92"/>
      <c r="D92"/>
      <c r="E92"/>
      <c r="F92"/>
      <c r="G92"/>
      <c r="H92"/>
      <c r="I92"/>
      <c r="J92"/>
      <c r="K92"/>
      <c r="L92" s="246"/>
    </row>
    <row r="93" spans="1:19" ht="15.75">
      <c r="A93"/>
      <c r="B93"/>
      <c r="C93"/>
      <c r="D93"/>
      <c r="E93"/>
      <c r="F93"/>
      <c r="G93"/>
      <c r="H93"/>
      <c r="I93"/>
      <c r="J93"/>
      <c r="K93"/>
      <c r="L93" s="246"/>
    </row>
    <row r="94" spans="1:19" ht="15.75">
      <c r="A94"/>
      <c r="B94"/>
      <c r="C94"/>
      <c r="D94"/>
      <c r="E94"/>
      <c r="F94"/>
      <c r="G94"/>
      <c r="H94"/>
      <c r="I94"/>
      <c r="J94"/>
      <c r="K94"/>
      <c r="L94" s="246"/>
    </row>
    <row r="95" spans="1:19" ht="15.75">
      <c r="A95"/>
      <c r="B95"/>
      <c r="C95"/>
      <c r="D95"/>
      <c r="E95"/>
      <c r="F95"/>
      <c r="G95"/>
      <c r="H95"/>
      <c r="I95"/>
      <c r="J95"/>
      <c r="K95"/>
      <c r="L95" s="246"/>
    </row>
    <row r="96" spans="1:19" ht="15.75">
      <c r="A96"/>
      <c r="B96"/>
      <c r="C96"/>
      <c r="D96"/>
      <c r="E96"/>
      <c r="F96"/>
      <c r="G96"/>
      <c r="H96"/>
      <c r="I96"/>
      <c r="J96"/>
      <c r="K96"/>
      <c r="L96" s="246"/>
    </row>
    <row r="97" spans="1:12" ht="15.75">
      <c r="A97"/>
      <c r="B97"/>
      <c r="C97"/>
      <c r="D97"/>
      <c r="E97"/>
      <c r="F97"/>
      <c r="G97"/>
      <c r="H97"/>
      <c r="I97"/>
      <c r="J97"/>
      <c r="K97"/>
      <c r="L97" s="296"/>
    </row>
    <row r="98" spans="1:12" ht="15.75">
      <c r="A98"/>
      <c r="B98"/>
      <c r="C98"/>
      <c r="D98"/>
      <c r="E98"/>
      <c r="F98"/>
      <c r="G98"/>
      <c r="H98"/>
      <c r="I98"/>
      <c r="J98"/>
      <c r="K98"/>
      <c r="L98" s="296"/>
    </row>
    <row r="99" spans="1:12" ht="15.75">
      <c r="A99"/>
      <c r="B99"/>
      <c r="C99"/>
      <c r="D99"/>
      <c r="E99"/>
      <c r="F99"/>
      <c r="G99"/>
      <c r="H99"/>
      <c r="I99"/>
      <c r="J99"/>
      <c r="K99"/>
      <c r="L99" s="296"/>
    </row>
    <row r="100" spans="1:12" ht="15.75">
      <c r="A100"/>
      <c r="B100"/>
      <c r="C100"/>
      <c r="D100"/>
      <c r="E100"/>
      <c r="F100"/>
      <c r="G100"/>
      <c r="H100"/>
      <c r="I100"/>
      <c r="J100"/>
      <c r="K100"/>
      <c r="L100" s="296"/>
    </row>
    <row r="101" spans="1:12" ht="15.75">
      <c r="A101"/>
      <c r="B101"/>
      <c r="C101"/>
      <c r="D101"/>
      <c r="E101"/>
      <c r="F101"/>
      <c r="G101"/>
      <c r="H101"/>
      <c r="I101"/>
      <c r="J101"/>
      <c r="K101"/>
    </row>
    <row r="102" spans="1:12" ht="15.75">
      <c r="A102"/>
      <c r="B102"/>
      <c r="C102"/>
      <c r="D102"/>
      <c r="E102"/>
      <c r="F102"/>
      <c r="G102"/>
      <c r="H102"/>
      <c r="I102"/>
      <c r="J102"/>
      <c r="K102"/>
    </row>
    <row r="103" spans="1:12" ht="15.75">
      <c r="A103"/>
      <c r="B103"/>
      <c r="C103"/>
      <c r="D103"/>
      <c r="E103"/>
      <c r="F103"/>
      <c r="G103"/>
      <c r="H103"/>
      <c r="I103"/>
      <c r="J103"/>
      <c r="K103"/>
    </row>
    <row r="104" spans="1:12" ht="15.75">
      <c r="A104"/>
      <c r="B104"/>
      <c r="C104"/>
      <c r="D104"/>
      <c r="E104"/>
      <c r="F104"/>
      <c r="G104"/>
      <c r="H104"/>
      <c r="I104"/>
      <c r="J104"/>
      <c r="K104"/>
    </row>
    <row r="105" spans="1:12" ht="15.75">
      <c r="A105"/>
      <c r="B105"/>
      <c r="C105"/>
      <c r="D105"/>
      <c r="E105"/>
      <c r="F105"/>
      <c r="G105"/>
      <c r="H105"/>
      <c r="I105"/>
      <c r="J105"/>
      <c r="K105"/>
    </row>
    <row r="106" spans="1:12" ht="15.75">
      <c r="A106"/>
      <c r="B106"/>
      <c r="C106"/>
      <c r="D106"/>
      <c r="E106"/>
      <c r="F106"/>
      <c r="G106"/>
      <c r="H106"/>
      <c r="I106"/>
      <c r="J106"/>
      <c r="K106"/>
    </row>
    <row r="107" spans="1:12" ht="15.75">
      <c r="A107"/>
      <c r="B107"/>
      <c r="C107"/>
      <c r="D107"/>
      <c r="E107"/>
      <c r="F107"/>
      <c r="G107"/>
      <c r="H107"/>
      <c r="I107"/>
      <c r="J107"/>
      <c r="K107"/>
    </row>
    <row r="108" spans="1:12" ht="15.75">
      <c r="A108"/>
      <c r="B108"/>
      <c r="C108"/>
      <c r="D108"/>
      <c r="E108"/>
      <c r="F108"/>
      <c r="G108"/>
      <c r="H108"/>
      <c r="I108"/>
      <c r="J108"/>
      <c r="K108"/>
    </row>
    <row r="109" spans="1:12" ht="15.75">
      <c r="A109"/>
      <c r="B109"/>
      <c r="C109"/>
      <c r="D109"/>
      <c r="E109"/>
      <c r="F109"/>
      <c r="G109"/>
      <c r="H109"/>
      <c r="I109"/>
      <c r="J109"/>
      <c r="K109"/>
    </row>
    <row r="110" spans="1:12" ht="15.75">
      <c r="A110"/>
      <c r="B110"/>
      <c r="C110"/>
      <c r="D110"/>
      <c r="E110"/>
      <c r="F110"/>
      <c r="G110"/>
      <c r="H110"/>
      <c r="I110"/>
      <c r="J110"/>
      <c r="K110"/>
    </row>
    <row r="111" spans="1:12" ht="15.75">
      <c r="A111"/>
      <c r="B111"/>
      <c r="C111"/>
      <c r="D111"/>
      <c r="E111"/>
      <c r="F111"/>
      <c r="G111"/>
      <c r="H111"/>
      <c r="I111"/>
      <c r="J111"/>
      <c r="K111"/>
    </row>
    <row r="112" spans="1:12" ht="15.75">
      <c r="A112"/>
      <c r="B112"/>
      <c r="C112"/>
      <c r="D112"/>
      <c r="E112"/>
      <c r="F112"/>
      <c r="G112"/>
      <c r="H112"/>
      <c r="I112"/>
      <c r="J112"/>
      <c r="K112"/>
    </row>
    <row r="113" spans="1:11" ht="15.75">
      <c r="A113"/>
      <c r="B113"/>
      <c r="C113"/>
      <c r="D113"/>
      <c r="E113"/>
      <c r="F113"/>
      <c r="G113"/>
      <c r="H113"/>
      <c r="I113"/>
      <c r="J113"/>
      <c r="K113"/>
    </row>
    <row r="114" spans="1:11" ht="15.75">
      <c r="A114"/>
      <c r="B114"/>
      <c r="C114"/>
      <c r="D114"/>
      <c r="E114"/>
      <c r="F114"/>
      <c r="G114"/>
      <c r="H114"/>
      <c r="I114"/>
      <c r="J114"/>
      <c r="K114"/>
    </row>
    <row r="115" spans="1:11" ht="15.75">
      <c r="A115"/>
      <c r="B115"/>
      <c r="C115"/>
      <c r="D115"/>
      <c r="E115"/>
      <c r="F115"/>
      <c r="G115"/>
      <c r="H115"/>
      <c r="I115"/>
      <c r="J115"/>
      <c r="K115"/>
    </row>
    <row r="116" spans="1:11" ht="15.75">
      <c r="A116"/>
      <c r="B116"/>
      <c r="C116"/>
      <c r="D116"/>
      <c r="E116"/>
      <c r="F116"/>
      <c r="G116"/>
      <c r="H116"/>
      <c r="I116"/>
      <c r="J116"/>
      <c r="K116"/>
    </row>
    <row r="117" spans="1:11" ht="15.75">
      <c r="A117"/>
      <c r="B117"/>
      <c r="C117"/>
      <c r="D117"/>
      <c r="E117"/>
      <c r="F117"/>
      <c r="G117"/>
      <c r="H117"/>
      <c r="I117"/>
      <c r="J117"/>
      <c r="K117"/>
    </row>
    <row r="118" spans="1:11" ht="15.75">
      <c r="A118"/>
      <c r="B118"/>
      <c r="C118"/>
      <c r="D118"/>
      <c r="E118"/>
      <c r="F118"/>
      <c r="G118"/>
      <c r="H118"/>
      <c r="I118"/>
      <c r="J118"/>
      <c r="K118"/>
    </row>
    <row r="119" spans="1:11" ht="15.75">
      <c r="A119"/>
      <c r="B119"/>
      <c r="C119"/>
      <c r="D119"/>
      <c r="E119"/>
      <c r="F119"/>
      <c r="G119"/>
      <c r="H119"/>
      <c r="I119"/>
      <c r="J119"/>
      <c r="K119"/>
    </row>
    <row r="120" spans="1:11" ht="15.75">
      <c r="A120"/>
      <c r="B120"/>
      <c r="C120"/>
      <c r="D120"/>
      <c r="E120"/>
      <c r="F120"/>
      <c r="G120"/>
      <c r="H120"/>
      <c r="I120"/>
      <c r="J120"/>
      <c r="K120"/>
    </row>
    <row r="121" spans="1:11" ht="15.75">
      <c r="A121"/>
      <c r="B121"/>
      <c r="C121"/>
      <c r="D121"/>
      <c r="E121"/>
      <c r="F121"/>
      <c r="G121"/>
      <c r="H121"/>
      <c r="I121"/>
      <c r="J121"/>
      <c r="K121"/>
    </row>
    <row r="122" spans="1:11" ht="15.75">
      <c r="A122"/>
      <c r="B122"/>
      <c r="C122"/>
      <c r="D122"/>
      <c r="E122"/>
      <c r="F122"/>
      <c r="G122"/>
      <c r="H122"/>
      <c r="I122"/>
      <c r="J122"/>
      <c r="K122"/>
    </row>
    <row r="123" spans="1:11" ht="15.75">
      <c r="A123"/>
      <c r="B123"/>
      <c r="C123"/>
      <c r="D123"/>
      <c r="E123"/>
      <c r="F123"/>
      <c r="G123"/>
      <c r="H123"/>
      <c r="I123"/>
      <c r="J123"/>
      <c r="K123"/>
    </row>
    <row r="124" spans="1:11" ht="15.75">
      <c r="A124"/>
      <c r="B124"/>
      <c r="C124"/>
      <c r="D124"/>
      <c r="E124"/>
      <c r="F124"/>
      <c r="G124"/>
      <c r="H124"/>
      <c r="I124"/>
      <c r="J124"/>
      <c r="K124"/>
    </row>
    <row r="125" spans="1:11" ht="15.75">
      <c r="A125"/>
      <c r="B125"/>
      <c r="C125"/>
      <c r="D125"/>
      <c r="E125"/>
      <c r="F125"/>
      <c r="G125"/>
      <c r="H125"/>
      <c r="I125"/>
      <c r="J125"/>
      <c r="K125"/>
    </row>
    <row r="126" spans="1:11" ht="15.75">
      <c r="A126"/>
      <c r="B126"/>
      <c r="C126"/>
      <c r="D126"/>
      <c r="E126"/>
      <c r="F126"/>
      <c r="G126"/>
      <c r="H126"/>
      <c r="I126"/>
      <c r="J126"/>
      <c r="K126"/>
    </row>
    <row r="127" spans="1:11" ht="15.75">
      <c r="A127"/>
      <c r="B127"/>
      <c r="C127"/>
      <c r="D127"/>
      <c r="E127"/>
      <c r="F127"/>
      <c r="G127"/>
      <c r="H127"/>
      <c r="I127"/>
      <c r="J127"/>
      <c r="K127"/>
    </row>
    <row r="128" spans="1:11" ht="15.75">
      <c r="A128"/>
      <c r="B128"/>
      <c r="C128"/>
      <c r="D128"/>
      <c r="E128"/>
      <c r="F128"/>
      <c r="G128"/>
      <c r="H128"/>
      <c r="I128"/>
      <c r="J128"/>
      <c r="K128"/>
    </row>
    <row r="129" spans="1:11" ht="15.75">
      <c r="A129"/>
      <c r="B129"/>
      <c r="C129"/>
      <c r="D129"/>
      <c r="E129"/>
      <c r="F129"/>
      <c r="G129"/>
      <c r="H129"/>
      <c r="I129"/>
      <c r="J129"/>
      <c r="K129"/>
    </row>
    <row r="130" spans="1:11" ht="15.75">
      <c r="A130"/>
      <c r="B130"/>
      <c r="C130"/>
      <c r="D130"/>
      <c r="E130"/>
      <c r="F130"/>
      <c r="G130"/>
      <c r="H130"/>
      <c r="I130"/>
      <c r="J130"/>
      <c r="K130"/>
    </row>
    <row r="131" spans="1:11" ht="15.75">
      <c r="A131"/>
      <c r="B131"/>
      <c r="C131"/>
      <c r="D131"/>
      <c r="E131"/>
      <c r="F131"/>
      <c r="G131"/>
      <c r="H131"/>
      <c r="I131"/>
      <c r="J131"/>
      <c r="K131"/>
    </row>
    <row r="132" spans="1:11" ht="15.75">
      <c r="A132"/>
      <c r="B132"/>
      <c r="C132"/>
      <c r="D132"/>
      <c r="E132"/>
      <c r="F132"/>
      <c r="G132"/>
      <c r="H132"/>
      <c r="I132"/>
      <c r="J132"/>
      <c r="K132"/>
    </row>
    <row r="133" spans="1:11" ht="15.75">
      <c r="A133"/>
      <c r="B133"/>
      <c r="C133"/>
      <c r="D133"/>
      <c r="E133"/>
      <c r="F133"/>
      <c r="G133"/>
      <c r="H133"/>
      <c r="I133"/>
      <c r="J133"/>
      <c r="K133"/>
    </row>
    <row r="134" spans="1:11" ht="15.75">
      <c r="A134"/>
      <c r="B134"/>
      <c r="C134"/>
      <c r="D134"/>
      <c r="E134"/>
      <c r="F134"/>
      <c r="G134"/>
      <c r="H134"/>
      <c r="I134"/>
      <c r="J134"/>
      <c r="K134"/>
    </row>
    <row r="135" spans="1:11" ht="15.75">
      <c r="A135"/>
      <c r="B135"/>
      <c r="C135"/>
      <c r="D135"/>
      <c r="E135"/>
      <c r="F135"/>
      <c r="G135"/>
      <c r="H135"/>
      <c r="I135"/>
      <c r="J135"/>
      <c r="K135"/>
    </row>
    <row r="136" spans="1:11" ht="15.75">
      <c r="A136"/>
      <c r="B136"/>
      <c r="C136"/>
      <c r="D136"/>
      <c r="E136"/>
      <c r="F136"/>
      <c r="G136"/>
      <c r="H136"/>
      <c r="I136"/>
      <c r="J136"/>
      <c r="K136"/>
    </row>
    <row r="137" spans="1:11" ht="15.75">
      <c r="A137"/>
      <c r="B137"/>
      <c r="C137"/>
      <c r="D137"/>
      <c r="E137"/>
      <c r="F137"/>
      <c r="G137"/>
      <c r="H137"/>
      <c r="I137"/>
      <c r="J137"/>
      <c r="K137"/>
    </row>
    <row r="138" spans="1:11" ht="15.75">
      <c r="A138"/>
      <c r="B138"/>
      <c r="C138"/>
      <c r="D138"/>
      <c r="E138"/>
      <c r="F138"/>
      <c r="G138"/>
      <c r="H138"/>
      <c r="I138"/>
      <c r="J138"/>
      <c r="K138"/>
    </row>
    <row r="139" spans="1:11" ht="15.75">
      <c r="A139"/>
      <c r="B139"/>
      <c r="C139"/>
      <c r="D139"/>
      <c r="E139"/>
      <c r="F139"/>
      <c r="G139"/>
      <c r="H139"/>
      <c r="I139"/>
      <c r="J139"/>
      <c r="K139"/>
    </row>
    <row r="140" spans="1:11" ht="15.75">
      <c r="A140"/>
      <c r="B140"/>
      <c r="C140"/>
      <c r="D140"/>
      <c r="E140"/>
      <c r="F140"/>
      <c r="G140"/>
      <c r="H140"/>
      <c r="I140"/>
      <c r="J140"/>
      <c r="K140"/>
    </row>
    <row r="141" spans="1:11" ht="15.75">
      <c r="A141"/>
      <c r="B141"/>
      <c r="C141"/>
      <c r="D141"/>
      <c r="E141"/>
      <c r="F141"/>
      <c r="G141"/>
      <c r="H141"/>
      <c r="I141"/>
      <c r="J141"/>
      <c r="K141"/>
    </row>
    <row r="142" spans="1:11" ht="15.75">
      <c r="A142"/>
      <c r="B142"/>
      <c r="C142"/>
      <c r="D142"/>
      <c r="E142"/>
      <c r="F142"/>
      <c r="G142"/>
      <c r="H142"/>
      <c r="I142"/>
      <c r="J142"/>
      <c r="K142"/>
    </row>
    <row r="143" spans="1:11" ht="15.75">
      <c r="A143"/>
      <c r="B143"/>
      <c r="C143"/>
      <c r="D143"/>
      <c r="E143"/>
      <c r="F143"/>
      <c r="G143"/>
      <c r="H143"/>
      <c r="I143"/>
      <c r="J143"/>
      <c r="K143"/>
    </row>
    <row r="144" spans="1:11" ht="15.75">
      <c r="A144"/>
      <c r="B144"/>
      <c r="C144"/>
      <c r="D144"/>
      <c r="E144"/>
      <c r="F144"/>
      <c r="G144"/>
      <c r="H144"/>
      <c r="I144"/>
      <c r="J144"/>
      <c r="K144"/>
    </row>
    <row r="145" spans="1:11" ht="15.75">
      <c r="A145"/>
      <c r="B145"/>
      <c r="C145"/>
      <c r="D145"/>
      <c r="E145"/>
      <c r="F145"/>
      <c r="G145"/>
      <c r="H145"/>
      <c r="I145"/>
      <c r="J145"/>
      <c r="K145"/>
    </row>
    <row r="146" spans="1:11" ht="15.75">
      <c r="A146"/>
      <c r="B146"/>
      <c r="C146"/>
      <c r="D146"/>
      <c r="E146"/>
      <c r="F146"/>
      <c r="G146"/>
      <c r="H146"/>
      <c r="I146"/>
      <c r="J146"/>
      <c r="K146"/>
    </row>
    <row r="147" spans="1:11" ht="15.75">
      <c r="A147"/>
      <c r="B147"/>
      <c r="C147"/>
      <c r="D147"/>
      <c r="E147"/>
      <c r="F147"/>
      <c r="G147"/>
      <c r="H147"/>
      <c r="I147"/>
      <c r="J147"/>
      <c r="K147"/>
    </row>
    <row r="148" spans="1:11" ht="15.75">
      <c r="A148"/>
      <c r="B148"/>
      <c r="C148"/>
      <c r="D148"/>
      <c r="E148"/>
      <c r="F148"/>
      <c r="G148"/>
      <c r="H148"/>
      <c r="I148"/>
      <c r="J148"/>
      <c r="K148"/>
    </row>
    <row r="149" spans="1:11" ht="15.75">
      <c r="A149"/>
      <c r="B149"/>
      <c r="C149"/>
      <c r="D149"/>
      <c r="E149"/>
      <c r="F149"/>
      <c r="G149"/>
      <c r="H149"/>
      <c r="I149"/>
      <c r="J149"/>
      <c r="K149"/>
    </row>
    <row r="150" spans="1:11" ht="15.75">
      <c r="A150"/>
      <c r="B150"/>
      <c r="C150"/>
      <c r="D150"/>
      <c r="E150"/>
      <c r="F150"/>
      <c r="G150"/>
      <c r="H150"/>
      <c r="I150"/>
      <c r="J150"/>
      <c r="K150"/>
    </row>
    <row r="151" spans="1:11" ht="15.75">
      <c r="A151"/>
      <c r="B151"/>
      <c r="C151"/>
      <c r="D151"/>
      <c r="E151"/>
      <c r="F151"/>
      <c r="G151"/>
      <c r="H151"/>
      <c r="I151"/>
      <c r="J151"/>
      <c r="K151"/>
    </row>
    <row r="152" spans="1:11" ht="15.75">
      <c r="A152"/>
      <c r="B152"/>
      <c r="C152"/>
      <c r="D152"/>
      <c r="E152"/>
      <c r="F152"/>
      <c r="G152"/>
      <c r="H152"/>
      <c r="I152"/>
      <c r="J152"/>
      <c r="K152"/>
    </row>
    <row r="153" spans="1:11" ht="15.75">
      <c r="A153"/>
      <c r="B153"/>
      <c r="C153"/>
      <c r="D153"/>
      <c r="E153"/>
      <c r="F153"/>
      <c r="G153"/>
      <c r="H153"/>
      <c r="I153"/>
      <c r="J153"/>
      <c r="K153"/>
    </row>
    <row r="154" spans="1:11" ht="15.75">
      <c r="A154"/>
      <c r="B154"/>
      <c r="C154"/>
      <c r="D154"/>
      <c r="E154"/>
      <c r="F154"/>
      <c r="G154"/>
      <c r="H154"/>
      <c r="I154"/>
      <c r="J154"/>
      <c r="K154"/>
    </row>
    <row r="155" spans="1:11" ht="15.75">
      <c r="A155"/>
      <c r="B155"/>
      <c r="C155"/>
      <c r="D155"/>
      <c r="E155"/>
      <c r="F155"/>
      <c r="G155"/>
      <c r="H155"/>
      <c r="I155"/>
      <c r="J155"/>
      <c r="K155"/>
    </row>
    <row r="156" spans="1:11" ht="15.75">
      <c r="A156"/>
      <c r="B156"/>
      <c r="C156"/>
      <c r="D156"/>
      <c r="E156"/>
      <c r="F156"/>
      <c r="G156"/>
      <c r="H156"/>
      <c r="I156"/>
      <c r="J156"/>
      <c r="K156"/>
    </row>
    <row r="157" spans="1:11" ht="15.75">
      <c r="A157"/>
      <c r="B157"/>
      <c r="C157"/>
      <c r="D157"/>
      <c r="E157"/>
      <c r="F157"/>
      <c r="G157"/>
      <c r="H157"/>
      <c r="I157"/>
      <c r="J157"/>
      <c r="K157"/>
    </row>
    <row r="158" spans="1:11" ht="15.75">
      <c r="A158"/>
      <c r="B158"/>
      <c r="C158"/>
      <c r="D158"/>
      <c r="E158"/>
      <c r="F158"/>
      <c r="G158"/>
      <c r="H158"/>
      <c r="I158"/>
      <c r="J158"/>
      <c r="K158"/>
    </row>
    <row r="159" spans="1:11" ht="15.75">
      <c r="A159"/>
      <c r="B159"/>
      <c r="C159"/>
      <c r="D159"/>
      <c r="E159"/>
      <c r="F159"/>
      <c r="G159"/>
      <c r="H159"/>
      <c r="I159"/>
      <c r="J159"/>
      <c r="K159"/>
    </row>
    <row r="160" spans="1:11" ht="15.75">
      <c r="A160"/>
      <c r="B160"/>
      <c r="C160"/>
      <c r="D160"/>
      <c r="E160"/>
      <c r="F160"/>
      <c r="G160"/>
      <c r="H160"/>
      <c r="I160"/>
      <c r="J160"/>
      <c r="K160"/>
    </row>
    <row r="161" spans="1:11" ht="15.75">
      <c r="A161"/>
      <c r="B161"/>
      <c r="C161"/>
      <c r="D161"/>
      <c r="E161"/>
      <c r="F161"/>
      <c r="G161"/>
      <c r="H161"/>
      <c r="I161"/>
      <c r="J161"/>
      <c r="K161"/>
    </row>
    <row r="162" spans="1:11" ht="15.75">
      <c r="A162"/>
      <c r="B162"/>
      <c r="C162"/>
      <c r="D162"/>
      <c r="E162"/>
      <c r="F162"/>
      <c r="G162"/>
      <c r="H162"/>
      <c r="I162"/>
      <c r="J162"/>
      <c r="K162"/>
    </row>
    <row r="163" spans="1:11" ht="15.75">
      <c r="A163"/>
      <c r="B163"/>
      <c r="C163"/>
      <c r="D163"/>
      <c r="E163"/>
      <c r="F163"/>
      <c r="G163"/>
      <c r="H163"/>
      <c r="I163"/>
      <c r="J163"/>
      <c r="K163"/>
    </row>
    <row r="164" spans="1:11" ht="15.75">
      <c r="A164"/>
      <c r="B164"/>
      <c r="C164"/>
      <c r="D164"/>
      <c r="E164"/>
      <c r="F164"/>
      <c r="G164"/>
      <c r="H164"/>
      <c r="I164"/>
      <c r="J164"/>
      <c r="K164"/>
    </row>
    <row r="165" spans="1:11" ht="15.75">
      <c r="A165"/>
      <c r="B165"/>
      <c r="C165"/>
      <c r="D165"/>
      <c r="E165"/>
      <c r="F165"/>
      <c r="G165"/>
      <c r="H165"/>
      <c r="I165"/>
      <c r="J165"/>
      <c r="K165"/>
    </row>
    <row r="166" spans="1:11" ht="15.75">
      <c r="A166"/>
      <c r="B166"/>
      <c r="C166"/>
      <c r="D166"/>
      <c r="E166"/>
      <c r="F166"/>
      <c r="G166"/>
      <c r="H166"/>
      <c r="I166"/>
      <c r="J166"/>
      <c r="K166"/>
    </row>
    <row r="167" spans="1:11" ht="15.75">
      <c r="A167"/>
      <c r="B167"/>
      <c r="C167"/>
      <c r="D167"/>
      <c r="E167"/>
      <c r="F167"/>
      <c r="G167"/>
      <c r="H167"/>
      <c r="I167"/>
      <c r="J167"/>
      <c r="K167"/>
    </row>
    <row r="168" spans="1:11" ht="15.75">
      <c r="A168"/>
      <c r="B168"/>
      <c r="C168"/>
      <c r="D168"/>
      <c r="E168"/>
      <c r="F168"/>
      <c r="G168"/>
      <c r="H168"/>
      <c r="I168"/>
      <c r="J168"/>
      <c r="K168"/>
    </row>
    <row r="169" spans="1:11" ht="15.75">
      <c r="A169"/>
      <c r="B169"/>
      <c r="C169"/>
      <c r="D169"/>
      <c r="E169"/>
      <c r="F169"/>
      <c r="G169"/>
      <c r="H169"/>
      <c r="I169"/>
      <c r="J169"/>
      <c r="K169"/>
    </row>
    <row r="170" spans="1:11" ht="15.75">
      <c r="A170"/>
      <c r="B170"/>
      <c r="C170"/>
      <c r="D170"/>
      <c r="E170"/>
      <c r="F170"/>
      <c r="G170"/>
      <c r="H170"/>
      <c r="I170"/>
      <c r="J170"/>
      <c r="K170"/>
    </row>
    <row r="171" spans="1:11" ht="15.75">
      <c r="A171"/>
      <c r="B171"/>
      <c r="C171"/>
      <c r="D171"/>
      <c r="E171"/>
      <c r="F171"/>
      <c r="G171"/>
      <c r="H171"/>
      <c r="I171"/>
      <c r="J171"/>
      <c r="K171"/>
    </row>
    <row r="172" spans="1:11" ht="15.75">
      <c r="A172"/>
      <c r="B172"/>
      <c r="C172"/>
      <c r="D172"/>
      <c r="E172"/>
      <c r="F172"/>
      <c r="G172"/>
      <c r="H172"/>
      <c r="I172"/>
      <c r="J172"/>
      <c r="K172"/>
    </row>
    <row r="173" spans="1:11" ht="15.75">
      <c r="A173"/>
      <c r="B173"/>
      <c r="C173"/>
      <c r="D173"/>
      <c r="E173"/>
      <c r="F173"/>
      <c r="G173"/>
      <c r="H173"/>
      <c r="I173"/>
      <c r="J173"/>
      <c r="K173"/>
    </row>
    <row r="174" spans="1:11" ht="15.75">
      <c r="A174"/>
      <c r="B174"/>
      <c r="C174"/>
      <c r="D174"/>
      <c r="E174"/>
      <c r="F174"/>
      <c r="G174"/>
      <c r="H174"/>
      <c r="I174"/>
      <c r="J174"/>
      <c r="K174"/>
    </row>
    <row r="175" spans="1:11" ht="15.75">
      <c r="A175"/>
      <c r="B175"/>
      <c r="C175"/>
      <c r="D175"/>
      <c r="E175"/>
      <c r="F175"/>
      <c r="G175"/>
      <c r="H175"/>
      <c r="I175"/>
      <c r="J175"/>
      <c r="K175"/>
    </row>
    <row r="176" spans="1:11" ht="15.75">
      <c r="A176"/>
      <c r="B176"/>
      <c r="C176"/>
      <c r="D176"/>
      <c r="E176"/>
      <c r="F176"/>
      <c r="G176"/>
      <c r="H176"/>
      <c r="I176"/>
      <c r="J176"/>
      <c r="K176"/>
    </row>
    <row r="177" spans="1:11" ht="15.75">
      <c r="A177"/>
      <c r="B177"/>
      <c r="C177"/>
      <c r="D177"/>
      <c r="E177"/>
      <c r="F177"/>
      <c r="G177"/>
      <c r="H177"/>
      <c r="I177"/>
      <c r="J177"/>
      <c r="K177"/>
    </row>
    <row r="178" spans="1:11" ht="15.75">
      <c r="A178"/>
      <c r="B178"/>
      <c r="C178"/>
      <c r="D178"/>
      <c r="E178"/>
      <c r="F178"/>
      <c r="G178"/>
      <c r="H178"/>
      <c r="I178"/>
      <c r="J178"/>
      <c r="K178"/>
    </row>
    <row r="179" spans="1:11" ht="15.75">
      <c r="A179"/>
      <c r="B179"/>
      <c r="C179"/>
      <c r="D179"/>
      <c r="E179"/>
      <c r="F179"/>
      <c r="G179"/>
      <c r="H179"/>
      <c r="I179"/>
      <c r="J179"/>
      <c r="K179"/>
    </row>
    <row r="180" spans="1:11" ht="15.75">
      <c r="A180"/>
      <c r="B180"/>
      <c r="C180"/>
      <c r="D180"/>
      <c r="E180"/>
      <c r="F180"/>
      <c r="G180"/>
      <c r="H180"/>
      <c r="I180"/>
      <c r="J180"/>
      <c r="K180"/>
    </row>
    <row r="181" spans="1:11" ht="15.75">
      <c r="A181"/>
      <c r="B181"/>
      <c r="C181"/>
      <c r="D181"/>
      <c r="E181"/>
      <c r="F181"/>
      <c r="G181"/>
      <c r="H181"/>
      <c r="I181"/>
      <c r="J181"/>
      <c r="K181"/>
    </row>
    <row r="182" spans="1:11" ht="15.75">
      <c r="A182"/>
      <c r="B182"/>
      <c r="C182"/>
      <c r="D182"/>
      <c r="E182"/>
      <c r="F182"/>
      <c r="G182"/>
      <c r="H182"/>
      <c r="I182"/>
      <c r="J182"/>
      <c r="K182"/>
    </row>
    <row r="183" spans="1:11" ht="15.75">
      <c r="A183"/>
      <c r="B183"/>
      <c r="C183"/>
      <c r="D183"/>
      <c r="E183"/>
      <c r="F183"/>
      <c r="G183"/>
      <c r="H183"/>
      <c r="I183"/>
      <c r="J183"/>
      <c r="K183"/>
    </row>
    <row r="184" spans="1:11" ht="15.75">
      <c r="A184"/>
      <c r="B184"/>
      <c r="C184"/>
      <c r="D184"/>
      <c r="E184"/>
      <c r="F184"/>
      <c r="G184"/>
      <c r="H184"/>
      <c r="I184"/>
      <c r="J184"/>
      <c r="K184"/>
    </row>
    <row r="185" spans="1:11" ht="15.75">
      <c r="A185"/>
      <c r="B185"/>
      <c r="C185"/>
      <c r="D185"/>
      <c r="E185"/>
      <c r="F185"/>
      <c r="G185"/>
      <c r="H185"/>
      <c r="I185"/>
      <c r="J185"/>
      <c r="K185"/>
    </row>
    <row r="186" spans="1:11" ht="15.75">
      <c r="A186"/>
      <c r="B186"/>
      <c r="C186"/>
      <c r="D186"/>
      <c r="E186"/>
      <c r="F186"/>
      <c r="G186"/>
      <c r="H186"/>
      <c r="I186"/>
      <c r="J186"/>
      <c r="K186"/>
    </row>
    <row r="187" spans="1:11" ht="15.75">
      <c r="A187"/>
      <c r="B187"/>
      <c r="C187"/>
      <c r="D187"/>
      <c r="E187"/>
      <c r="F187"/>
      <c r="G187"/>
      <c r="H187"/>
      <c r="I187"/>
      <c r="J187"/>
      <c r="K187"/>
    </row>
    <row r="188" spans="1:11" ht="15.75">
      <c r="A188"/>
      <c r="B188"/>
      <c r="C188"/>
      <c r="D188"/>
      <c r="E188"/>
      <c r="F188"/>
      <c r="G188"/>
      <c r="H188"/>
      <c r="I188"/>
      <c r="J188"/>
      <c r="K188"/>
    </row>
    <row r="189" spans="1:11" ht="15.75">
      <c r="A189"/>
      <c r="B189"/>
      <c r="C189"/>
      <c r="D189"/>
      <c r="E189"/>
      <c r="F189"/>
      <c r="G189"/>
      <c r="H189"/>
      <c r="I189"/>
      <c r="J189"/>
      <c r="K189"/>
    </row>
    <row r="190" spans="1:11" ht="15.75">
      <c r="A190"/>
      <c r="B190"/>
      <c r="C190"/>
      <c r="D190"/>
      <c r="E190"/>
      <c r="F190"/>
      <c r="G190"/>
      <c r="H190"/>
      <c r="I190"/>
      <c r="J190"/>
      <c r="K190"/>
    </row>
    <row r="191" spans="1:11" ht="15.75">
      <c r="A191"/>
      <c r="B191"/>
      <c r="C191"/>
      <c r="D191"/>
      <c r="E191"/>
      <c r="F191"/>
      <c r="G191"/>
      <c r="H191"/>
      <c r="I191"/>
      <c r="J191"/>
      <c r="K191"/>
    </row>
    <row r="192" spans="1:11" ht="15.75">
      <c r="A192"/>
      <c r="B192"/>
      <c r="C192"/>
      <c r="D192"/>
      <c r="E192"/>
      <c r="F192"/>
      <c r="G192"/>
      <c r="H192"/>
      <c r="I192"/>
      <c r="J192"/>
      <c r="K192"/>
    </row>
    <row r="193" spans="1:11" ht="15.75">
      <c r="A193"/>
      <c r="B193"/>
      <c r="C193"/>
      <c r="D193"/>
      <c r="E193"/>
      <c r="F193"/>
      <c r="G193"/>
      <c r="H193"/>
      <c r="I193"/>
      <c r="J193"/>
      <c r="K193"/>
    </row>
    <row r="194" spans="1:11" ht="15.75">
      <c r="A194"/>
      <c r="B194"/>
      <c r="C194"/>
      <c r="D194"/>
      <c r="E194"/>
      <c r="F194"/>
      <c r="G194"/>
      <c r="H194"/>
      <c r="I194"/>
      <c r="J194"/>
      <c r="K194"/>
    </row>
    <row r="195" spans="1:11" ht="15.75">
      <c r="A195"/>
      <c r="B195"/>
      <c r="C195"/>
      <c r="D195"/>
      <c r="E195"/>
      <c r="F195"/>
      <c r="G195"/>
      <c r="H195"/>
      <c r="I195"/>
      <c r="J195"/>
      <c r="K195"/>
    </row>
    <row r="196" spans="1:11" ht="15.75">
      <c r="A196"/>
      <c r="B196"/>
      <c r="C196"/>
      <c r="D196"/>
      <c r="E196"/>
      <c r="F196"/>
      <c r="G196"/>
      <c r="H196"/>
      <c r="I196"/>
      <c r="J196"/>
      <c r="K196"/>
    </row>
    <row r="197" spans="1:11" ht="15.75">
      <c r="A197"/>
      <c r="B197"/>
      <c r="C197"/>
      <c r="D197"/>
      <c r="E197"/>
      <c r="F197"/>
      <c r="G197"/>
      <c r="H197"/>
      <c r="I197"/>
      <c r="J197"/>
      <c r="K197"/>
    </row>
    <row r="198" spans="1:11" ht="15.75">
      <c r="A198"/>
      <c r="B198"/>
      <c r="C198"/>
      <c r="D198"/>
      <c r="E198"/>
      <c r="F198"/>
      <c r="G198"/>
      <c r="H198"/>
      <c r="I198"/>
      <c r="J198"/>
      <c r="K198"/>
    </row>
    <row r="199" spans="1:11" ht="15.75">
      <c r="A199"/>
      <c r="B199"/>
      <c r="C199"/>
      <c r="D199"/>
      <c r="E199"/>
      <c r="F199"/>
      <c r="G199"/>
      <c r="H199"/>
      <c r="I199"/>
      <c r="J199"/>
      <c r="K199"/>
    </row>
    <row r="200" spans="1:11" ht="15.75">
      <c r="A200"/>
      <c r="B200"/>
      <c r="C200"/>
      <c r="D200"/>
      <c r="E200"/>
      <c r="F200"/>
      <c r="G200"/>
      <c r="H200"/>
      <c r="I200"/>
      <c r="J200"/>
      <c r="K200"/>
    </row>
    <row r="201" spans="1:11" ht="15.75">
      <c r="A201"/>
      <c r="B201"/>
      <c r="C201"/>
      <c r="D201"/>
      <c r="E201"/>
      <c r="F201"/>
      <c r="G201"/>
      <c r="H201"/>
      <c r="I201"/>
      <c r="J201"/>
      <c r="K201"/>
    </row>
    <row r="202" spans="1:11" ht="15.75">
      <c r="A202"/>
      <c r="B202"/>
      <c r="C202"/>
      <c r="D202"/>
      <c r="E202"/>
      <c r="F202"/>
      <c r="G202"/>
      <c r="H202"/>
      <c r="I202"/>
      <c r="J202"/>
      <c r="K202"/>
    </row>
    <row r="203" spans="1:11" ht="15.75">
      <c r="A203"/>
      <c r="B203"/>
      <c r="C203"/>
      <c r="D203"/>
      <c r="E203"/>
      <c r="F203"/>
      <c r="G203"/>
      <c r="H203"/>
      <c r="I203"/>
      <c r="J203"/>
      <c r="K203"/>
    </row>
    <row r="204" spans="1:11" ht="15.75">
      <c r="A204"/>
      <c r="B204"/>
      <c r="C204"/>
      <c r="D204"/>
      <c r="E204"/>
      <c r="F204"/>
      <c r="G204"/>
      <c r="H204"/>
      <c r="I204"/>
      <c r="J204"/>
      <c r="K204"/>
    </row>
    <row r="205" spans="1:11" ht="15.75">
      <c r="A205"/>
      <c r="B205"/>
      <c r="C205"/>
      <c r="D205"/>
      <c r="E205"/>
      <c r="F205"/>
      <c r="G205"/>
      <c r="H205"/>
      <c r="I205"/>
      <c r="J205"/>
      <c r="K205"/>
    </row>
    <row r="206" spans="1:11" ht="15.75">
      <c r="A206"/>
      <c r="B206"/>
      <c r="C206"/>
      <c r="D206"/>
      <c r="E206"/>
      <c r="F206"/>
      <c r="G206"/>
      <c r="H206"/>
      <c r="I206"/>
      <c r="J206"/>
      <c r="K206"/>
    </row>
    <row r="207" spans="1:11" ht="15.75">
      <c r="A207"/>
      <c r="B207"/>
      <c r="C207"/>
      <c r="D207"/>
      <c r="E207"/>
      <c r="F207"/>
      <c r="G207"/>
      <c r="H207"/>
      <c r="I207"/>
      <c r="J207"/>
      <c r="K207"/>
    </row>
    <row r="208" spans="1:11" ht="15.75">
      <c r="A208"/>
      <c r="B208"/>
      <c r="C208"/>
      <c r="D208"/>
      <c r="E208"/>
      <c r="F208"/>
      <c r="G208"/>
      <c r="H208"/>
      <c r="I208"/>
      <c r="J208"/>
      <c r="K208"/>
    </row>
    <row r="209" spans="1:11" ht="15.75">
      <c r="A209"/>
      <c r="B209"/>
      <c r="C209"/>
      <c r="D209"/>
      <c r="E209"/>
      <c r="F209"/>
      <c r="G209"/>
      <c r="H209"/>
      <c r="I209"/>
      <c r="J209"/>
      <c r="K209"/>
    </row>
    <row r="210" spans="1:11" ht="15.75">
      <c r="A210"/>
      <c r="B210"/>
      <c r="C210"/>
      <c r="D210"/>
      <c r="E210"/>
      <c r="F210"/>
      <c r="G210"/>
      <c r="H210"/>
      <c r="I210"/>
      <c r="J210"/>
      <c r="K210"/>
    </row>
    <row r="211" spans="1:11" ht="15.75">
      <c r="A211"/>
      <c r="B211"/>
      <c r="C211"/>
      <c r="D211"/>
      <c r="E211"/>
      <c r="F211"/>
      <c r="G211"/>
      <c r="H211"/>
      <c r="I211"/>
      <c r="J211"/>
      <c r="K211"/>
    </row>
    <row r="212" spans="1:11" ht="15.75">
      <c r="A212"/>
      <c r="B212"/>
      <c r="C212"/>
      <c r="D212"/>
      <c r="E212"/>
      <c r="F212"/>
      <c r="G212"/>
      <c r="H212"/>
      <c r="I212"/>
      <c r="J212"/>
      <c r="K212"/>
    </row>
    <row r="213" spans="1:11" ht="15.75">
      <c r="A213"/>
      <c r="B213"/>
      <c r="C213"/>
      <c r="D213"/>
      <c r="E213"/>
      <c r="F213"/>
      <c r="G213"/>
      <c r="H213"/>
      <c r="I213"/>
      <c r="J213"/>
      <c r="K213"/>
    </row>
    <row r="214" spans="1:11" ht="15.75">
      <c r="A214"/>
      <c r="B214"/>
      <c r="C214"/>
      <c r="D214"/>
      <c r="E214"/>
      <c r="F214"/>
      <c r="G214"/>
      <c r="H214"/>
      <c r="I214"/>
      <c r="J214"/>
      <c r="K214"/>
    </row>
    <row r="215" spans="1:11" ht="15.75">
      <c r="A215"/>
      <c r="B215"/>
      <c r="C215"/>
      <c r="D215"/>
      <c r="E215"/>
      <c r="F215"/>
      <c r="G215"/>
      <c r="H215"/>
      <c r="I215"/>
      <c r="J215"/>
      <c r="K215"/>
    </row>
    <row r="216" spans="1:11" ht="15.75">
      <c r="A216"/>
      <c r="B216"/>
      <c r="C216"/>
      <c r="D216"/>
      <c r="E216"/>
      <c r="F216"/>
      <c r="G216"/>
      <c r="H216"/>
      <c r="I216"/>
      <c r="J216"/>
      <c r="K216"/>
    </row>
    <row r="217" spans="1:11" ht="15.75">
      <c r="A217"/>
      <c r="B217"/>
      <c r="C217"/>
      <c r="D217"/>
      <c r="E217"/>
      <c r="F217"/>
      <c r="G217"/>
      <c r="H217"/>
      <c r="I217"/>
      <c r="J217"/>
      <c r="K217"/>
    </row>
    <row r="218" spans="1:11" ht="15.75">
      <c r="A218"/>
      <c r="B218"/>
      <c r="C218"/>
      <c r="D218"/>
      <c r="E218"/>
      <c r="F218"/>
      <c r="G218"/>
      <c r="H218"/>
      <c r="I218"/>
      <c r="J218"/>
      <c r="K218"/>
    </row>
    <row r="219" spans="1:11" ht="15.75">
      <c r="A219"/>
      <c r="B219"/>
      <c r="C219"/>
      <c r="D219"/>
      <c r="E219"/>
      <c r="F219"/>
      <c r="G219"/>
      <c r="H219"/>
      <c r="I219"/>
      <c r="J219"/>
      <c r="K219"/>
    </row>
    <row r="220" spans="1:11" ht="15.75">
      <c r="A220"/>
      <c r="B220"/>
      <c r="C220"/>
      <c r="D220"/>
      <c r="E220"/>
      <c r="F220"/>
      <c r="G220"/>
      <c r="H220"/>
      <c r="I220"/>
      <c r="J220"/>
      <c r="K220"/>
    </row>
    <row r="221" spans="1:11" ht="15.75">
      <c r="A221"/>
      <c r="B221"/>
      <c r="C221"/>
      <c r="D221"/>
      <c r="E221"/>
      <c r="F221"/>
      <c r="G221"/>
      <c r="H221"/>
      <c r="I221"/>
      <c r="J221"/>
      <c r="K221"/>
    </row>
    <row r="222" spans="1:11" ht="15.75">
      <c r="A222"/>
      <c r="B222"/>
      <c r="C222"/>
      <c r="D222"/>
      <c r="E222"/>
      <c r="F222"/>
      <c r="G222"/>
      <c r="H222"/>
      <c r="I222"/>
      <c r="J222"/>
      <c r="K222"/>
    </row>
    <row r="223" spans="1:11" ht="15.75">
      <c r="A223"/>
      <c r="B223"/>
      <c r="C223"/>
      <c r="D223"/>
      <c r="E223"/>
      <c r="F223"/>
      <c r="G223"/>
      <c r="H223"/>
      <c r="I223"/>
      <c r="J223"/>
      <c r="K223"/>
    </row>
    <row r="224" spans="1:11" ht="15.75">
      <c r="A224"/>
      <c r="B224"/>
      <c r="C224"/>
      <c r="D224"/>
      <c r="E224"/>
      <c r="F224"/>
      <c r="G224"/>
      <c r="H224"/>
      <c r="I224"/>
      <c r="J224"/>
      <c r="K224"/>
    </row>
    <row r="225" spans="1:11" ht="15.75">
      <c r="A225"/>
      <c r="B225"/>
      <c r="C225"/>
      <c r="D225"/>
      <c r="E225"/>
      <c r="F225"/>
      <c r="G225"/>
      <c r="H225"/>
      <c r="I225"/>
      <c r="J225"/>
      <c r="K225"/>
    </row>
    <row r="226" spans="1:11" ht="15.75">
      <c r="A226"/>
      <c r="B226"/>
      <c r="C226"/>
      <c r="D226"/>
      <c r="E226"/>
      <c r="F226"/>
      <c r="G226"/>
      <c r="H226"/>
      <c r="I226"/>
      <c r="J226"/>
      <c r="K226"/>
    </row>
    <row r="227" spans="1:11" ht="15.75">
      <c r="A227"/>
      <c r="B227"/>
      <c r="C227"/>
      <c r="D227"/>
      <c r="E227"/>
      <c r="F227"/>
      <c r="G227"/>
      <c r="H227"/>
      <c r="I227"/>
      <c r="J227"/>
      <c r="K227"/>
    </row>
    <row r="228" spans="1:11" ht="15.75">
      <c r="A228"/>
      <c r="B228"/>
      <c r="C228"/>
      <c r="D228"/>
      <c r="E228"/>
      <c r="F228"/>
      <c r="G228"/>
      <c r="H228"/>
      <c r="I228"/>
      <c r="J228"/>
      <c r="K228"/>
    </row>
    <row r="229" spans="1:11" ht="15.75">
      <c r="A229"/>
      <c r="B229"/>
      <c r="C229"/>
      <c r="D229"/>
      <c r="E229"/>
      <c r="F229"/>
      <c r="G229"/>
      <c r="H229"/>
      <c r="I229"/>
      <c r="J229"/>
      <c r="K229"/>
    </row>
    <row r="230" spans="1:11" ht="15.75">
      <c r="A230"/>
      <c r="B230"/>
      <c r="C230"/>
      <c r="D230"/>
      <c r="E230"/>
      <c r="F230"/>
      <c r="G230"/>
      <c r="H230"/>
      <c r="I230"/>
      <c r="J230"/>
      <c r="K230"/>
    </row>
    <row r="231" spans="1:11" ht="15.75">
      <c r="A231"/>
      <c r="B231"/>
      <c r="C231"/>
      <c r="D231"/>
      <c r="E231"/>
      <c r="F231"/>
      <c r="G231"/>
      <c r="H231"/>
      <c r="I231"/>
      <c r="J231"/>
      <c r="K231"/>
    </row>
    <row r="232" spans="1:11" ht="15.75">
      <c r="A232"/>
      <c r="B232"/>
      <c r="C232"/>
      <c r="D232"/>
      <c r="E232"/>
      <c r="F232"/>
      <c r="G232"/>
      <c r="H232"/>
      <c r="I232"/>
      <c r="J232"/>
      <c r="K232"/>
    </row>
    <row r="233" spans="1:11" ht="15.75">
      <c r="A233"/>
      <c r="B233"/>
      <c r="C233"/>
      <c r="D233"/>
      <c r="E233"/>
      <c r="F233"/>
      <c r="G233"/>
      <c r="H233"/>
      <c r="I233"/>
      <c r="J233"/>
      <c r="K233"/>
    </row>
    <row r="234" spans="1:11" ht="15.75">
      <c r="A234"/>
      <c r="B234"/>
      <c r="C234"/>
      <c r="D234"/>
      <c r="E234"/>
      <c r="F234"/>
      <c r="G234"/>
      <c r="H234"/>
      <c r="I234"/>
      <c r="J234"/>
      <c r="K234"/>
    </row>
    <row r="235" spans="1:11" ht="15.75">
      <c r="A235"/>
      <c r="B235"/>
      <c r="C235"/>
      <c r="D235"/>
      <c r="E235"/>
      <c r="F235"/>
      <c r="G235"/>
      <c r="H235"/>
      <c r="I235"/>
      <c r="J235"/>
      <c r="K235"/>
    </row>
    <row r="236" spans="1:11" ht="15.75">
      <c r="A236"/>
      <c r="B236"/>
      <c r="C236"/>
      <c r="D236"/>
      <c r="E236"/>
      <c r="F236"/>
      <c r="G236"/>
      <c r="H236"/>
      <c r="I236"/>
      <c r="J236"/>
      <c r="K236"/>
    </row>
    <row r="237" spans="1:11" ht="15.75">
      <c r="A237"/>
      <c r="B237"/>
      <c r="C237"/>
      <c r="D237"/>
      <c r="E237"/>
      <c r="F237"/>
      <c r="G237"/>
      <c r="H237"/>
      <c r="I237"/>
      <c r="J237"/>
      <c r="K237"/>
    </row>
    <row r="238" spans="1:11" ht="15.75">
      <c r="A238"/>
      <c r="B238"/>
      <c r="C238"/>
      <c r="D238"/>
      <c r="E238"/>
      <c r="F238"/>
      <c r="G238"/>
      <c r="H238"/>
      <c r="I238"/>
      <c r="J238"/>
      <c r="K238"/>
    </row>
    <row r="239" spans="1:11" ht="15.75">
      <c r="A239"/>
      <c r="B239"/>
      <c r="C239"/>
      <c r="D239"/>
      <c r="E239"/>
      <c r="F239"/>
      <c r="G239"/>
      <c r="H239"/>
      <c r="I239"/>
      <c r="J239"/>
      <c r="K239"/>
    </row>
    <row r="240" spans="1:11" ht="15.75">
      <c r="A240"/>
      <c r="B240"/>
      <c r="C240"/>
      <c r="D240"/>
      <c r="E240"/>
      <c r="F240"/>
      <c r="G240"/>
      <c r="H240"/>
      <c r="I240"/>
      <c r="J240"/>
      <c r="K240"/>
    </row>
    <row r="241" spans="1:11" ht="15.75">
      <c r="A241"/>
      <c r="B241"/>
      <c r="C241"/>
      <c r="D241"/>
      <c r="E241"/>
      <c r="F241"/>
      <c r="G241"/>
      <c r="H241"/>
      <c r="I241"/>
      <c r="J241"/>
      <c r="K241"/>
    </row>
    <row r="242" spans="1:11" ht="15.75">
      <c r="A242"/>
      <c r="B242"/>
      <c r="C242"/>
      <c r="D242"/>
      <c r="E242"/>
      <c r="F242"/>
      <c r="G242"/>
      <c r="H242"/>
      <c r="I242"/>
      <c r="J242"/>
      <c r="K242"/>
    </row>
    <row r="243" spans="1:11" ht="15.75">
      <c r="A243"/>
      <c r="B243"/>
      <c r="C243"/>
      <c r="D243"/>
      <c r="E243"/>
      <c r="F243"/>
      <c r="G243"/>
      <c r="H243"/>
      <c r="I243"/>
      <c r="J243"/>
      <c r="K243"/>
    </row>
    <row r="244" spans="1:11" ht="15.75">
      <c r="A244"/>
      <c r="B244"/>
      <c r="C244"/>
      <c r="D244"/>
      <c r="E244"/>
      <c r="F244"/>
      <c r="G244"/>
      <c r="H244"/>
      <c r="I244"/>
      <c r="J244"/>
      <c r="K244"/>
    </row>
    <row r="245" spans="1:11" ht="15.75">
      <c r="A245"/>
      <c r="B245"/>
      <c r="C245"/>
      <c r="D245"/>
      <c r="E245"/>
      <c r="F245"/>
      <c r="G245"/>
      <c r="H245"/>
      <c r="I245"/>
      <c r="J245"/>
      <c r="K245"/>
    </row>
    <row r="246" spans="1:11" ht="15.75">
      <c r="A246"/>
      <c r="B246"/>
      <c r="C246"/>
      <c r="D246"/>
      <c r="E246"/>
      <c r="F246"/>
      <c r="G246"/>
      <c r="H246"/>
      <c r="I246"/>
      <c r="J246"/>
      <c r="K246"/>
    </row>
    <row r="247" spans="1:11" ht="15.75">
      <c r="A247"/>
      <c r="B247"/>
      <c r="C247"/>
      <c r="D247"/>
      <c r="E247"/>
      <c r="F247"/>
      <c r="G247"/>
      <c r="H247"/>
      <c r="I247"/>
      <c r="J247"/>
      <c r="K247"/>
    </row>
    <row r="248" spans="1:11" ht="15.75">
      <c r="A248"/>
      <c r="B248"/>
      <c r="C248"/>
      <c r="D248"/>
      <c r="E248"/>
      <c r="F248"/>
      <c r="G248"/>
      <c r="H248"/>
      <c r="I248"/>
      <c r="J248"/>
      <c r="K248"/>
    </row>
    <row r="249" spans="1:11" ht="15.75">
      <c r="A249"/>
      <c r="B249"/>
      <c r="C249"/>
      <c r="D249"/>
      <c r="E249"/>
      <c r="F249"/>
      <c r="G249"/>
      <c r="H249"/>
      <c r="I249"/>
      <c r="J249"/>
      <c r="K249"/>
    </row>
    <row r="250" spans="1:11" ht="15.75">
      <c r="A250"/>
      <c r="B250"/>
      <c r="C250"/>
      <c r="D250"/>
      <c r="E250"/>
      <c r="F250"/>
      <c r="G250"/>
      <c r="H250"/>
      <c r="I250"/>
      <c r="J250"/>
      <c r="K250"/>
    </row>
    <row r="251" spans="1:11" ht="15.75">
      <c r="A251"/>
      <c r="B251"/>
      <c r="C251"/>
      <c r="D251"/>
      <c r="E251"/>
      <c r="F251"/>
      <c r="G251"/>
      <c r="H251"/>
      <c r="I251"/>
      <c r="J251"/>
      <c r="K251"/>
    </row>
    <row r="252" spans="1:11" ht="15.75">
      <c r="A252"/>
      <c r="B252"/>
      <c r="C252"/>
      <c r="D252"/>
      <c r="E252"/>
      <c r="F252"/>
      <c r="G252"/>
      <c r="H252"/>
      <c r="I252"/>
      <c r="J252"/>
      <c r="K252"/>
    </row>
    <row r="253" spans="1:11" ht="15.75">
      <c r="A253"/>
      <c r="B253"/>
      <c r="C253"/>
      <c r="D253"/>
      <c r="E253"/>
      <c r="F253"/>
      <c r="G253"/>
      <c r="H253"/>
      <c r="I253"/>
      <c r="J253"/>
      <c r="K253"/>
    </row>
    <row r="254" spans="1:11" ht="15.75">
      <c r="A254"/>
      <c r="B254"/>
      <c r="C254"/>
      <c r="D254"/>
      <c r="E254"/>
      <c r="F254"/>
      <c r="G254"/>
      <c r="H254"/>
      <c r="I254"/>
      <c r="J254"/>
      <c r="K254"/>
    </row>
    <row r="255" spans="1:11" ht="15.75">
      <c r="A255"/>
      <c r="B255"/>
      <c r="C255"/>
      <c r="D255"/>
      <c r="E255"/>
      <c r="F255"/>
      <c r="G255"/>
      <c r="H255"/>
      <c r="I255"/>
      <c r="J255"/>
      <c r="K255"/>
    </row>
    <row r="256" spans="1:11" ht="15.75">
      <c r="A256"/>
      <c r="B256"/>
      <c r="C256"/>
      <c r="D256"/>
      <c r="E256"/>
      <c r="F256"/>
      <c r="G256"/>
      <c r="H256"/>
      <c r="I256"/>
      <c r="J256"/>
      <c r="K256"/>
    </row>
    <row r="257" spans="1:11" ht="15.75">
      <c r="A257"/>
      <c r="B257"/>
      <c r="C257"/>
      <c r="D257"/>
      <c r="E257"/>
      <c r="F257"/>
      <c r="G257"/>
      <c r="H257"/>
      <c r="I257"/>
      <c r="J257"/>
      <c r="K257"/>
    </row>
    <row r="258" spans="1:11" ht="15.75">
      <c r="A258"/>
      <c r="B258"/>
      <c r="C258"/>
      <c r="D258"/>
      <c r="E258"/>
      <c r="F258"/>
      <c r="G258"/>
      <c r="H258"/>
      <c r="I258"/>
      <c r="J258"/>
      <c r="K258"/>
    </row>
    <row r="259" spans="1:11" ht="15.75">
      <c r="A259"/>
      <c r="B259"/>
      <c r="C259"/>
      <c r="D259"/>
      <c r="E259"/>
      <c r="F259"/>
      <c r="G259"/>
      <c r="H259"/>
      <c r="I259"/>
      <c r="J259"/>
      <c r="K259"/>
    </row>
    <row r="260" spans="1:11" ht="15.75">
      <c r="A260"/>
      <c r="B260"/>
      <c r="C260"/>
      <c r="D260"/>
      <c r="E260"/>
      <c r="F260"/>
      <c r="G260"/>
      <c r="H260"/>
      <c r="I260"/>
      <c r="J260"/>
      <c r="K260"/>
    </row>
    <row r="261" spans="1:11" ht="15.75">
      <c r="A261"/>
      <c r="B261"/>
      <c r="C261"/>
      <c r="D261"/>
      <c r="E261"/>
      <c r="F261"/>
      <c r="G261"/>
      <c r="H261"/>
      <c r="I261"/>
      <c r="J261"/>
      <c r="K261"/>
    </row>
    <row r="262" spans="1:11" ht="15.75">
      <c r="A262"/>
      <c r="B262"/>
      <c r="C262"/>
      <c r="D262"/>
      <c r="E262"/>
      <c r="F262"/>
      <c r="G262"/>
      <c r="H262"/>
      <c r="I262"/>
      <c r="J262"/>
      <c r="K262"/>
    </row>
    <row r="263" spans="1:11" ht="15.75">
      <c r="A263"/>
      <c r="B263"/>
      <c r="C263"/>
      <c r="D263"/>
      <c r="E263"/>
      <c r="F263"/>
      <c r="G263"/>
      <c r="H263"/>
      <c r="I263"/>
      <c r="J263"/>
      <c r="K263"/>
    </row>
    <row r="264" spans="1:11" ht="15.75">
      <c r="A264"/>
      <c r="B264"/>
      <c r="C264"/>
      <c r="D264"/>
      <c r="E264"/>
      <c r="F264"/>
      <c r="G264"/>
      <c r="H264"/>
      <c r="I264"/>
      <c r="J264"/>
      <c r="K264"/>
    </row>
    <row r="265" spans="1:11" ht="15.75">
      <c r="A265"/>
      <c r="B265"/>
      <c r="C265"/>
      <c r="D265"/>
      <c r="E265"/>
      <c r="F265"/>
      <c r="G265"/>
      <c r="H265"/>
      <c r="I265"/>
      <c r="J265"/>
      <c r="K265"/>
    </row>
    <row r="266" spans="1:11" ht="15.75">
      <c r="A266"/>
      <c r="B266"/>
      <c r="C266"/>
      <c r="D266"/>
      <c r="E266"/>
      <c r="F266"/>
      <c r="G266"/>
      <c r="H266"/>
      <c r="I266"/>
      <c r="J266"/>
      <c r="K266"/>
    </row>
    <row r="267" spans="1:11" ht="15.75">
      <c r="A267"/>
      <c r="B267"/>
      <c r="C267"/>
      <c r="D267"/>
      <c r="E267"/>
      <c r="F267"/>
      <c r="G267"/>
      <c r="H267"/>
      <c r="I267"/>
      <c r="J267"/>
      <c r="K267"/>
    </row>
    <row r="268" spans="1:11" ht="15.75">
      <c r="A268"/>
      <c r="B268"/>
      <c r="C268"/>
      <c r="D268"/>
      <c r="E268"/>
      <c r="F268"/>
      <c r="G268"/>
      <c r="H268"/>
      <c r="I268"/>
      <c r="J268"/>
      <c r="K268"/>
    </row>
    <row r="269" spans="1:11" ht="15.75">
      <c r="A269"/>
      <c r="B269"/>
      <c r="C269"/>
      <c r="D269"/>
      <c r="E269"/>
      <c r="F269"/>
      <c r="G269"/>
      <c r="H269"/>
      <c r="I269"/>
      <c r="J269"/>
      <c r="K269"/>
    </row>
    <row r="270" spans="1:11" ht="15.75">
      <c r="A270"/>
      <c r="B270"/>
      <c r="C270"/>
      <c r="D270"/>
      <c r="E270"/>
      <c r="F270"/>
      <c r="G270"/>
      <c r="H270"/>
      <c r="I270"/>
      <c r="J270"/>
      <c r="K270"/>
    </row>
    <row r="271" spans="1:11" ht="15.75">
      <c r="A271"/>
      <c r="B271"/>
      <c r="C271"/>
      <c r="D271"/>
      <c r="E271"/>
      <c r="F271"/>
      <c r="G271"/>
      <c r="H271"/>
      <c r="I271"/>
      <c r="J271"/>
      <c r="K271"/>
    </row>
    <row r="272" spans="1:11" ht="15.75">
      <c r="A272"/>
      <c r="B272"/>
      <c r="C272"/>
      <c r="D272"/>
      <c r="E272"/>
      <c r="F272"/>
      <c r="G272"/>
      <c r="H272"/>
      <c r="I272"/>
      <c r="J272"/>
      <c r="K272"/>
    </row>
    <row r="273" spans="1:11" ht="15.75">
      <c r="A273"/>
      <c r="B273"/>
      <c r="C273"/>
      <c r="D273"/>
      <c r="E273"/>
      <c r="F273"/>
      <c r="G273"/>
      <c r="H273"/>
      <c r="I273"/>
      <c r="J273"/>
      <c r="K273"/>
    </row>
    <row r="274" spans="1:11" ht="15.75">
      <c r="A274"/>
      <c r="B274"/>
      <c r="C274"/>
      <c r="D274"/>
      <c r="E274"/>
      <c r="F274"/>
      <c r="G274"/>
      <c r="H274"/>
      <c r="I274"/>
      <c r="J274"/>
      <c r="K274"/>
    </row>
    <row r="275" spans="1:11" ht="15.75">
      <c r="A275"/>
      <c r="B275"/>
      <c r="C275"/>
      <c r="D275"/>
      <c r="E275"/>
      <c r="F275"/>
      <c r="G275"/>
      <c r="H275"/>
      <c r="I275"/>
      <c r="J275"/>
      <c r="K275"/>
    </row>
    <row r="276" spans="1:11" ht="15.75">
      <c r="A276"/>
      <c r="B276"/>
      <c r="C276"/>
      <c r="D276"/>
      <c r="E276"/>
      <c r="F276"/>
      <c r="G276"/>
      <c r="H276"/>
      <c r="I276"/>
      <c r="J276"/>
      <c r="K276"/>
    </row>
    <row r="277" spans="1:11" ht="15.75">
      <c r="A277"/>
      <c r="B277"/>
      <c r="C277"/>
      <c r="D277"/>
      <c r="E277"/>
      <c r="F277"/>
      <c r="G277"/>
      <c r="H277"/>
      <c r="I277"/>
      <c r="J277"/>
      <c r="K277"/>
    </row>
    <row r="278" spans="1:11" ht="15.75">
      <c r="A278"/>
      <c r="B278"/>
      <c r="C278"/>
      <c r="D278"/>
      <c r="E278"/>
      <c r="F278"/>
      <c r="G278"/>
      <c r="H278"/>
      <c r="I278"/>
      <c r="J278"/>
      <c r="K278"/>
    </row>
    <row r="279" spans="1:11" ht="15.75">
      <c r="A279"/>
      <c r="B279"/>
      <c r="C279"/>
      <c r="D279"/>
      <c r="E279"/>
      <c r="F279"/>
      <c r="G279"/>
      <c r="H279"/>
      <c r="I279"/>
      <c r="J279"/>
      <c r="K279"/>
    </row>
    <row r="280" spans="1:11" ht="15.75">
      <c r="A280"/>
      <c r="B280"/>
      <c r="C280"/>
      <c r="D280"/>
      <c r="E280"/>
      <c r="F280"/>
      <c r="G280"/>
      <c r="H280"/>
      <c r="I280"/>
      <c r="J280"/>
      <c r="K280"/>
    </row>
    <row r="281" spans="1:11" ht="15.75">
      <c r="A281"/>
      <c r="B281"/>
      <c r="C281"/>
      <c r="D281"/>
      <c r="E281"/>
      <c r="F281"/>
      <c r="G281"/>
      <c r="H281"/>
      <c r="I281"/>
      <c r="J281"/>
      <c r="K281"/>
    </row>
    <row r="282" spans="1:11" ht="15.75">
      <c r="A282"/>
      <c r="B282"/>
      <c r="C282"/>
      <c r="D282"/>
      <c r="E282"/>
      <c r="F282"/>
      <c r="G282"/>
      <c r="H282"/>
      <c r="I282"/>
      <c r="J282"/>
      <c r="K282"/>
    </row>
    <row r="283" spans="1:11" ht="15.75">
      <c r="A283"/>
      <c r="B283"/>
      <c r="C283"/>
      <c r="D283"/>
      <c r="E283"/>
      <c r="F283"/>
      <c r="G283"/>
      <c r="H283"/>
      <c r="I283"/>
      <c r="J283"/>
      <c r="K283"/>
    </row>
    <row r="284" spans="1:11" ht="15.75">
      <c r="A284"/>
      <c r="B284"/>
      <c r="C284"/>
      <c r="D284"/>
      <c r="E284"/>
      <c r="F284"/>
      <c r="G284"/>
      <c r="H284"/>
      <c r="I284"/>
      <c r="J284"/>
      <c r="K284"/>
    </row>
    <row r="285" spans="1:11" ht="15.75">
      <c r="A285"/>
      <c r="B285"/>
      <c r="C285"/>
      <c r="D285"/>
      <c r="E285"/>
      <c r="F285"/>
      <c r="G285"/>
      <c r="H285"/>
      <c r="I285"/>
      <c r="J285"/>
      <c r="K285"/>
    </row>
    <row r="286" spans="1:11" ht="15.75">
      <c r="A286"/>
      <c r="B286"/>
      <c r="C286"/>
      <c r="D286"/>
      <c r="E286"/>
      <c r="F286"/>
      <c r="G286"/>
      <c r="H286"/>
      <c r="I286"/>
      <c r="J286"/>
      <c r="K286"/>
    </row>
    <row r="287" spans="1:11" ht="15.75">
      <c r="A287"/>
      <c r="B287"/>
      <c r="C287"/>
      <c r="D287"/>
      <c r="E287"/>
      <c r="F287"/>
      <c r="G287"/>
      <c r="H287"/>
      <c r="I287"/>
      <c r="J287"/>
      <c r="K287"/>
    </row>
    <row r="288" spans="1:11" ht="15.75">
      <c r="A288"/>
      <c r="B288"/>
      <c r="C288"/>
      <c r="D288"/>
      <c r="E288"/>
      <c r="F288"/>
      <c r="G288"/>
      <c r="H288"/>
      <c r="I288"/>
      <c r="J288"/>
      <c r="K288"/>
    </row>
    <row r="289" spans="1:11" ht="15.75">
      <c r="A289"/>
      <c r="B289"/>
      <c r="C289"/>
      <c r="D289"/>
      <c r="E289"/>
      <c r="F289"/>
      <c r="G289"/>
      <c r="H289"/>
      <c r="I289"/>
      <c r="J289"/>
      <c r="K289"/>
    </row>
    <row r="290" spans="1:11" ht="15.75">
      <c r="A290"/>
      <c r="B290"/>
      <c r="C290"/>
      <c r="D290"/>
      <c r="E290"/>
      <c r="F290"/>
      <c r="G290"/>
      <c r="H290"/>
      <c r="I290"/>
      <c r="J290"/>
      <c r="K290"/>
    </row>
    <row r="291" spans="1:11" ht="15.75">
      <c r="A291"/>
      <c r="B291"/>
      <c r="C291"/>
      <c r="D291"/>
      <c r="E291"/>
      <c r="F291"/>
      <c r="G291"/>
      <c r="H291"/>
      <c r="I291"/>
      <c r="J291"/>
      <c r="K291"/>
    </row>
    <row r="292" spans="1:11" ht="15.75">
      <c r="A292"/>
      <c r="B292"/>
      <c r="C292"/>
      <c r="D292"/>
      <c r="E292"/>
      <c r="F292"/>
      <c r="G292"/>
      <c r="H292"/>
      <c r="I292"/>
      <c r="J292"/>
      <c r="K292"/>
    </row>
    <row r="293" spans="1:11" ht="15.75">
      <c r="A293"/>
      <c r="B293"/>
      <c r="C293"/>
      <c r="D293"/>
      <c r="E293"/>
      <c r="F293"/>
      <c r="G293"/>
      <c r="H293"/>
      <c r="I293"/>
      <c r="J293"/>
      <c r="K293"/>
    </row>
    <row r="294" spans="1:11" ht="15.75">
      <c r="A294"/>
      <c r="B294"/>
      <c r="C294"/>
      <c r="D294"/>
      <c r="E294"/>
      <c r="F294"/>
      <c r="G294"/>
      <c r="H294"/>
      <c r="I294"/>
      <c r="J294"/>
      <c r="K294"/>
    </row>
    <row r="295" spans="1:11" ht="15.75">
      <c r="A295"/>
      <c r="B295"/>
      <c r="C295"/>
      <c r="D295"/>
      <c r="E295"/>
      <c r="F295"/>
      <c r="G295"/>
      <c r="H295"/>
      <c r="I295"/>
      <c r="J295"/>
      <c r="K295"/>
    </row>
    <row r="296" spans="1:11" ht="15.75">
      <c r="A296"/>
      <c r="B296"/>
      <c r="C296"/>
      <c r="D296"/>
      <c r="E296"/>
      <c r="F296"/>
      <c r="G296"/>
      <c r="H296"/>
      <c r="I296"/>
      <c r="J296"/>
      <c r="K296"/>
    </row>
    <row r="297" spans="1:11" ht="15.75">
      <c r="A297"/>
      <c r="B297"/>
      <c r="C297"/>
      <c r="D297"/>
      <c r="E297"/>
      <c r="F297"/>
      <c r="G297"/>
      <c r="H297"/>
      <c r="I297"/>
      <c r="J297"/>
      <c r="K297"/>
    </row>
    <row r="298" spans="1:11" ht="15.75">
      <c r="A298"/>
      <c r="B298"/>
      <c r="C298"/>
      <c r="D298"/>
      <c r="E298"/>
      <c r="F298"/>
      <c r="G298"/>
      <c r="H298"/>
      <c r="I298"/>
      <c r="J298"/>
      <c r="K298"/>
    </row>
    <row r="299" spans="1:11" ht="15.75">
      <c r="A299"/>
      <c r="B299"/>
      <c r="C299"/>
      <c r="D299"/>
      <c r="E299"/>
      <c r="F299"/>
      <c r="G299"/>
      <c r="H299"/>
      <c r="I299"/>
      <c r="J299"/>
      <c r="K299"/>
    </row>
    <row r="300" spans="1:11" ht="15.75">
      <c r="A300"/>
      <c r="B300"/>
      <c r="C300"/>
      <c r="D300"/>
      <c r="E300"/>
      <c r="F300"/>
      <c r="G300"/>
      <c r="H300"/>
      <c r="I300"/>
      <c r="J300"/>
      <c r="K300"/>
    </row>
    <row r="301" spans="1:11" ht="15.75">
      <c r="A301"/>
      <c r="B301"/>
      <c r="C301"/>
      <c r="D301"/>
      <c r="E301"/>
      <c r="F301"/>
      <c r="G301"/>
      <c r="H301"/>
      <c r="I301"/>
      <c r="J301"/>
      <c r="K301"/>
    </row>
    <row r="302" spans="1:11" ht="15.75">
      <c r="A302"/>
      <c r="B302"/>
      <c r="C302"/>
      <c r="D302"/>
      <c r="E302"/>
      <c r="F302"/>
      <c r="G302"/>
      <c r="H302"/>
      <c r="I302"/>
      <c r="J302"/>
      <c r="K302"/>
    </row>
    <row r="303" spans="1:11" ht="15.75">
      <c r="A303"/>
      <c r="B303"/>
      <c r="C303"/>
      <c r="D303"/>
      <c r="E303"/>
      <c r="F303"/>
      <c r="G303"/>
      <c r="H303"/>
      <c r="I303"/>
      <c r="J303"/>
      <c r="K303"/>
    </row>
    <row r="304" spans="1:11" ht="15.75">
      <c r="A304"/>
      <c r="B304"/>
      <c r="C304"/>
      <c r="D304"/>
      <c r="E304"/>
      <c r="F304"/>
      <c r="G304"/>
      <c r="H304"/>
      <c r="I304"/>
      <c r="J304"/>
      <c r="K304"/>
    </row>
    <row r="305" spans="1:11" ht="15.75">
      <c r="A305"/>
      <c r="B305"/>
      <c r="C305"/>
      <c r="D305"/>
      <c r="E305"/>
      <c r="F305"/>
      <c r="G305"/>
      <c r="H305"/>
      <c r="I305"/>
      <c r="J305"/>
      <c r="K305"/>
    </row>
    <row r="306" spans="1:11" ht="15.75">
      <c r="A306"/>
      <c r="B306"/>
      <c r="C306"/>
      <c r="D306"/>
      <c r="E306"/>
      <c r="F306"/>
      <c r="G306"/>
      <c r="H306"/>
      <c r="I306"/>
      <c r="J306"/>
      <c r="K306"/>
    </row>
    <row r="307" spans="1:11" ht="15.75">
      <c r="A307"/>
      <c r="B307"/>
      <c r="C307"/>
      <c r="D307"/>
      <c r="E307"/>
      <c r="F307"/>
      <c r="G307"/>
      <c r="H307"/>
      <c r="I307"/>
      <c r="J307"/>
      <c r="K307"/>
    </row>
    <row r="308" spans="1:11" ht="15.75">
      <c r="A308"/>
      <c r="B308"/>
      <c r="C308"/>
      <c r="D308"/>
      <c r="E308"/>
      <c r="F308"/>
      <c r="G308"/>
      <c r="H308"/>
      <c r="I308"/>
      <c r="J308"/>
      <c r="K308"/>
    </row>
    <row r="309" spans="1:11" ht="15.75">
      <c r="A309"/>
      <c r="B309"/>
      <c r="C309"/>
      <c r="D309"/>
      <c r="E309"/>
      <c r="F309"/>
      <c r="G309"/>
      <c r="H309"/>
      <c r="I309"/>
      <c r="J309"/>
      <c r="K309"/>
    </row>
    <row r="310" spans="1:11" ht="15.75">
      <c r="A310"/>
      <c r="B310"/>
      <c r="C310"/>
      <c r="D310"/>
      <c r="E310"/>
      <c r="F310"/>
      <c r="G310"/>
      <c r="H310"/>
      <c r="I310"/>
      <c r="J310"/>
      <c r="K310"/>
    </row>
    <row r="311" spans="1:11" ht="15.75">
      <c r="A311"/>
      <c r="B311"/>
      <c r="C311"/>
      <c r="D311"/>
      <c r="E311"/>
      <c r="F311"/>
      <c r="G311"/>
      <c r="H311"/>
      <c r="I311"/>
      <c r="J311"/>
      <c r="K311"/>
    </row>
    <row r="312" spans="1:11" ht="15.75">
      <c r="A312"/>
      <c r="B312"/>
      <c r="C312"/>
      <c r="D312"/>
      <c r="E312"/>
      <c r="F312"/>
      <c r="G312"/>
      <c r="H312"/>
      <c r="I312"/>
      <c r="J312"/>
      <c r="K312"/>
    </row>
    <row r="313" spans="1:11" ht="15.75">
      <c r="A313"/>
      <c r="B313"/>
      <c r="C313"/>
      <c r="D313"/>
      <c r="E313"/>
      <c r="F313"/>
      <c r="G313"/>
      <c r="H313"/>
      <c r="I313"/>
      <c r="J313"/>
      <c r="K313"/>
    </row>
    <row r="314" spans="1:11" ht="15.75">
      <c r="A314"/>
      <c r="B314"/>
      <c r="C314"/>
      <c r="D314"/>
      <c r="E314"/>
      <c r="F314"/>
      <c r="G314"/>
      <c r="H314"/>
      <c r="I314"/>
      <c r="J314"/>
      <c r="K314"/>
    </row>
    <row r="315" spans="1:11" ht="15.75">
      <c r="A315"/>
      <c r="B315"/>
      <c r="C315"/>
      <c r="D315"/>
      <c r="E315"/>
      <c r="F315"/>
      <c r="G315"/>
      <c r="H315"/>
      <c r="I315"/>
      <c r="J315"/>
      <c r="K315"/>
    </row>
    <row r="316" spans="1:11" ht="15.75">
      <c r="A316"/>
      <c r="B316"/>
      <c r="C316"/>
      <c r="D316"/>
      <c r="E316"/>
      <c r="F316"/>
      <c r="G316"/>
      <c r="H316"/>
      <c r="I316"/>
      <c r="J316"/>
      <c r="K316"/>
    </row>
    <row r="317" spans="1:11" ht="15.75">
      <c r="A317"/>
      <c r="B317"/>
      <c r="C317"/>
      <c r="D317"/>
      <c r="E317"/>
      <c r="F317"/>
      <c r="G317"/>
      <c r="H317"/>
      <c r="I317"/>
      <c r="J317"/>
      <c r="K317"/>
    </row>
    <row r="318" spans="1:11" ht="15.75">
      <c r="A318"/>
      <c r="B318"/>
      <c r="C318"/>
      <c r="D318"/>
      <c r="E318"/>
      <c r="F318"/>
      <c r="G318"/>
      <c r="H318"/>
      <c r="I318"/>
      <c r="J318"/>
      <c r="K318"/>
    </row>
    <row r="319" spans="1:11" ht="15.75">
      <c r="A319"/>
      <c r="B319"/>
      <c r="C319"/>
      <c r="D319"/>
      <c r="E319"/>
      <c r="F319"/>
      <c r="G319"/>
      <c r="H319"/>
      <c r="I319"/>
      <c r="J319"/>
      <c r="K319"/>
    </row>
    <row r="320" spans="1:11" ht="15.75">
      <c r="A320"/>
      <c r="B320"/>
      <c r="C320"/>
      <c r="D320"/>
      <c r="E320"/>
      <c r="F320"/>
      <c r="G320"/>
      <c r="H320"/>
      <c r="I320"/>
      <c r="J320"/>
      <c r="K320"/>
    </row>
    <row r="321" spans="1:11" ht="15.75">
      <c r="A321"/>
      <c r="B321"/>
      <c r="C321"/>
      <c r="D321"/>
      <c r="E321"/>
      <c r="F321"/>
      <c r="G321"/>
      <c r="H321"/>
      <c r="I321"/>
      <c r="J321"/>
      <c r="K321"/>
    </row>
    <row r="322" spans="1:11" ht="15.75">
      <c r="A322"/>
      <c r="B322"/>
      <c r="C322"/>
      <c r="D322"/>
      <c r="E322"/>
      <c r="F322"/>
      <c r="G322"/>
      <c r="H322"/>
      <c r="I322"/>
      <c r="J322"/>
      <c r="K322"/>
    </row>
    <row r="323" spans="1:11" ht="15.75">
      <c r="A323"/>
      <c r="B323"/>
      <c r="C323"/>
      <c r="D323"/>
      <c r="E323"/>
      <c r="F323"/>
      <c r="G323"/>
      <c r="H323"/>
      <c r="I323"/>
      <c r="J323"/>
      <c r="K323"/>
    </row>
    <row r="324" spans="1:11" ht="15.75">
      <c r="A324"/>
      <c r="B324"/>
      <c r="C324"/>
      <c r="D324"/>
      <c r="E324"/>
      <c r="F324"/>
      <c r="G324"/>
      <c r="H324"/>
      <c r="I324"/>
      <c r="J324"/>
      <c r="K324"/>
    </row>
    <row r="325" spans="1:11" ht="15.75">
      <c r="A325"/>
      <c r="B325"/>
      <c r="C325"/>
      <c r="D325"/>
      <c r="E325"/>
      <c r="F325"/>
      <c r="G325"/>
      <c r="H325"/>
      <c r="I325"/>
      <c r="J325"/>
      <c r="K325"/>
    </row>
    <row r="326" spans="1:11" ht="15.75">
      <c r="A326"/>
      <c r="B326"/>
      <c r="C326"/>
      <c r="D326"/>
      <c r="E326"/>
      <c r="F326"/>
      <c r="G326"/>
      <c r="H326"/>
      <c r="I326"/>
      <c r="J326"/>
      <c r="K326"/>
    </row>
    <row r="327" spans="1:11" ht="15.75">
      <c r="A327"/>
      <c r="B327"/>
      <c r="C327"/>
      <c r="D327"/>
      <c r="E327"/>
      <c r="F327"/>
      <c r="G327"/>
      <c r="H327"/>
      <c r="I327"/>
      <c r="J327"/>
      <c r="K327"/>
    </row>
    <row r="328" spans="1:11" ht="15.75">
      <c r="A328"/>
      <c r="B328"/>
      <c r="C328"/>
      <c r="D328"/>
      <c r="E328"/>
      <c r="F328"/>
      <c r="G328"/>
      <c r="H328"/>
      <c r="I328"/>
      <c r="J328"/>
      <c r="K328"/>
    </row>
    <row r="329" spans="1:11" ht="15.75">
      <c r="A329"/>
      <c r="B329"/>
      <c r="C329"/>
      <c r="D329"/>
      <c r="E329"/>
      <c r="F329"/>
      <c r="G329"/>
      <c r="H329"/>
      <c r="I329"/>
      <c r="J329"/>
      <c r="K329"/>
    </row>
    <row r="330" spans="1:11" ht="15.75">
      <c r="A330"/>
      <c r="B330"/>
      <c r="C330"/>
      <c r="D330"/>
      <c r="E330"/>
      <c r="F330"/>
      <c r="G330"/>
      <c r="H330"/>
      <c r="I330"/>
      <c r="J330"/>
      <c r="K330"/>
    </row>
    <row r="331" spans="1:11" ht="15.75">
      <c r="A331"/>
      <c r="B331"/>
      <c r="C331"/>
      <c r="D331"/>
      <c r="E331"/>
      <c r="F331"/>
      <c r="G331"/>
      <c r="H331"/>
      <c r="I331"/>
      <c r="J331"/>
      <c r="K331"/>
    </row>
    <row r="332" spans="1:11" ht="15.75">
      <c r="A332"/>
      <c r="B332"/>
      <c r="C332"/>
      <c r="D332"/>
      <c r="E332"/>
      <c r="F332"/>
      <c r="G332"/>
      <c r="H332"/>
      <c r="I332"/>
      <c r="J332"/>
      <c r="K332"/>
    </row>
    <row r="333" spans="1:11" ht="15.75">
      <c r="A333"/>
      <c r="B333"/>
      <c r="C333"/>
      <c r="D333"/>
      <c r="E333"/>
      <c r="F333"/>
      <c r="G333"/>
      <c r="H333"/>
      <c r="I333"/>
      <c r="J333"/>
      <c r="K333"/>
    </row>
    <row r="334" spans="1:11" ht="15.75">
      <c r="A334"/>
      <c r="B334"/>
      <c r="C334"/>
      <c r="D334"/>
      <c r="E334"/>
      <c r="F334"/>
      <c r="G334"/>
      <c r="H334"/>
      <c r="I334"/>
      <c r="J334"/>
      <c r="K334"/>
    </row>
    <row r="335" spans="1:11" ht="15.75">
      <c r="A335"/>
      <c r="B335"/>
      <c r="C335"/>
      <c r="D335"/>
      <c r="E335"/>
      <c r="F335"/>
      <c r="G335"/>
      <c r="H335"/>
      <c r="I335"/>
      <c r="J335"/>
      <c r="K335"/>
    </row>
    <row r="336" spans="1:11" ht="15.75">
      <c r="A336"/>
      <c r="B336"/>
      <c r="C336"/>
      <c r="D336"/>
      <c r="E336"/>
      <c r="F336"/>
      <c r="G336"/>
      <c r="H336"/>
      <c r="I336"/>
      <c r="J336"/>
      <c r="K336"/>
    </row>
    <row r="337" spans="1:11" ht="15.75">
      <c r="A337"/>
      <c r="B337"/>
      <c r="C337"/>
      <c r="D337"/>
      <c r="E337"/>
      <c r="F337"/>
      <c r="G337"/>
      <c r="H337"/>
      <c r="I337"/>
      <c r="J337"/>
      <c r="K337"/>
    </row>
    <row r="338" spans="1:11" ht="15.75">
      <c r="A338"/>
      <c r="B338"/>
      <c r="C338"/>
      <c r="D338"/>
      <c r="E338"/>
      <c r="F338"/>
      <c r="G338"/>
      <c r="H338"/>
      <c r="I338"/>
      <c r="J338"/>
      <c r="K338"/>
    </row>
    <row r="339" spans="1:11" ht="15.75">
      <c r="A339"/>
      <c r="B339"/>
      <c r="C339"/>
      <c r="D339"/>
      <c r="E339"/>
      <c r="F339"/>
      <c r="G339"/>
      <c r="H339"/>
      <c r="I339"/>
      <c r="J339"/>
      <c r="K339"/>
    </row>
    <row r="340" spans="1:11" ht="15.75">
      <c r="A340"/>
      <c r="B340"/>
      <c r="C340"/>
      <c r="D340"/>
      <c r="E340"/>
      <c r="F340"/>
      <c r="G340"/>
      <c r="H340"/>
      <c r="I340"/>
      <c r="J340"/>
      <c r="K340"/>
    </row>
    <row r="341" spans="1:11" ht="15.75">
      <c r="A341"/>
      <c r="B341"/>
      <c r="C341"/>
      <c r="D341"/>
      <c r="E341"/>
      <c r="F341"/>
      <c r="G341"/>
      <c r="H341"/>
      <c r="I341"/>
      <c r="J341"/>
      <c r="K341"/>
    </row>
    <row r="342" spans="1:11" ht="15.75">
      <c r="A342"/>
      <c r="B342"/>
      <c r="C342"/>
      <c r="D342"/>
      <c r="E342"/>
      <c r="F342"/>
      <c r="G342"/>
      <c r="H342"/>
      <c r="I342"/>
      <c r="J342"/>
      <c r="K342"/>
    </row>
    <row r="343" spans="1:11" ht="15.75">
      <c r="A343"/>
      <c r="B343"/>
      <c r="C343"/>
      <c r="D343"/>
      <c r="E343"/>
      <c r="F343"/>
      <c r="G343"/>
      <c r="H343"/>
      <c r="I343"/>
      <c r="J343"/>
      <c r="K343"/>
    </row>
    <row r="344" spans="1:11" ht="15.75">
      <c r="A344"/>
      <c r="B344"/>
      <c r="C344"/>
      <c r="D344"/>
      <c r="E344"/>
      <c r="F344"/>
      <c r="G344"/>
      <c r="H344"/>
      <c r="I344"/>
      <c r="J344"/>
      <c r="K344"/>
    </row>
    <row r="345" spans="1:11" ht="15.75">
      <c r="A345"/>
      <c r="B345"/>
      <c r="C345"/>
      <c r="D345"/>
      <c r="E345"/>
      <c r="F345"/>
      <c r="G345"/>
      <c r="H345"/>
      <c r="I345"/>
      <c r="J345"/>
      <c r="K345"/>
    </row>
    <row r="346" spans="1:11" ht="15.75">
      <c r="A346"/>
      <c r="B346"/>
      <c r="C346"/>
      <c r="D346"/>
      <c r="E346"/>
      <c r="F346"/>
      <c r="G346"/>
      <c r="H346"/>
      <c r="I346"/>
      <c r="J346"/>
      <c r="K346"/>
    </row>
    <row r="347" spans="1:11" ht="15.75">
      <c r="A347"/>
      <c r="B347"/>
      <c r="C347"/>
      <c r="D347"/>
      <c r="E347"/>
      <c r="F347"/>
      <c r="G347"/>
      <c r="H347"/>
      <c r="I347"/>
      <c r="J347"/>
      <c r="K347"/>
    </row>
    <row r="348" spans="1:11" ht="15.75">
      <c r="A348"/>
      <c r="B348"/>
      <c r="C348"/>
      <c r="D348"/>
      <c r="E348"/>
      <c r="F348"/>
      <c r="G348"/>
      <c r="H348"/>
      <c r="I348"/>
      <c r="J348"/>
      <c r="K348"/>
    </row>
    <row r="349" spans="1:11" ht="15.75">
      <c r="A349"/>
      <c r="B349"/>
      <c r="C349"/>
      <c r="D349"/>
      <c r="E349"/>
      <c r="F349"/>
      <c r="G349"/>
      <c r="H349"/>
      <c r="I349"/>
      <c r="J349"/>
      <c r="K349"/>
    </row>
    <row r="350" spans="1:11" ht="15.75">
      <c r="A350"/>
      <c r="B350"/>
      <c r="C350"/>
      <c r="D350"/>
      <c r="E350"/>
      <c r="F350"/>
      <c r="G350"/>
      <c r="H350"/>
      <c r="I350"/>
      <c r="J350"/>
      <c r="K350"/>
    </row>
    <row r="351" spans="1:11" ht="15.75">
      <c r="A351"/>
      <c r="B351"/>
      <c r="C351"/>
      <c r="D351"/>
      <c r="E351"/>
      <c r="F351"/>
      <c r="G351"/>
      <c r="H351"/>
      <c r="I351"/>
      <c r="J351"/>
      <c r="K351"/>
    </row>
    <row r="352" spans="1:11" ht="15.75">
      <c r="A352"/>
      <c r="B352"/>
      <c r="C352"/>
      <c r="D352"/>
      <c r="E352"/>
      <c r="F352"/>
      <c r="G352"/>
      <c r="H352"/>
      <c r="I352"/>
      <c r="J352"/>
      <c r="K352"/>
    </row>
    <row r="353" spans="1:11" ht="15.75">
      <c r="A353"/>
      <c r="B353"/>
      <c r="C353"/>
      <c r="D353"/>
      <c r="E353"/>
      <c r="F353"/>
      <c r="G353"/>
      <c r="H353"/>
      <c r="I353"/>
      <c r="J353"/>
      <c r="K353"/>
    </row>
    <row r="354" spans="1:11" ht="15.75">
      <c r="A354"/>
      <c r="B354"/>
      <c r="C354"/>
      <c r="D354"/>
      <c r="E354"/>
      <c r="F354"/>
      <c r="G354"/>
      <c r="H354"/>
      <c r="I354"/>
      <c r="J354"/>
      <c r="K354"/>
    </row>
    <row r="355" spans="1:11" ht="15.75">
      <c r="A355"/>
      <c r="B355"/>
      <c r="C355"/>
      <c r="D355"/>
      <c r="E355"/>
      <c r="F355"/>
      <c r="G355"/>
      <c r="H355"/>
      <c r="I355"/>
      <c r="J355"/>
      <c r="K355"/>
    </row>
    <row r="356" spans="1:11" ht="15.75">
      <c r="A356"/>
      <c r="B356"/>
      <c r="C356"/>
      <c r="D356"/>
      <c r="E356"/>
      <c r="F356"/>
      <c r="G356"/>
      <c r="H356"/>
      <c r="I356"/>
      <c r="J356"/>
      <c r="K356"/>
    </row>
    <row r="357" spans="1:11" ht="15.75">
      <c r="A357"/>
      <c r="B357"/>
      <c r="C357"/>
      <c r="D357"/>
      <c r="E357"/>
      <c r="F357"/>
      <c r="G357"/>
      <c r="H357"/>
      <c r="I357"/>
      <c r="J357"/>
      <c r="K357"/>
    </row>
    <row r="358" spans="1:11" ht="15.75">
      <c r="A358"/>
      <c r="B358"/>
      <c r="C358"/>
      <c r="D358"/>
      <c r="E358"/>
      <c r="F358"/>
      <c r="G358"/>
      <c r="H358"/>
      <c r="I358"/>
      <c r="J358"/>
      <c r="K358"/>
    </row>
    <row r="359" spans="1:11" ht="15.75">
      <c r="A359"/>
      <c r="B359"/>
      <c r="C359"/>
      <c r="D359"/>
      <c r="E359"/>
      <c r="F359"/>
      <c r="G359"/>
      <c r="H359"/>
      <c r="I359"/>
      <c r="J359"/>
      <c r="K359"/>
    </row>
    <row r="360" spans="1:11" ht="15.75">
      <c r="A360"/>
      <c r="B360"/>
      <c r="C360"/>
      <c r="D360"/>
      <c r="E360"/>
      <c r="F360"/>
      <c r="G360"/>
      <c r="H360"/>
      <c r="I360"/>
      <c r="J360"/>
      <c r="K360"/>
    </row>
    <row r="361" spans="1:11" ht="15.75">
      <c r="A361"/>
      <c r="B361"/>
      <c r="C361"/>
      <c r="D361"/>
      <c r="E361"/>
      <c r="F361"/>
      <c r="G361"/>
      <c r="H361"/>
      <c r="I361"/>
      <c r="J361"/>
      <c r="K361"/>
    </row>
    <row r="362" spans="1:11" ht="15.75">
      <c r="A362"/>
      <c r="B362"/>
      <c r="C362"/>
      <c r="D362"/>
      <c r="E362"/>
      <c r="F362"/>
      <c r="G362"/>
      <c r="H362"/>
      <c r="I362"/>
      <c r="J362"/>
      <c r="K362"/>
    </row>
    <row r="363" spans="1:11" ht="15.75">
      <c r="A363"/>
      <c r="B363"/>
      <c r="C363"/>
      <c r="D363"/>
      <c r="E363"/>
      <c r="F363"/>
      <c r="G363"/>
      <c r="H363"/>
      <c r="I363"/>
      <c r="J363"/>
      <c r="K363"/>
    </row>
    <row r="364" spans="1:11" ht="15.75">
      <c r="A364"/>
      <c r="B364"/>
      <c r="C364"/>
      <c r="D364"/>
      <c r="E364"/>
      <c r="F364"/>
      <c r="G364"/>
      <c r="H364"/>
      <c r="I364"/>
      <c r="J364"/>
      <c r="K364"/>
    </row>
    <row r="365" spans="1:11" ht="15.75">
      <c r="A365"/>
      <c r="B365"/>
      <c r="C365"/>
      <c r="D365"/>
      <c r="E365"/>
      <c r="F365"/>
      <c r="G365"/>
      <c r="H365"/>
      <c r="I365"/>
      <c r="J365"/>
      <c r="K365"/>
    </row>
    <row r="366" spans="1:11" ht="15.75">
      <c r="A366"/>
      <c r="B366"/>
      <c r="C366"/>
      <c r="D366"/>
      <c r="E366"/>
      <c r="F366"/>
      <c r="G366"/>
      <c r="H366"/>
      <c r="I366"/>
      <c r="J366"/>
      <c r="K366"/>
    </row>
    <row r="367" spans="1:11" ht="15.75">
      <c r="A367"/>
      <c r="B367"/>
      <c r="C367"/>
      <c r="D367"/>
      <c r="E367"/>
      <c r="F367"/>
      <c r="G367"/>
      <c r="H367"/>
      <c r="I367"/>
      <c r="J367"/>
      <c r="K367"/>
    </row>
    <row r="368" spans="1:11" ht="15.75">
      <c r="A368"/>
      <c r="B368"/>
      <c r="C368"/>
      <c r="D368"/>
      <c r="E368"/>
      <c r="F368"/>
      <c r="G368"/>
      <c r="H368"/>
      <c r="I368"/>
      <c r="J368"/>
      <c r="K368"/>
    </row>
    <row r="369" spans="1:11" ht="15.75">
      <c r="A369"/>
      <c r="B369"/>
      <c r="C369"/>
      <c r="D369"/>
      <c r="E369"/>
      <c r="F369"/>
      <c r="G369"/>
      <c r="H369"/>
      <c r="I369"/>
      <c r="J369"/>
      <c r="K369"/>
    </row>
    <row r="370" spans="1:11" ht="15.75">
      <c r="A370"/>
      <c r="B370"/>
      <c r="C370"/>
      <c r="D370"/>
      <c r="E370"/>
      <c r="F370"/>
      <c r="G370"/>
      <c r="H370"/>
      <c r="I370"/>
      <c r="J370"/>
      <c r="K370"/>
    </row>
    <row r="371" spans="1:11" ht="15.75">
      <c r="A371"/>
      <c r="B371"/>
      <c r="C371"/>
      <c r="D371"/>
      <c r="E371"/>
      <c r="F371"/>
      <c r="G371"/>
      <c r="H371"/>
      <c r="I371"/>
      <c r="J371"/>
      <c r="K371"/>
    </row>
    <row r="372" spans="1:11" ht="15.75">
      <c r="A372"/>
      <c r="B372"/>
      <c r="C372"/>
      <c r="D372"/>
      <c r="E372"/>
      <c r="F372"/>
      <c r="G372"/>
      <c r="H372"/>
      <c r="I372"/>
      <c r="J372"/>
      <c r="K372"/>
    </row>
    <row r="373" spans="1:11" ht="15.75">
      <c r="A373"/>
      <c r="B373"/>
      <c r="C373"/>
      <c r="D373"/>
      <c r="E373"/>
      <c r="F373"/>
      <c r="G373"/>
      <c r="H373"/>
      <c r="I373"/>
      <c r="J373"/>
      <c r="K373"/>
    </row>
    <row r="374" spans="1:11" ht="15.75">
      <c r="A374"/>
      <c r="B374"/>
      <c r="C374"/>
      <c r="D374"/>
      <c r="E374"/>
      <c r="F374"/>
      <c r="G374"/>
      <c r="H374"/>
      <c r="I374"/>
      <c r="J374"/>
      <c r="K374"/>
    </row>
    <row r="375" spans="1:11" ht="15.75">
      <c r="A375"/>
      <c r="B375"/>
      <c r="C375"/>
      <c r="D375"/>
      <c r="E375"/>
      <c r="F375"/>
      <c r="G375"/>
      <c r="H375"/>
      <c r="I375"/>
      <c r="J375"/>
      <c r="K375"/>
    </row>
    <row r="376" spans="1:11" ht="15.75">
      <c r="A376"/>
      <c r="B376"/>
      <c r="C376"/>
      <c r="D376"/>
      <c r="E376"/>
      <c r="F376"/>
      <c r="G376"/>
      <c r="H376"/>
      <c r="I376"/>
      <c r="J376"/>
      <c r="K376"/>
    </row>
    <row r="377" spans="1:11" ht="15.75">
      <c r="A377"/>
      <c r="B377"/>
      <c r="C377"/>
      <c r="D377"/>
      <c r="E377"/>
      <c r="F377"/>
      <c r="G377"/>
      <c r="H377"/>
      <c r="I377"/>
      <c r="J377"/>
      <c r="K377"/>
    </row>
    <row r="378" spans="1:11" ht="15.75">
      <c r="A378"/>
      <c r="B378"/>
      <c r="C378"/>
      <c r="D378"/>
      <c r="E378"/>
      <c r="F378"/>
      <c r="G378"/>
      <c r="H378"/>
      <c r="I378"/>
      <c r="J378"/>
      <c r="K378"/>
    </row>
    <row r="379" spans="1:11" ht="15.75">
      <c r="A379"/>
      <c r="B379"/>
      <c r="C379"/>
      <c r="D379"/>
      <c r="E379"/>
      <c r="F379"/>
      <c r="G379"/>
      <c r="H379"/>
      <c r="I379"/>
      <c r="J379"/>
      <c r="K379"/>
    </row>
    <row r="380" spans="1:11" ht="15.75">
      <c r="A380"/>
      <c r="B380"/>
      <c r="C380"/>
      <c r="D380"/>
      <c r="E380"/>
      <c r="F380"/>
      <c r="G380"/>
      <c r="H380"/>
      <c r="I380"/>
      <c r="J380"/>
      <c r="K380"/>
    </row>
    <row r="381" spans="1:11" ht="15.75">
      <c r="A381"/>
      <c r="B381"/>
      <c r="C381"/>
      <c r="D381"/>
      <c r="E381"/>
      <c r="F381"/>
      <c r="G381"/>
      <c r="H381"/>
      <c r="I381"/>
      <c r="J381"/>
      <c r="K381"/>
    </row>
    <row r="382" spans="1:11" ht="15.75">
      <c r="A382"/>
      <c r="B382"/>
      <c r="C382"/>
      <c r="D382"/>
      <c r="E382"/>
      <c r="F382"/>
      <c r="G382"/>
      <c r="H382"/>
      <c r="I382"/>
      <c r="J382"/>
      <c r="K382"/>
    </row>
    <row r="383" spans="1:11" ht="15.75">
      <c r="A383"/>
      <c r="B383"/>
      <c r="C383"/>
      <c r="D383"/>
      <c r="E383"/>
      <c r="F383"/>
      <c r="G383"/>
      <c r="H383"/>
      <c r="I383"/>
      <c r="J383"/>
      <c r="K383"/>
    </row>
    <row r="384" spans="1:11" ht="15.75">
      <c r="A384"/>
      <c r="B384"/>
      <c r="C384"/>
      <c r="D384"/>
      <c r="E384"/>
      <c r="F384"/>
      <c r="G384"/>
      <c r="H384"/>
      <c r="I384"/>
      <c r="J384"/>
      <c r="K384"/>
    </row>
    <row r="385" spans="1:11" ht="15.75">
      <c r="A385"/>
      <c r="B385"/>
      <c r="C385"/>
      <c r="D385"/>
      <c r="E385"/>
      <c r="F385"/>
      <c r="G385"/>
      <c r="H385"/>
      <c r="I385"/>
      <c r="J385"/>
      <c r="K385"/>
    </row>
    <row r="386" spans="1:11" ht="15.75">
      <c r="A386"/>
      <c r="B386"/>
      <c r="C386"/>
      <c r="D386"/>
      <c r="E386"/>
      <c r="F386"/>
      <c r="G386"/>
      <c r="H386"/>
      <c r="I386"/>
      <c r="J386"/>
      <c r="K386"/>
    </row>
    <row r="387" spans="1:11" ht="15.75">
      <c r="A387"/>
      <c r="B387"/>
      <c r="C387"/>
      <c r="D387"/>
      <c r="E387"/>
      <c r="F387"/>
      <c r="G387"/>
      <c r="H387"/>
      <c r="I387"/>
      <c r="J387"/>
      <c r="K387"/>
    </row>
    <row r="388" spans="1:11" ht="15.75">
      <c r="A388"/>
      <c r="B388"/>
      <c r="C388"/>
      <c r="D388"/>
      <c r="E388"/>
      <c r="F388"/>
      <c r="G388"/>
      <c r="H388"/>
      <c r="I388"/>
      <c r="J388"/>
      <c r="K388"/>
    </row>
    <row r="389" spans="1:11" ht="15.75">
      <c r="A389"/>
      <c r="B389"/>
      <c r="C389"/>
      <c r="D389"/>
      <c r="E389"/>
      <c r="F389"/>
      <c r="G389"/>
      <c r="H389"/>
      <c r="I389"/>
      <c r="J389"/>
      <c r="K389"/>
    </row>
    <row r="390" spans="1:11" ht="15.75">
      <c r="A390"/>
      <c r="B390"/>
      <c r="C390"/>
      <c r="D390"/>
      <c r="E390"/>
      <c r="F390"/>
      <c r="G390"/>
      <c r="H390"/>
      <c r="I390"/>
      <c r="J390"/>
      <c r="K390"/>
    </row>
    <row r="391" spans="1:11" ht="15.75">
      <c r="A391"/>
      <c r="B391"/>
      <c r="C391"/>
      <c r="D391"/>
      <c r="E391"/>
      <c r="F391"/>
      <c r="G391"/>
      <c r="H391"/>
      <c r="I391"/>
      <c r="J391"/>
      <c r="K391"/>
    </row>
    <row r="392" spans="1:11" ht="15.75">
      <c r="A392"/>
      <c r="B392"/>
      <c r="C392"/>
      <c r="D392"/>
      <c r="E392"/>
      <c r="F392"/>
      <c r="G392"/>
      <c r="H392"/>
      <c r="I392"/>
      <c r="J392"/>
      <c r="K392"/>
    </row>
    <row r="393" spans="1:11" ht="15.75">
      <c r="A393"/>
      <c r="B393"/>
      <c r="C393"/>
      <c r="D393"/>
      <c r="E393"/>
      <c r="F393"/>
      <c r="G393"/>
      <c r="H393"/>
      <c r="I393"/>
      <c r="J393"/>
      <c r="K393"/>
    </row>
    <row r="394" spans="1:11" ht="15.75">
      <c r="A394"/>
      <c r="B394"/>
      <c r="C394"/>
      <c r="D394"/>
      <c r="E394"/>
      <c r="F394"/>
      <c r="G394"/>
      <c r="H394"/>
      <c r="I394"/>
      <c r="J394"/>
      <c r="K394"/>
    </row>
    <row r="395" spans="1:11" ht="15.75">
      <c r="A395"/>
      <c r="B395"/>
      <c r="C395"/>
      <c r="D395"/>
      <c r="E395"/>
      <c r="F395"/>
      <c r="G395"/>
      <c r="H395"/>
      <c r="I395"/>
      <c r="J395"/>
      <c r="K395"/>
    </row>
    <row r="396" spans="1:11" ht="15.75">
      <c r="A396"/>
      <c r="B396"/>
      <c r="C396"/>
      <c r="D396"/>
      <c r="E396"/>
      <c r="F396"/>
      <c r="G396"/>
      <c r="H396"/>
      <c r="I396"/>
      <c r="J396"/>
      <c r="K396"/>
    </row>
    <row r="397" spans="1:11" ht="15.75">
      <c r="A397"/>
      <c r="B397"/>
      <c r="C397"/>
      <c r="D397"/>
      <c r="E397"/>
      <c r="F397"/>
      <c r="G397"/>
      <c r="H397"/>
      <c r="I397"/>
      <c r="J397"/>
      <c r="K397"/>
    </row>
    <row r="398" spans="1:11" ht="15.75">
      <c r="A398"/>
      <c r="B398"/>
      <c r="C398"/>
      <c r="D398"/>
      <c r="E398"/>
      <c r="F398"/>
      <c r="G398"/>
      <c r="H398"/>
      <c r="I398"/>
      <c r="J398"/>
      <c r="K398"/>
    </row>
    <row r="399" spans="1:11" ht="15.75">
      <c r="A399"/>
      <c r="B399"/>
      <c r="C399"/>
      <c r="D399"/>
      <c r="E399"/>
      <c r="F399"/>
      <c r="G399"/>
      <c r="H399"/>
      <c r="I399"/>
      <c r="J399"/>
      <c r="K399"/>
    </row>
    <row r="400" spans="1:11" ht="15.75">
      <c r="A400"/>
      <c r="B400"/>
      <c r="C400"/>
      <c r="D400"/>
      <c r="E400"/>
      <c r="F400"/>
      <c r="G400"/>
      <c r="H400"/>
      <c r="I400"/>
      <c r="J400"/>
      <c r="K400"/>
    </row>
    <row r="401" spans="1:11" ht="15.75">
      <c r="A401"/>
      <c r="B401"/>
      <c r="C401"/>
      <c r="D401"/>
      <c r="E401"/>
      <c r="F401"/>
      <c r="G401"/>
      <c r="H401"/>
      <c r="I401"/>
      <c r="J401"/>
      <c r="K401"/>
    </row>
    <row r="402" spans="1:11" ht="15.75">
      <c r="A402"/>
      <c r="B402"/>
      <c r="C402"/>
      <c r="D402"/>
      <c r="E402"/>
      <c r="F402"/>
      <c r="G402"/>
      <c r="H402"/>
      <c r="I402"/>
      <c r="J402"/>
      <c r="K402"/>
    </row>
    <row r="403" spans="1:11" ht="15.75">
      <c r="A403"/>
      <c r="B403"/>
      <c r="C403"/>
      <c r="D403"/>
      <c r="E403"/>
      <c r="F403"/>
      <c r="G403"/>
      <c r="H403"/>
      <c r="I403"/>
      <c r="J403"/>
      <c r="K403"/>
    </row>
    <row r="404" spans="1:11" ht="15.75">
      <c r="A404"/>
      <c r="B404"/>
      <c r="C404"/>
      <c r="D404"/>
      <c r="E404"/>
      <c r="F404"/>
      <c r="G404"/>
      <c r="H404"/>
      <c r="I404"/>
      <c r="J404"/>
      <c r="K404"/>
    </row>
    <row r="405" spans="1:11" ht="15.75">
      <c r="A405"/>
      <c r="B405"/>
      <c r="C405"/>
      <c r="D405"/>
      <c r="E405"/>
      <c r="F405"/>
      <c r="G405"/>
      <c r="H405"/>
      <c r="I405"/>
      <c r="J405"/>
      <c r="K405"/>
    </row>
    <row r="406" spans="1:11" ht="15.75">
      <c r="A406"/>
      <c r="B406"/>
      <c r="C406"/>
      <c r="D406"/>
      <c r="E406"/>
      <c r="F406"/>
      <c r="G406"/>
      <c r="H406"/>
      <c r="I406"/>
      <c r="J406"/>
      <c r="K406"/>
    </row>
    <row r="407" spans="1:11" ht="15.75">
      <c r="A407"/>
      <c r="B407"/>
      <c r="C407"/>
      <c r="D407"/>
      <c r="E407"/>
      <c r="F407"/>
      <c r="G407"/>
      <c r="H407"/>
      <c r="I407"/>
      <c r="J407"/>
      <c r="K407"/>
    </row>
    <row r="408" spans="1:11" ht="15.75">
      <c r="A408"/>
      <c r="B408"/>
      <c r="C408"/>
      <c r="D408"/>
      <c r="E408"/>
      <c r="F408"/>
      <c r="G408"/>
      <c r="H408"/>
      <c r="I408"/>
      <c r="J408"/>
      <c r="K408"/>
    </row>
    <row r="409" spans="1:11" ht="15.75">
      <c r="A409"/>
      <c r="B409"/>
      <c r="C409"/>
      <c r="D409"/>
      <c r="E409"/>
      <c r="F409"/>
      <c r="G409"/>
      <c r="H409"/>
      <c r="I409"/>
      <c r="J409"/>
      <c r="K409"/>
    </row>
    <row r="410" spans="1:11" ht="15.75">
      <c r="A410"/>
      <c r="B410"/>
      <c r="C410"/>
      <c r="D410"/>
      <c r="E410"/>
      <c r="F410"/>
      <c r="G410"/>
      <c r="H410"/>
      <c r="I410"/>
      <c r="J410"/>
      <c r="K410"/>
    </row>
    <row r="411" spans="1:11" ht="15.75">
      <c r="A411"/>
      <c r="B411"/>
      <c r="C411"/>
      <c r="D411"/>
      <c r="E411"/>
      <c r="F411"/>
      <c r="G411"/>
      <c r="H411"/>
      <c r="I411"/>
      <c r="J411"/>
      <c r="K411"/>
    </row>
    <row r="412" spans="1:11" ht="15.75">
      <c r="A412"/>
      <c r="B412"/>
      <c r="C412"/>
      <c r="D412"/>
      <c r="E412"/>
      <c r="F412"/>
      <c r="G412"/>
      <c r="H412"/>
      <c r="I412"/>
      <c r="J412"/>
      <c r="K412"/>
    </row>
    <row r="413" spans="1:11" ht="15.75">
      <c r="A413"/>
      <c r="B413"/>
      <c r="C413"/>
      <c r="D413"/>
      <c r="E413"/>
      <c r="F413"/>
      <c r="G413"/>
      <c r="H413"/>
      <c r="I413"/>
      <c r="J413"/>
      <c r="K413"/>
    </row>
    <row r="414" spans="1:11" ht="15.75">
      <c r="A414"/>
      <c r="B414"/>
      <c r="C414"/>
      <c r="D414"/>
      <c r="E414"/>
      <c r="F414"/>
      <c r="G414"/>
      <c r="H414"/>
      <c r="I414"/>
      <c r="J414"/>
      <c r="K414"/>
    </row>
    <row r="415" spans="1:11" ht="15.75">
      <c r="A415"/>
      <c r="B415"/>
      <c r="C415"/>
      <c r="D415"/>
      <c r="E415"/>
      <c r="F415"/>
      <c r="G415"/>
      <c r="H415"/>
      <c r="I415"/>
      <c r="J415"/>
      <c r="K415"/>
    </row>
    <row r="416" spans="1:11" ht="15.75">
      <c r="A416"/>
      <c r="B416"/>
      <c r="C416"/>
      <c r="D416"/>
      <c r="E416"/>
      <c r="F416"/>
      <c r="G416"/>
      <c r="H416"/>
      <c r="I416"/>
      <c r="J416"/>
      <c r="K416"/>
    </row>
    <row r="417" spans="1:11" ht="15.75">
      <c r="A417"/>
      <c r="B417"/>
      <c r="C417"/>
      <c r="D417"/>
      <c r="E417"/>
      <c r="F417"/>
      <c r="G417"/>
      <c r="H417"/>
      <c r="I417"/>
      <c r="J417"/>
      <c r="K417"/>
    </row>
    <row r="418" spans="1:11" ht="15.75">
      <c r="A418"/>
      <c r="B418"/>
      <c r="C418"/>
      <c r="D418"/>
      <c r="E418"/>
      <c r="F418"/>
      <c r="G418"/>
      <c r="H418"/>
      <c r="I418"/>
      <c r="J418"/>
      <c r="K418"/>
    </row>
    <row r="419" spans="1:11" ht="15.75">
      <c r="A419"/>
      <c r="B419"/>
      <c r="C419"/>
      <c r="D419"/>
      <c r="E419"/>
      <c r="F419"/>
      <c r="G419"/>
      <c r="H419"/>
      <c r="I419"/>
      <c r="J419"/>
      <c r="K419"/>
    </row>
    <row r="420" spans="1:11" ht="15.75">
      <c r="A420"/>
      <c r="B420"/>
      <c r="C420"/>
      <c r="D420"/>
      <c r="E420"/>
      <c r="F420"/>
      <c r="G420"/>
      <c r="H420"/>
      <c r="I420"/>
      <c r="J420"/>
      <c r="K420"/>
    </row>
    <row r="421" spans="1:11" ht="15.75">
      <c r="A421"/>
      <c r="B421"/>
      <c r="C421"/>
      <c r="D421"/>
      <c r="E421"/>
      <c r="F421"/>
      <c r="G421"/>
      <c r="H421"/>
      <c r="I421"/>
      <c r="J421"/>
      <c r="K421"/>
    </row>
    <row r="422" spans="1:11" ht="15.75">
      <c r="A422"/>
      <c r="B422"/>
      <c r="C422"/>
      <c r="D422"/>
      <c r="E422"/>
      <c r="F422"/>
      <c r="G422"/>
      <c r="H422"/>
      <c r="I422"/>
      <c r="J422"/>
      <c r="K422"/>
    </row>
    <row r="423" spans="1:11" ht="15.75">
      <c r="A423"/>
      <c r="B423"/>
      <c r="C423"/>
      <c r="D423"/>
      <c r="E423"/>
      <c r="F423"/>
      <c r="G423"/>
      <c r="H423"/>
      <c r="I423"/>
      <c r="J423"/>
      <c r="K423"/>
    </row>
    <row r="424" spans="1:11" ht="15.75">
      <c r="A424"/>
      <c r="B424"/>
      <c r="C424"/>
      <c r="D424"/>
      <c r="E424"/>
      <c r="F424"/>
      <c r="G424"/>
      <c r="H424"/>
      <c r="I424"/>
      <c r="J424"/>
      <c r="K424"/>
    </row>
    <row r="425" spans="1:11" ht="15.75">
      <c r="A425"/>
      <c r="B425"/>
      <c r="C425"/>
      <c r="D425"/>
      <c r="E425"/>
      <c r="F425"/>
      <c r="G425"/>
      <c r="H425"/>
      <c r="I425"/>
      <c r="J425"/>
      <c r="K425"/>
    </row>
    <row r="426" spans="1:11" ht="15.75">
      <c r="A426"/>
      <c r="B426"/>
      <c r="C426"/>
      <c r="D426"/>
      <c r="E426"/>
      <c r="F426"/>
      <c r="G426"/>
      <c r="H426"/>
      <c r="I426"/>
      <c r="J426"/>
      <c r="K426"/>
    </row>
    <row r="427" spans="1:11" ht="15.75">
      <c r="A427"/>
      <c r="B427"/>
      <c r="C427"/>
      <c r="D427"/>
      <c r="E427"/>
      <c r="F427"/>
      <c r="G427"/>
      <c r="H427"/>
      <c r="I427"/>
      <c r="J427"/>
      <c r="K427"/>
    </row>
    <row r="428" spans="1:11" ht="15.75">
      <c r="A428"/>
      <c r="B428"/>
      <c r="C428"/>
      <c r="D428"/>
      <c r="E428"/>
      <c r="F428"/>
      <c r="G428"/>
      <c r="H428"/>
      <c r="I428"/>
      <c r="J428"/>
      <c r="K428"/>
    </row>
    <row r="429" spans="1:11" ht="15.75">
      <c r="A429"/>
      <c r="B429"/>
      <c r="C429"/>
      <c r="D429"/>
      <c r="E429"/>
      <c r="F429"/>
      <c r="G429"/>
      <c r="H429"/>
      <c r="I429"/>
      <c r="J429"/>
      <c r="K429"/>
    </row>
    <row r="430" spans="1:11" ht="15.75">
      <c r="A430"/>
      <c r="B430"/>
      <c r="C430"/>
      <c r="D430"/>
      <c r="E430"/>
      <c r="F430"/>
      <c r="G430"/>
      <c r="H430"/>
      <c r="I430"/>
      <c r="J430"/>
      <c r="K430"/>
    </row>
    <row r="431" spans="1:11" ht="15.75">
      <c r="A431"/>
      <c r="B431"/>
      <c r="C431"/>
      <c r="D431"/>
      <c r="E431"/>
      <c r="F431"/>
      <c r="G431"/>
      <c r="H431"/>
      <c r="I431"/>
      <c r="J431"/>
      <c r="K431"/>
    </row>
    <row r="432" spans="1:11" ht="15.75">
      <c r="A432"/>
      <c r="B432"/>
      <c r="C432"/>
      <c r="D432"/>
      <c r="E432"/>
      <c r="F432"/>
      <c r="G432"/>
      <c r="H432"/>
      <c r="I432"/>
      <c r="J432"/>
      <c r="K432"/>
    </row>
    <row r="433" spans="1:11" ht="15.75">
      <c r="A433"/>
      <c r="B433"/>
      <c r="C433"/>
      <c r="D433"/>
      <c r="E433"/>
      <c r="F433"/>
      <c r="G433"/>
      <c r="H433"/>
      <c r="I433"/>
      <c r="J433"/>
      <c r="K433"/>
    </row>
    <row r="434" spans="1:11" ht="15.75">
      <c r="A434"/>
      <c r="B434"/>
      <c r="C434"/>
      <c r="D434"/>
      <c r="E434"/>
      <c r="F434"/>
      <c r="G434"/>
      <c r="H434"/>
      <c r="I434"/>
      <c r="J434"/>
      <c r="K434"/>
    </row>
    <row r="435" spans="1:11" ht="15.75">
      <c r="A435"/>
      <c r="B435"/>
      <c r="C435"/>
      <c r="D435"/>
      <c r="E435"/>
      <c r="F435"/>
      <c r="G435"/>
      <c r="H435"/>
      <c r="I435"/>
      <c r="J435"/>
      <c r="K435"/>
    </row>
    <row r="436" spans="1:11" ht="15.75">
      <c r="A436"/>
      <c r="B436"/>
      <c r="C436"/>
      <c r="D436"/>
      <c r="E436"/>
      <c r="F436"/>
      <c r="G436"/>
      <c r="H436"/>
      <c r="I436"/>
      <c r="J436"/>
      <c r="K436"/>
    </row>
    <row r="437" spans="1:11" ht="15.75">
      <c r="A437"/>
      <c r="B437"/>
      <c r="C437"/>
      <c r="D437"/>
      <c r="E437"/>
      <c r="F437"/>
      <c r="G437"/>
      <c r="H437"/>
      <c r="I437"/>
      <c r="J437"/>
      <c r="K437"/>
    </row>
    <row r="438" spans="1:11" ht="15.75">
      <c r="A438"/>
      <c r="B438"/>
      <c r="C438"/>
      <c r="D438"/>
      <c r="E438"/>
      <c r="F438"/>
      <c r="G438"/>
      <c r="H438"/>
      <c r="I438"/>
      <c r="J438"/>
      <c r="K438"/>
    </row>
    <row r="439" spans="1:11" ht="15.75">
      <c r="A439"/>
      <c r="B439"/>
      <c r="C439"/>
      <c r="D439"/>
      <c r="E439"/>
      <c r="F439"/>
      <c r="G439"/>
      <c r="H439"/>
      <c r="I439"/>
      <c r="J439"/>
      <c r="K439"/>
    </row>
    <row r="440" spans="1:11" ht="15.75">
      <c r="A440"/>
      <c r="B440"/>
      <c r="C440"/>
      <c r="D440"/>
      <c r="E440"/>
      <c r="F440"/>
      <c r="G440"/>
      <c r="H440"/>
      <c r="I440"/>
      <c r="J440"/>
      <c r="K440"/>
    </row>
    <row r="441" spans="1:11" ht="15.75">
      <c r="A441"/>
      <c r="B441"/>
      <c r="C441"/>
      <c r="D441"/>
      <c r="E441"/>
      <c r="F441"/>
      <c r="G441"/>
      <c r="H441"/>
      <c r="I441"/>
      <c r="J441"/>
      <c r="K441"/>
    </row>
    <row r="442" spans="1:11" ht="15.75">
      <c r="A442"/>
      <c r="B442"/>
      <c r="C442"/>
      <c r="D442"/>
      <c r="E442"/>
      <c r="F442"/>
      <c r="G442"/>
      <c r="H442"/>
      <c r="I442"/>
      <c r="J442"/>
      <c r="K442"/>
    </row>
    <row r="443" spans="1:11" ht="15.75">
      <c r="A443"/>
      <c r="B443"/>
      <c r="C443"/>
      <c r="D443"/>
      <c r="E443"/>
      <c r="F443"/>
      <c r="G443"/>
      <c r="H443"/>
      <c r="I443"/>
      <c r="J443"/>
      <c r="K443"/>
    </row>
    <row r="444" spans="1:11" ht="15.75">
      <c r="A444"/>
      <c r="B444"/>
      <c r="C444"/>
      <c r="D444"/>
      <c r="E444"/>
      <c r="F444"/>
      <c r="G444"/>
      <c r="H444"/>
      <c r="I444"/>
      <c r="J444"/>
      <c r="K444"/>
    </row>
    <row r="445" spans="1:11" ht="15.75">
      <c r="A445"/>
      <c r="B445"/>
      <c r="C445"/>
      <c r="D445"/>
      <c r="E445"/>
      <c r="F445"/>
      <c r="G445"/>
      <c r="H445"/>
      <c r="I445"/>
      <c r="J445"/>
      <c r="K445"/>
    </row>
    <row r="446" spans="1:11" ht="15.75">
      <c r="A446"/>
      <c r="B446"/>
      <c r="C446"/>
      <c r="D446"/>
      <c r="E446"/>
      <c r="F446"/>
      <c r="G446"/>
      <c r="H446"/>
      <c r="I446"/>
      <c r="J446"/>
      <c r="K446"/>
    </row>
    <row r="447" spans="1:11" ht="15.75">
      <c r="A447"/>
      <c r="B447"/>
      <c r="C447"/>
      <c r="D447"/>
      <c r="E447"/>
      <c r="F447"/>
      <c r="G447"/>
      <c r="H447"/>
      <c r="I447"/>
      <c r="J447"/>
      <c r="K447"/>
    </row>
    <row r="448" spans="1:11" ht="15.75">
      <c r="A448"/>
      <c r="B448"/>
      <c r="C448"/>
      <c r="D448"/>
      <c r="E448"/>
      <c r="F448"/>
      <c r="G448"/>
      <c r="H448"/>
      <c r="I448"/>
      <c r="J448"/>
      <c r="K448"/>
    </row>
    <row r="449" spans="1:11" ht="15.75">
      <c r="A449"/>
      <c r="B449"/>
      <c r="C449"/>
      <c r="D449"/>
      <c r="E449"/>
      <c r="F449"/>
      <c r="G449"/>
      <c r="H449"/>
      <c r="I449"/>
      <c r="J449"/>
      <c r="K449"/>
    </row>
    <row r="450" spans="1:11" ht="15.75">
      <c r="A450"/>
      <c r="B450"/>
      <c r="C450"/>
      <c r="D450"/>
      <c r="E450"/>
      <c r="F450"/>
      <c r="G450"/>
      <c r="H450"/>
      <c r="I450"/>
      <c r="J450"/>
      <c r="K450"/>
    </row>
    <row r="451" spans="1:11" ht="15.75">
      <c r="A451"/>
      <c r="B451"/>
      <c r="C451"/>
      <c r="D451"/>
      <c r="E451"/>
      <c r="F451"/>
      <c r="G451"/>
      <c r="H451"/>
      <c r="I451"/>
      <c r="J451"/>
      <c r="K451"/>
    </row>
    <row r="452" spans="1:11" ht="15.75">
      <c r="A452"/>
      <c r="B452"/>
      <c r="C452"/>
      <c r="D452"/>
      <c r="E452"/>
      <c r="F452"/>
      <c r="G452"/>
      <c r="H452"/>
      <c r="I452"/>
      <c r="J452"/>
      <c r="K452"/>
    </row>
    <row r="453" spans="1:11" ht="15.75">
      <c r="A453"/>
      <c r="B453"/>
      <c r="C453"/>
      <c r="D453"/>
      <c r="E453"/>
      <c r="F453"/>
      <c r="G453"/>
      <c r="H453"/>
      <c r="I453"/>
      <c r="J453"/>
      <c r="K453"/>
    </row>
    <row r="454" spans="1:11" ht="15.75">
      <c r="A454"/>
      <c r="B454"/>
      <c r="C454"/>
      <c r="D454"/>
      <c r="E454"/>
      <c r="F454"/>
      <c r="G454"/>
      <c r="H454"/>
      <c r="I454"/>
      <c r="J454"/>
      <c r="K454"/>
    </row>
    <row r="455" spans="1:11" ht="15.75">
      <c r="A455"/>
      <c r="B455"/>
      <c r="C455"/>
      <c r="D455"/>
      <c r="E455"/>
      <c r="F455"/>
      <c r="G455"/>
      <c r="H455"/>
      <c r="I455"/>
      <c r="J455"/>
      <c r="K455"/>
    </row>
    <row r="456" spans="1:11" ht="15.75">
      <c r="A456"/>
      <c r="B456"/>
      <c r="C456"/>
      <c r="D456"/>
      <c r="E456"/>
      <c r="F456"/>
      <c r="G456"/>
      <c r="H456"/>
      <c r="I456"/>
      <c r="J456"/>
      <c r="K456"/>
    </row>
    <row r="457" spans="1:11" ht="15.75">
      <c r="A457"/>
      <c r="B457"/>
      <c r="C457"/>
      <c r="D457"/>
      <c r="E457"/>
      <c r="F457"/>
      <c r="G457"/>
      <c r="H457"/>
      <c r="I457"/>
      <c r="J457"/>
      <c r="K457"/>
    </row>
    <row r="458" spans="1:11" ht="15.75">
      <c r="A458"/>
      <c r="B458"/>
      <c r="C458"/>
      <c r="D458"/>
      <c r="E458"/>
      <c r="F458"/>
      <c r="G458"/>
      <c r="H458"/>
      <c r="I458"/>
      <c r="J458"/>
      <c r="K458"/>
    </row>
    <row r="459" spans="1:11" ht="15.75">
      <c r="A459"/>
      <c r="B459"/>
      <c r="C459"/>
      <c r="D459"/>
      <c r="E459"/>
      <c r="F459"/>
      <c r="G459"/>
      <c r="H459"/>
      <c r="I459"/>
      <c r="J459"/>
      <c r="K459"/>
    </row>
    <row r="460" spans="1:11" ht="15.75">
      <c r="A460"/>
      <c r="B460"/>
      <c r="C460"/>
      <c r="D460"/>
      <c r="E460"/>
      <c r="F460"/>
      <c r="G460"/>
      <c r="H460"/>
      <c r="I460"/>
      <c r="J460"/>
      <c r="K460"/>
    </row>
    <row r="461" spans="1:11" ht="15.75">
      <c r="A461"/>
      <c r="B461"/>
      <c r="C461"/>
      <c r="D461"/>
      <c r="E461"/>
      <c r="F461"/>
      <c r="G461"/>
      <c r="H461"/>
      <c r="I461"/>
      <c r="J461"/>
      <c r="K461"/>
    </row>
    <row r="462" spans="1:11" ht="15.75">
      <c r="A462"/>
      <c r="B462"/>
      <c r="C462"/>
      <c r="D462"/>
      <c r="E462"/>
      <c r="F462"/>
      <c r="G462"/>
      <c r="H462"/>
      <c r="I462"/>
      <c r="J462"/>
      <c r="K462"/>
    </row>
    <row r="463" spans="1:11" ht="15.75">
      <c r="A463"/>
      <c r="B463"/>
      <c r="C463"/>
      <c r="D463"/>
      <c r="E463"/>
      <c r="F463"/>
      <c r="G463"/>
      <c r="H463"/>
      <c r="I463"/>
      <c r="J463"/>
      <c r="K463"/>
    </row>
    <row r="464" spans="1:11" ht="15.75">
      <c r="A464"/>
      <c r="B464"/>
      <c r="C464"/>
      <c r="D464"/>
      <c r="E464"/>
      <c r="F464"/>
      <c r="G464"/>
      <c r="H464"/>
      <c r="I464"/>
      <c r="J464"/>
      <c r="K464"/>
    </row>
    <row r="465" spans="1:11" ht="15.75">
      <c r="A465"/>
      <c r="B465"/>
      <c r="C465"/>
      <c r="D465"/>
      <c r="E465"/>
      <c r="F465"/>
      <c r="G465"/>
      <c r="H465"/>
      <c r="I465"/>
      <c r="J465"/>
      <c r="K465"/>
    </row>
    <row r="466" spans="1:11" ht="15.75">
      <c r="A466"/>
      <c r="B466"/>
      <c r="C466"/>
      <c r="D466"/>
      <c r="E466"/>
      <c r="F466"/>
      <c r="G466"/>
      <c r="H466"/>
      <c r="I466"/>
      <c r="J466"/>
      <c r="K466"/>
    </row>
    <row r="467" spans="1:11" ht="15.75">
      <c r="A467"/>
      <c r="B467"/>
      <c r="C467"/>
      <c r="D467"/>
      <c r="E467"/>
      <c r="F467"/>
      <c r="G467"/>
      <c r="H467"/>
      <c r="I467"/>
      <c r="J467"/>
      <c r="K467"/>
    </row>
    <row r="468" spans="1:11" ht="15.75">
      <c r="A468"/>
      <c r="B468"/>
      <c r="C468"/>
      <c r="D468"/>
      <c r="E468"/>
      <c r="F468"/>
      <c r="G468"/>
      <c r="H468"/>
      <c r="I468"/>
      <c r="J468"/>
      <c r="K468"/>
    </row>
    <row r="469" spans="1:11" ht="15.75">
      <c r="A469"/>
      <c r="B469"/>
      <c r="C469"/>
      <c r="D469"/>
      <c r="E469"/>
      <c r="F469"/>
      <c r="G469"/>
      <c r="H469"/>
      <c r="I469"/>
      <c r="J469"/>
      <c r="K469"/>
    </row>
    <row r="470" spans="1:11" ht="15.75">
      <c r="A470"/>
      <c r="B470"/>
      <c r="C470"/>
      <c r="D470"/>
      <c r="E470"/>
      <c r="F470"/>
      <c r="G470"/>
      <c r="H470"/>
      <c r="I470"/>
      <c r="J470"/>
      <c r="K470"/>
    </row>
    <row r="471" spans="1:11" ht="15.75">
      <c r="A471"/>
      <c r="B471"/>
      <c r="C471"/>
      <c r="D471"/>
      <c r="E471"/>
      <c r="F471"/>
      <c r="G471"/>
      <c r="H471"/>
      <c r="I471"/>
      <c r="J471"/>
      <c r="K471"/>
    </row>
    <row r="472" spans="1:11" ht="15.75">
      <c r="A472"/>
      <c r="B472"/>
      <c r="C472"/>
      <c r="D472"/>
      <c r="E472"/>
      <c r="F472"/>
      <c r="G472"/>
      <c r="H472"/>
      <c r="I472"/>
      <c r="J472"/>
      <c r="K472"/>
    </row>
    <row r="473" spans="1:11" ht="15.75">
      <c r="A473"/>
      <c r="B473"/>
      <c r="C473"/>
      <c r="D473"/>
      <c r="E473"/>
      <c r="F473"/>
      <c r="G473"/>
      <c r="H473"/>
      <c r="I473"/>
      <c r="J473"/>
      <c r="K473"/>
    </row>
    <row r="474" spans="1:11" ht="15.75">
      <c r="A474"/>
      <c r="B474"/>
      <c r="C474"/>
      <c r="D474"/>
      <c r="E474"/>
      <c r="F474"/>
      <c r="G474"/>
      <c r="H474"/>
      <c r="I474"/>
      <c r="J474"/>
      <c r="K474"/>
    </row>
    <row r="475" spans="1:11" ht="15.75">
      <c r="A475"/>
      <c r="B475"/>
      <c r="C475"/>
      <c r="D475"/>
      <c r="E475"/>
      <c r="F475"/>
      <c r="G475"/>
      <c r="H475"/>
      <c r="I475"/>
      <c r="J475"/>
      <c r="K475"/>
    </row>
    <row r="476" spans="1:11" ht="15.75">
      <c r="A476"/>
      <c r="B476"/>
      <c r="C476"/>
      <c r="D476"/>
      <c r="E476"/>
      <c r="F476"/>
      <c r="G476"/>
      <c r="H476"/>
      <c r="I476"/>
      <c r="J476"/>
      <c r="K476"/>
    </row>
    <row r="477" spans="1:11" ht="15.75">
      <c r="A477"/>
      <c r="B477"/>
      <c r="C477"/>
      <c r="D477"/>
      <c r="E477"/>
      <c r="F477"/>
      <c r="G477"/>
      <c r="H477"/>
      <c r="I477"/>
      <c r="J477"/>
      <c r="K477"/>
    </row>
    <row r="478" spans="1:11" ht="15.75">
      <c r="A478"/>
      <c r="B478"/>
      <c r="C478"/>
      <c r="D478"/>
      <c r="E478"/>
      <c r="F478"/>
      <c r="G478"/>
      <c r="H478"/>
      <c r="I478"/>
      <c r="J478"/>
      <c r="K478"/>
    </row>
    <row r="479" spans="1:11" ht="15.75">
      <c r="A479"/>
      <c r="B479"/>
      <c r="C479"/>
      <c r="D479"/>
      <c r="E479"/>
      <c r="F479"/>
      <c r="G479"/>
      <c r="H479"/>
      <c r="I479"/>
      <c r="J479"/>
      <c r="K479"/>
    </row>
    <row r="480" spans="1:11" ht="15.75">
      <c r="A480"/>
      <c r="B480"/>
      <c r="C480"/>
      <c r="D480"/>
      <c r="E480"/>
      <c r="F480"/>
      <c r="G480"/>
      <c r="H480"/>
      <c r="I480"/>
      <c r="J480"/>
      <c r="K480"/>
    </row>
    <row r="481" spans="1:11" ht="15.75">
      <c r="A481"/>
      <c r="B481"/>
      <c r="C481"/>
      <c r="D481"/>
      <c r="E481"/>
      <c r="F481"/>
      <c r="G481"/>
      <c r="H481"/>
      <c r="I481"/>
      <c r="J481"/>
      <c r="K481"/>
    </row>
    <row r="482" spans="1:11" ht="15.75">
      <c r="A482"/>
      <c r="B482"/>
      <c r="C482"/>
      <c r="D482"/>
      <c r="E482"/>
      <c r="F482"/>
      <c r="G482"/>
      <c r="H482"/>
      <c r="I482"/>
      <c r="J482"/>
      <c r="K482"/>
    </row>
    <row r="483" spans="1:11" ht="15.75">
      <c r="A483"/>
      <c r="B483"/>
      <c r="C483"/>
      <c r="D483"/>
      <c r="E483"/>
      <c r="F483"/>
      <c r="G483"/>
      <c r="H483"/>
      <c r="I483"/>
      <c r="J483"/>
      <c r="K483"/>
    </row>
    <row r="484" spans="1:11" ht="15.75">
      <c r="A484"/>
      <c r="B484"/>
      <c r="C484"/>
      <c r="D484"/>
      <c r="E484"/>
      <c r="F484"/>
      <c r="G484"/>
      <c r="H484"/>
      <c r="I484"/>
      <c r="J484"/>
      <c r="K484"/>
    </row>
    <row r="485" spans="1:11" ht="15.75">
      <c r="A485"/>
      <c r="B485"/>
      <c r="C485"/>
      <c r="D485"/>
      <c r="E485"/>
      <c r="F485"/>
      <c r="G485"/>
      <c r="H485"/>
      <c r="I485"/>
      <c r="J485"/>
      <c r="K485"/>
    </row>
    <row r="486" spans="1:11" ht="15.75">
      <c r="A486"/>
      <c r="B486"/>
      <c r="C486"/>
      <c r="D486"/>
      <c r="E486"/>
      <c r="F486"/>
      <c r="G486"/>
      <c r="H486"/>
      <c r="I486"/>
      <c r="J486"/>
      <c r="K486"/>
    </row>
    <row r="487" spans="1:11" ht="15.75">
      <c r="A487"/>
      <c r="B487"/>
      <c r="C487"/>
      <c r="D487"/>
      <c r="E487"/>
      <c r="F487"/>
      <c r="G487"/>
      <c r="H487"/>
      <c r="I487"/>
      <c r="J487"/>
      <c r="K487"/>
    </row>
    <row r="488" spans="1:11" ht="15.75">
      <c r="A488"/>
      <c r="B488"/>
      <c r="C488"/>
      <c r="D488"/>
      <c r="E488"/>
      <c r="F488"/>
      <c r="G488"/>
      <c r="H488"/>
      <c r="I488"/>
      <c r="J488"/>
      <c r="K488"/>
    </row>
    <row r="489" spans="1:11" ht="15.75">
      <c r="A489"/>
      <c r="B489"/>
      <c r="C489"/>
      <c r="D489"/>
      <c r="E489"/>
      <c r="F489"/>
      <c r="G489"/>
      <c r="H489"/>
      <c r="I489"/>
      <c r="J489"/>
      <c r="K489"/>
    </row>
    <row r="490" spans="1:11" ht="15.75">
      <c r="A490"/>
      <c r="B490"/>
      <c r="C490"/>
      <c r="D490"/>
      <c r="E490"/>
      <c r="F490"/>
      <c r="G490"/>
      <c r="H490"/>
      <c r="I490"/>
      <c r="J490"/>
      <c r="K490"/>
    </row>
    <row r="491" spans="1:11" ht="15.75">
      <c r="A491"/>
      <c r="B491"/>
      <c r="C491"/>
      <c r="D491"/>
      <c r="E491"/>
      <c r="F491"/>
      <c r="G491"/>
      <c r="H491"/>
      <c r="I491"/>
      <c r="J491"/>
      <c r="K491"/>
    </row>
    <row r="492" spans="1:11" ht="15.75">
      <c r="A492"/>
      <c r="B492"/>
      <c r="C492"/>
      <c r="D492"/>
      <c r="E492"/>
      <c r="F492"/>
      <c r="G492"/>
      <c r="H492"/>
      <c r="I492"/>
      <c r="J492"/>
      <c r="K492"/>
    </row>
    <row r="493" spans="1:11" ht="15.75">
      <c r="A493"/>
      <c r="B493"/>
      <c r="C493"/>
      <c r="D493"/>
      <c r="E493"/>
      <c r="F493"/>
      <c r="G493"/>
      <c r="H493"/>
      <c r="I493"/>
      <c r="J493"/>
      <c r="K493"/>
    </row>
    <row r="494" spans="1:11" ht="15.75">
      <c r="A494"/>
      <c r="B494"/>
      <c r="C494"/>
      <c r="D494"/>
      <c r="E494"/>
      <c r="F494"/>
      <c r="G494"/>
      <c r="H494"/>
      <c r="I494"/>
      <c r="J494"/>
      <c r="K494"/>
    </row>
    <row r="495" spans="1:11" ht="15.75">
      <c r="A495"/>
      <c r="B495"/>
      <c r="C495"/>
      <c r="D495"/>
      <c r="E495"/>
      <c r="F495"/>
      <c r="G495"/>
      <c r="H495"/>
      <c r="I495"/>
      <c r="J495"/>
      <c r="K495"/>
    </row>
    <row r="496" spans="1:11" ht="15.75">
      <c r="A496"/>
      <c r="B496"/>
      <c r="C496"/>
      <c r="D496"/>
      <c r="E496"/>
      <c r="F496"/>
      <c r="G496"/>
      <c r="H496"/>
      <c r="I496"/>
      <c r="J496"/>
      <c r="K496"/>
    </row>
    <row r="497" spans="1:11" ht="15.75">
      <c r="A497"/>
      <c r="B497"/>
      <c r="C497"/>
      <c r="D497"/>
      <c r="E497"/>
      <c r="F497"/>
      <c r="G497"/>
      <c r="H497"/>
      <c r="I497"/>
      <c r="J497"/>
      <c r="K497"/>
    </row>
    <row r="498" spans="1:11" ht="15.75">
      <c r="A498"/>
      <c r="B498"/>
      <c r="C498"/>
      <c r="D498"/>
      <c r="E498"/>
      <c r="F498"/>
      <c r="G498"/>
      <c r="H498"/>
      <c r="I498"/>
      <c r="J498"/>
      <c r="K498"/>
    </row>
    <row r="499" spans="1:11" ht="15.75">
      <c r="A499"/>
      <c r="B499"/>
      <c r="C499"/>
      <c r="D499"/>
      <c r="E499"/>
      <c r="F499"/>
      <c r="G499"/>
      <c r="H499"/>
      <c r="I499"/>
      <c r="J499"/>
      <c r="K499"/>
    </row>
    <row r="500" spans="1:11" ht="15.75">
      <c r="A500"/>
      <c r="B500"/>
      <c r="C500"/>
      <c r="D500"/>
      <c r="E500"/>
      <c r="F500"/>
      <c r="G500"/>
      <c r="H500"/>
      <c r="I500"/>
      <c r="J500"/>
      <c r="K500"/>
    </row>
    <row r="501" spans="1:11" ht="15.75">
      <c r="A501"/>
      <c r="B501"/>
      <c r="C501"/>
      <c r="D501"/>
      <c r="E501"/>
      <c r="F501"/>
      <c r="G501"/>
      <c r="H501"/>
      <c r="I501"/>
      <c r="J501"/>
      <c r="K501"/>
    </row>
    <row r="502" spans="1:11" ht="15.75">
      <c r="A502"/>
      <c r="B502"/>
      <c r="C502"/>
      <c r="D502"/>
      <c r="E502"/>
      <c r="F502"/>
      <c r="G502"/>
      <c r="H502"/>
      <c r="I502"/>
      <c r="J502"/>
      <c r="K502"/>
    </row>
    <row r="503" spans="1:11" ht="15.75">
      <c r="A503"/>
      <c r="B503"/>
      <c r="C503"/>
      <c r="D503"/>
      <c r="E503"/>
      <c r="F503"/>
      <c r="G503"/>
      <c r="H503"/>
      <c r="I503"/>
      <c r="J503"/>
      <c r="K503"/>
    </row>
    <row r="504" spans="1:11" ht="15.75">
      <c r="A504"/>
      <c r="B504"/>
      <c r="C504"/>
      <c r="D504"/>
      <c r="E504"/>
      <c r="F504"/>
      <c r="G504"/>
      <c r="H504"/>
      <c r="I504"/>
      <c r="J504"/>
      <c r="K504"/>
    </row>
    <row r="505" spans="1:11" ht="15.75">
      <c r="A505"/>
      <c r="B505"/>
      <c r="C505"/>
      <c r="D505"/>
      <c r="E505"/>
      <c r="F505"/>
      <c r="G505"/>
      <c r="H505"/>
      <c r="I505"/>
      <c r="J505"/>
      <c r="K505"/>
    </row>
    <row r="506" spans="1:11" ht="15.75">
      <c r="A506"/>
      <c r="B506"/>
      <c r="C506"/>
      <c r="D506"/>
      <c r="E506"/>
      <c r="F506"/>
      <c r="G506"/>
      <c r="H506"/>
      <c r="I506"/>
      <c r="J506"/>
      <c r="K506"/>
    </row>
    <row r="507" spans="1:11" ht="15.75">
      <c r="A507"/>
      <c r="B507"/>
      <c r="C507"/>
      <c r="D507"/>
      <c r="E507"/>
      <c r="F507"/>
      <c r="G507"/>
      <c r="H507"/>
      <c r="I507"/>
      <c r="J507"/>
      <c r="K507"/>
    </row>
    <row r="508" spans="1:11" ht="15.75">
      <c r="A508"/>
      <c r="B508"/>
      <c r="C508"/>
      <c r="D508"/>
      <c r="E508"/>
      <c r="F508"/>
      <c r="G508"/>
      <c r="H508"/>
      <c r="I508"/>
      <c r="J508"/>
      <c r="K508"/>
    </row>
    <row r="509" spans="1:11" ht="15.75">
      <c r="A509"/>
      <c r="B509"/>
      <c r="C509"/>
      <c r="D509"/>
      <c r="E509"/>
      <c r="F509"/>
      <c r="G509"/>
      <c r="H509"/>
      <c r="I509"/>
      <c r="J509"/>
      <c r="K509"/>
    </row>
    <row r="510" spans="1:11" ht="15.75">
      <c r="A510"/>
      <c r="B510"/>
      <c r="C510"/>
      <c r="D510"/>
      <c r="E510"/>
      <c r="F510"/>
      <c r="G510"/>
      <c r="H510"/>
      <c r="I510"/>
      <c r="J510"/>
      <c r="K510"/>
    </row>
    <row r="511" spans="1:11" ht="15.75">
      <c r="A511"/>
      <c r="B511"/>
      <c r="C511"/>
      <c r="D511"/>
      <c r="E511"/>
      <c r="F511"/>
      <c r="G511"/>
      <c r="H511"/>
      <c r="I511"/>
      <c r="J511"/>
      <c r="K511"/>
    </row>
    <row r="512" spans="1:11" ht="15.75">
      <c r="A512"/>
      <c r="B512"/>
      <c r="C512"/>
      <c r="D512"/>
      <c r="E512"/>
      <c r="F512"/>
      <c r="G512"/>
      <c r="H512"/>
      <c r="I512"/>
      <c r="J512"/>
      <c r="K512"/>
    </row>
    <row r="513" spans="1:11" ht="15.75">
      <c r="A513"/>
      <c r="B513"/>
      <c r="C513"/>
      <c r="D513"/>
      <c r="E513"/>
      <c r="F513"/>
      <c r="G513"/>
      <c r="H513"/>
      <c r="I513"/>
      <c r="J513"/>
      <c r="K513"/>
    </row>
    <row r="514" spans="1:11" ht="15.75">
      <c r="A514"/>
      <c r="B514"/>
      <c r="C514"/>
      <c r="D514"/>
      <c r="E514"/>
      <c r="F514"/>
      <c r="G514"/>
      <c r="H514"/>
      <c r="I514"/>
      <c r="J514"/>
      <c r="K514"/>
    </row>
    <row r="515" spans="1:11" ht="15.75">
      <c r="A515"/>
      <c r="B515"/>
      <c r="C515"/>
      <c r="D515"/>
      <c r="E515"/>
      <c r="F515"/>
      <c r="G515"/>
      <c r="H515"/>
      <c r="I515"/>
      <c r="J515"/>
      <c r="K515"/>
    </row>
    <row r="516" spans="1:11" ht="15.75">
      <c r="A516"/>
      <c r="B516"/>
      <c r="C516"/>
      <c r="D516"/>
      <c r="E516"/>
      <c r="F516"/>
      <c r="G516"/>
      <c r="H516"/>
      <c r="I516"/>
      <c r="J516"/>
      <c r="K516"/>
    </row>
    <row r="517" spans="1:11" ht="15.75">
      <c r="A517"/>
      <c r="B517"/>
      <c r="C517"/>
      <c r="D517"/>
      <c r="E517"/>
      <c r="F517"/>
      <c r="G517"/>
      <c r="H517"/>
      <c r="I517"/>
      <c r="J517"/>
      <c r="K517"/>
    </row>
    <row r="518" spans="1:11" ht="15.75">
      <c r="A518"/>
      <c r="B518"/>
      <c r="C518"/>
      <c r="D518"/>
      <c r="E518"/>
      <c r="F518"/>
      <c r="G518"/>
      <c r="H518"/>
      <c r="I518"/>
      <c r="J518"/>
      <c r="K518"/>
    </row>
    <row r="519" spans="1:11" ht="15.75">
      <c r="A519"/>
      <c r="B519"/>
      <c r="C519"/>
      <c r="D519"/>
      <c r="E519"/>
      <c r="F519"/>
      <c r="G519"/>
      <c r="H519"/>
      <c r="I519"/>
      <c r="J519"/>
      <c r="K519"/>
    </row>
    <row r="520" spans="1:11" ht="15.75">
      <c r="A520"/>
      <c r="B520"/>
      <c r="C520"/>
      <c r="D520"/>
      <c r="E520"/>
      <c r="F520"/>
      <c r="G520"/>
      <c r="H520"/>
      <c r="I520"/>
      <c r="J520"/>
      <c r="K520"/>
    </row>
    <row r="521" spans="1:11" ht="15.75">
      <c r="A521"/>
      <c r="B521"/>
      <c r="C521"/>
      <c r="D521"/>
      <c r="E521"/>
      <c r="F521"/>
      <c r="G521"/>
      <c r="H521"/>
      <c r="I521"/>
      <c r="J521"/>
      <c r="K521"/>
    </row>
    <row r="522" spans="1:11" ht="15.75">
      <c r="A522"/>
      <c r="B522"/>
      <c r="C522"/>
      <c r="D522"/>
      <c r="E522"/>
      <c r="F522"/>
      <c r="G522"/>
      <c r="H522"/>
      <c r="I522"/>
      <c r="J522"/>
      <c r="K522"/>
    </row>
    <row r="523" spans="1:11" ht="15.75">
      <c r="A523"/>
      <c r="B523"/>
      <c r="C523"/>
      <c r="D523"/>
      <c r="E523"/>
      <c r="F523"/>
      <c r="G523"/>
      <c r="H523"/>
      <c r="I523"/>
      <c r="J523"/>
      <c r="K523"/>
    </row>
    <row r="524" spans="1:11" ht="15.75">
      <c r="A524"/>
      <c r="B524"/>
      <c r="C524"/>
      <c r="D524"/>
      <c r="E524"/>
      <c r="F524"/>
      <c r="G524"/>
      <c r="H524"/>
      <c r="I524"/>
      <c r="J524"/>
      <c r="K524"/>
    </row>
    <row r="525" spans="1:11" ht="15.75">
      <c r="A525"/>
      <c r="B525"/>
      <c r="C525"/>
      <c r="D525"/>
      <c r="E525"/>
      <c r="F525"/>
      <c r="G525"/>
      <c r="H525"/>
      <c r="I525"/>
      <c r="J525"/>
      <c r="K525"/>
    </row>
    <row r="526" spans="1:11" ht="15.75">
      <c r="A526"/>
      <c r="B526"/>
      <c r="C526"/>
      <c r="D526"/>
      <c r="E526"/>
      <c r="F526"/>
      <c r="G526"/>
      <c r="H526"/>
      <c r="I526"/>
      <c r="J526"/>
      <c r="K526"/>
    </row>
    <row r="527" spans="1:11" ht="15.75">
      <c r="A527"/>
      <c r="B527"/>
      <c r="C527"/>
      <c r="D527"/>
      <c r="E527"/>
      <c r="F527"/>
      <c r="G527"/>
      <c r="H527"/>
      <c r="I527"/>
      <c r="J527"/>
      <c r="K527"/>
    </row>
    <row r="528" spans="1:11" ht="15.75">
      <c r="A528"/>
      <c r="B528"/>
      <c r="C528"/>
      <c r="D528"/>
      <c r="E528"/>
      <c r="F528"/>
      <c r="G528"/>
      <c r="H528"/>
      <c r="I528"/>
      <c r="J528"/>
      <c r="K528"/>
    </row>
    <row r="529" spans="1:11" ht="15.75">
      <c r="A529"/>
      <c r="B529"/>
      <c r="C529"/>
      <c r="D529"/>
      <c r="E529"/>
      <c r="F529"/>
      <c r="G529"/>
      <c r="H529"/>
      <c r="I529"/>
      <c r="J529"/>
      <c r="K529"/>
    </row>
    <row r="530" spans="1:11" ht="15.75">
      <c r="A530"/>
      <c r="B530"/>
      <c r="C530"/>
      <c r="D530"/>
      <c r="E530"/>
      <c r="F530"/>
      <c r="G530"/>
      <c r="H530"/>
      <c r="I530"/>
      <c r="J530"/>
      <c r="K530"/>
    </row>
    <row r="531" spans="1:11" ht="15.75">
      <c r="A531"/>
      <c r="B531"/>
      <c r="C531"/>
      <c r="D531"/>
      <c r="E531"/>
      <c r="F531"/>
      <c r="G531"/>
      <c r="H531"/>
      <c r="I531"/>
      <c r="J531"/>
      <c r="K531"/>
    </row>
    <row r="532" spans="1:11" ht="15.75">
      <c r="A532"/>
      <c r="B532"/>
      <c r="C532"/>
      <c r="D532"/>
      <c r="E532"/>
      <c r="F532"/>
      <c r="G532"/>
      <c r="H532"/>
      <c r="I532"/>
      <c r="J532"/>
      <c r="K532"/>
    </row>
    <row r="533" spans="1:11" ht="15.75">
      <c r="A533"/>
      <c r="B533"/>
      <c r="C533"/>
      <c r="D533"/>
      <c r="E533"/>
      <c r="F533"/>
      <c r="G533"/>
      <c r="H533"/>
      <c r="I533"/>
      <c r="J533"/>
      <c r="K533"/>
    </row>
    <row r="534" spans="1:11" ht="15.75">
      <c r="A534"/>
      <c r="B534"/>
      <c r="C534"/>
      <c r="D534"/>
      <c r="E534"/>
      <c r="F534"/>
      <c r="G534"/>
      <c r="H534"/>
      <c r="I534"/>
      <c r="J534"/>
      <c r="K534"/>
    </row>
    <row r="535" spans="1:11" ht="15.75">
      <c r="A535"/>
      <c r="B535"/>
      <c r="C535"/>
      <c r="D535"/>
      <c r="E535"/>
      <c r="F535"/>
      <c r="G535"/>
      <c r="H535"/>
      <c r="I535"/>
      <c r="J535"/>
      <c r="K535"/>
    </row>
    <row r="536" spans="1:11" ht="15.75">
      <c r="A536"/>
      <c r="B536"/>
      <c r="C536"/>
      <c r="D536"/>
      <c r="E536"/>
      <c r="F536"/>
      <c r="G536"/>
      <c r="H536"/>
      <c r="I536"/>
      <c r="J536"/>
      <c r="K536"/>
    </row>
    <row r="537" spans="1:11" ht="15.75">
      <c r="A537"/>
      <c r="B537"/>
      <c r="C537"/>
      <c r="D537"/>
      <c r="E537"/>
      <c r="F537"/>
      <c r="G537"/>
      <c r="H537"/>
      <c r="I537"/>
      <c r="J537"/>
      <c r="K537"/>
    </row>
    <row r="538" spans="1:11" ht="15.75">
      <c r="A538"/>
      <c r="B538"/>
      <c r="C538"/>
      <c r="D538"/>
      <c r="E538"/>
      <c r="F538"/>
      <c r="G538"/>
      <c r="H538"/>
      <c r="I538"/>
      <c r="J538"/>
      <c r="K538"/>
    </row>
    <row r="539" spans="1:11" ht="15.75">
      <c r="A539"/>
      <c r="B539"/>
      <c r="C539"/>
      <c r="D539"/>
      <c r="E539"/>
      <c r="F539"/>
      <c r="G539"/>
      <c r="H539"/>
      <c r="I539"/>
      <c r="J539"/>
      <c r="K539"/>
    </row>
    <row r="540" spans="1:11" ht="15.75">
      <c r="A540"/>
      <c r="B540"/>
      <c r="C540"/>
      <c r="D540"/>
      <c r="E540"/>
      <c r="F540"/>
      <c r="G540"/>
      <c r="H540"/>
      <c r="I540"/>
      <c r="J540"/>
      <c r="K540"/>
    </row>
    <row r="541" spans="1:11" ht="15.75">
      <c r="A541"/>
      <c r="B541"/>
      <c r="C541"/>
      <c r="D541"/>
      <c r="E541"/>
      <c r="F541"/>
      <c r="G541"/>
      <c r="H541"/>
      <c r="I541"/>
      <c r="J541"/>
      <c r="K541"/>
    </row>
    <row r="542" spans="1:11" ht="15.75">
      <c r="A542"/>
      <c r="B542"/>
      <c r="C542"/>
      <c r="D542"/>
      <c r="E542"/>
      <c r="F542"/>
      <c r="G542"/>
      <c r="H542"/>
      <c r="I542"/>
      <c r="J542"/>
      <c r="K542"/>
    </row>
    <row r="543" spans="1:11" ht="15.75">
      <c r="A543"/>
      <c r="B543"/>
      <c r="C543"/>
      <c r="D543"/>
      <c r="E543"/>
      <c r="F543"/>
      <c r="G543"/>
      <c r="H543"/>
      <c r="I543"/>
      <c r="J543"/>
      <c r="K543"/>
    </row>
    <row r="544" spans="1:11" ht="15.75">
      <c r="A544"/>
      <c r="B544"/>
      <c r="C544"/>
      <c r="D544"/>
      <c r="E544"/>
      <c r="F544"/>
      <c r="G544"/>
      <c r="H544"/>
      <c r="I544"/>
      <c r="J544"/>
      <c r="K544"/>
    </row>
    <row r="545" spans="1:11" ht="15.75">
      <c r="A545"/>
      <c r="B545"/>
      <c r="C545"/>
      <c r="D545"/>
      <c r="E545"/>
      <c r="F545"/>
      <c r="G545"/>
      <c r="H545"/>
      <c r="I545"/>
      <c r="J545"/>
      <c r="K545"/>
    </row>
    <row r="546" spans="1:11" ht="15.75">
      <c r="A546"/>
      <c r="B546"/>
      <c r="C546"/>
      <c r="D546"/>
      <c r="E546"/>
      <c r="F546"/>
      <c r="G546"/>
      <c r="H546"/>
      <c r="I546"/>
      <c r="J546"/>
      <c r="K546"/>
    </row>
    <row r="547" spans="1:11" ht="15.75">
      <c r="A547"/>
      <c r="B547"/>
      <c r="C547"/>
      <c r="D547"/>
      <c r="E547"/>
      <c r="F547"/>
      <c r="G547"/>
      <c r="H547"/>
      <c r="I547"/>
      <c r="J547"/>
      <c r="K547"/>
    </row>
    <row r="548" spans="1:11" ht="15.75">
      <c r="A548"/>
      <c r="B548"/>
      <c r="C548"/>
      <c r="D548"/>
      <c r="E548"/>
      <c r="F548"/>
      <c r="G548"/>
      <c r="H548"/>
      <c r="I548"/>
      <c r="J548"/>
      <c r="K548"/>
    </row>
    <row r="549" spans="1:11" ht="15.75">
      <c r="A549"/>
      <c r="B549"/>
      <c r="C549"/>
      <c r="D549"/>
      <c r="E549"/>
      <c r="F549"/>
      <c r="G549"/>
      <c r="H549"/>
      <c r="I549"/>
      <c r="J549"/>
      <c r="K549"/>
    </row>
    <row r="550" spans="1:11" ht="15.75">
      <c r="A550"/>
      <c r="B550"/>
      <c r="C550"/>
      <c r="D550"/>
      <c r="E550"/>
      <c r="F550"/>
      <c r="G550"/>
      <c r="H550"/>
      <c r="I550"/>
      <c r="J550"/>
      <c r="K550"/>
    </row>
    <row r="551" spans="1:11" ht="15.75">
      <c r="A551"/>
      <c r="B551"/>
      <c r="C551"/>
      <c r="D551"/>
      <c r="E551"/>
      <c r="F551"/>
      <c r="G551"/>
      <c r="H551"/>
      <c r="I551"/>
      <c r="J551"/>
      <c r="K551"/>
    </row>
    <row r="552" spans="1:11" ht="15.75">
      <c r="A552"/>
      <c r="B552"/>
      <c r="C552"/>
      <c r="D552"/>
      <c r="E552"/>
      <c r="F552"/>
      <c r="G552"/>
      <c r="H552"/>
      <c r="I552"/>
      <c r="J552"/>
      <c r="K552"/>
    </row>
    <row r="553" spans="1:11" ht="15.75">
      <c r="A553"/>
      <c r="B553"/>
      <c r="C553"/>
      <c r="D553"/>
      <c r="E553"/>
      <c r="F553"/>
      <c r="G553"/>
      <c r="H553"/>
      <c r="I553"/>
      <c r="J553"/>
      <c r="K553"/>
    </row>
    <row r="554" spans="1:11" ht="15.75">
      <c r="A554"/>
      <c r="B554"/>
      <c r="C554"/>
      <c r="D554"/>
      <c r="E554"/>
      <c r="F554"/>
      <c r="G554"/>
      <c r="H554"/>
      <c r="I554"/>
      <c r="J554"/>
      <c r="K554"/>
    </row>
    <row r="555" spans="1:11" ht="15.75">
      <c r="A555"/>
      <c r="B555"/>
      <c r="C555"/>
      <c r="D555"/>
      <c r="E555"/>
      <c r="F555"/>
      <c r="G555"/>
      <c r="H555"/>
      <c r="I555"/>
      <c r="J555"/>
      <c r="K555"/>
    </row>
    <row r="556" spans="1:11" ht="15.75">
      <c r="A556"/>
      <c r="B556"/>
      <c r="C556"/>
      <c r="D556"/>
      <c r="E556"/>
      <c r="F556"/>
      <c r="G556"/>
      <c r="H556"/>
      <c r="I556"/>
      <c r="J556"/>
      <c r="K556"/>
    </row>
    <row r="557" spans="1:11" ht="15.75">
      <c r="A557"/>
      <c r="B557"/>
      <c r="C557"/>
      <c r="D557"/>
      <c r="E557"/>
      <c r="F557"/>
      <c r="G557"/>
      <c r="H557"/>
      <c r="I557"/>
      <c r="J557"/>
      <c r="K557"/>
    </row>
    <row r="558" spans="1:11" ht="15.75">
      <c r="A558"/>
      <c r="B558"/>
      <c r="C558"/>
      <c r="D558"/>
      <c r="E558"/>
      <c r="F558"/>
      <c r="G558"/>
      <c r="H558"/>
      <c r="I558"/>
      <c r="J558"/>
      <c r="K558"/>
    </row>
    <row r="559" spans="1:11" ht="15.75">
      <c r="A559"/>
      <c r="B559"/>
      <c r="C559"/>
      <c r="D559"/>
      <c r="E559"/>
      <c r="F559"/>
      <c r="G559"/>
      <c r="H559"/>
      <c r="I559"/>
      <c r="J559"/>
      <c r="K559"/>
    </row>
    <row r="560" spans="1:11" ht="15.75">
      <c r="A560"/>
      <c r="B560"/>
      <c r="C560"/>
      <c r="D560"/>
      <c r="E560"/>
      <c r="F560"/>
      <c r="G560"/>
      <c r="H560"/>
      <c r="I560"/>
      <c r="J560"/>
      <c r="K560"/>
    </row>
    <row r="561" spans="1:11" ht="15.75">
      <c r="A561"/>
      <c r="B561"/>
      <c r="C561"/>
      <c r="D561"/>
      <c r="E561"/>
      <c r="F561"/>
      <c r="G561"/>
      <c r="H561"/>
      <c r="I561"/>
      <c r="J561"/>
      <c r="K561"/>
    </row>
    <row r="562" spans="1:11" ht="15.75">
      <c r="A562"/>
      <c r="B562"/>
      <c r="C562"/>
      <c r="D562"/>
      <c r="E562"/>
      <c r="F562"/>
      <c r="G562"/>
      <c r="H562"/>
      <c r="I562"/>
      <c r="J562"/>
      <c r="K562"/>
    </row>
    <row r="563" spans="1:11" ht="15.75">
      <c r="A563"/>
      <c r="B563"/>
      <c r="C563"/>
      <c r="D563"/>
      <c r="E563"/>
      <c r="F563"/>
      <c r="G563"/>
      <c r="H563"/>
      <c r="I563"/>
      <c r="J563"/>
      <c r="K563"/>
    </row>
    <row r="564" spans="1:11" ht="15.75">
      <c r="A564"/>
      <c r="B564"/>
      <c r="C564"/>
      <c r="D564"/>
      <c r="E564"/>
      <c r="F564"/>
      <c r="G564"/>
      <c r="H564"/>
      <c r="I564"/>
      <c r="J564"/>
      <c r="K564"/>
    </row>
    <row r="565" spans="1:11" ht="15.75">
      <c r="A565"/>
      <c r="B565"/>
      <c r="C565"/>
      <c r="D565"/>
      <c r="E565"/>
      <c r="F565"/>
      <c r="G565"/>
      <c r="H565"/>
      <c r="I565"/>
      <c r="J565"/>
      <c r="K565"/>
    </row>
    <row r="566" spans="1:11" ht="15.75">
      <c r="A566"/>
      <c r="B566"/>
      <c r="C566"/>
      <c r="D566"/>
      <c r="E566"/>
      <c r="F566"/>
      <c r="G566"/>
      <c r="H566"/>
      <c r="I566"/>
      <c r="J566"/>
      <c r="K566"/>
    </row>
    <row r="567" spans="1:11" ht="15.75">
      <c r="A567"/>
      <c r="B567"/>
      <c r="C567"/>
      <c r="D567"/>
      <c r="E567"/>
      <c r="F567"/>
      <c r="G567"/>
      <c r="H567"/>
      <c r="I567"/>
      <c r="J567"/>
      <c r="K567"/>
    </row>
    <row r="568" spans="1:11" ht="15.75">
      <c r="A568"/>
      <c r="B568"/>
      <c r="C568"/>
      <c r="D568"/>
      <c r="E568"/>
      <c r="F568"/>
      <c r="G568"/>
      <c r="H568"/>
      <c r="I568"/>
      <c r="J568"/>
      <c r="K568"/>
    </row>
    <row r="569" spans="1:11" ht="15.75">
      <c r="A569"/>
      <c r="B569"/>
      <c r="C569"/>
      <c r="D569"/>
      <c r="E569"/>
      <c r="F569"/>
      <c r="G569"/>
      <c r="H569"/>
      <c r="I569"/>
      <c r="J569"/>
      <c r="K569"/>
    </row>
    <row r="570" spans="1:11" ht="15.75">
      <c r="A570"/>
      <c r="B570"/>
      <c r="C570"/>
      <c r="D570"/>
      <c r="E570"/>
      <c r="F570"/>
      <c r="G570"/>
      <c r="H570"/>
      <c r="I570"/>
      <c r="J570"/>
      <c r="K570"/>
    </row>
    <row r="571" spans="1:11" ht="15.75">
      <c r="A571"/>
      <c r="B571"/>
      <c r="C571"/>
      <c r="D571"/>
      <c r="E571"/>
      <c r="F571"/>
      <c r="G571"/>
      <c r="H571"/>
      <c r="I571"/>
      <c r="J571"/>
      <c r="K571"/>
    </row>
    <row r="572" spans="1:11" ht="15.75">
      <c r="A572"/>
      <c r="B572"/>
      <c r="C572"/>
      <c r="D572"/>
      <c r="E572"/>
      <c r="F572"/>
      <c r="G572"/>
      <c r="H572"/>
      <c r="I572"/>
      <c r="J572"/>
      <c r="K572"/>
    </row>
    <row r="573" spans="1:11" ht="15.75">
      <c r="A573"/>
      <c r="B573"/>
      <c r="C573"/>
      <c r="D573"/>
      <c r="E573"/>
      <c r="F573"/>
      <c r="G573"/>
      <c r="H573"/>
      <c r="I573"/>
      <c r="J573"/>
      <c r="K573"/>
    </row>
    <row r="574" spans="1:11" ht="15.75">
      <c r="A574"/>
      <c r="B574"/>
      <c r="C574"/>
      <c r="D574"/>
      <c r="E574"/>
      <c r="F574"/>
      <c r="G574"/>
      <c r="H574"/>
      <c r="I574"/>
      <c r="J574"/>
      <c r="K574"/>
    </row>
    <row r="575" spans="1:11" ht="15.75">
      <c r="A575"/>
      <c r="B575"/>
      <c r="C575"/>
      <c r="D575"/>
      <c r="E575"/>
      <c r="F575"/>
      <c r="G575"/>
      <c r="H575"/>
      <c r="I575"/>
      <c r="J575"/>
      <c r="K575"/>
    </row>
    <row r="576" spans="1:11" ht="15.75">
      <c r="A576"/>
      <c r="B576"/>
      <c r="C576"/>
      <c r="D576"/>
      <c r="E576"/>
      <c r="F576"/>
      <c r="G576"/>
      <c r="H576"/>
      <c r="I576"/>
      <c r="J576"/>
      <c r="K576"/>
    </row>
    <row r="577" spans="1:11" ht="15.75">
      <c r="A577"/>
      <c r="B577"/>
      <c r="C577"/>
      <c r="D577"/>
      <c r="E577"/>
      <c r="F577"/>
      <c r="G577"/>
      <c r="H577"/>
      <c r="I577"/>
      <c r="J577"/>
      <c r="K577"/>
    </row>
    <row r="578" spans="1:11" ht="15.75">
      <c r="A578"/>
      <c r="B578"/>
      <c r="C578"/>
      <c r="D578"/>
      <c r="E578"/>
      <c r="F578"/>
      <c r="G578"/>
      <c r="H578"/>
      <c r="I578"/>
      <c r="J578"/>
      <c r="K578"/>
    </row>
    <row r="579" spans="1:11" ht="15.75">
      <c r="A579"/>
      <c r="B579"/>
      <c r="C579"/>
      <c r="D579"/>
      <c r="E579"/>
      <c r="F579"/>
      <c r="G579"/>
      <c r="H579"/>
      <c r="I579"/>
      <c r="J579"/>
      <c r="K579"/>
    </row>
    <row r="580" spans="1:11" ht="15.75">
      <c r="A580"/>
      <c r="B580"/>
      <c r="C580"/>
      <c r="D580"/>
      <c r="E580"/>
      <c r="F580"/>
      <c r="G580"/>
      <c r="H580"/>
      <c r="I580"/>
      <c r="J580"/>
      <c r="K580"/>
    </row>
    <row r="581" spans="1:11" ht="15.75">
      <c r="A581"/>
      <c r="B581"/>
      <c r="C581"/>
      <c r="D581"/>
      <c r="E581"/>
      <c r="F581"/>
      <c r="G581"/>
      <c r="H581"/>
      <c r="I581"/>
      <c r="J581"/>
      <c r="K581"/>
    </row>
    <row r="582" spans="1:11" ht="15.75">
      <c r="A582"/>
      <c r="B582"/>
      <c r="C582"/>
      <c r="D582"/>
      <c r="E582"/>
      <c r="F582"/>
      <c r="G582"/>
      <c r="H582"/>
      <c r="I582"/>
      <c r="J582"/>
      <c r="K582"/>
    </row>
    <row r="583" spans="1:11" ht="15.75">
      <c r="A583"/>
      <c r="B583"/>
      <c r="C583"/>
      <c r="D583"/>
      <c r="E583"/>
      <c r="F583"/>
      <c r="G583"/>
      <c r="H583"/>
      <c r="I583"/>
      <c r="J583"/>
      <c r="K583"/>
    </row>
    <row r="584" spans="1:11" ht="15.75">
      <c r="A584"/>
      <c r="B584"/>
      <c r="C584"/>
      <c r="D584"/>
      <c r="E584"/>
      <c r="F584"/>
      <c r="G584"/>
      <c r="H584"/>
      <c r="I584"/>
      <c r="J584"/>
      <c r="K584"/>
    </row>
    <row r="585" spans="1:11" ht="15.75">
      <c r="A585"/>
      <c r="B585"/>
      <c r="C585"/>
      <c r="D585"/>
      <c r="E585"/>
      <c r="F585"/>
      <c r="G585"/>
      <c r="H585"/>
      <c r="I585"/>
      <c r="J585"/>
      <c r="K585"/>
    </row>
    <row r="586" spans="1:11" ht="15.75">
      <c r="A586"/>
      <c r="B586"/>
      <c r="C586"/>
      <c r="D586"/>
      <c r="E586"/>
      <c r="F586"/>
      <c r="G586"/>
      <c r="H586"/>
      <c r="I586"/>
      <c r="J586"/>
      <c r="K586"/>
    </row>
    <row r="587" spans="1:11" ht="15.75">
      <c r="A587"/>
      <c r="B587"/>
      <c r="C587"/>
      <c r="D587"/>
      <c r="E587"/>
      <c r="F587"/>
      <c r="G587"/>
      <c r="H587"/>
      <c r="I587"/>
      <c r="J587"/>
      <c r="K587"/>
    </row>
    <row r="588" spans="1:11" ht="15.75">
      <c r="A588"/>
      <c r="B588"/>
      <c r="C588"/>
      <c r="D588"/>
      <c r="E588"/>
      <c r="F588"/>
      <c r="G588"/>
      <c r="H588"/>
      <c r="I588"/>
      <c r="J588"/>
      <c r="K588"/>
    </row>
    <row r="589" spans="1:11" ht="15.75">
      <c r="A589"/>
      <c r="B589"/>
      <c r="C589"/>
      <c r="D589"/>
      <c r="E589"/>
      <c r="F589"/>
      <c r="G589"/>
      <c r="H589"/>
      <c r="I589"/>
      <c r="J589"/>
      <c r="K589"/>
    </row>
    <row r="590" spans="1:11" ht="15.75">
      <c r="A590"/>
      <c r="B590"/>
      <c r="C590"/>
      <c r="D590"/>
      <c r="E590"/>
      <c r="F590"/>
      <c r="G590"/>
      <c r="H590"/>
      <c r="I590"/>
      <c r="J590"/>
      <c r="K590"/>
    </row>
    <row r="591" spans="1:11" ht="15.75">
      <c r="A591"/>
      <c r="B591"/>
      <c r="C591"/>
      <c r="D591"/>
      <c r="E591"/>
      <c r="F591"/>
      <c r="G591"/>
      <c r="H591"/>
      <c r="I591"/>
      <c r="J591"/>
      <c r="K591"/>
    </row>
    <row r="592" spans="1:11" ht="15.75">
      <c r="A592"/>
      <c r="B592"/>
      <c r="C592"/>
      <c r="D592"/>
      <c r="E592"/>
      <c r="F592"/>
      <c r="G592"/>
      <c r="H592"/>
      <c r="I592"/>
      <c r="J592"/>
      <c r="K592"/>
    </row>
    <row r="593" spans="1:11" ht="15.75">
      <c r="A593"/>
      <c r="B593"/>
      <c r="C593"/>
      <c r="D593"/>
      <c r="E593"/>
      <c r="F593"/>
      <c r="G593"/>
      <c r="H593"/>
      <c r="I593"/>
      <c r="J593"/>
      <c r="K593"/>
    </row>
    <row r="594" spans="1:11" ht="15.75">
      <c r="A594"/>
      <c r="B594"/>
      <c r="C594"/>
      <c r="D594"/>
      <c r="E594"/>
      <c r="F594"/>
      <c r="G594"/>
      <c r="H594"/>
      <c r="I594"/>
      <c r="J594"/>
      <c r="K594"/>
    </row>
    <row r="595" spans="1:11" ht="15.75">
      <c r="A595"/>
      <c r="B595"/>
      <c r="C595"/>
      <c r="D595"/>
      <c r="E595"/>
      <c r="F595"/>
      <c r="G595"/>
      <c r="H595"/>
      <c r="I595"/>
      <c r="J595"/>
      <c r="K595"/>
    </row>
    <row r="596" spans="1:11" ht="15.75">
      <c r="A596"/>
      <c r="B596"/>
      <c r="C596"/>
      <c r="D596"/>
      <c r="E596"/>
      <c r="F596"/>
      <c r="G596"/>
      <c r="H596"/>
      <c r="I596"/>
      <c r="J596"/>
      <c r="K596"/>
    </row>
    <row r="597" spans="1:11" ht="15.75">
      <c r="A597"/>
      <c r="B597"/>
      <c r="C597"/>
      <c r="D597"/>
      <c r="E597"/>
      <c r="F597"/>
      <c r="G597"/>
      <c r="H597"/>
      <c r="I597"/>
      <c r="J597"/>
      <c r="K597"/>
    </row>
    <row r="598" spans="1:11" ht="15.75">
      <c r="A598"/>
      <c r="B598"/>
      <c r="C598"/>
      <c r="D598"/>
      <c r="E598"/>
      <c r="F598"/>
      <c r="G598"/>
      <c r="H598"/>
      <c r="I598"/>
      <c r="J598"/>
      <c r="K598"/>
    </row>
    <row r="599" spans="1:11" ht="15.75">
      <c r="A599"/>
      <c r="B599"/>
      <c r="C599"/>
      <c r="D599"/>
      <c r="E599"/>
      <c r="F599"/>
      <c r="G599"/>
      <c r="H599"/>
      <c r="I599"/>
      <c r="J599"/>
      <c r="K599"/>
    </row>
  </sheetData>
  <mergeCells count="1">
    <mergeCell ref="B5:L5"/>
  </mergeCells>
  <phoneticPr fontId="49" type="noConversion"/>
  <hyperlinks>
    <hyperlink ref="C7" location="Contents!A1" display="(Front Page)"/>
    <hyperlink ref="B5:L5" location="'UM by Form Factor by OS'!A8" display="'UM by Form Factor by OS'!A8"/>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18"/>
  <sheetViews>
    <sheetView zoomScale="80" zoomScaleNormal="80" workbookViewId="0">
      <selection activeCell="D24" sqref="D24"/>
    </sheetView>
  </sheetViews>
  <sheetFormatPr defaultColWidth="8" defaultRowHeight="12"/>
  <cols>
    <col min="1" max="1" width="49.625" style="270" bestFit="1" customWidth="1"/>
    <col min="2" max="2" width="11.375" style="270" bestFit="1" customWidth="1"/>
    <col min="3" max="3" width="10.5" style="272" bestFit="1" customWidth="1"/>
    <col min="4" max="7" width="11.375" style="272" bestFit="1" customWidth="1"/>
    <col min="8" max="8" width="10.5" style="272" customWidth="1"/>
    <col min="9" max="9" width="11.375" style="270" bestFit="1" customWidth="1"/>
    <col min="10" max="11" width="10.875" style="270" customWidth="1"/>
    <col min="12" max="12" width="11.5" style="270" customWidth="1"/>
    <col min="13" max="13" width="11.25" style="270" customWidth="1"/>
    <col min="14" max="14" width="10.75" style="270" customWidth="1"/>
    <col min="15" max="19" width="24.375" style="270" customWidth="1"/>
    <col min="20" max="22" width="24.375" style="270" bestFit="1" customWidth="1"/>
    <col min="23" max="32" width="20.875" style="270" bestFit="1" customWidth="1"/>
    <col min="33" max="33" width="24.75" style="270" bestFit="1" customWidth="1"/>
    <col min="34" max="34" width="21.75" style="270" bestFit="1" customWidth="1"/>
    <col min="35" max="16384" width="8" style="270"/>
  </cols>
  <sheetData>
    <row r="1" spans="1:21">
      <c r="A1" s="270" t="s">
        <v>778</v>
      </c>
      <c r="B1" s="272"/>
      <c r="H1" s="270"/>
      <c r="M1" s="309"/>
    </row>
    <row r="2" spans="1:21">
      <c r="B2" s="272" t="s">
        <v>324</v>
      </c>
      <c r="C2" s="272" t="s">
        <v>325</v>
      </c>
      <c r="D2" s="272" t="s">
        <v>326</v>
      </c>
      <c r="E2" s="272" t="s">
        <v>327</v>
      </c>
      <c r="F2" s="272" t="s">
        <v>328</v>
      </c>
      <c r="G2" s="272" t="s">
        <v>329</v>
      </c>
      <c r="H2" s="272" t="s">
        <v>330</v>
      </c>
      <c r="I2" s="272" t="s">
        <v>776</v>
      </c>
    </row>
    <row r="3" spans="1:21">
      <c r="A3" s="270" t="s">
        <v>777</v>
      </c>
      <c r="B3" s="272">
        <v>454710.97282667435</v>
      </c>
      <c r="C3" s="272">
        <v>490628.45897712355</v>
      </c>
      <c r="D3" s="272">
        <v>603567.50540060876</v>
      </c>
      <c r="E3" s="272">
        <v>647505.28183643275</v>
      </c>
      <c r="F3" s="272">
        <v>681464.31392268371</v>
      </c>
      <c r="G3" s="272">
        <v>696020.29865972337</v>
      </c>
      <c r="H3" s="270">
        <v>696901.19902878522</v>
      </c>
      <c r="I3" s="270">
        <v>683557.20479035564</v>
      </c>
      <c r="J3" s="272"/>
      <c r="K3" s="272"/>
    </row>
    <row r="4" spans="1:21">
      <c r="H4" s="434"/>
      <c r="I4" s="434"/>
      <c r="J4" s="434"/>
      <c r="K4" s="434"/>
    </row>
    <row r="6" spans="1:21">
      <c r="C6" s="270"/>
      <c r="D6" s="270"/>
      <c r="E6" s="270"/>
      <c r="F6" s="270"/>
      <c r="G6" s="270"/>
      <c r="H6" s="270"/>
    </row>
    <row r="7" spans="1:21">
      <c r="C7" s="270"/>
      <c r="D7" s="270"/>
      <c r="E7" s="270"/>
      <c r="F7" s="270"/>
      <c r="G7" s="270"/>
      <c r="H7" s="270"/>
    </row>
    <row r="8" spans="1:21">
      <c r="C8" s="270"/>
      <c r="D8" s="270"/>
      <c r="E8" s="270"/>
      <c r="F8" s="270"/>
      <c r="G8" s="270"/>
      <c r="H8" s="270"/>
    </row>
    <row r="10" spans="1:21">
      <c r="B10" s="272" t="s">
        <v>324</v>
      </c>
      <c r="C10" s="272" t="s">
        <v>325</v>
      </c>
      <c r="D10" s="272" t="s">
        <v>326</v>
      </c>
      <c r="E10" s="272" t="s">
        <v>327</v>
      </c>
      <c r="F10" s="272" t="s">
        <v>328</v>
      </c>
      <c r="G10" s="272" t="s">
        <v>329</v>
      </c>
      <c r="H10" s="272" t="s">
        <v>330</v>
      </c>
      <c r="I10" s="272" t="s">
        <v>776</v>
      </c>
    </row>
    <row r="11" spans="1:21">
      <c r="A11" s="270" t="s">
        <v>369</v>
      </c>
      <c r="B11" s="270">
        <v>2860.2344747417196</v>
      </c>
      <c r="C11" s="272">
        <v>3198.0181852231899</v>
      </c>
      <c r="D11" s="272">
        <v>6803.3014032784995</v>
      </c>
      <c r="E11" s="272">
        <v>7355.1632016132298</v>
      </c>
      <c r="F11" s="272">
        <v>8481.7979872670603</v>
      </c>
      <c r="G11" s="272">
        <v>9551.6959724163898</v>
      </c>
      <c r="H11" s="272">
        <v>10506.942473613261</v>
      </c>
      <c r="I11" s="270">
        <v>11553.915605605511</v>
      </c>
    </row>
    <row r="12" spans="1:21" ht="15.75">
      <c r="A12" s="270" t="s">
        <v>370</v>
      </c>
      <c r="B12" s="270">
        <v>9415.4499662099006</v>
      </c>
      <c r="C12" s="272">
        <v>10394.352675631342</v>
      </c>
      <c r="D12" s="272">
        <v>12700.21289732506</v>
      </c>
      <c r="E12" s="272">
        <v>15157.952430018609</v>
      </c>
      <c r="F12" s="272">
        <v>17569.310293162431</v>
      </c>
      <c r="G12" s="272">
        <v>19684.69620689478</v>
      </c>
      <c r="H12" s="272">
        <v>21543.186415809538</v>
      </c>
      <c r="I12" s="270">
        <v>23569.58939439449</v>
      </c>
      <c r="N12" s="402"/>
    </row>
    <row r="13" spans="1:21" ht="15.75">
      <c r="A13" s="270" t="s">
        <v>779</v>
      </c>
      <c r="B13" s="270">
        <v>210.0763357813</v>
      </c>
      <c r="C13" s="272">
        <v>186.26847743025999</v>
      </c>
      <c r="D13" s="272">
        <v>202.96157102101</v>
      </c>
      <c r="E13" s="272">
        <v>197.81199999999998</v>
      </c>
      <c r="F13" s="272">
        <v>193.78200000000001</v>
      </c>
      <c r="G13" s="272">
        <v>189.43400000000003</v>
      </c>
      <c r="H13" s="272">
        <v>185.03500000000003</v>
      </c>
      <c r="I13" s="270">
        <v>179.845</v>
      </c>
      <c r="M13"/>
      <c r="N13" s="402"/>
      <c r="O13"/>
      <c r="P13"/>
      <c r="Q13"/>
      <c r="R13"/>
      <c r="S13"/>
      <c r="T13"/>
      <c r="U13"/>
    </row>
    <row r="14" spans="1:21" ht="15.75">
      <c r="M14"/>
      <c r="N14" s="402"/>
      <c r="O14"/>
      <c r="P14"/>
      <c r="Q14"/>
      <c r="R14"/>
      <c r="S14"/>
      <c r="T14"/>
      <c r="U14"/>
    </row>
    <row r="15" spans="1:21" ht="15.75">
      <c r="M15"/>
      <c r="N15" s="402"/>
      <c r="O15"/>
      <c r="P15"/>
      <c r="Q15"/>
      <c r="R15"/>
      <c r="S15"/>
      <c r="T15"/>
      <c r="U15"/>
    </row>
    <row r="16" spans="1:21" ht="15.75">
      <c r="M16"/>
      <c r="N16" s="402"/>
      <c r="O16"/>
      <c r="P16"/>
      <c r="Q16"/>
      <c r="R16"/>
      <c r="S16"/>
      <c r="T16"/>
      <c r="U16"/>
    </row>
    <row r="17" spans="1:21" ht="15.75">
      <c r="M17"/>
      <c r="N17" s="402"/>
      <c r="O17"/>
      <c r="P17"/>
      <c r="Q17"/>
      <c r="R17"/>
      <c r="S17"/>
      <c r="T17"/>
      <c r="U17"/>
    </row>
    <row r="18" spans="1:21" ht="15.75">
      <c r="B18" s="272" t="s">
        <v>324</v>
      </c>
      <c r="C18" s="272" t="s">
        <v>325</v>
      </c>
      <c r="D18" s="272" t="s">
        <v>326</v>
      </c>
      <c r="E18" s="272" t="s">
        <v>327</v>
      </c>
      <c r="F18" s="272" t="s">
        <v>328</v>
      </c>
      <c r="G18" s="272" t="s">
        <v>329</v>
      </c>
      <c r="H18" s="272" t="s">
        <v>330</v>
      </c>
      <c r="I18" s="272" t="s">
        <v>776</v>
      </c>
      <c r="J18" s="272"/>
      <c r="K18" s="272"/>
      <c r="M18"/>
      <c r="N18" s="402"/>
      <c r="O18"/>
      <c r="P18"/>
      <c r="Q18"/>
      <c r="R18"/>
      <c r="S18"/>
      <c r="T18"/>
      <c r="U18"/>
    </row>
    <row r="19" spans="1:21" ht="15.75">
      <c r="A19" s="270" t="s">
        <v>781</v>
      </c>
      <c r="B19" s="270">
        <f>B3+SUM(B11:B13)</f>
        <v>467196.73360340728</v>
      </c>
      <c r="C19" s="270">
        <f t="shared" ref="C19:I19" si="0">C3+SUM(C11:C13)</f>
        <v>504407.09831540834</v>
      </c>
      <c r="D19" s="270">
        <f t="shared" si="0"/>
        <v>623273.9812722333</v>
      </c>
      <c r="E19" s="270">
        <f t="shared" si="0"/>
        <v>670216.2094680646</v>
      </c>
      <c r="F19" s="270">
        <f t="shared" si="0"/>
        <v>707709.20420311322</v>
      </c>
      <c r="G19" s="270">
        <f t="shared" si="0"/>
        <v>725446.12483903451</v>
      </c>
      <c r="H19" s="270">
        <f t="shared" si="0"/>
        <v>729136.362918208</v>
      </c>
      <c r="I19" s="270">
        <f t="shared" si="0"/>
        <v>718860.55479035561</v>
      </c>
      <c r="K19" s="434"/>
      <c r="M19"/>
      <c r="N19" s="402"/>
      <c r="O19"/>
      <c r="P19"/>
      <c r="Q19"/>
      <c r="R19"/>
      <c r="S19"/>
      <c r="T19"/>
      <c r="U19"/>
    </row>
    <row r="20" spans="1:21" ht="15.75">
      <c r="A20" s="270" t="s">
        <v>780</v>
      </c>
      <c r="C20" s="962">
        <f>C19/B19-1</f>
        <v>7.9646029254108797E-2</v>
      </c>
      <c r="D20" s="962">
        <f t="shared" ref="D20:I20" si="1">D19/C19-1</f>
        <v>0.23565664193428315</v>
      </c>
      <c r="E20" s="962">
        <f t="shared" si="1"/>
        <v>7.5315558817347528E-2</v>
      </c>
      <c r="F20" s="962">
        <f t="shared" si="1"/>
        <v>5.5941641227695627E-2</v>
      </c>
      <c r="G20" s="962">
        <f t="shared" si="1"/>
        <v>2.5062441650583356E-2</v>
      </c>
      <c r="H20" s="962">
        <f t="shared" si="1"/>
        <v>5.0868533896879509E-3</v>
      </c>
      <c r="I20" s="962">
        <f t="shared" si="1"/>
        <v>-1.4093122563145433E-2</v>
      </c>
      <c r="M20"/>
      <c r="N20" s="402"/>
      <c r="O20"/>
      <c r="P20"/>
      <c r="Q20"/>
      <c r="R20"/>
      <c r="S20"/>
      <c r="T20"/>
      <c r="U20"/>
    </row>
    <row r="21" spans="1:21" ht="15.75">
      <c r="A21" s="270" t="s">
        <v>782</v>
      </c>
      <c r="M21"/>
      <c r="N21" s="402"/>
      <c r="O21"/>
      <c r="P21"/>
      <c r="Q21"/>
      <c r="R21"/>
      <c r="S21"/>
      <c r="T21"/>
      <c r="U21"/>
    </row>
    <row r="22" spans="1:21" ht="15.75">
      <c r="M22"/>
      <c r="N22" s="402"/>
      <c r="O22"/>
      <c r="P22"/>
      <c r="Q22"/>
      <c r="R22"/>
      <c r="S22"/>
      <c r="T22"/>
      <c r="U22"/>
    </row>
    <row r="23" spans="1:21" ht="15.75">
      <c r="M23"/>
      <c r="N23" s="402"/>
      <c r="O23"/>
      <c r="P23"/>
      <c r="Q23"/>
      <c r="R23"/>
      <c r="S23"/>
      <c r="T23"/>
      <c r="U23"/>
    </row>
    <row r="24" spans="1:21" ht="15.75">
      <c r="M24"/>
      <c r="N24" s="402"/>
      <c r="O24"/>
      <c r="P24"/>
      <c r="Q24"/>
      <c r="R24"/>
      <c r="S24"/>
      <c r="T24"/>
      <c r="U24"/>
    </row>
    <row r="25" spans="1:21" ht="15.75">
      <c r="M25"/>
      <c r="N25" s="402"/>
      <c r="O25"/>
      <c r="P25"/>
      <c r="Q25"/>
      <c r="R25"/>
      <c r="S25"/>
      <c r="T25"/>
      <c r="U25"/>
    </row>
    <row r="26" spans="1:21" ht="15.75">
      <c r="M26"/>
      <c r="N26" s="402"/>
      <c r="O26"/>
      <c r="P26"/>
      <c r="Q26"/>
      <c r="R26"/>
      <c r="S26"/>
      <c r="T26"/>
      <c r="U26"/>
    </row>
    <row r="27" spans="1:21" ht="15.75">
      <c r="M27"/>
      <c r="N27" s="402"/>
      <c r="O27"/>
      <c r="P27"/>
      <c r="Q27"/>
      <c r="R27"/>
      <c r="S27"/>
      <c r="T27"/>
      <c r="U27"/>
    </row>
    <row r="28" spans="1:21" ht="15.75">
      <c r="M28"/>
      <c r="N28" s="402"/>
      <c r="O28"/>
      <c r="P28"/>
      <c r="Q28"/>
      <c r="R28"/>
      <c r="S28"/>
      <c r="T28"/>
      <c r="U28"/>
    </row>
    <row r="29" spans="1:21" ht="15.75">
      <c r="M29"/>
      <c r="N29" s="402"/>
      <c r="O29"/>
      <c r="P29"/>
      <c r="Q29"/>
      <c r="R29"/>
      <c r="S29"/>
      <c r="T29"/>
      <c r="U29"/>
    </row>
    <row r="30" spans="1:21" ht="15.75">
      <c r="M30"/>
      <c r="N30" s="402"/>
      <c r="O30"/>
      <c r="P30"/>
      <c r="Q30"/>
      <c r="R30"/>
      <c r="S30"/>
      <c r="T30"/>
      <c r="U30"/>
    </row>
    <row r="31" spans="1:21" ht="15.75">
      <c r="M31"/>
      <c r="N31" s="402"/>
      <c r="O31"/>
      <c r="P31"/>
      <c r="Q31"/>
      <c r="R31"/>
      <c r="S31"/>
      <c r="T31"/>
      <c r="U31"/>
    </row>
    <row r="32" spans="1:21" ht="15.75">
      <c r="M32"/>
      <c r="N32" s="402"/>
      <c r="O32"/>
      <c r="P32"/>
      <c r="Q32"/>
      <c r="R32"/>
      <c r="S32"/>
      <c r="T32"/>
      <c r="U32"/>
    </row>
    <row r="33" spans="13:21" ht="15.75">
      <c r="M33"/>
      <c r="N33" s="402"/>
      <c r="O33"/>
      <c r="P33"/>
      <c r="Q33"/>
      <c r="R33"/>
      <c r="S33"/>
      <c r="T33"/>
      <c r="U33"/>
    </row>
    <row r="34" spans="13:21" ht="15.75">
      <c r="M34"/>
      <c r="N34" s="402"/>
      <c r="O34"/>
      <c r="P34"/>
      <c r="Q34"/>
      <c r="R34"/>
      <c r="S34"/>
      <c r="T34"/>
      <c r="U34"/>
    </row>
    <row r="35" spans="13:21" ht="15.75">
      <c r="M35"/>
      <c r="N35" s="402"/>
      <c r="O35"/>
      <c r="P35"/>
      <c r="Q35"/>
      <c r="R35"/>
      <c r="S35"/>
      <c r="T35"/>
      <c r="U35"/>
    </row>
    <row r="36" spans="13:21" ht="15.75">
      <c r="M36"/>
      <c r="N36" s="402"/>
      <c r="O36"/>
      <c r="P36"/>
      <c r="Q36"/>
      <c r="R36"/>
      <c r="S36"/>
      <c r="T36"/>
      <c r="U36"/>
    </row>
    <row r="37" spans="13:21" ht="15.75">
      <c r="M37"/>
      <c r="N37" s="402"/>
      <c r="O37"/>
      <c r="P37"/>
      <c r="Q37"/>
      <c r="R37"/>
      <c r="S37"/>
      <c r="T37"/>
      <c r="U37"/>
    </row>
    <row r="38" spans="13:21" ht="15.75">
      <c r="M38"/>
      <c r="N38" s="402"/>
      <c r="O38"/>
      <c r="P38"/>
      <c r="Q38"/>
      <c r="R38"/>
      <c r="S38"/>
      <c r="T38"/>
      <c r="U38"/>
    </row>
    <row r="39" spans="13:21" ht="15.75">
      <c r="M39"/>
      <c r="N39" s="402"/>
      <c r="O39"/>
      <c r="P39"/>
      <c r="Q39"/>
      <c r="R39"/>
      <c r="S39"/>
      <c r="T39"/>
      <c r="U39"/>
    </row>
    <row r="40" spans="13:21" ht="15.75">
      <c r="M40"/>
      <c r="N40" s="402"/>
      <c r="O40"/>
      <c r="P40"/>
      <c r="Q40"/>
      <c r="R40"/>
      <c r="S40"/>
      <c r="T40"/>
      <c r="U40"/>
    </row>
    <row r="41" spans="13:21" ht="15.75">
      <c r="M41"/>
      <c r="N41" s="402"/>
      <c r="O41"/>
      <c r="P41"/>
      <c r="Q41"/>
      <c r="R41"/>
      <c r="S41"/>
      <c r="T41"/>
      <c r="U41"/>
    </row>
    <row r="42" spans="13:21" ht="15.75">
      <c r="M42"/>
      <c r="N42" s="402"/>
      <c r="O42"/>
      <c r="P42"/>
      <c r="Q42"/>
      <c r="R42"/>
      <c r="S42"/>
      <c r="T42"/>
      <c r="U42"/>
    </row>
    <row r="43" spans="13:21" ht="15.75">
      <c r="M43"/>
      <c r="N43" s="402"/>
      <c r="O43"/>
      <c r="P43"/>
      <c r="Q43"/>
      <c r="R43"/>
      <c r="S43"/>
      <c r="T43"/>
      <c r="U43"/>
    </row>
    <row r="44" spans="13:21" ht="15.75">
      <c r="M44"/>
      <c r="N44" s="402"/>
      <c r="O44"/>
      <c r="P44"/>
      <c r="Q44"/>
      <c r="R44"/>
      <c r="S44"/>
      <c r="T44"/>
      <c r="U44"/>
    </row>
    <row r="45" spans="13:21" ht="15.75">
      <c r="M45"/>
      <c r="N45" s="402"/>
      <c r="O45"/>
      <c r="P45"/>
      <c r="Q45"/>
      <c r="R45"/>
      <c r="S45"/>
      <c r="T45"/>
      <c r="U45"/>
    </row>
    <row r="46" spans="13:21" ht="15.75">
      <c r="M46"/>
      <c r="N46" s="402"/>
      <c r="O46"/>
      <c r="P46"/>
      <c r="Q46"/>
      <c r="R46"/>
      <c r="S46"/>
      <c r="T46"/>
      <c r="U46"/>
    </row>
    <row r="47" spans="13:21" ht="15.75">
      <c r="M47"/>
      <c r="N47" s="402"/>
      <c r="O47"/>
      <c r="P47"/>
      <c r="Q47"/>
      <c r="R47"/>
      <c r="S47"/>
      <c r="T47"/>
      <c r="U47"/>
    </row>
    <row r="48" spans="13:21" ht="12" customHeight="1">
      <c r="M48"/>
      <c r="N48" s="402"/>
      <c r="O48"/>
      <c r="P48"/>
      <c r="Q48"/>
      <c r="R48"/>
      <c r="S48"/>
      <c r="T48"/>
      <c r="U48"/>
    </row>
    <row r="49" spans="13:31" ht="15.75">
      <c r="M49"/>
      <c r="N49" s="402"/>
      <c r="O49"/>
      <c r="P49"/>
      <c r="Q49"/>
      <c r="R49"/>
      <c r="S49"/>
      <c r="T49"/>
      <c r="U49"/>
    </row>
    <row r="50" spans="13:31" ht="15.75">
      <c r="M50"/>
      <c r="N50" s="402"/>
      <c r="O50"/>
      <c r="P50"/>
      <c r="Q50"/>
      <c r="R50"/>
      <c r="S50"/>
      <c r="T50"/>
      <c r="U50"/>
    </row>
    <row r="51" spans="13:31" ht="15.75">
      <c r="M51"/>
      <c r="N51" s="402"/>
      <c r="O51"/>
      <c r="P51"/>
      <c r="Q51"/>
      <c r="R51"/>
      <c r="S51"/>
      <c r="T51"/>
      <c r="U51"/>
    </row>
    <row r="52" spans="13:31" ht="12.75" hidden="1" customHeight="1">
      <c r="M52"/>
      <c r="N52" s="402"/>
      <c r="O52"/>
      <c r="P52"/>
      <c r="Q52"/>
      <c r="R52"/>
      <c r="S52"/>
      <c r="T52"/>
      <c r="U52"/>
    </row>
    <row r="53" spans="13:31" ht="15.75">
      <c r="M53"/>
      <c r="N53" s="402"/>
      <c r="O53"/>
      <c r="P53"/>
      <c r="Q53"/>
      <c r="R53"/>
      <c r="S53"/>
      <c r="T53"/>
      <c r="U53"/>
    </row>
    <row r="54" spans="13:31" ht="15.75">
      <c r="M54"/>
      <c r="N54" s="402"/>
      <c r="O54"/>
      <c r="P54"/>
      <c r="Q54"/>
      <c r="R54"/>
      <c r="S54"/>
      <c r="T54"/>
      <c r="U54"/>
    </row>
    <row r="55" spans="13:31" ht="15.75">
      <c r="M55"/>
      <c r="N55" s="402"/>
      <c r="O55"/>
      <c r="P55"/>
      <c r="Q55"/>
      <c r="R55"/>
      <c r="S55"/>
      <c r="T55"/>
      <c r="U55"/>
      <c r="V55"/>
      <c r="W55"/>
      <c r="X55"/>
      <c r="Y55"/>
      <c r="Z55"/>
      <c r="AA55"/>
      <c r="AB55"/>
      <c r="AC55"/>
      <c r="AD55"/>
      <c r="AE55"/>
    </row>
    <row r="56" spans="13:31" ht="15.75">
      <c r="M56"/>
      <c r="N56" s="402"/>
      <c r="O56"/>
      <c r="P56"/>
      <c r="Q56"/>
      <c r="R56"/>
      <c r="S56"/>
      <c r="T56"/>
      <c r="U56"/>
      <c r="V56"/>
      <c r="W56"/>
      <c r="X56"/>
      <c r="Y56"/>
      <c r="Z56"/>
      <c r="AA56"/>
      <c r="AB56"/>
      <c r="AC56"/>
      <c r="AD56"/>
      <c r="AE56"/>
    </row>
    <row r="57" spans="13:31" ht="15.75">
      <c r="M57"/>
      <c r="N57" s="402"/>
      <c r="O57"/>
      <c r="P57"/>
      <c r="Q57"/>
      <c r="R57"/>
      <c r="S57"/>
      <c r="T57"/>
      <c r="U57"/>
      <c r="V57"/>
      <c r="W57"/>
      <c r="X57"/>
      <c r="Y57"/>
      <c r="Z57"/>
      <c r="AA57"/>
      <c r="AB57"/>
      <c r="AC57"/>
      <c r="AD57"/>
      <c r="AE57"/>
    </row>
    <row r="58" spans="13:31" ht="15.75">
      <c r="M58"/>
      <c r="N58" s="402"/>
      <c r="O58"/>
      <c r="P58"/>
      <c r="Q58"/>
      <c r="R58"/>
      <c r="S58"/>
      <c r="T58"/>
      <c r="U58"/>
      <c r="V58"/>
      <c r="W58"/>
      <c r="X58"/>
      <c r="Y58"/>
      <c r="Z58"/>
      <c r="AA58"/>
      <c r="AB58"/>
      <c r="AC58"/>
      <c r="AD58"/>
      <c r="AE58"/>
    </row>
    <row r="59" spans="13:31" ht="15.75">
      <c r="M59"/>
      <c r="N59" s="402"/>
      <c r="O59"/>
      <c r="P59"/>
      <c r="Q59"/>
      <c r="R59"/>
      <c r="S59"/>
      <c r="T59"/>
      <c r="U59"/>
      <c r="V59"/>
      <c r="W59"/>
      <c r="X59"/>
      <c r="Y59"/>
      <c r="Z59"/>
      <c r="AA59"/>
      <c r="AB59"/>
      <c r="AC59"/>
      <c r="AD59"/>
      <c r="AE59"/>
    </row>
    <row r="60" spans="13:31" ht="15.75">
      <c r="M60"/>
      <c r="N60" s="402"/>
      <c r="O60"/>
      <c r="P60"/>
      <c r="Q60"/>
      <c r="R60"/>
      <c r="S60"/>
      <c r="T60"/>
      <c r="U60"/>
      <c r="V60"/>
      <c r="W60"/>
      <c r="X60"/>
      <c r="Y60"/>
      <c r="Z60"/>
      <c r="AA60"/>
      <c r="AB60"/>
      <c r="AC60"/>
      <c r="AD60"/>
      <c r="AE60"/>
    </row>
    <row r="61" spans="13:31" ht="15.75">
      <c r="M61"/>
      <c r="N61" s="402"/>
      <c r="O61"/>
      <c r="P61"/>
      <c r="Q61"/>
      <c r="R61"/>
      <c r="S61"/>
      <c r="T61"/>
      <c r="U61"/>
      <c r="V61"/>
      <c r="W61"/>
      <c r="X61"/>
      <c r="Y61"/>
      <c r="Z61"/>
      <c r="AA61"/>
      <c r="AB61"/>
      <c r="AC61"/>
      <c r="AD61"/>
      <c r="AE61"/>
    </row>
    <row r="62" spans="13:31" ht="15.75">
      <c r="M62"/>
      <c r="N62" s="402"/>
      <c r="O62"/>
      <c r="P62"/>
      <c r="Q62"/>
      <c r="R62"/>
      <c r="S62"/>
      <c r="T62"/>
      <c r="U62"/>
      <c r="V62"/>
      <c r="W62"/>
      <c r="X62"/>
      <c r="Y62"/>
      <c r="Z62"/>
      <c r="AA62"/>
      <c r="AB62"/>
      <c r="AC62"/>
      <c r="AD62"/>
      <c r="AE62"/>
    </row>
    <row r="63" spans="13:31" ht="15.75">
      <c r="M63"/>
      <c r="N63" s="402"/>
      <c r="O63"/>
      <c r="P63"/>
      <c r="Q63"/>
      <c r="R63"/>
      <c r="S63"/>
      <c r="T63"/>
      <c r="U63"/>
      <c r="V63"/>
      <c r="W63"/>
      <c r="X63"/>
      <c r="Y63"/>
      <c r="Z63"/>
      <c r="AA63"/>
      <c r="AB63"/>
      <c r="AC63"/>
      <c r="AD63"/>
      <c r="AE63"/>
    </row>
    <row r="64" spans="13:31" ht="15.75">
      <c r="M64"/>
      <c r="N64" s="402"/>
      <c r="O64"/>
      <c r="P64"/>
      <c r="Q64"/>
      <c r="R64"/>
      <c r="S64"/>
      <c r="T64"/>
      <c r="U64"/>
      <c r="V64"/>
      <c r="W64"/>
      <c r="X64"/>
      <c r="Y64"/>
      <c r="Z64"/>
      <c r="AA64"/>
      <c r="AB64"/>
      <c r="AC64"/>
      <c r="AD64"/>
      <c r="AE64"/>
    </row>
    <row r="65" spans="13:34" ht="15.75">
      <c r="M65"/>
      <c r="N65" s="402"/>
      <c r="O65"/>
      <c r="P65"/>
      <c r="Q65"/>
      <c r="R65"/>
      <c r="S65"/>
      <c r="T65"/>
      <c r="U65"/>
      <c r="V65"/>
      <c r="W65"/>
      <c r="X65"/>
      <c r="Y65"/>
      <c r="Z65"/>
      <c r="AA65"/>
      <c r="AB65"/>
      <c r="AC65"/>
      <c r="AD65"/>
      <c r="AE65"/>
    </row>
    <row r="66" spans="13:34" ht="15.75">
      <c r="M66"/>
      <c r="N66" s="402"/>
      <c r="O66"/>
      <c r="P66"/>
      <c r="Q66"/>
      <c r="R66"/>
      <c r="S66"/>
      <c r="T66"/>
      <c r="U66"/>
      <c r="V66"/>
      <c r="W66"/>
      <c r="X66"/>
      <c r="Y66"/>
      <c r="Z66"/>
      <c r="AA66"/>
      <c r="AB66"/>
      <c r="AC66"/>
      <c r="AD66"/>
      <c r="AE66"/>
    </row>
    <row r="67" spans="13:34" ht="15.75">
      <c r="M67"/>
      <c r="N67" s="402"/>
      <c r="O67"/>
      <c r="P67"/>
      <c r="Q67"/>
      <c r="R67"/>
      <c r="S67"/>
      <c r="T67"/>
      <c r="U67"/>
      <c r="V67"/>
      <c r="W67"/>
      <c r="X67"/>
      <c r="Y67"/>
      <c r="Z67"/>
      <c r="AA67"/>
      <c r="AB67"/>
      <c r="AC67"/>
      <c r="AD67"/>
      <c r="AE67"/>
    </row>
    <row r="68" spans="13:34" ht="15.75">
      <c r="M68"/>
      <c r="N68" s="402"/>
      <c r="O68"/>
      <c r="P68"/>
      <c r="Q68"/>
      <c r="R68"/>
      <c r="S68"/>
      <c r="T68"/>
      <c r="U68"/>
      <c r="V68"/>
      <c r="W68"/>
      <c r="X68"/>
      <c r="Y68"/>
      <c r="Z68"/>
      <c r="AA68"/>
      <c r="AB68"/>
      <c r="AC68"/>
      <c r="AD68"/>
      <c r="AE68"/>
    </row>
    <row r="69" spans="13:34" ht="15.75">
      <c r="M69"/>
      <c r="N69" s="402"/>
      <c r="O69"/>
      <c r="P69"/>
      <c r="Q69"/>
      <c r="R69"/>
      <c r="S69"/>
      <c r="T69"/>
      <c r="U69"/>
      <c r="V69"/>
      <c r="W69"/>
      <c r="X69"/>
      <c r="Y69"/>
      <c r="Z69"/>
      <c r="AA69"/>
      <c r="AB69"/>
      <c r="AC69"/>
      <c r="AD69"/>
      <c r="AE69"/>
    </row>
    <row r="70" spans="13:34" ht="15.75">
      <c r="M70"/>
      <c r="N70" s="402"/>
      <c r="O70"/>
      <c r="P70"/>
      <c r="Q70"/>
      <c r="R70"/>
      <c r="S70"/>
      <c r="T70"/>
      <c r="U70"/>
      <c r="V70"/>
      <c r="W70"/>
      <c r="X70"/>
      <c r="Y70"/>
      <c r="Z70"/>
      <c r="AA70"/>
      <c r="AB70"/>
      <c r="AC70"/>
      <c r="AD70"/>
      <c r="AE70"/>
    </row>
    <row r="71" spans="13:34" ht="15.75">
      <c r="M71"/>
      <c r="N71" s="402"/>
      <c r="O71"/>
      <c r="P71"/>
      <c r="Q71"/>
      <c r="R71"/>
      <c r="S71"/>
      <c r="T71"/>
      <c r="U71"/>
      <c r="V71"/>
      <c r="W71"/>
      <c r="X71"/>
      <c r="Y71"/>
      <c r="Z71"/>
      <c r="AA71"/>
      <c r="AB71"/>
      <c r="AC71"/>
      <c r="AD71"/>
      <c r="AE71"/>
    </row>
    <row r="72" spans="13:34" ht="15.75">
      <c r="M72"/>
      <c r="N72" s="402"/>
      <c r="O72"/>
      <c r="P72"/>
      <c r="Q72"/>
      <c r="R72"/>
      <c r="S72"/>
      <c r="T72"/>
      <c r="U72"/>
      <c r="V72"/>
      <c r="W72"/>
      <c r="X72"/>
      <c r="Y72"/>
      <c r="Z72"/>
      <c r="AA72"/>
      <c r="AB72"/>
      <c r="AC72"/>
      <c r="AD72"/>
      <c r="AE72"/>
      <c r="AF72"/>
      <c r="AG72"/>
      <c r="AH72"/>
    </row>
    <row r="73" spans="13:34" ht="15.75">
      <c r="M73"/>
      <c r="N73" s="402"/>
      <c r="O73"/>
      <c r="P73"/>
      <c r="Q73"/>
      <c r="R73"/>
      <c r="S73"/>
      <c r="T73"/>
      <c r="U73"/>
      <c r="V73"/>
      <c r="W73"/>
      <c r="X73"/>
      <c r="Y73"/>
      <c r="Z73"/>
      <c r="AA73"/>
      <c r="AB73"/>
      <c r="AC73"/>
      <c r="AD73"/>
      <c r="AE73"/>
      <c r="AF73"/>
      <c r="AG73"/>
      <c r="AH73"/>
    </row>
    <row r="74" spans="13:34" ht="15.75">
      <c r="M74"/>
      <c r="N74" s="402"/>
      <c r="O74"/>
      <c r="P74"/>
      <c r="Q74"/>
      <c r="R74"/>
      <c r="S74"/>
      <c r="T74"/>
      <c r="U74"/>
      <c r="V74"/>
      <c r="W74"/>
      <c r="X74"/>
      <c r="Y74"/>
      <c r="Z74"/>
      <c r="AA74"/>
      <c r="AB74"/>
      <c r="AC74"/>
      <c r="AD74"/>
      <c r="AE74"/>
      <c r="AF74"/>
      <c r="AG74"/>
      <c r="AH74"/>
    </row>
    <row r="75" spans="13:34" ht="15.75">
      <c r="M75"/>
      <c r="N75" s="402"/>
      <c r="O75"/>
      <c r="P75"/>
      <c r="Q75"/>
      <c r="R75"/>
      <c r="S75"/>
      <c r="T75"/>
      <c r="U75"/>
      <c r="V75"/>
      <c r="W75"/>
      <c r="X75"/>
      <c r="Y75"/>
      <c r="Z75"/>
      <c r="AA75"/>
      <c r="AB75"/>
      <c r="AC75"/>
      <c r="AD75"/>
      <c r="AE75"/>
      <c r="AF75"/>
      <c r="AG75"/>
      <c r="AH75"/>
    </row>
    <row r="76" spans="13:34" ht="15.75">
      <c r="M76"/>
      <c r="N76" s="402"/>
      <c r="O76"/>
      <c r="P76"/>
      <c r="Q76"/>
      <c r="R76"/>
      <c r="S76"/>
      <c r="T76"/>
      <c r="U76"/>
      <c r="V76"/>
      <c r="W76"/>
      <c r="X76"/>
      <c r="Y76"/>
      <c r="Z76"/>
      <c r="AA76"/>
      <c r="AB76"/>
      <c r="AC76"/>
      <c r="AD76"/>
      <c r="AE76"/>
      <c r="AF76"/>
      <c r="AG76"/>
      <c r="AH76"/>
    </row>
    <row r="77" spans="13:34" ht="15.75">
      <c r="M77"/>
      <c r="N77" s="402"/>
      <c r="O77"/>
      <c r="P77"/>
      <c r="Q77"/>
      <c r="R77"/>
      <c r="S77"/>
      <c r="T77"/>
      <c r="U77"/>
      <c r="V77"/>
      <c r="W77"/>
      <c r="X77"/>
      <c r="Y77"/>
      <c r="Z77"/>
      <c r="AA77"/>
      <c r="AB77"/>
      <c r="AC77"/>
      <c r="AD77"/>
      <c r="AE77"/>
      <c r="AF77"/>
      <c r="AG77"/>
      <c r="AH77"/>
    </row>
    <row r="78" spans="13:34" ht="15.75">
      <c r="V78"/>
      <c r="W78"/>
      <c r="X78"/>
      <c r="Y78"/>
      <c r="Z78"/>
      <c r="AA78"/>
      <c r="AB78"/>
      <c r="AC78"/>
      <c r="AD78"/>
      <c r="AE78"/>
      <c r="AF78"/>
      <c r="AG78"/>
      <c r="AH78"/>
    </row>
    <row r="79" spans="13:34" ht="15.75">
      <c r="V79"/>
      <c r="W79"/>
      <c r="X79"/>
      <c r="Y79"/>
      <c r="Z79"/>
      <c r="AA79"/>
      <c r="AB79"/>
      <c r="AC79"/>
      <c r="AD79"/>
      <c r="AE79"/>
      <c r="AF79"/>
      <c r="AG79"/>
      <c r="AH79"/>
    </row>
    <row r="80" spans="13:34" ht="15.75">
      <c r="V80"/>
      <c r="W80"/>
      <c r="X80"/>
      <c r="Y80"/>
      <c r="Z80"/>
      <c r="AA80"/>
      <c r="AB80"/>
      <c r="AC80"/>
      <c r="AD80"/>
      <c r="AE80"/>
      <c r="AF80"/>
      <c r="AG80"/>
      <c r="AH80"/>
    </row>
    <row r="81" spans="22:34" ht="15.75">
      <c r="V81"/>
      <c r="W81"/>
      <c r="X81"/>
      <c r="Y81"/>
      <c r="Z81"/>
      <c r="AA81"/>
      <c r="AB81"/>
      <c r="AC81"/>
      <c r="AD81"/>
      <c r="AE81"/>
      <c r="AF81"/>
      <c r="AG81"/>
      <c r="AH81"/>
    </row>
    <row r="82" spans="22:34" ht="15.75">
      <c r="V82"/>
      <c r="W82"/>
      <c r="X82"/>
      <c r="Y82"/>
      <c r="Z82"/>
      <c r="AA82"/>
      <c r="AB82"/>
      <c r="AC82"/>
      <c r="AD82"/>
      <c r="AE82"/>
      <c r="AF82"/>
      <c r="AG82"/>
      <c r="AH82"/>
    </row>
    <row r="83" spans="22:34" ht="15.75">
      <c r="V83"/>
      <c r="W83"/>
      <c r="X83"/>
      <c r="Y83"/>
      <c r="Z83"/>
      <c r="AA83"/>
      <c r="AB83"/>
      <c r="AC83"/>
      <c r="AD83"/>
      <c r="AE83"/>
      <c r="AF83"/>
      <c r="AG83"/>
      <c r="AH83"/>
    </row>
    <row r="84" spans="22:34" ht="15.75">
      <c r="V84"/>
      <c r="W84"/>
      <c r="X84"/>
      <c r="Y84"/>
      <c r="Z84"/>
      <c r="AA84"/>
      <c r="AB84"/>
      <c r="AC84"/>
      <c r="AD84"/>
      <c r="AE84"/>
      <c r="AF84"/>
      <c r="AG84"/>
      <c r="AH84"/>
    </row>
    <row r="85" spans="22:34" ht="15.75">
      <c r="V85"/>
      <c r="W85"/>
      <c r="X85"/>
      <c r="Y85"/>
      <c r="Z85"/>
      <c r="AA85"/>
      <c r="AB85"/>
      <c r="AC85"/>
      <c r="AD85"/>
      <c r="AE85"/>
      <c r="AF85"/>
      <c r="AG85"/>
      <c r="AH85"/>
    </row>
    <row r="86" spans="22:34" ht="15.75">
      <c r="V86"/>
      <c r="W86"/>
      <c r="X86"/>
      <c r="Y86"/>
      <c r="Z86"/>
      <c r="AA86"/>
      <c r="AB86"/>
      <c r="AC86"/>
      <c r="AD86"/>
      <c r="AE86"/>
      <c r="AF86"/>
      <c r="AG86"/>
      <c r="AH86"/>
    </row>
    <row r="87" spans="22:34" ht="15.75">
      <c r="V87"/>
      <c r="W87"/>
      <c r="X87"/>
      <c r="Y87"/>
      <c r="Z87"/>
      <c r="AA87"/>
      <c r="AB87"/>
      <c r="AC87"/>
      <c r="AD87"/>
      <c r="AE87"/>
      <c r="AF87"/>
      <c r="AG87"/>
      <c r="AH87"/>
    </row>
    <row r="88" spans="22:34" ht="15.75">
      <c r="V88"/>
      <c r="W88"/>
      <c r="X88"/>
      <c r="Y88"/>
      <c r="Z88"/>
      <c r="AA88"/>
      <c r="AB88"/>
      <c r="AC88"/>
      <c r="AD88"/>
      <c r="AE88"/>
      <c r="AF88"/>
      <c r="AG88"/>
      <c r="AH88"/>
    </row>
    <row r="89" spans="22:34" ht="15.75">
      <c r="V89"/>
      <c r="W89"/>
      <c r="X89"/>
      <c r="Y89"/>
      <c r="Z89"/>
      <c r="AA89"/>
      <c r="AB89"/>
      <c r="AC89"/>
      <c r="AD89"/>
      <c r="AE89"/>
      <c r="AF89"/>
      <c r="AG89"/>
      <c r="AH89"/>
    </row>
    <row r="90" spans="22:34" ht="15.75">
      <c r="V90"/>
      <c r="W90"/>
      <c r="X90"/>
      <c r="Y90"/>
      <c r="Z90"/>
      <c r="AA90"/>
      <c r="AB90"/>
      <c r="AC90"/>
      <c r="AD90"/>
      <c r="AE90"/>
      <c r="AF90"/>
      <c r="AG90"/>
      <c r="AH90"/>
    </row>
    <row r="91" spans="22:34" ht="15.75">
      <c r="V91"/>
      <c r="W91"/>
      <c r="X91"/>
      <c r="Y91"/>
      <c r="Z91"/>
      <c r="AA91"/>
      <c r="AB91"/>
      <c r="AC91"/>
      <c r="AD91"/>
      <c r="AE91"/>
      <c r="AF91"/>
      <c r="AG91"/>
      <c r="AH91"/>
    </row>
    <row r="92" spans="22:34" ht="15.75">
      <c r="V92"/>
      <c r="W92"/>
      <c r="X92"/>
      <c r="Y92"/>
      <c r="Z92"/>
      <c r="AA92"/>
      <c r="AB92"/>
      <c r="AC92"/>
      <c r="AD92"/>
      <c r="AE92"/>
      <c r="AF92"/>
      <c r="AG92"/>
      <c r="AH92"/>
    </row>
    <row r="93" spans="22:34" ht="15.75">
      <c r="V93"/>
      <c r="W93"/>
      <c r="X93"/>
      <c r="Y93"/>
      <c r="Z93"/>
      <c r="AA93"/>
      <c r="AB93"/>
      <c r="AC93"/>
      <c r="AD93"/>
      <c r="AE93"/>
      <c r="AF93"/>
      <c r="AG93"/>
      <c r="AH93"/>
    </row>
    <row r="94" spans="22:34" ht="15.75">
      <c r="V94"/>
      <c r="W94"/>
      <c r="X94"/>
      <c r="Y94"/>
      <c r="Z94"/>
      <c r="AA94"/>
      <c r="AB94"/>
      <c r="AC94"/>
      <c r="AD94"/>
      <c r="AE94"/>
      <c r="AF94"/>
      <c r="AG94"/>
      <c r="AH94"/>
    </row>
    <row r="95" spans="22:34" ht="15.75">
      <c r="V95"/>
      <c r="W95"/>
      <c r="X95"/>
      <c r="Y95"/>
      <c r="Z95"/>
      <c r="AA95"/>
      <c r="AB95"/>
      <c r="AC95"/>
      <c r="AD95"/>
      <c r="AE95"/>
      <c r="AF95"/>
      <c r="AG95"/>
      <c r="AH95"/>
    </row>
    <row r="96" spans="22:34" ht="15.75">
      <c r="V96"/>
      <c r="W96"/>
      <c r="X96"/>
      <c r="Y96"/>
      <c r="Z96"/>
      <c r="AA96"/>
      <c r="AB96"/>
      <c r="AC96"/>
      <c r="AD96"/>
      <c r="AE96"/>
      <c r="AF96"/>
      <c r="AG96"/>
      <c r="AH96"/>
    </row>
    <row r="97" spans="22:34" ht="15.75">
      <c r="V97"/>
      <c r="W97"/>
      <c r="X97"/>
      <c r="Y97"/>
      <c r="Z97"/>
      <c r="AA97"/>
      <c r="AB97"/>
      <c r="AC97"/>
      <c r="AD97"/>
      <c r="AE97"/>
      <c r="AF97"/>
      <c r="AG97"/>
      <c r="AH97"/>
    </row>
    <row r="98" spans="22:34" ht="15.75">
      <c r="V98"/>
      <c r="W98"/>
      <c r="X98"/>
      <c r="Y98"/>
      <c r="Z98"/>
      <c r="AA98"/>
      <c r="AB98"/>
      <c r="AC98"/>
      <c r="AD98"/>
      <c r="AE98"/>
      <c r="AF98"/>
      <c r="AG98"/>
      <c r="AH98"/>
    </row>
    <row r="99" spans="22:34" ht="15.75">
      <c r="V99"/>
      <c r="W99"/>
      <c r="X99"/>
      <c r="Y99"/>
      <c r="Z99"/>
      <c r="AA99"/>
      <c r="AB99"/>
      <c r="AC99"/>
      <c r="AD99"/>
      <c r="AE99"/>
      <c r="AF99"/>
      <c r="AG99"/>
      <c r="AH99"/>
    </row>
    <row r="100" spans="22:34" ht="15.75">
      <c r="V100"/>
      <c r="W100"/>
      <c r="X100"/>
      <c r="Y100"/>
      <c r="Z100"/>
      <c r="AA100"/>
      <c r="AB100"/>
      <c r="AC100"/>
      <c r="AD100"/>
      <c r="AE100"/>
      <c r="AF100"/>
      <c r="AG100"/>
      <c r="AH100"/>
    </row>
    <row r="101" spans="22:34" ht="15.75">
      <c r="V101"/>
      <c r="W101"/>
      <c r="X101"/>
      <c r="Y101"/>
      <c r="Z101"/>
      <c r="AA101"/>
      <c r="AB101"/>
      <c r="AC101"/>
      <c r="AD101"/>
      <c r="AE101"/>
      <c r="AF101"/>
      <c r="AG101"/>
      <c r="AH101"/>
    </row>
    <row r="102" spans="22:34" ht="15.75">
      <c r="V102"/>
      <c r="W102"/>
      <c r="X102"/>
      <c r="Y102"/>
      <c r="Z102"/>
      <c r="AA102"/>
      <c r="AB102"/>
      <c r="AC102"/>
      <c r="AD102"/>
      <c r="AE102"/>
      <c r="AF102"/>
      <c r="AG102"/>
      <c r="AH102"/>
    </row>
    <row r="103" spans="22:34" ht="15.75">
      <c r="V103"/>
      <c r="W103"/>
      <c r="X103"/>
      <c r="Y103"/>
      <c r="Z103"/>
      <c r="AA103"/>
      <c r="AB103"/>
      <c r="AC103"/>
      <c r="AD103"/>
      <c r="AE103"/>
      <c r="AF103"/>
      <c r="AG103"/>
      <c r="AH103"/>
    </row>
    <row r="104" spans="22:34" ht="15.75">
      <c r="V104"/>
      <c r="W104"/>
      <c r="X104"/>
      <c r="Y104"/>
      <c r="Z104"/>
      <c r="AA104"/>
      <c r="AB104"/>
      <c r="AC104"/>
      <c r="AD104"/>
      <c r="AE104"/>
      <c r="AF104"/>
      <c r="AG104"/>
      <c r="AH104"/>
    </row>
    <row r="105" spans="22:34" ht="15.75">
      <c r="V105"/>
      <c r="W105"/>
      <c r="X105"/>
      <c r="Y105"/>
      <c r="Z105"/>
      <c r="AA105"/>
      <c r="AB105"/>
      <c r="AC105"/>
      <c r="AD105"/>
      <c r="AE105"/>
      <c r="AF105"/>
      <c r="AG105"/>
      <c r="AH105"/>
    </row>
    <row r="106" spans="22:34" ht="15.75">
      <c r="V106"/>
      <c r="W106"/>
      <c r="X106"/>
      <c r="Y106"/>
      <c r="Z106"/>
      <c r="AA106"/>
      <c r="AB106"/>
      <c r="AC106"/>
      <c r="AD106"/>
      <c r="AE106"/>
      <c r="AF106"/>
      <c r="AG106"/>
      <c r="AH106"/>
    </row>
    <row r="107" spans="22:34" ht="15.75">
      <c r="V107"/>
      <c r="W107"/>
      <c r="X107"/>
      <c r="Y107"/>
      <c r="Z107"/>
      <c r="AA107"/>
      <c r="AB107"/>
      <c r="AC107"/>
      <c r="AD107"/>
      <c r="AE107"/>
      <c r="AF107"/>
      <c r="AG107"/>
      <c r="AH107"/>
    </row>
    <row r="108" spans="22:34" ht="15.75">
      <c r="V108"/>
      <c r="W108"/>
      <c r="X108"/>
      <c r="Y108"/>
      <c r="Z108"/>
      <c r="AA108"/>
      <c r="AB108"/>
      <c r="AC108"/>
      <c r="AD108"/>
      <c r="AE108"/>
      <c r="AF108"/>
      <c r="AG108"/>
      <c r="AH108"/>
    </row>
    <row r="109" spans="22:34" ht="15.75">
      <c r="V109"/>
      <c r="W109"/>
      <c r="X109"/>
      <c r="Y109"/>
      <c r="Z109"/>
      <c r="AA109"/>
      <c r="AB109"/>
      <c r="AC109"/>
      <c r="AD109"/>
      <c r="AE109"/>
      <c r="AF109"/>
      <c r="AG109"/>
      <c r="AH109"/>
    </row>
    <row r="110" spans="22:34" ht="15.75">
      <c r="V110"/>
      <c r="W110"/>
      <c r="X110"/>
      <c r="Y110"/>
      <c r="Z110"/>
      <c r="AA110"/>
      <c r="AB110"/>
      <c r="AC110"/>
      <c r="AD110"/>
      <c r="AE110"/>
      <c r="AF110"/>
      <c r="AG110"/>
      <c r="AH110"/>
    </row>
    <row r="111" spans="22:34" ht="15.75">
      <c r="V111"/>
      <c r="W111"/>
      <c r="X111"/>
      <c r="Y111"/>
      <c r="Z111"/>
      <c r="AA111"/>
      <c r="AB111"/>
      <c r="AC111"/>
      <c r="AD111"/>
      <c r="AE111"/>
      <c r="AF111"/>
      <c r="AG111"/>
      <c r="AH111"/>
    </row>
    <row r="112" spans="22:34" ht="15.75">
      <c r="V112"/>
      <c r="W112"/>
      <c r="X112"/>
      <c r="Y112"/>
      <c r="Z112"/>
      <c r="AA112"/>
      <c r="AB112"/>
      <c r="AC112"/>
      <c r="AD112"/>
      <c r="AE112"/>
      <c r="AF112"/>
      <c r="AG112"/>
      <c r="AH112"/>
    </row>
    <row r="113" spans="13:34" ht="15.75">
      <c r="V113"/>
      <c r="W113"/>
      <c r="X113"/>
      <c r="Y113"/>
      <c r="Z113"/>
      <c r="AA113"/>
      <c r="AB113"/>
      <c r="AC113"/>
      <c r="AD113"/>
      <c r="AE113"/>
      <c r="AF113"/>
      <c r="AG113"/>
      <c r="AH113"/>
    </row>
    <row r="114" spans="13:34" ht="15.75">
      <c r="V114"/>
      <c r="W114"/>
      <c r="X114"/>
      <c r="Y114"/>
      <c r="Z114"/>
      <c r="AA114"/>
      <c r="AB114"/>
      <c r="AC114"/>
      <c r="AD114"/>
      <c r="AE114"/>
      <c r="AF114"/>
      <c r="AG114"/>
      <c r="AH114"/>
    </row>
    <row r="115" spans="13:34" ht="15.75">
      <c r="V115"/>
      <c r="W115"/>
      <c r="X115"/>
      <c r="Y115"/>
      <c r="Z115"/>
      <c r="AA115"/>
      <c r="AB115"/>
      <c r="AC115"/>
      <c r="AD115"/>
      <c r="AE115"/>
      <c r="AF115"/>
      <c r="AG115"/>
      <c r="AH115"/>
    </row>
    <row r="116" spans="13:34" ht="15.75">
      <c r="V116"/>
      <c r="W116"/>
      <c r="X116"/>
      <c r="Y116"/>
      <c r="Z116"/>
      <c r="AA116"/>
      <c r="AB116"/>
      <c r="AC116"/>
      <c r="AD116"/>
      <c r="AE116"/>
      <c r="AF116"/>
      <c r="AG116"/>
      <c r="AH116"/>
    </row>
    <row r="117" spans="13:34" ht="15.75">
      <c r="V117"/>
      <c r="W117"/>
      <c r="X117"/>
      <c r="Y117"/>
      <c r="Z117"/>
      <c r="AA117"/>
      <c r="AB117"/>
      <c r="AC117"/>
      <c r="AD117"/>
      <c r="AE117"/>
      <c r="AF117"/>
      <c r="AG117"/>
      <c r="AH117"/>
    </row>
    <row r="118" spans="13:34" ht="15.75">
      <c r="V118"/>
      <c r="W118"/>
      <c r="X118"/>
      <c r="Y118"/>
      <c r="Z118"/>
      <c r="AA118"/>
      <c r="AB118"/>
      <c r="AC118"/>
      <c r="AD118"/>
      <c r="AE118"/>
      <c r="AF118"/>
      <c r="AG118"/>
      <c r="AH118"/>
    </row>
    <row r="119" spans="13:34" ht="15.75">
      <c r="V119"/>
      <c r="W119"/>
      <c r="X119"/>
      <c r="Y119"/>
      <c r="Z119"/>
      <c r="AA119"/>
      <c r="AB119"/>
      <c r="AC119"/>
      <c r="AD119"/>
      <c r="AE119"/>
      <c r="AF119"/>
      <c r="AG119"/>
      <c r="AH119"/>
    </row>
    <row r="120" spans="13:34" ht="15.75">
      <c r="M120"/>
      <c r="N120" s="402"/>
      <c r="O120"/>
      <c r="P120"/>
      <c r="Q120"/>
      <c r="R120"/>
      <c r="S120"/>
      <c r="T120"/>
      <c r="U120"/>
      <c r="V120"/>
      <c r="W120"/>
      <c r="X120"/>
      <c r="Y120"/>
      <c r="Z120"/>
      <c r="AA120"/>
      <c r="AB120"/>
      <c r="AC120"/>
      <c r="AD120"/>
      <c r="AE120"/>
      <c r="AF120"/>
      <c r="AG120"/>
      <c r="AH120"/>
    </row>
    <row r="121" spans="13:34" ht="15.75">
      <c r="M121"/>
      <c r="N121" s="402"/>
      <c r="O121"/>
      <c r="P121"/>
      <c r="Q121"/>
      <c r="R121"/>
      <c r="S121"/>
      <c r="T121"/>
      <c r="U121"/>
      <c r="V121"/>
      <c r="W121"/>
      <c r="X121"/>
      <c r="Y121"/>
      <c r="Z121"/>
      <c r="AA121"/>
      <c r="AB121"/>
      <c r="AC121"/>
      <c r="AD121"/>
      <c r="AE121"/>
      <c r="AF121"/>
      <c r="AG121"/>
      <c r="AH121"/>
    </row>
    <row r="122" spans="13:34" ht="15.75">
      <c r="M122"/>
      <c r="N122" s="402"/>
      <c r="O122"/>
      <c r="P122"/>
      <c r="Q122"/>
      <c r="R122"/>
      <c r="S122"/>
      <c r="T122"/>
      <c r="U122"/>
      <c r="V122"/>
      <c r="W122"/>
      <c r="X122"/>
      <c r="Y122"/>
      <c r="Z122"/>
      <c r="AA122"/>
      <c r="AB122"/>
      <c r="AC122"/>
      <c r="AD122"/>
      <c r="AE122"/>
      <c r="AF122"/>
      <c r="AG122"/>
      <c r="AH122"/>
    </row>
    <row r="123" spans="13:34" ht="15.75">
      <c r="M123"/>
      <c r="N123" s="402"/>
      <c r="O123"/>
      <c r="P123"/>
      <c r="Q123"/>
      <c r="R123"/>
      <c r="S123"/>
      <c r="T123"/>
      <c r="U123"/>
      <c r="V123"/>
      <c r="W123"/>
      <c r="X123"/>
      <c r="Y123"/>
      <c r="Z123"/>
      <c r="AA123"/>
      <c r="AB123"/>
      <c r="AC123"/>
      <c r="AD123"/>
      <c r="AE123"/>
      <c r="AF123"/>
      <c r="AG123"/>
      <c r="AH123"/>
    </row>
    <row r="124" spans="13:34" ht="15.75">
      <c r="M124"/>
      <c r="N124" s="402"/>
      <c r="O124"/>
      <c r="P124"/>
      <c r="Q124"/>
      <c r="R124"/>
      <c r="S124"/>
      <c r="T124"/>
      <c r="U124"/>
      <c r="V124"/>
      <c r="W124"/>
      <c r="X124"/>
      <c r="Y124"/>
      <c r="Z124"/>
      <c r="AA124"/>
      <c r="AB124"/>
      <c r="AC124"/>
      <c r="AD124"/>
      <c r="AE124"/>
      <c r="AF124"/>
      <c r="AG124"/>
      <c r="AH124"/>
    </row>
    <row r="125" spans="13:34" ht="15.75">
      <c r="M125"/>
      <c r="N125" s="402"/>
      <c r="O125"/>
      <c r="P125"/>
      <c r="Q125"/>
      <c r="R125"/>
      <c r="S125"/>
      <c r="T125"/>
      <c r="U125"/>
      <c r="V125"/>
      <c r="W125"/>
      <c r="X125"/>
      <c r="Y125"/>
      <c r="Z125"/>
      <c r="AA125"/>
      <c r="AB125"/>
      <c r="AC125"/>
      <c r="AD125"/>
      <c r="AE125"/>
      <c r="AF125"/>
      <c r="AG125"/>
      <c r="AH125"/>
    </row>
    <row r="126" spans="13:34" ht="15.75">
      <c r="M126"/>
      <c r="N126" s="402"/>
      <c r="O126"/>
      <c r="P126"/>
      <c r="Q126"/>
      <c r="R126"/>
      <c r="S126"/>
      <c r="T126"/>
      <c r="U126"/>
      <c r="V126"/>
      <c r="W126"/>
      <c r="X126"/>
      <c r="Y126"/>
      <c r="Z126"/>
      <c r="AA126"/>
      <c r="AB126"/>
      <c r="AC126"/>
      <c r="AD126"/>
      <c r="AE126"/>
      <c r="AF126"/>
      <c r="AG126"/>
      <c r="AH126"/>
    </row>
    <row r="127" spans="13:34" ht="15.75">
      <c r="M127"/>
      <c r="N127" s="402"/>
      <c r="O127"/>
      <c r="P127"/>
      <c r="Q127"/>
      <c r="R127"/>
      <c r="S127"/>
      <c r="T127"/>
      <c r="U127"/>
      <c r="V127"/>
      <c r="W127"/>
      <c r="X127"/>
      <c r="Y127"/>
      <c r="Z127"/>
      <c r="AA127"/>
      <c r="AB127"/>
      <c r="AC127"/>
      <c r="AD127"/>
      <c r="AE127"/>
      <c r="AF127"/>
      <c r="AG127"/>
      <c r="AH127"/>
    </row>
    <row r="128" spans="13:34" ht="15.75">
      <c r="M128"/>
      <c r="N128" s="402"/>
      <c r="O128"/>
      <c r="P128"/>
      <c r="Q128"/>
      <c r="R128"/>
      <c r="S128"/>
      <c r="T128"/>
      <c r="U128"/>
      <c r="V128"/>
      <c r="W128"/>
      <c r="X128"/>
      <c r="Y128"/>
      <c r="Z128"/>
      <c r="AA128"/>
      <c r="AB128"/>
      <c r="AC128"/>
      <c r="AD128"/>
      <c r="AE128"/>
      <c r="AF128"/>
      <c r="AG128"/>
      <c r="AH128"/>
    </row>
    <row r="129" spans="13:34" ht="15.75">
      <c r="M129"/>
      <c r="N129" s="402"/>
      <c r="O129"/>
      <c r="P129"/>
      <c r="Q129"/>
      <c r="R129"/>
      <c r="S129"/>
      <c r="T129"/>
      <c r="U129"/>
      <c r="V129"/>
      <c r="W129"/>
      <c r="X129"/>
      <c r="Y129"/>
      <c r="Z129"/>
      <c r="AA129"/>
      <c r="AB129"/>
      <c r="AC129"/>
      <c r="AD129"/>
      <c r="AE129"/>
      <c r="AF129"/>
      <c r="AG129"/>
      <c r="AH129"/>
    </row>
    <row r="130" spans="13:34" ht="15.75">
      <c r="M130"/>
      <c r="N130" s="402"/>
      <c r="O130"/>
      <c r="P130"/>
      <c r="Q130"/>
      <c r="R130"/>
      <c r="S130"/>
      <c r="T130"/>
      <c r="U130"/>
      <c r="V130"/>
      <c r="W130"/>
      <c r="X130"/>
      <c r="Y130"/>
      <c r="Z130"/>
      <c r="AA130"/>
      <c r="AB130"/>
      <c r="AC130"/>
      <c r="AD130"/>
      <c r="AE130"/>
      <c r="AF130"/>
      <c r="AG130"/>
      <c r="AH130"/>
    </row>
    <row r="131" spans="13:34" ht="15.75">
      <c r="M131"/>
      <c r="N131" s="402"/>
      <c r="O131"/>
      <c r="P131"/>
      <c r="Q131"/>
      <c r="R131"/>
      <c r="S131"/>
      <c r="T131"/>
      <c r="U131"/>
      <c r="V131"/>
      <c r="W131"/>
      <c r="X131"/>
      <c r="Y131"/>
      <c r="Z131"/>
      <c r="AA131"/>
      <c r="AB131"/>
      <c r="AC131"/>
      <c r="AD131"/>
      <c r="AE131"/>
      <c r="AF131"/>
      <c r="AG131"/>
      <c r="AH131"/>
    </row>
    <row r="132" spans="13:34" ht="15.75">
      <c r="M132"/>
      <c r="N132" s="402"/>
      <c r="O132"/>
      <c r="P132"/>
      <c r="Q132"/>
      <c r="R132"/>
      <c r="S132"/>
      <c r="T132"/>
      <c r="U132"/>
      <c r="V132"/>
      <c r="W132"/>
      <c r="X132"/>
      <c r="Y132"/>
      <c r="Z132"/>
      <c r="AA132"/>
      <c r="AB132"/>
      <c r="AC132"/>
      <c r="AD132"/>
      <c r="AE132"/>
      <c r="AF132"/>
      <c r="AG132"/>
      <c r="AH132"/>
    </row>
    <row r="133" spans="13:34" ht="15.75">
      <c r="M133"/>
      <c r="N133" s="402"/>
      <c r="O133"/>
      <c r="P133"/>
      <c r="Q133"/>
      <c r="R133"/>
      <c r="S133"/>
      <c r="T133"/>
      <c r="U133"/>
      <c r="V133"/>
      <c r="W133"/>
      <c r="X133"/>
      <c r="Y133"/>
      <c r="Z133"/>
      <c r="AA133"/>
      <c r="AB133"/>
      <c r="AC133"/>
      <c r="AD133"/>
      <c r="AE133"/>
      <c r="AF133"/>
      <c r="AG133"/>
      <c r="AH133"/>
    </row>
    <row r="134" spans="13:34" ht="15.75">
      <c r="M134"/>
      <c r="N134" s="402"/>
      <c r="O134"/>
      <c r="P134"/>
      <c r="Q134"/>
      <c r="R134"/>
      <c r="S134"/>
      <c r="T134"/>
      <c r="U134"/>
      <c r="V134"/>
      <c r="W134"/>
      <c r="X134"/>
      <c r="Y134"/>
      <c r="Z134"/>
      <c r="AA134"/>
      <c r="AB134"/>
      <c r="AC134"/>
      <c r="AD134"/>
      <c r="AE134"/>
      <c r="AF134"/>
      <c r="AG134"/>
      <c r="AH134"/>
    </row>
    <row r="135" spans="13:34" ht="15.75">
      <c r="M135"/>
      <c r="N135" s="402"/>
      <c r="O135"/>
      <c r="P135"/>
      <c r="Q135"/>
      <c r="R135"/>
      <c r="S135"/>
      <c r="T135"/>
      <c r="U135"/>
      <c r="V135"/>
      <c r="W135"/>
      <c r="X135"/>
      <c r="Y135"/>
      <c r="Z135"/>
      <c r="AA135"/>
      <c r="AB135"/>
      <c r="AC135"/>
      <c r="AD135"/>
      <c r="AE135"/>
      <c r="AF135"/>
      <c r="AG135"/>
      <c r="AH135"/>
    </row>
    <row r="136" spans="13:34" ht="15.75">
      <c r="M136"/>
      <c r="N136" s="402"/>
      <c r="O136"/>
      <c r="P136"/>
      <c r="Q136"/>
      <c r="R136"/>
      <c r="S136"/>
      <c r="T136"/>
      <c r="U136"/>
      <c r="V136"/>
      <c r="W136"/>
      <c r="X136"/>
      <c r="Y136"/>
      <c r="Z136"/>
      <c r="AA136"/>
      <c r="AB136"/>
      <c r="AC136"/>
      <c r="AD136"/>
      <c r="AE136"/>
      <c r="AF136"/>
      <c r="AG136"/>
      <c r="AH136"/>
    </row>
    <row r="137" spans="13:34" ht="15.75">
      <c r="M137"/>
      <c r="N137" s="402"/>
      <c r="O137"/>
      <c r="P137"/>
      <c r="Q137"/>
      <c r="R137"/>
      <c r="S137"/>
      <c r="T137"/>
      <c r="U137"/>
      <c r="V137"/>
      <c r="W137"/>
      <c r="X137"/>
      <c r="Y137"/>
      <c r="Z137"/>
      <c r="AA137"/>
      <c r="AB137"/>
      <c r="AC137"/>
      <c r="AD137"/>
      <c r="AE137"/>
      <c r="AF137"/>
      <c r="AG137"/>
      <c r="AH137"/>
    </row>
    <row r="138" spans="13:34" ht="15.75">
      <c r="M138"/>
      <c r="N138" s="402"/>
      <c r="O138"/>
      <c r="P138"/>
      <c r="Q138"/>
      <c r="R138"/>
      <c r="S138"/>
      <c r="T138"/>
      <c r="U138"/>
      <c r="V138"/>
      <c r="W138"/>
      <c r="X138"/>
      <c r="Y138"/>
      <c r="Z138"/>
      <c r="AA138"/>
      <c r="AB138"/>
      <c r="AC138"/>
      <c r="AD138"/>
      <c r="AE138"/>
      <c r="AF138"/>
      <c r="AG138"/>
      <c r="AH138"/>
    </row>
    <row r="139" spans="13:34" ht="15.75">
      <c r="M139"/>
      <c r="N139" s="402"/>
      <c r="O139"/>
      <c r="P139"/>
      <c r="Q139"/>
      <c r="R139"/>
      <c r="S139"/>
      <c r="T139"/>
      <c r="U139"/>
      <c r="V139"/>
      <c r="W139"/>
      <c r="X139"/>
      <c r="Y139"/>
      <c r="Z139"/>
      <c r="AA139"/>
      <c r="AB139"/>
      <c r="AC139"/>
      <c r="AD139"/>
      <c r="AE139"/>
      <c r="AF139"/>
      <c r="AG139"/>
      <c r="AH139"/>
    </row>
    <row r="140" spans="13:34" ht="15.75">
      <c r="M140"/>
      <c r="N140" s="402"/>
      <c r="O140"/>
      <c r="P140"/>
      <c r="Q140"/>
      <c r="R140"/>
      <c r="S140"/>
      <c r="T140"/>
      <c r="U140"/>
      <c r="V140"/>
      <c r="W140"/>
      <c r="X140"/>
      <c r="Y140"/>
      <c r="Z140"/>
      <c r="AA140"/>
      <c r="AB140"/>
      <c r="AC140"/>
      <c r="AD140"/>
      <c r="AE140"/>
      <c r="AF140"/>
      <c r="AG140"/>
      <c r="AH140"/>
    </row>
    <row r="141" spans="13:34" ht="15.75">
      <c r="M141"/>
      <c r="N141" s="402"/>
      <c r="O141"/>
      <c r="P141"/>
      <c r="Q141"/>
      <c r="R141"/>
      <c r="S141"/>
      <c r="T141"/>
      <c r="U141"/>
      <c r="V141"/>
      <c r="W141"/>
      <c r="X141"/>
      <c r="Y141"/>
      <c r="Z141"/>
      <c r="AA141"/>
      <c r="AB141"/>
      <c r="AC141"/>
      <c r="AD141"/>
      <c r="AE141"/>
      <c r="AF141"/>
      <c r="AG141"/>
      <c r="AH141"/>
    </row>
    <row r="142" spans="13:34" ht="15.75">
      <c r="M142"/>
      <c r="N142" s="402"/>
      <c r="O142"/>
      <c r="P142"/>
      <c r="Q142"/>
      <c r="R142"/>
      <c r="S142"/>
      <c r="T142"/>
      <c r="U142"/>
      <c r="V142"/>
      <c r="W142"/>
      <c r="X142"/>
      <c r="Y142"/>
      <c r="Z142"/>
      <c r="AA142"/>
      <c r="AB142"/>
      <c r="AC142"/>
      <c r="AD142"/>
      <c r="AE142"/>
      <c r="AF142"/>
      <c r="AG142"/>
      <c r="AH142"/>
    </row>
    <row r="143" spans="13:34" ht="15.75">
      <c r="M143"/>
      <c r="N143" s="402"/>
      <c r="O143"/>
      <c r="P143"/>
      <c r="Q143"/>
      <c r="R143"/>
      <c r="S143"/>
      <c r="T143"/>
      <c r="U143"/>
      <c r="V143"/>
      <c r="W143"/>
      <c r="X143"/>
      <c r="Y143"/>
      <c r="Z143"/>
      <c r="AA143"/>
      <c r="AB143"/>
      <c r="AC143"/>
      <c r="AD143"/>
      <c r="AE143"/>
      <c r="AF143"/>
      <c r="AG143"/>
      <c r="AH143"/>
    </row>
    <row r="144" spans="13:34" ht="15.75">
      <c r="M144"/>
      <c r="N144" s="402"/>
      <c r="O144"/>
      <c r="P144"/>
      <c r="Q144"/>
      <c r="R144"/>
      <c r="S144"/>
      <c r="T144"/>
      <c r="U144"/>
      <c r="V144"/>
      <c r="W144"/>
      <c r="X144"/>
      <c r="Y144"/>
      <c r="Z144"/>
      <c r="AA144"/>
      <c r="AB144"/>
      <c r="AC144"/>
      <c r="AD144"/>
      <c r="AE144"/>
      <c r="AF144"/>
      <c r="AG144"/>
      <c r="AH144"/>
    </row>
    <row r="145" spans="13:34" ht="15.75">
      <c r="M145"/>
      <c r="N145" s="402"/>
      <c r="O145"/>
      <c r="P145"/>
      <c r="Q145"/>
      <c r="R145"/>
      <c r="S145"/>
      <c r="T145"/>
      <c r="U145"/>
      <c r="V145"/>
      <c r="W145"/>
      <c r="X145"/>
      <c r="Y145"/>
      <c r="Z145"/>
      <c r="AA145"/>
      <c r="AB145"/>
      <c r="AC145"/>
      <c r="AD145"/>
      <c r="AE145"/>
      <c r="AF145"/>
      <c r="AG145"/>
      <c r="AH145"/>
    </row>
    <row r="146" spans="13:34" ht="15.75">
      <c r="M146"/>
      <c r="N146" s="402"/>
      <c r="O146"/>
      <c r="P146"/>
      <c r="Q146"/>
      <c r="R146"/>
      <c r="S146"/>
      <c r="T146"/>
      <c r="U146"/>
      <c r="V146"/>
      <c r="W146"/>
      <c r="X146"/>
      <c r="Y146"/>
      <c r="Z146"/>
      <c r="AA146"/>
      <c r="AB146"/>
      <c r="AC146"/>
      <c r="AD146"/>
      <c r="AE146"/>
      <c r="AF146"/>
      <c r="AG146"/>
      <c r="AH146"/>
    </row>
    <row r="147" spans="13:34" ht="15.75">
      <c r="M147"/>
      <c r="N147" s="402"/>
      <c r="O147"/>
      <c r="P147"/>
      <c r="Q147"/>
      <c r="R147"/>
      <c r="S147"/>
      <c r="T147"/>
      <c r="U147"/>
      <c r="V147"/>
      <c r="W147"/>
      <c r="X147"/>
      <c r="Y147"/>
      <c r="Z147"/>
      <c r="AA147"/>
      <c r="AB147"/>
      <c r="AC147"/>
      <c r="AD147"/>
      <c r="AE147"/>
      <c r="AF147"/>
      <c r="AG147"/>
      <c r="AH147"/>
    </row>
    <row r="148" spans="13:34" ht="15.75">
      <c r="M148"/>
      <c r="N148" s="402"/>
      <c r="O148"/>
      <c r="P148"/>
      <c r="Q148"/>
      <c r="R148"/>
      <c r="S148"/>
      <c r="T148"/>
      <c r="U148"/>
      <c r="V148"/>
      <c r="W148"/>
      <c r="X148"/>
      <c r="Y148"/>
      <c r="Z148"/>
      <c r="AA148"/>
      <c r="AB148"/>
      <c r="AC148"/>
      <c r="AD148"/>
      <c r="AE148"/>
      <c r="AF148"/>
    </row>
    <row r="149" spans="13:34" ht="11.25" hidden="1" customHeight="1">
      <c r="M149"/>
      <c r="N149" s="402"/>
      <c r="O149"/>
      <c r="P149"/>
      <c r="Q149"/>
      <c r="R149"/>
      <c r="S149"/>
      <c r="T149"/>
      <c r="U149"/>
      <c r="V149"/>
      <c r="W149"/>
      <c r="X149"/>
      <c r="Y149"/>
      <c r="Z149"/>
      <c r="AA149"/>
      <c r="AB149"/>
      <c r="AC149"/>
      <c r="AD149"/>
      <c r="AE149"/>
    </row>
    <row r="150" spans="13:34" ht="15.75">
      <c r="M150"/>
      <c r="N150" s="402"/>
      <c r="O150"/>
      <c r="P150"/>
      <c r="Q150"/>
      <c r="R150"/>
      <c r="S150"/>
      <c r="T150"/>
      <c r="U150"/>
      <c r="V150"/>
      <c r="W150"/>
      <c r="X150"/>
      <c r="Y150"/>
      <c r="Z150"/>
      <c r="AA150"/>
      <c r="AB150"/>
      <c r="AC150"/>
      <c r="AD150"/>
    </row>
    <row r="151" spans="13:34" ht="15.75">
      <c r="M151"/>
      <c r="N151" s="402"/>
      <c r="O151"/>
      <c r="P151"/>
      <c r="Q151"/>
      <c r="R151"/>
      <c r="S151"/>
      <c r="T151"/>
      <c r="U151"/>
      <c r="V151"/>
      <c r="W151"/>
      <c r="X151"/>
      <c r="Y151"/>
      <c r="Z151"/>
      <c r="AA151"/>
      <c r="AB151"/>
      <c r="AC151"/>
      <c r="AD151"/>
    </row>
    <row r="152" spans="13:34" ht="15.75">
      <c r="M152"/>
      <c r="N152" s="402"/>
      <c r="O152"/>
      <c r="P152"/>
      <c r="Q152"/>
      <c r="R152"/>
      <c r="S152"/>
      <c r="T152"/>
      <c r="U152"/>
      <c r="V152"/>
      <c r="W152"/>
      <c r="X152"/>
      <c r="Y152"/>
      <c r="Z152"/>
      <c r="AA152"/>
      <c r="AB152"/>
      <c r="AC152"/>
      <c r="AD152"/>
    </row>
    <row r="153" spans="13:34" ht="15.75">
      <c r="M153"/>
      <c r="N153" s="402"/>
      <c r="O153"/>
      <c r="P153"/>
      <c r="Q153"/>
      <c r="R153"/>
      <c r="S153"/>
      <c r="T153"/>
      <c r="U153"/>
      <c r="V153"/>
      <c r="W153"/>
      <c r="X153"/>
      <c r="Y153"/>
      <c r="Z153"/>
      <c r="AA153"/>
      <c r="AB153"/>
      <c r="AC153"/>
      <c r="AD153"/>
    </row>
    <row r="154" spans="13:34" ht="15.75">
      <c r="M154"/>
      <c r="N154" s="402"/>
      <c r="O154"/>
      <c r="P154"/>
      <c r="Q154"/>
      <c r="R154"/>
      <c r="S154"/>
      <c r="T154"/>
      <c r="U154"/>
      <c r="V154"/>
      <c r="W154"/>
      <c r="X154"/>
      <c r="Y154"/>
      <c r="Z154"/>
      <c r="AA154"/>
      <c r="AB154"/>
      <c r="AC154"/>
      <c r="AD154"/>
    </row>
    <row r="155" spans="13:34" ht="15.75">
      <c r="M155"/>
      <c r="N155" s="402"/>
      <c r="O155"/>
      <c r="P155"/>
      <c r="Q155"/>
      <c r="R155"/>
      <c r="S155"/>
      <c r="T155"/>
      <c r="U155"/>
      <c r="V155"/>
      <c r="W155"/>
      <c r="X155"/>
      <c r="Y155"/>
      <c r="Z155"/>
      <c r="AA155"/>
      <c r="AB155"/>
      <c r="AC155"/>
      <c r="AD155"/>
    </row>
    <row r="156" spans="13:34" ht="15.75">
      <c r="M156"/>
      <c r="N156" s="402"/>
      <c r="O156"/>
      <c r="P156"/>
      <c r="Q156"/>
      <c r="R156"/>
      <c r="S156"/>
      <c r="T156"/>
      <c r="U156"/>
      <c r="V156"/>
      <c r="W156"/>
      <c r="X156"/>
      <c r="Y156"/>
      <c r="Z156"/>
      <c r="AA156"/>
      <c r="AB156"/>
      <c r="AC156"/>
      <c r="AD156"/>
    </row>
    <row r="157" spans="13:34" ht="15.75">
      <c r="M157"/>
      <c r="N157" s="402"/>
      <c r="O157"/>
      <c r="P157"/>
      <c r="Q157"/>
      <c r="R157"/>
      <c r="S157"/>
      <c r="T157"/>
      <c r="U157"/>
      <c r="V157"/>
      <c r="W157"/>
      <c r="X157"/>
      <c r="Y157"/>
      <c r="Z157"/>
      <c r="AA157"/>
      <c r="AB157"/>
      <c r="AC157"/>
      <c r="AD157"/>
    </row>
    <row r="158" spans="13:34" ht="15.75">
      <c r="M158"/>
      <c r="N158" s="402"/>
      <c r="O158"/>
      <c r="P158"/>
      <c r="Q158"/>
      <c r="R158"/>
      <c r="S158"/>
      <c r="T158"/>
      <c r="U158"/>
      <c r="V158"/>
      <c r="W158"/>
      <c r="X158"/>
      <c r="Y158"/>
      <c r="Z158"/>
      <c r="AA158"/>
      <c r="AB158"/>
      <c r="AC158"/>
      <c r="AD158"/>
    </row>
    <row r="159" spans="13:34" ht="15.75">
      <c r="M159"/>
      <c r="N159" s="402"/>
      <c r="O159"/>
      <c r="P159"/>
      <c r="Q159"/>
      <c r="R159"/>
      <c r="S159"/>
      <c r="T159"/>
      <c r="U159"/>
      <c r="V159"/>
      <c r="W159"/>
      <c r="X159"/>
      <c r="Y159"/>
      <c r="Z159"/>
      <c r="AA159"/>
      <c r="AB159"/>
      <c r="AC159"/>
      <c r="AD159"/>
    </row>
    <row r="160" spans="13:34" ht="15.75">
      <c r="M160"/>
      <c r="N160" s="402"/>
      <c r="O160"/>
      <c r="P160"/>
      <c r="Q160"/>
      <c r="R160"/>
      <c r="S160"/>
      <c r="T160"/>
      <c r="U160"/>
      <c r="V160"/>
      <c r="W160"/>
      <c r="X160"/>
      <c r="Y160"/>
      <c r="Z160"/>
      <c r="AA160"/>
      <c r="AB160"/>
      <c r="AC160"/>
      <c r="AD160"/>
    </row>
    <row r="161" spans="13:31" ht="15.75">
      <c r="M161"/>
      <c r="N161" s="402"/>
      <c r="O161"/>
      <c r="P161"/>
      <c r="Q161"/>
      <c r="R161"/>
      <c r="S161"/>
      <c r="T161"/>
      <c r="U161"/>
      <c r="V161"/>
      <c r="W161"/>
      <c r="X161"/>
      <c r="Y161"/>
      <c r="Z161"/>
      <c r="AA161"/>
      <c r="AB161"/>
      <c r="AC161"/>
      <c r="AD161"/>
      <c r="AE161"/>
    </row>
    <row r="162" spans="13:31" ht="15.75">
      <c r="M162"/>
      <c r="N162" s="402"/>
      <c r="O162"/>
      <c r="P162"/>
      <c r="Q162"/>
      <c r="R162"/>
      <c r="S162"/>
      <c r="T162"/>
      <c r="U162"/>
      <c r="V162"/>
      <c r="W162"/>
      <c r="X162"/>
      <c r="Y162"/>
      <c r="Z162"/>
      <c r="AA162"/>
      <c r="AB162"/>
      <c r="AC162"/>
      <c r="AD162"/>
      <c r="AE162"/>
    </row>
    <row r="163" spans="13:31" ht="15.75">
      <c r="M163"/>
      <c r="N163" s="402"/>
      <c r="O163"/>
      <c r="P163"/>
      <c r="Q163"/>
      <c r="R163"/>
      <c r="S163"/>
      <c r="T163"/>
      <c r="U163"/>
      <c r="V163"/>
      <c r="W163"/>
      <c r="X163"/>
      <c r="Y163"/>
      <c r="Z163"/>
      <c r="AA163"/>
      <c r="AB163"/>
      <c r="AC163"/>
      <c r="AD163"/>
      <c r="AE163"/>
    </row>
    <row r="164" spans="13:31" ht="15.75">
      <c r="M164"/>
      <c r="N164" s="402"/>
      <c r="O164"/>
      <c r="P164"/>
      <c r="Q164"/>
      <c r="R164"/>
      <c r="S164"/>
      <c r="T164"/>
      <c r="U164"/>
      <c r="V164"/>
      <c r="W164"/>
      <c r="X164"/>
      <c r="Y164"/>
      <c r="Z164"/>
      <c r="AA164"/>
      <c r="AB164"/>
      <c r="AC164"/>
      <c r="AD164"/>
      <c r="AE164"/>
    </row>
    <row r="165" spans="13:31" ht="15.75">
      <c r="M165"/>
      <c r="N165" s="402"/>
      <c r="O165"/>
      <c r="P165"/>
      <c r="Q165"/>
      <c r="R165"/>
      <c r="S165"/>
      <c r="T165"/>
      <c r="U165"/>
      <c r="V165"/>
      <c r="W165"/>
      <c r="X165"/>
      <c r="Y165"/>
      <c r="Z165"/>
      <c r="AA165"/>
      <c r="AB165"/>
      <c r="AC165"/>
      <c r="AD165"/>
      <c r="AE165"/>
    </row>
    <row r="166" spans="13:31" ht="15.75">
      <c r="M166"/>
      <c r="N166" s="402"/>
      <c r="O166"/>
      <c r="P166"/>
      <c r="Q166"/>
      <c r="R166"/>
      <c r="S166"/>
      <c r="T166"/>
      <c r="U166"/>
      <c r="V166"/>
      <c r="W166"/>
      <c r="X166"/>
      <c r="Y166"/>
      <c r="Z166"/>
      <c r="AA166"/>
      <c r="AB166"/>
      <c r="AC166"/>
      <c r="AD166"/>
      <c r="AE166"/>
    </row>
    <row r="167" spans="13:31" ht="15.75">
      <c r="M167"/>
      <c r="N167" s="402"/>
      <c r="O167"/>
      <c r="P167"/>
      <c r="Q167"/>
      <c r="R167"/>
      <c r="S167"/>
      <c r="T167"/>
      <c r="U167"/>
      <c r="V167"/>
      <c r="W167"/>
      <c r="X167"/>
      <c r="Y167"/>
      <c r="Z167"/>
      <c r="AA167"/>
      <c r="AB167"/>
      <c r="AC167"/>
      <c r="AD167"/>
      <c r="AE167"/>
    </row>
    <row r="168" spans="13:31" ht="15.75">
      <c r="M168"/>
      <c r="N168" s="402"/>
      <c r="O168"/>
      <c r="P168"/>
      <c r="Q168"/>
      <c r="R168"/>
      <c r="S168"/>
      <c r="T168"/>
      <c r="U168"/>
      <c r="V168"/>
      <c r="W168"/>
      <c r="X168"/>
      <c r="Y168"/>
      <c r="Z168"/>
      <c r="AA168"/>
      <c r="AB168"/>
      <c r="AC168"/>
      <c r="AD168"/>
      <c r="AE168"/>
    </row>
    <row r="169" spans="13:31" ht="15.75">
      <c r="M169"/>
      <c r="N169" s="402"/>
      <c r="O169"/>
      <c r="P169"/>
      <c r="Q169"/>
      <c r="R169"/>
      <c r="S169"/>
      <c r="T169"/>
      <c r="U169"/>
      <c r="V169"/>
      <c r="W169"/>
      <c r="X169"/>
      <c r="Y169"/>
      <c r="Z169"/>
      <c r="AA169"/>
      <c r="AB169"/>
      <c r="AC169"/>
      <c r="AD169"/>
      <c r="AE169"/>
    </row>
    <row r="170" spans="13:31" ht="15.75">
      <c r="M170"/>
      <c r="N170" s="402"/>
      <c r="O170"/>
      <c r="P170"/>
      <c r="Q170"/>
      <c r="R170"/>
      <c r="S170"/>
      <c r="T170"/>
      <c r="U170"/>
      <c r="V170"/>
      <c r="W170"/>
      <c r="X170"/>
      <c r="Y170"/>
      <c r="Z170"/>
      <c r="AA170"/>
      <c r="AB170"/>
      <c r="AC170"/>
      <c r="AD170"/>
      <c r="AE170"/>
    </row>
    <row r="171" spans="13:31" ht="15.75">
      <c r="M171"/>
      <c r="N171" s="402"/>
      <c r="O171"/>
      <c r="P171"/>
      <c r="Q171"/>
      <c r="R171"/>
      <c r="S171"/>
      <c r="T171"/>
      <c r="U171"/>
      <c r="V171"/>
      <c r="W171"/>
      <c r="X171"/>
      <c r="Y171"/>
      <c r="Z171"/>
      <c r="AA171"/>
      <c r="AB171"/>
      <c r="AC171"/>
      <c r="AD171"/>
      <c r="AE171"/>
    </row>
    <row r="172" spans="13:31" ht="15.75">
      <c r="M172"/>
      <c r="N172" s="402"/>
      <c r="O172"/>
      <c r="P172"/>
      <c r="Q172"/>
      <c r="R172"/>
      <c r="S172"/>
      <c r="T172"/>
      <c r="U172"/>
      <c r="V172"/>
      <c r="W172"/>
      <c r="X172"/>
      <c r="Y172"/>
      <c r="Z172"/>
      <c r="AA172"/>
      <c r="AB172"/>
      <c r="AC172"/>
      <c r="AD172"/>
      <c r="AE172"/>
    </row>
    <row r="173" spans="13:31" ht="15.75">
      <c r="M173"/>
      <c r="N173" s="402"/>
      <c r="O173"/>
      <c r="P173"/>
      <c r="Q173"/>
      <c r="R173"/>
      <c r="S173"/>
      <c r="T173"/>
      <c r="U173"/>
      <c r="V173"/>
      <c r="W173"/>
      <c r="X173"/>
      <c r="Y173"/>
      <c r="Z173"/>
      <c r="AA173"/>
      <c r="AB173"/>
      <c r="AC173"/>
      <c r="AD173"/>
      <c r="AE173"/>
    </row>
    <row r="174" spans="13:31" ht="15.75">
      <c r="M174"/>
      <c r="N174" s="402"/>
      <c r="O174"/>
      <c r="P174"/>
      <c r="Q174"/>
      <c r="R174"/>
      <c r="S174"/>
      <c r="T174"/>
      <c r="U174"/>
      <c r="V174"/>
      <c r="W174"/>
      <c r="X174"/>
      <c r="Y174"/>
      <c r="Z174"/>
      <c r="AA174"/>
      <c r="AB174"/>
      <c r="AC174"/>
      <c r="AD174"/>
      <c r="AE174"/>
    </row>
    <row r="175" spans="13:31" ht="15.75">
      <c r="M175"/>
      <c r="N175" s="402"/>
      <c r="O175"/>
      <c r="P175"/>
      <c r="Q175"/>
      <c r="R175"/>
      <c r="S175"/>
      <c r="T175"/>
      <c r="U175"/>
      <c r="V175"/>
      <c r="W175"/>
      <c r="X175"/>
      <c r="Y175"/>
      <c r="Z175"/>
      <c r="AA175"/>
      <c r="AB175"/>
      <c r="AC175"/>
      <c r="AD175"/>
      <c r="AE175"/>
    </row>
    <row r="176" spans="13:31" ht="15.75">
      <c r="M176"/>
      <c r="N176" s="402"/>
      <c r="O176"/>
      <c r="P176"/>
      <c r="Q176"/>
      <c r="R176"/>
      <c r="S176"/>
      <c r="T176"/>
      <c r="U176"/>
      <c r="V176"/>
      <c r="W176"/>
      <c r="X176"/>
      <c r="Y176"/>
      <c r="Z176"/>
      <c r="AA176"/>
      <c r="AB176"/>
      <c r="AC176"/>
      <c r="AD176"/>
      <c r="AE176"/>
    </row>
    <row r="177" spans="13:34" ht="15.75">
      <c r="M177"/>
      <c r="N177"/>
      <c r="O177"/>
      <c r="P177"/>
      <c r="Q177"/>
      <c r="R177"/>
      <c r="S177"/>
      <c r="T177"/>
      <c r="U177"/>
      <c r="V177"/>
      <c r="W177"/>
      <c r="X177"/>
      <c r="Y177"/>
      <c r="Z177"/>
      <c r="AA177"/>
      <c r="AB177"/>
      <c r="AC177"/>
      <c r="AD177"/>
      <c r="AE177"/>
    </row>
    <row r="178" spans="13:34" ht="15.75">
      <c r="M178"/>
      <c r="N178"/>
      <c r="O178"/>
      <c r="P178"/>
      <c r="Q178"/>
      <c r="R178"/>
      <c r="S178"/>
      <c r="T178"/>
      <c r="U178"/>
      <c r="V178"/>
      <c r="W178"/>
      <c r="X178"/>
      <c r="Y178"/>
      <c r="Z178"/>
      <c r="AA178"/>
      <c r="AB178"/>
      <c r="AC178"/>
      <c r="AD178"/>
      <c r="AE178"/>
      <c r="AF178"/>
      <c r="AG178"/>
      <c r="AH178"/>
    </row>
    <row r="179" spans="13:34" ht="15.75">
      <c r="M179"/>
      <c r="N179"/>
      <c r="O179"/>
      <c r="P179"/>
      <c r="Q179"/>
      <c r="R179"/>
      <c r="S179"/>
      <c r="T179"/>
      <c r="U179"/>
      <c r="V179"/>
      <c r="W179"/>
      <c r="X179"/>
      <c r="Y179"/>
      <c r="Z179"/>
      <c r="AA179"/>
      <c r="AB179"/>
      <c r="AC179"/>
      <c r="AD179"/>
      <c r="AE179"/>
      <c r="AF179"/>
      <c r="AG179"/>
      <c r="AH179"/>
    </row>
    <row r="180" spans="13:34" ht="15.75">
      <c r="M180"/>
      <c r="N180"/>
      <c r="O180"/>
      <c r="P180"/>
      <c r="Q180"/>
      <c r="R180"/>
      <c r="S180"/>
      <c r="T180"/>
      <c r="U180"/>
      <c r="V180"/>
      <c r="W180"/>
      <c r="X180"/>
      <c r="Y180"/>
      <c r="Z180"/>
      <c r="AA180"/>
      <c r="AB180"/>
      <c r="AC180"/>
      <c r="AD180"/>
      <c r="AE180"/>
      <c r="AF180"/>
      <c r="AG180"/>
      <c r="AH180"/>
    </row>
    <row r="181" spans="13:34" ht="15.75">
      <c r="M181"/>
      <c r="N181"/>
      <c r="O181"/>
      <c r="P181"/>
      <c r="Q181"/>
      <c r="R181"/>
      <c r="S181"/>
    </row>
    <row r="182" spans="13:34" ht="15.75">
      <c r="M182"/>
      <c r="N182"/>
      <c r="O182"/>
      <c r="P182"/>
      <c r="Q182"/>
      <c r="R182"/>
      <c r="S182"/>
    </row>
    <row r="183" spans="13:34" ht="15.75" hidden="1">
      <c r="M183"/>
      <c r="N183"/>
      <c r="O183"/>
      <c r="P183"/>
      <c r="Q183"/>
      <c r="R183"/>
      <c r="S183"/>
    </row>
    <row r="184" spans="13:34" ht="27.75" customHeight="1">
      <c r="M184"/>
      <c r="N184"/>
      <c r="O184"/>
      <c r="P184"/>
      <c r="Q184"/>
      <c r="R184"/>
      <c r="S184"/>
    </row>
    <row r="185" spans="13:34" ht="15.75">
      <c r="M185"/>
      <c r="N185"/>
      <c r="O185"/>
      <c r="P185"/>
      <c r="Q185"/>
      <c r="R185"/>
      <c r="S185"/>
    </row>
    <row r="186" spans="13:34" ht="15.75">
      <c r="M186"/>
      <c r="N186"/>
      <c r="O186"/>
      <c r="P186"/>
      <c r="Q186"/>
      <c r="R186"/>
      <c r="S186"/>
    </row>
    <row r="187" spans="13:34" ht="15.75">
      <c r="M187"/>
      <c r="N187"/>
      <c r="O187"/>
      <c r="P187"/>
      <c r="Q187"/>
      <c r="R187"/>
      <c r="S187"/>
    </row>
    <row r="188" spans="13:34" ht="15.75">
      <c r="M188"/>
      <c r="N188"/>
      <c r="O188"/>
      <c r="P188"/>
      <c r="Q188"/>
      <c r="R188"/>
      <c r="S188"/>
    </row>
    <row r="189" spans="13:34" ht="15.75">
      <c r="M189"/>
      <c r="N189"/>
      <c r="O189"/>
      <c r="P189"/>
      <c r="Q189"/>
      <c r="R189"/>
      <c r="S189"/>
    </row>
    <row r="190" spans="13:34" ht="15.75">
      <c r="M190"/>
      <c r="N190"/>
      <c r="O190"/>
      <c r="P190"/>
      <c r="Q190"/>
      <c r="R190"/>
      <c r="S190"/>
    </row>
    <row r="191" spans="13:34" ht="15.75">
      <c r="M191"/>
      <c r="N191"/>
      <c r="O191"/>
      <c r="P191"/>
      <c r="Q191"/>
      <c r="R191"/>
      <c r="S191"/>
    </row>
    <row r="192" spans="13:34" ht="15.75">
      <c r="M192"/>
      <c r="N192"/>
      <c r="O192"/>
      <c r="P192"/>
      <c r="Q192"/>
      <c r="R192"/>
      <c r="S192"/>
    </row>
    <row r="193" spans="13:19" ht="15.75">
      <c r="M193"/>
      <c r="N193"/>
      <c r="O193"/>
      <c r="P193"/>
      <c r="Q193"/>
      <c r="R193"/>
      <c r="S193"/>
    </row>
    <row r="194" spans="13:19" ht="15.75">
      <c r="M194"/>
      <c r="N194"/>
      <c r="O194"/>
      <c r="P194"/>
      <c r="Q194"/>
      <c r="R194"/>
      <c r="S194"/>
    </row>
    <row r="195" spans="13:19" ht="15.75">
      <c r="M195"/>
      <c r="N195"/>
      <c r="O195"/>
      <c r="P195"/>
      <c r="Q195"/>
      <c r="R195"/>
      <c r="S195"/>
    </row>
    <row r="196" spans="13:19" ht="15.75">
      <c r="M196"/>
      <c r="N196"/>
      <c r="O196"/>
      <c r="P196"/>
      <c r="Q196"/>
      <c r="R196"/>
      <c r="S196"/>
    </row>
    <row r="197" spans="13:19" ht="15.75">
      <c r="M197"/>
      <c r="N197"/>
      <c r="O197"/>
      <c r="P197"/>
      <c r="Q197"/>
      <c r="R197"/>
      <c r="S197"/>
    </row>
    <row r="198" spans="13:19" ht="15.75">
      <c r="M198"/>
      <c r="N198"/>
      <c r="O198"/>
      <c r="P198"/>
      <c r="Q198"/>
      <c r="R198"/>
      <c r="S198"/>
    </row>
    <row r="199" spans="13:19" ht="15.75">
      <c r="M199"/>
      <c r="N199"/>
      <c r="O199"/>
      <c r="P199"/>
      <c r="Q199"/>
      <c r="R199"/>
      <c r="S199"/>
    </row>
    <row r="200" spans="13:19" ht="15.75">
      <c r="M200"/>
      <c r="N200"/>
      <c r="O200"/>
      <c r="P200"/>
      <c r="Q200"/>
      <c r="R200"/>
      <c r="S200"/>
    </row>
    <row r="201" spans="13:19" ht="15.75">
      <c r="M201"/>
      <c r="N201"/>
      <c r="O201"/>
      <c r="P201"/>
      <c r="Q201"/>
      <c r="R201"/>
      <c r="S201"/>
    </row>
    <row r="202" spans="13:19" ht="15.75">
      <c r="M202"/>
      <c r="N202"/>
      <c r="O202"/>
      <c r="P202"/>
      <c r="Q202"/>
      <c r="R202"/>
      <c r="S202"/>
    </row>
    <row r="203" spans="13:19" ht="15.75">
      <c r="M203"/>
      <c r="N203"/>
      <c r="O203"/>
      <c r="P203"/>
      <c r="Q203"/>
      <c r="R203"/>
      <c r="S203"/>
    </row>
    <row r="204" spans="13:19" ht="15.75">
      <c r="M204"/>
      <c r="N204"/>
      <c r="O204"/>
      <c r="P204"/>
      <c r="Q204"/>
      <c r="R204"/>
      <c r="S204"/>
    </row>
    <row r="205" spans="13:19" ht="15.75">
      <c r="M205"/>
      <c r="N205"/>
      <c r="O205"/>
      <c r="P205"/>
      <c r="Q205"/>
      <c r="R205"/>
      <c r="S205"/>
    </row>
    <row r="206" spans="13:19" ht="15.75">
      <c r="M206"/>
      <c r="N206"/>
      <c r="O206"/>
      <c r="P206"/>
      <c r="Q206"/>
      <c r="R206"/>
      <c r="S206"/>
    </row>
    <row r="207" spans="13:19" ht="15.75">
      <c r="M207"/>
      <c r="N207"/>
      <c r="O207"/>
      <c r="P207"/>
      <c r="Q207"/>
      <c r="R207"/>
      <c r="S207"/>
    </row>
    <row r="208" spans="13:19" ht="15.75">
      <c r="M208"/>
      <c r="N208"/>
      <c r="O208"/>
      <c r="P208"/>
      <c r="Q208"/>
      <c r="R208"/>
      <c r="S208"/>
    </row>
    <row r="209" spans="13:19" ht="15.75">
      <c r="M209"/>
      <c r="N209"/>
      <c r="O209"/>
      <c r="P209"/>
      <c r="Q209"/>
      <c r="R209"/>
      <c r="S209"/>
    </row>
    <row r="210" spans="13:19" ht="15.75">
      <c r="M210"/>
      <c r="N210"/>
      <c r="O210"/>
      <c r="P210"/>
      <c r="Q210"/>
      <c r="R210"/>
      <c r="S210"/>
    </row>
    <row r="211" spans="13:19" ht="15.75">
      <c r="M211"/>
      <c r="N211"/>
      <c r="O211"/>
      <c r="P211"/>
      <c r="Q211"/>
      <c r="R211"/>
      <c r="S211"/>
    </row>
    <row r="212" spans="13:19" ht="15.75">
      <c r="M212"/>
      <c r="N212"/>
      <c r="O212"/>
      <c r="P212"/>
      <c r="Q212"/>
      <c r="R212"/>
      <c r="S212"/>
    </row>
    <row r="213" spans="13:19" ht="15.75">
      <c r="M213"/>
      <c r="N213"/>
      <c r="O213"/>
      <c r="P213"/>
      <c r="Q213"/>
      <c r="R213"/>
      <c r="S213"/>
    </row>
    <row r="214" spans="13:19" ht="15.75">
      <c r="M214"/>
      <c r="N214"/>
      <c r="O214"/>
      <c r="P214"/>
      <c r="Q214"/>
      <c r="R214"/>
      <c r="S214"/>
    </row>
    <row r="217" spans="13:19" hidden="1"/>
    <row r="218" spans="13:19" ht="29.25" customHeight="1"/>
  </sheetData>
  <phoneticPr fontId="49" type="noConversion"/>
  <hyperlinks>
    <hyperlink ref="M29" location="Switches!B12" display="Switches!B12"/>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70"/>
  <sheetViews>
    <sheetView topLeftCell="D161" zoomScale="80" zoomScaleNormal="80" workbookViewId="0">
      <selection activeCell="F170" sqref="F170:N175"/>
    </sheetView>
  </sheetViews>
  <sheetFormatPr defaultColWidth="38.25" defaultRowHeight="12"/>
  <cols>
    <col min="1" max="1" width="38.25" style="270" hidden="1" customWidth="1"/>
    <col min="2" max="2" width="32.875" style="270" hidden="1" customWidth="1"/>
    <col min="3" max="3" width="9" style="272" hidden="1" customWidth="1"/>
    <col min="4" max="4" width="38.875" style="272" customWidth="1"/>
    <col min="5" max="5" width="32.25" style="272" customWidth="1"/>
    <col min="6" max="6" width="42.75" style="272" bestFit="1" customWidth="1"/>
    <col min="7" max="8" width="9" style="272" customWidth="1"/>
    <col min="9" max="14" width="9" style="270" customWidth="1"/>
    <col min="15" max="15" width="11.75" style="270" customWidth="1"/>
    <col min="16" max="16384" width="38.25" style="270"/>
  </cols>
  <sheetData>
    <row r="1" spans="1:30" ht="20.25">
      <c r="C1" s="391"/>
      <c r="D1" s="391" t="str">
        <f>"Forecast: Enterprise WLAN Equipment Market, Worldwide, "&amp;StartYear&amp;"-"&amp;EndYear</f>
        <v>Forecast: Enterprise WLAN Equipment Market, Worldwide, 2015-2021</v>
      </c>
      <c r="E1" s="494"/>
      <c r="F1" s="495"/>
      <c r="I1" s="273"/>
    </row>
    <row r="2" spans="1:30">
      <c r="C2" s="270"/>
      <c r="I2" s="273"/>
    </row>
    <row r="3" spans="1:30">
      <c r="C3" s="270"/>
      <c r="I3" s="273"/>
    </row>
    <row r="4" spans="1:30">
      <c r="D4" s="270"/>
      <c r="E4" s="274" t="s">
        <v>296</v>
      </c>
      <c r="I4" s="272"/>
      <c r="J4" s="273"/>
    </row>
    <row r="5" spans="1:30" ht="15.75">
      <c r="D5" s="392" t="s">
        <v>363</v>
      </c>
      <c r="E5" s="309" t="str">
        <f>"Forecast: Enterprise WLAN Equipment Market, Worldwide, "&amp;StartYear&amp;"-"&amp;EndYear</f>
        <v>Forecast: Enterprise WLAN Equipment Market, Worldwide, 2015-2021</v>
      </c>
      <c r="F5" s="309"/>
      <c r="G5"/>
      <c r="H5"/>
      <c r="I5"/>
      <c r="J5"/>
      <c r="K5"/>
      <c r="L5"/>
      <c r="M5"/>
      <c r="N5"/>
      <c r="O5"/>
    </row>
    <row r="6" spans="1:30" ht="15.75">
      <c r="D6" s="496" t="s">
        <v>364</v>
      </c>
      <c r="E6" s="309" t="str">
        <f>"Forecast: Enterprise WLAN Equipment Market by Region, "&amp;StartYear&amp;"-"&amp;EndYear</f>
        <v>Forecast: Enterprise WLAN Equipment Market by Region, 2015-2021</v>
      </c>
      <c r="F6" s="278"/>
      <c r="I6" s="272"/>
      <c r="J6" s="273"/>
    </row>
    <row r="7" spans="1:30">
      <c r="C7" s="270"/>
      <c r="D7" s="278"/>
      <c r="E7" s="270"/>
      <c r="I7" s="272"/>
    </row>
    <row r="8" spans="1:30" ht="12" customHeight="1">
      <c r="C8" s="279"/>
      <c r="F8" s="280"/>
      <c r="G8" s="280"/>
      <c r="H8" s="280"/>
      <c r="I8" s="281"/>
    </row>
    <row r="9" spans="1:30" ht="12" customHeight="1">
      <c r="C9" s="279"/>
      <c r="D9" s="280"/>
      <c r="E9" s="280"/>
      <c r="F9" s="280"/>
      <c r="G9" s="280"/>
      <c r="H9" s="280"/>
      <c r="I9" s="281"/>
    </row>
    <row r="10" spans="1:30">
      <c r="C10" s="270"/>
      <c r="I10" s="272"/>
    </row>
    <row r="11" spans="1:30">
      <c r="C11" s="270"/>
      <c r="I11" s="272"/>
    </row>
    <row r="12" spans="1:30" ht="15.75">
      <c r="D12" s="393" t="s">
        <v>365</v>
      </c>
      <c r="E12" s="305" t="s">
        <v>318</v>
      </c>
      <c r="F12" s="394" t="s">
        <v>297</v>
      </c>
      <c r="G12" s="286"/>
      <c r="H12" s="286"/>
      <c r="I12" s="286"/>
      <c r="J12" s="286"/>
      <c r="K12" s="286"/>
      <c r="L12" s="286"/>
      <c r="M12" s="286"/>
    </row>
    <row r="13" spans="1:30" ht="15.75">
      <c r="D13" s="306" t="str">
        <f>"Forecast: Enterprise WLAN Equipment Market, Worldwide, "&amp;StartYear&amp;"-"&amp;EndYear</f>
        <v>Forecast: Enterprise WLAN Equipment Market, Worldwide, 2015-2021</v>
      </c>
      <c r="E13" s="280"/>
      <c r="F13" s="286"/>
      <c r="G13" s="286"/>
      <c r="H13" s="286"/>
      <c r="I13" s="286"/>
      <c r="J13" s="286"/>
      <c r="K13" s="286"/>
      <c r="L13" s="286"/>
      <c r="M13" s="286"/>
    </row>
    <row r="14" spans="1:30" ht="2.4500000000000002" customHeight="1">
      <c r="D14"/>
      <c r="E14"/>
      <c r="F14"/>
      <c r="G14" t="str">
        <f>IF([4]Sheet5_WLAN!D21="","",[4]Sheet5_WLAN!D21)</f>
        <v>2014 YR</v>
      </c>
      <c r="H14" t="str">
        <f>IF([4]Sheet5_WLAN!E21="","",[4]Sheet5_WLAN!E21)</f>
        <v>2015 YR</v>
      </c>
      <c r="I14" t="str">
        <f>IF([4]Sheet5_WLAN!F21="","",[4]Sheet5_WLAN!F21)</f>
        <v>2016 YR</v>
      </c>
      <c r="J14" t="str">
        <f>IF([4]Sheet5_WLAN!G21="","",[4]Sheet5_WLAN!G21)</f>
        <v>2017 YR</v>
      </c>
      <c r="K14" t="str">
        <f>IF([4]Sheet5_WLAN!H21="","",[4]Sheet5_WLAN!H21)</f>
        <v>2018 YR</v>
      </c>
      <c r="L14" t="str">
        <f>IF([4]Sheet5_WLAN!I21="","",[4]Sheet5_WLAN!I21)</f>
        <v>2019 YR</v>
      </c>
      <c r="M14" t="str">
        <f>IF([4]Sheet5_WLAN!J21="","",[4]Sheet5_WLAN!J21)</f>
        <v>2020 YR</v>
      </c>
      <c r="N14" t="str">
        <f>IF([4]Sheet5_WLAN!K21="","",[4]Sheet5_WLAN!K21)</f>
        <v>2021 YR</v>
      </c>
    </row>
    <row r="15" spans="1:30" ht="23.45" customHeight="1">
      <c r="D15" s="497" t="s">
        <v>366</v>
      </c>
      <c r="E15" s="396" t="str">
        <f>IF([4]Sheet5_WLAN!B21="","",[4]Sheet5_WLAN!B21)</f>
        <v>Segment4</v>
      </c>
      <c r="F15" s="396" t="str">
        <f>IF([4]Sheet5_WLAN!C21="","",[4]Sheet5_WLAN!C21)</f>
        <v>Data</v>
      </c>
      <c r="G15" s="397" t="str">
        <f>LEFT(G14,4)</f>
        <v>2014</v>
      </c>
      <c r="H15" s="397" t="str">
        <f t="shared" ref="H15:N15" si="0">LEFT(H14,4)</f>
        <v>2015</v>
      </c>
      <c r="I15" s="397" t="str">
        <f t="shared" si="0"/>
        <v>2016</v>
      </c>
      <c r="J15" s="397" t="str">
        <f t="shared" si="0"/>
        <v>2017</v>
      </c>
      <c r="K15" s="397" t="str">
        <f t="shared" si="0"/>
        <v>2018</v>
      </c>
      <c r="L15" s="397" t="str">
        <f t="shared" si="0"/>
        <v>2019</v>
      </c>
      <c r="M15" s="397" t="str">
        <f t="shared" si="0"/>
        <v>2020</v>
      </c>
      <c r="N15" s="397" t="str">
        <f t="shared" si="0"/>
        <v>2021</v>
      </c>
      <c r="O15" s="498" t="str">
        <f>"CAGR            "&amp;I15&amp;"-"&amp;N15</f>
        <v>CAGR            2016-2021</v>
      </c>
    </row>
    <row r="16" spans="1:30" ht="15.75">
      <c r="A16" s="270" t="str">
        <f>IF(D16&lt;&gt;"",D16,A15)</f>
        <v>Small-Business WLAN Aps</v>
      </c>
      <c r="B16" s="270" t="str">
        <f>IF(E16&lt;&gt;"",E16,B27)</f>
        <v>Small-Business WLAN APs, 802.11ac</v>
      </c>
      <c r="D16" s="404" t="str">
        <f>IF([4]Sheet5_WLAN!A22="","",[4]Sheet5_WLAN!A22)</f>
        <v>Small-Business WLAN Aps</v>
      </c>
      <c r="E16" s="399" t="str">
        <f>IF([4]Sheet5_WLAN!B22="","",[4]Sheet5_WLAN!B22)</f>
        <v>Small-Business WLAN APs, 802.11ac</v>
      </c>
      <c r="F16" s="399" t="str">
        <f>IF([4]Sheet5_WLAN!C22="","",[4]Sheet5_WLAN!C22)</f>
        <v>End-User Spending ($M)</v>
      </c>
      <c r="G16" s="400" t="e">
        <f t="shared" ref="G16:N27" si="1">IF(OR($A16="",$B16=""),"",GETPIVOTDATA(""&amp;$F16&amp;"",ENI_Pivot_WLAN,"year",G$14,"Segment4",$B16,"Segment4_2",$A16))</f>
        <v>#REF!</v>
      </c>
      <c r="H16" s="401" t="e">
        <f t="shared" si="1"/>
        <v>#REF!</v>
      </c>
      <c r="I16" s="401" t="e">
        <f t="shared" si="1"/>
        <v>#REF!</v>
      </c>
      <c r="J16" s="401" t="e">
        <f t="shared" si="1"/>
        <v>#REF!</v>
      </c>
      <c r="K16" s="401" t="e">
        <f t="shared" si="1"/>
        <v>#REF!</v>
      </c>
      <c r="L16" s="401" t="e">
        <f t="shared" si="1"/>
        <v>#REF!</v>
      </c>
      <c r="M16" s="401" t="e">
        <f t="shared" si="1"/>
        <v>#REF!</v>
      </c>
      <c r="N16" s="401" t="e">
        <f t="shared" si="1"/>
        <v>#REF!</v>
      </c>
      <c r="O16" s="499" t="str">
        <f t="shared" ref="O16:O51" si="2">IF( ISERROR((IF(I16=0,"NA",(N16/I16)^(1/5)-1))), "",(IF(I16=0,"NA",(N16/I16)^(1/5)-1)) )</f>
        <v/>
      </c>
      <c r="P16"/>
      <c r="Q16"/>
      <c r="R16"/>
      <c r="S16"/>
      <c r="T16"/>
      <c r="U16"/>
      <c r="V16"/>
      <c r="W16"/>
      <c r="X16"/>
      <c r="Y16"/>
      <c r="Z16"/>
      <c r="AA16"/>
      <c r="AB16"/>
      <c r="AC16"/>
      <c r="AD16"/>
    </row>
    <row r="17" spans="1:30" ht="15.75">
      <c r="A17" s="270" t="str">
        <f t="shared" ref="A17:B32" si="3">IF(D17&lt;&gt;"",D17,A16)</f>
        <v>Small-Business WLAN Aps</v>
      </c>
      <c r="B17" s="270" t="str">
        <f>IF(E17&lt;&gt;"",E17,B16)</f>
        <v>Small-Business WLAN APs, 802.11ac</v>
      </c>
      <c r="D17" s="404" t="str">
        <f>IF([4]Sheet5_WLAN!A23="","",[4]Sheet5_WLAN!A23)</f>
        <v/>
      </c>
      <c r="E17" s="404" t="str">
        <f>IF([4]Sheet5_WLAN!B23="","",[4]Sheet5_WLAN!B23)</f>
        <v/>
      </c>
      <c r="F17" s="404" t="str">
        <f>IF([4]Sheet5_WLAN!C23="","",[4]Sheet5_WLAN!C23)</f>
        <v>Vendor Revenue ($M)</v>
      </c>
      <c r="G17" s="405" t="e">
        <f t="shared" si="1"/>
        <v>#REF!</v>
      </c>
      <c r="H17" s="406" t="e">
        <f t="shared" si="1"/>
        <v>#REF!</v>
      </c>
      <c r="I17" s="406" t="e">
        <f t="shared" si="1"/>
        <v>#REF!</v>
      </c>
      <c r="J17" s="406" t="e">
        <f t="shared" si="1"/>
        <v>#REF!</v>
      </c>
      <c r="K17" s="406" t="e">
        <f t="shared" si="1"/>
        <v>#REF!</v>
      </c>
      <c r="L17" s="406" t="e">
        <f t="shared" si="1"/>
        <v>#REF!</v>
      </c>
      <c r="M17" s="406" t="e">
        <f t="shared" si="1"/>
        <v>#REF!</v>
      </c>
      <c r="N17" s="406" t="e">
        <f t="shared" si="1"/>
        <v>#REF!</v>
      </c>
      <c r="O17" s="499" t="str">
        <f t="shared" si="2"/>
        <v/>
      </c>
      <c r="P17"/>
      <c r="Q17"/>
      <c r="R17"/>
      <c r="S17"/>
      <c r="T17"/>
      <c r="U17"/>
      <c r="V17"/>
      <c r="W17"/>
      <c r="X17"/>
      <c r="Y17"/>
      <c r="Z17"/>
      <c r="AA17"/>
      <c r="AB17"/>
      <c r="AC17"/>
      <c r="AD17"/>
    </row>
    <row r="18" spans="1:30" ht="15.75">
      <c r="A18" s="270" t="str">
        <f t="shared" si="3"/>
        <v>Small-Business WLAN Aps</v>
      </c>
      <c r="B18" s="270" t="str">
        <f>IF(E18&lt;&gt;"",E18,B17)</f>
        <v>Small-Business WLAN APs, 802.11ac</v>
      </c>
      <c r="D18" s="404" t="str">
        <f>IF([4]Sheet5_WLAN!A24="","",[4]Sheet5_WLAN!A24)</f>
        <v/>
      </c>
      <c r="E18" s="404" t="str">
        <f>IF([4]Sheet5_WLAN!B24="","",[4]Sheet5_WLAN!B24)</f>
        <v/>
      </c>
      <c r="F18" s="412" t="str">
        <f>IF([4]Sheet5_WLAN!C24="","",[4]Sheet5_WLAN!C24)</f>
        <v>Unit Shipments (K)</v>
      </c>
      <c r="G18" s="407" t="e">
        <f t="shared" si="1"/>
        <v>#REF!</v>
      </c>
      <c r="H18" s="408" t="e">
        <f t="shared" si="1"/>
        <v>#REF!</v>
      </c>
      <c r="I18" s="408" t="e">
        <f t="shared" si="1"/>
        <v>#REF!</v>
      </c>
      <c r="J18" s="408" t="e">
        <f t="shared" si="1"/>
        <v>#REF!</v>
      </c>
      <c r="K18" s="408" t="e">
        <f t="shared" si="1"/>
        <v>#REF!</v>
      </c>
      <c r="L18" s="408" t="e">
        <f t="shared" si="1"/>
        <v>#REF!</v>
      </c>
      <c r="M18" s="408" t="e">
        <f t="shared" si="1"/>
        <v>#REF!</v>
      </c>
      <c r="N18" s="408" t="e">
        <f t="shared" si="1"/>
        <v>#REF!</v>
      </c>
      <c r="O18" s="500" t="str">
        <f t="shared" si="2"/>
        <v/>
      </c>
      <c r="P18"/>
      <c r="Q18"/>
      <c r="R18"/>
      <c r="S18"/>
      <c r="T18"/>
      <c r="U18"/>
      <c r="V18"/>
      <c r="W18"/>
      <c r="X18"/>
      <c r="Y18"/>
      <c r="Z18"/>
      <c r="AA18"/>
      <c r="AB18"/>
      <c r="AC18"/>
      <c r="AD18"/>
    </row>
    <row r="19" spans="1:30" ht="15.75">
      <c r="A19" s="270" t="str">
        <f t="shared" si="3"/>
        <v>Small-Business WLAN Aps</v>
      </c>
      <c r="B19" s="270" t="str">
        <f>IF(E19&lt;&gt;"",E19,B42)</f>
        <v>Small-Business WLAN APs, 802.11g</v>
      </c>
      <c r="D19" s="404" t="str">
        <f>IF([4]Sheet5_WLAN!A25="","",[4]Sheet5_WLAN!A25)</f>
        <v/>
      </c>
      <c r="E19" s="399" t="str">
        <f>IF([4]Sheet5_WLAN!B25="","",[4]Sheet5_WLAN!B25)</f>
        <v>Small-Business WLAN APs, 802.11g</v>
      </c>
      <c r="F19" s="404" t="str">
        <f>IF([4]Sheet5_WLAN!C25="","",[4]Sheet5_WLAN!C25)</f>
        <v>End-User Spending ($M)</v>
      </c>
      <c r="G19" s="400" t="e">
        <f t="shared" si="1"/>
        <v>#REF!</v>
      </c>
      <c r="H19" s="401" t="e">
        <f t="shared" si="1"/>
        <v>#REF!</v>
      </c>
      <c r="I19" s="401" t="e">
        <f t="shared" si="1"/>
        <v>#REF!</v>
      </c>
      <c r="J19" s="401" t="e">
        <f t="shared" si="1"/>
        <v>#REF!</v>
      </c>
      <c r="K19" s="401" t="e">
        <f t="shared" si="1"/>
        <v>#REF!</v>
      </c>
      <c r="L19" s="401" t="e">
        <f t="shared" si="1"/>
        <v>#REF!</v>
      </c>
      <c r="M19" s="401" t="e">
        <f t="shared" si="1"/>
        <v>#REF!</v>
      </c>
      <c r="N19" s="409" t="e">
        <f t="shared" si="1"/>
        <v>#REF!</v>
      </c>
      <c r="O19" s="501" t="str">
        <f t="shared" si="2"/>
        <v/>
      </c>
      <c r="P19"/>
      <c r="Q19"/>
      <c r="R19"/>
      <c r="S19"/>
      <c r="T19"/>
      <c r="U19"/>
      <c r="V19"/>
      <c r="W19"/>
      <c r="X19"/>
      <c r="Y19"/>
      <c r="Z19"/>
      <c r="AA19"/>
      <c r="AB19"/>
      <c r="AC19"/>
      <c r="AD19"/>
    </row>
    <row r="20" spans="1:30" ht="15.75">
      <c r="A20" s="270" t="str">
        <f t="shared" si="3"/>
        <v>Small-Business WLAN Aps</v>
      </c>
      <c r="B20" s="270" t="str">
        <f t="shared" si="3"/>
        <v>Small-Business WLAN APs, 802.11g</v>
      </c>
      <c r="D20" s="404" t="str">
        <f>IF([4]Sheet5_WLAN!A26="","",[4]Sheet5_WLAN!A26)</f>
        <v/>
      </c>
      <c r="E20" s="404" t="str">
        <f>IF([4]Sheet5_WLAN!B26="","",[4]Sheet5_WLAN!B26)</f>
        <v/>
      </c>
      <c r="F20" s="404" t="str">
        <f>IF([4]Sheet5_WLAN!C26="","",[4]Sheet5_WLAN!C26)</f>
        <v>Vendor Revenue ($M)</v>
      </c>
      <c r="G20" s="405" t="e">
        <f t="shared" si="1"/>
        <v>#REF!</v>
      </c>
      <c r="H20" s="406" t="e">
        <f t="shared" si="1"/>
        <v>#REF!</v>
      </c>
      <c r="I20" s="406" t="e">
        <f t="shared" si="1"/>
        <v>#REF!</v>
      </c>
      <c r="J20" s="406" t="e">
        <f t="shared" si="1"/>
        <v>#REF!</v>
      </c>
      <c r="K20" s="406" t="e">
        <f t="shared" si="1"/>
        <v>#REF!</v>
      </c>
      <c r="L20" s="406" t="e">
        <f t="shared" si="1"/>
        <v>#REF!</v>
      </c>
      <c r="M20" s="406" t="e">
        <f t="shared" si="1"/>
        <v>#REF!</v>
      </c>
      <c r="N20" s="410" t="e">
        <f t="shared" si="1"/>
        <v>#REF!</v>
      </c>
      <c r="O20" s="499" t="str">
        <f t="shared" si="2"/>
        <v/>
      </c>
      <c r="P20"/>
      <c r="Q20"/>
      <c r="R20"/>
      <c r="S20"/>
      <c r="T20"/>
      <c r="U20"/>
      <c r="V20"/>
      <c r="W20"/>
      <c r="X20"/>
      <c r="Y20"/>
      <c r="Z20"/>
      <c r="AA20"/>
      <c r="AB20"/>
      <c r="AC20"/>
      <c r="AD20"/>
    </row>
    <row r="21" spans="1:30" ht="15.75">
      <c r="A21" s="270" t="str">
        <f t="shared" si="3"/>
        <v>Small-Business WLAN Aps</v>
      </c>
      <c r="B21" s="270" t="str">
        <f t="shared" si="3"/>
        <v>Small-Business WLAN APs, 802.11g</v>
      </c>
      <c r="D21" s="404" t="str">
        <f>IF([4]Sheet5_WLAN!A27="","",[4]Sheet5_WLAN!A27)</f>
        <v/>
      </c>
      <c r="E21" s="404" t="str">
        <f>IF([4]Sheet5_WLAN!B27="","",[4]Sheet5_WLAN!B27)</f>
        <v/>
      </c>
      <c r="F21" s="412" t="str">
        <f>IF([4]Sheet5_WLAN!C27="","",[4]Sheet5_WLAN!C27)</f>
        <v>Unit Shipments (K)</v>
      </c>
      <c r="G21" s="408" t="e">
        <f t="shared" si="1"/>
        <v>#REF!</v>
      </c>
      <c r="H21" s="408" t="e">
        <f t="shared" si="1"/>
        <v>#REF!</v>
      </c>
      <c r="I21" s="408" t="e">
        <f t="shared" si="1"/>
        <v>#REF!</v>
      </c>
      <c r="J21" s="408" t="e">
        <f t="shared" si="1"/>
        <v>#REF!</v>
      </c>
      <c r="K21" s="408" t="e">
        <f t="shared" si="1"/>
        <v>#REF!</v>
      </c>
      <c r="L21" s="408" t="e">
        <f t="shared" si="1"/>
        <v>#REF!</v>
      </c>
      <c r="M21" s="408" t="e">
        <f t="shared" si="1"/>
        <v>#REF!</v>
      </c>
      <c r="N21" s="408" t="e">
        <f t="shared" si="1"/>
        <v>#REF!</v>
      </c>
      <c r="O21" s="500" t="str">
        <f t="shared" si="2"/>
        <v/>
      </c>
      <c r="P21"/>
      <c r="Q21"/>
      <c r="R21"/>
      <c r="S21"/>
      <c r="T21"/>
      <c r="U21"/>
      <c r="V21"/>
      <c r="W21"/>
      <c r="X21"/>
      <c r="Y21"/>
      <c r="Z21"/>
      <c r="AA21"/>
      <c r="AB21"/>
      <c r="AC21"/>
      <c r="AD21"/>
    </row>
    <row r="22" spans="1:30" ht="15.75">
      <c r="A22" s="270" t="str">
        <f t="shared" si="3"/>
        <v>Small-Business WLAN Aps</v>
      </c>
      <c r="B22" s="270" t="str">
        <f t="shared" si="3"/>
        <v>Small-Business WLAN APs, 802.11n</v>
      </c>
      <c r="D22" s="404" t="str">
        <f>IF([4]Sheet5_WLAN!A28="","",[4]Sheet5_WLAN!A28)</f>
        <v/>
      </c>
      <c r="E22" s="399" t="str">
        <f>IF([4]Sheet5_WLAN!B28="","",[4]Sheet5_WLAN!B28)</f>
        <v>Small-Business WLAN APs, 802.11n</v>
      </c>
      <c r="F22" s="404" t="str">
        <f>IF([4]Sheet5_WLAN!C28="","",[4]Sheet5_WLAN!C28)</f>
        <v>End-User Spending ($M)</v>
      </c>
      <c r="G22" s="400" t="e">
        <f t="shared" si="1"/>
        <v>#REF!</v>
      </c>
      <c r="H22" s="401" t="e">
        <f t="shared" si="1"/>
        <v>#REF!</v>
      </c>
      <c r="I22" s="401" t="e">
        <f t="shared" si="1"/>
        <v>#REF!</v>
      </c>
      <c r="J22" s="401" t="e">
        <f t="shared" si="1"/>
        <v>#REF!</v>
      </c>
      <c r="K22" s="401" t="e">
        <f t="shared" si="1"/>
        <v>#REF!</v>
      </c>
      <c r="L22" s="401" t="e">
        <f t="shared" si="1"/>
        <v>#REF!</v>
      </c>
      <c r="M22" s="401" t="e">
        <f t="shared" si="1"/>
        <v>#REF!</v>
      </c>
      <c r="N22" s="401" t="e">
        <f t="shared" si="1"/>
        <v>#REF!</v>
      </c>
      <c r="O22" s="499" t="str">
        <f t="shared" si="2"/>
        <v/>
      </c>
      <c r="P22"/>
      <c r="Q22"/>
      <c r="R22"/>
      <c r="S22"/>
      <c r="T22"/>
      <c r="U22"/>
      <c r="V22"/>
      <c r="W22"/>
      <c r="X22"/>
      <c r="Y22"/>
      <c r="Z22"/>
      <c r="AA22"/>
      <c r="AB22"/>
      <c r="AC22"/>
      <c r="AD22"/>
    </row>
    <row r="23" spans="1:30" ht="15.75">
      <c r="A23" s="270" t="str">
        <f t="shared" si="3"/>
        <v>Small-Business WLAN Aps</v>
      </c>
      <c r="B23" s="270" t="str">
        <f t="shared" si="3"/>
        <v>Small-Business WLAN APs, 802.11n</v>
      </c>
      <c r="D23" s="404" t="str">
        <f>IF([4]Sheet5_WLAN!A29="","",[4]Sheet5_WLAN!A29)</f>
        <v/>
      </c>
      <c r="E23" s="404" t="str">
        <f>IF([4]Sheet5_WLAN!B29="","",[4]Sheet5_WLAN!B29)</f>
        <v/>
      </c>
      <c r="F23" s="404" t="str">
        <f>IF([4]Sheet5_WLAN!C29="","",[4]Sheet5_WLAN!C29)</f>
        <v>Vendor Revenue ($M)</v>
      </c>
      <c r="G23" s="405" t="e">
        <f t="shared" si="1"/>
        <v>#REF!</v>
      </c>
      <c r="H23" s="406" t="e">
        <f t="shared" si="1"/>
        <v>#REF!</v>
      </c>
      <c r="I23" s="406" t="e">
        <f t="shared" si="1"/>
        <v>#REF!</v>
      </c>
      <c r="J23" s="406" t="e">
        <f t="shared" si="1"/>
        <v>#REF!</v>
      </c>
      <c r="K23" s="406" t="e">
        <f t="shared" si="1"/>
        <v>#REF!</v>
      </c>
      <c r="L23" s="406" t="e">
        <f t="shared" si="1"/>
        <v>#REF!</v>
      </c>
      <c r="M23" s="406" t="e">
        <f t="shared" si="1"/>
        <v>#REF!</v>
      </c>
      <c r="N23" s="406" t="e">
        <f t="shared" si="1"/>
        <v>#REF!</v>
      </c>
      <c r="O23" s="499" t="str">
        <f t="shared" si="2"/>
        <v/>
      </c>
      <c r="P23"/>
      <c r="Q23"/>
      <c r="R23"/>
      <c r="S23"/>
      <c r="T23"/>
      <c r="U23"/>
      <c r="V23"/>
      <c r="W23"/>
      <c r="X23"/>
      <c r="Y23"/>
      <c r="Z23"/>
      <c r="AA23"/>
      <c r="AB23"/>
      <c r="AC23"/>
      <c r="AD23"/>
    </row>
    <row r="24" spans="1:30" ht="15.75">
      <c r="A24" s="270" t="str">
        <f t="shared" si="3"/>
        <v>Small-Business WLAN Aps</v>
      </c>
      <c r="B24" s="270" t="str">
        <f t="shared" si="3"/>
        <v>Small-Business WLAN APs, 802.11n</v>
      </c>
      <c r="D24" s="404" t="str">
        <f>IF([4]Sheet5_WLAN!A30="","",[4]Sheet5_WLAN!A30)</f>
        <v/>
      </c>
      <c r="E24" s="425" t="str">
        <f>IF([4]Sheet5_WLAN!B30="","",[4]Sheet5_WLAN!B30)</f>
        <v/>
      </c>
      <c r="F24" s="412" t="str">
        <f>IF([4]Sheet5_WLAN!C30="","",[4]Sheet5_WLAN!C30)</f>
        <v>Unit Shipments (K)</v>
      </c>
      <c r="G24" s="405" t="e">
        <f t="shared" si="1"/>
        <v>#REF!</v>
      </c>
      <c r="H24" s="406" t="e">
        <f t="shared" si="1"/>
        <v>#REF!</v>
      </c>
      <c r="I24" s="406" t="e">
        <f t="shared" si="1"/>
        <v>#REF!</v>
      </c>
      <c r="J24" s="406" t="e">
        <f t="shared" si="1"/>
        <v>#REF!</v>
      </c>
      <c r="K24" s="406" t="e">
        <f t="shared" si="1"/>
        <v>#REF!</v>
      </c>
      <c r="L24" s="406" t="e">
        <f t="shared" si="1"/>
        <v>#REF!</v>
      </c>
      <c r="M24" s="406" t="e">
        <f t="shared" si="1"/>
        <v>#REF!</v>
      </c>
      <c r="N24" s="406" t="e">
        <f t="shared" si="1"/>
        <v>#REF!</v>
      </c>
      <c r="O24" s="500" t="str">
        <f t="shared" si="2"/>
        <v/>
      </c>
      <c r="P24"/>
      <c r="Q24"/>
      <c r="R24"/>
      <c r="S24"/>
      <c r="T24"/>
      <c r="U24"/>
      <c r="V24"/>
      <c r="W24"/>
      <c r="X24"/>
      <c r="Y24"/>
      <c r="Z24"/>
      <c r="AA24"/>
      <c r="AB24"/>
      <c r="AC24"/>
      <c r="AD24"/>
    </row>
    <row r="25" spans="1:30" ht="15.75">
      <c r="A25" s="270" t="str">
        <f t="shared" si="3"/>
        <v>Small-Business WLAN Aps</v>
      </c>
      <c r="B25" s="270" t="str">
        <f t="shared" si="3"/>
        <v>Small-Business WLAN APs, 802.11a/g</v>
      </c>
      <c r="D25" s="404" t="str">
        <f>IF([4]Sheet5_WLAN!A31="","",[4]Sheet5_WLAN!A31)</f>
        <v/>
      </c>
      <c r="E25" s="399" t="str">
        <f>IF([4]Sheet5_WLAN!B31="","",[4]Sheet5_WLAN!B31)</f>
        <v>Small-Business WLAN APs, 802.11a/g</v>
      </c>
      <c r="F25" s="404" t="str">
        <f>IF([4]Sheet5_WLAN!C31="","",[4]Sheet5_WLAN!C31)</f>
        <v>End-User Spending ($M)</v>
      </c>
      <c r="G25" s="400" t="e">
        <f t="shared" si="1"/>
        <v>#REF!</v>
      </c>
      <c r="H25" s="401" t="e">
        <f t="shared" si="1"/>
        <v>#REF!</v>
      </c>
      <c r="I25" s="401" t="e">
        <f t="shared" si="1"/>
        <v>#REF!</v>
      </c>
      <c r="J25" s="401" t="e">
        <f t="shared" si="1"/>
        <v>#REF!</v>
      </c>
      <c r="K25" s="401" t="e">
        <f t="shared" si="1"/>
        <v>#REF!</v>
      </c>
      <c r="L25" s="401" t="e">
        <f t="shared" si="1"/>
        <v>#REF!</v>
      </c>
      <c r="M25" s="401" t="e">
        <f t="shared" si="1"/>
        <v>#REF!</v>
      </c>
      <c r="N25" s="401" t="e">
        <f t="shared" si="1"/>
        <v>#REF!</v>
      </c>
      <c r="O25" s="499" t="str">
        <f t="shared" si="2"/>
        <v/>
      </c>
      <c r="P25"/>
      <c r="Q25"/>
      <c r="R25"/>
      <c r="S25"/>
      <c r="T25"/>
      <c r="U25"/>
      <c r="V25"/>
      <c r="W25"/>
      <c r="X25"/>
      <c r="Y25"/>
      <c r="Z25"/>
      <c r="AA25"/>
      <c r="AB25"/>
      <c r="AC25"/>
      <c r="AD25"/>
    </row>
    <row r="26" spans="1:30" ht="15.75">
      <c r="A26" s="270" t="str">
        <f t="shared" si="3"/>
        <v>Small-Business WLAN Aps</v>
      </c>
      <c r="B26" s="270" t="str">
        <f t="shared" si="3"/>
        <v>Small-Business WLAN APs, 802.11a/g</v>
      </c>
      <c r="D26" s="404" t="str">
        <f>IF([4]Sheet5_WLAN!A32="","",[4]Sheet5_WLAN!A32)</f>
        <v/>
      </c>
      <c r="E26" s="404" t="str">
        <f>IF([4]Sheet5_WLAN!B32="","",[4]Sheet5_WLAN!B32)</f>
        <v/>
      </c>
      <c r="F26" s="404" t="str">
        <f>IF([4]Sheet5_WLAN!C32="","",[4]Sheet5_WLAN!C32)</f>
        <v>Vendor Revenue ($M)</v>
      </c>
      <c r="G26" s="405" t="e">
        <f t="shared" si="1"/>
        <v>#REF!</v>
      </c>
      <c r="H26" s="406" t="e">
        <f t="shared" si="1"/>
        <v>#REF!</v>
      </c>
      <c r="I26" s="406" t="e">
        <f t="shared" si="1"/>
        <v>#REF!</v>
      </c>
      <c r="J26" s="406" t="e">
        <f t="shared" si="1"/>
        <v>#REF!</v>
      </c>
      <c r="K26" s="406" t="e">
        <f t="shared" si="1"/>
        <v>#REF!</v>
      </c>
      <c r="L26" s="406" t="e">
        <f t="shared" si="1"/>
        <v>#REF!</v>
      </c>
      <c r="M26" s="406" t="e">
        <f t="shared" si="1"/>
        <v>#REF!</v>
      </c>
      <c r="N26" s="406" t="e">
        <f t="shared" si="1"/>
        <v>#REF!</v>
      </c>
      <c r="O26" s="499" t="str">
        <f t="shared" si="2"/>
        <v/>
      </c>
      <c r="P26"/>
      <c r="Q26"/>
      <c r="R26"/>
      <c r="S26"/>
      <c r="T26"/>
      <c r="U26"/>
      <c r="V26"/>
      <c r="W26"/>
      <c r="X26"/>
      <c r="Y26"/>
      <c r="Z26"/>
      <c r="AA26"/>
      <c r="AB26"/>
      <c r="AC26"/>
      <c r="AD26"/>
    </row>
    <row r="27" spans="1:30" ht="15.75">
      <c r="A27" s="270" t="str">
        <f t="shared" si="3"/>
        <v>Small-Business WLAN Aps</v>
      </c>
      <c r="B27" s="270" t="str">
        <f t="shared" si="3"/>
        <v>Small-Business WLAN APs, 802.11a/g</v>
      </c>
      <c r="D27" s="404" t="str">
        <f>IF([4]Sheet5_WLAN!A33="","",[4]Sheet5_WLAN!A33)</f>
        <v/>
      </c>
      <c r="E27" s="404" t="str">
        <f>IF([4]Sheet5_WLAN!B33="","",[4]Sheet5_WLAN!B33)</f>
        <v/>
      </c>
      <c r="F27" s="404" t="str">
        <f>IF([4]Sheet5_WLAN!C33="","",[4]Sheet5_WLAN!C33)</f>
        <v>Unit Shipments (K)</v>
      </c>
      <c r="G27" s="405" t="e">
        <f t="shared" si="1"/>
        <v>#REF!</v>
      </c>
      <c r="H27" s="406" t="e">
        <f t="shared" si="1"/>
        <v>#REF!</v>
      </c>
      <c r="I27" s="406" t="e">
        <f t="shared" si="1"/>
        <v>#REF!</v>
      </c>
      <c r="J27" s="406" t="e">
        <f t="shared" si="1"/>
        <v>#REF!</v>
      </c>
      <c r="K27" s="406" t="e">
        <f t="shared" si="1"/>
        <v>#REF!</v>
      </c>
      <c r="L27" s="406" t="e">
        <f t="shared" si="1"/>
        <v>#REF!</v>
      </c>
      <c r="M27" s="406" t="e">
        <f t="shared" si="1"/>
        <v>#REF!</v>
      </c>
      <c r="N27" s="410" t="e">
        <f t="shared" si="1"/>
        <v>#REF!</v>
      </c>
      <c r="O27" s="499" t="str">
        <f t="shared" si="2"/>
        <v/>
      </c>
      <c r="P27"/>
      <c r="Q27"/>
      <c r="R27"/>
      <c r="S27"/>
      <c r="T27"/>
      <c r="U27"/>
      <c r="V27"/>
      <c r="W27"/>
      <c r="X27"/>
      <c r="Y27"/>
      <c r="Z27"/>
      <c r="AA27"/>
      <c r="AB27"/>
      <c r="AC27"/>
      <c r="AD27"/>
    </row>
    <row r="28" spans="1:30" ht="15.75">
      <c r="A28" s="270" t="str">
        <f t="shared" si="3"/>
        <v>Small-Business WLAN Aps End-User Spending ($M)</v>
      </c>
      <c r="B28" s="270" t="str">
        <f>IF(E28&lt;&gt;"",E28,B18)</f>
        <v>Small-Business WLAN APs, 802.11ac</v>
      </c>
      <c r="D28" s="398" t="str">
        <f>IF([4]Sheet5_WLAN!A34="","",[4]Sheet5_WLAN!A34)</f>
        <v>Small-Business WLAN Aps End-User Spending ($M)</v>
      </c>
      <c r="E28" s="419" t="str">
        <f>IF([4]Sheet5_WLAN!B34="","",[4]Sheet5_WLAN!B34)</f>
        <v/>
      </c>
      <c r="F28" s="419" t="str">
        <f>IF([4]Sheet5_WLAN!C34="","",[4]Sheet5_WLAN!C34)</f>
        <v/>
      </c>
      <c r="G28" s="401" t="e">
        <f t="shared" ref="G28:N30" si="4">IF($A16="","",GETPIVOTDATA(""&amp;$F16&amp;"",ENI_Pivot_WLAN,"year",G$14,"Segment4_2",$A16))</f>
        <v>#REF!</v>
      </c>
      <c r="H28" s="401" t="e">
        <f t="shared" si="4"/>
        <v>#REF!</v>
      </c>
      <c r="I28" s="401" t="e">
        <f t="shared" si="4"/>
        <v>#REF!</v>
      </c>
      <c r="J28" s="401" t="e">
        <f t="shared" si="4"/>
        <v>#REF!</v>
      </c>
      <c r="K28" s="401" t="e">
        <f t="shared" si="4"/>
        <v>#REF!</v>
      </c>
      <c r="L28" s="401" t="e">
        <f t="shared" si="4"/>
        <v>#REF!</v>
      </c>
      <c r="M28" s="401" t="e">
        <f t="shared" si="4"/>
        <v>#REF!</v>
      </c>
      <c r="N28" s="409" t="e">
        <f t="shared" si="4"/>
        <v>#REF!</v>
      </c>
      <c r="O28" s="502" t="str">
        <f t="shared" si="2"/>
        <v/>
      </c>
      <c r="P28"/>
      <c r="Q28"/>
      <c r="R28"/>
      <c r="S28"/>
      <c r="T28"/>
      <c r="U28"/>
      <c r="V28"/>
      <c r="W28"/>
      <c r="X28"/>
      <c r="Y28"/>
      <c r="Z28"/>
      <c r="AA28"/>
      <c r="AB28"/>
      <c r="AC28"/>
      <c r="AD28"/>
    </row>
    <row r="29" spans="1:30" ht="15.75">
      <c r="A29" s="270" t="str">
        <f t="shared" si="3"/>
        <v>Small-Business WLAN Aps Vendor Revenue ($M)</v>
      </c>
      <c r="B29" s="270" t="str">
        <f>IF(E29&lt;&gt;"",E29,B28)</f>
        <v>Small-Business WLAN APs, 802.11ac</v>
      </c>
      <c r="D29" s="503" t="str">
        <f>IF([4]Sheet5_WLAN!A35="","",[4]Sheet5_WLAN!A35)</f>
        <v>Small-Business WLAN Aps Vendor Revenue ($M)</v>
      </c>
      <c r="E29" s="504" t="str">
        <f>IF([4]Sheet5_WLAN!B35="","",[4]Sheet5_WLAN!B35)</f>
        <v/>
      </c>
      <c r="F29" s="504" t="str">
        <f>IF([4]Sheet5_WLAN!C35="","",[4]Sheet5_WLAN!C35)</f>
        <v/>
      </c>
      <c r="G29" s="505" t="e">
        <f t="shared" si="4"/>
        <v>#REF!</v>
      </c>
      <c r="H29" s="505" t="e">
        <f t="shared" si="4"/>
        <v>#REF!</v>
      </c>
      <c r="I29" s="505" t="e">
        <f t="shared" si="4"/>
        <v>#REF!</v>
      </c>
      <c r="J29" s="505" t="e">
        <f t="shared" si="4"/>
        <v>#REF!</v>
      </c>
      <c r="K29" s="505" t="e">
        <f t="shared" si="4"/>
        <v>#REF!</v>
      </c>
      <c r="L29" s="505" t="e">
        <f t="shared" si="4"/>
        <v>#REF!</v>
      </c>
      <c r="M29" s="505" t="e">
        <f t="shared" si="4"/>
        <v>#REF!</v>
      </c>
      <c r="N29" s="506" t="e">
        <f t="shared" si="4"/>
        <v>#REF!</v>
      </c>
      <c r="O29" s="507" t="str">
        <f t="shared" si="2"/>
        <v/>
      </c>
      <c r="P29"/>
      <c r="Q29"/>
      <c r="R29"/>
      <c r="S29"/>
      <c r="T29"/>
      <c r="U29"/>
      <c r="V29"/>
      <c r="W29"/>
      <c r="X29"/>
      <c r="Y29"/>
      <c r="Z29"/>
      <c r="AA29"/>
      <c r="AB29"/>
      <c r="AC29"/>
      <c r="AD29"/>
    </row>
    <row r="30" spans="1:30" ht="15.75">
      <c r="A30" s="270" t="str">
        <f t="shared" si="3"/>
        <v>Small-Business WLAN Aps Unit Shipments (K)</v>
      </c>
      <c r="B30" s="270" t="str">
        <f>IF(E30&lt;&gt;"",E30,B29)</f>
        <v>Small-Business WLAN APs, 802.11ac</v>
      </c>
      <c r="D30" s="418" t="str">
        <f>IF([4]Sheet5_WLAN!A36="","",[4]Sheet5_WLAN!A36)</f>
        <v>Small-Business WLAN Aps Unit Shipments (K)</v>
      </c>
      <c r="E30" s="426" t="str">
        <f>IF([4]Sheet5_WLAN!B36="","",[4]Sheet5_WLAN!B36)</f>
        <v/>
      </c>
      <c r="F30" s="426" t="str">
        <f>IF([4]Sheet5_WLAN!C36="","",[4]Sheet5_WLAN!C36)</f>
        <v/>
      </c>
      <c r="G30" s="408" t="e">
        <f t="shared" si="4"/>
        <v>#REF!</v>
      </c>
      <c r="H30" s="408" t="e">
        <f t="shared" si="4"/>
        <v>#REF!</v>
      </c>
      <c r="I30" s="408" t="e">
        <f t="shared" si="4"/>
        <v>#REF!</v>
      </c>
      <c r="J30" s="408" t="e">
        <f t="shared" si="4"/>
        <v>#REF!</v>
      </c>
      <c r="K30" s="408" t="e">
        <f t="shared" si="4"/>
        <v>#REF!</v>
      </c>
      <c r="L30" s="408" t="e">
        <f t="shared" si="4"/>
        <v>#REF!</v>
      </c>
      <c r="M30" s="408" t="e">
        <f t="shared" si="4"/>
        <v>#REF!</v>
      </c>
      <c r="N30" s="413" t="e">
        <f t="shared" si="4"/>
        <v>#REF!</v>
      </c>
      <c r="O30" s="508" t="str">
        <f t="shared" si="2"/>
        <v/>
      </c>
      <c r="P30"/>
      <c r="Q30"/>
      <c r="R30"/>
      <c r="S30"/>
      <c r="T30"/>
      <c r="U30"/>
      <c r="V30"/>
      <c r="W30"/>
      <c r="X30"/>
      <c r="Y30"/>
      <c r="Z30"/>
      <c r="AA30"/>
      <c r="AB30"/>
      <c r="AC30"/>
      <c r="AD30"/>
    </row>
    <row r="31" spans="1:30" ht="15.75">
      <c r="A31" s="270" t="str">
        <f t="shared" si="3"/>
        <v>Enterprise WLAN Aps</v>
      </c>
      <c r="B31" s="270" t="str">
        <f>IF(E31&lt;&gt;"",E31,B15)</f>
        <v>Enterprise WLAN APs, 802.11a/g</v>
      </c>
      <c r="D31" s="404" t="str">
        <f>IF([4]Sheet5_WLAN!A37="","",[4]Sheet5_WLAN!A37)</f>
        <v>Enterprise WLAN Aps</v>
      </c>
      <c r="E31" s="404" t="str">
        <f>IF([4]Sheet5_WLAN!B37="","",[4]Sheet5_WLAN!B37)</f>
        <v>Enterprise WLAN APs, 802.11a/g</v>
      </c>
      <c r="F31" s="404" t="str">
        <f>IF([4]Sheet5_WLAN!C37="","",[4]Sheet5_WLAN!C37)</f>
        <v>End-User Spending ($M)</v>
      </c>
      <c r="G31" s="405" t="e">
        <f>IF(OR($A31="",$B31=""),"",GETPIVOTDATA(""&amp;$F31&amp;"",ENI_Pivot_WLAN,"year",G$14,"Segment4",$B31,"Segment4_2",$A31))</f>
        <v>#REF!</v>
      </c>
      <c r="H31" s="406" t="e">
        <f t="shared" ref="G31:N39" si="5">IF(OR($A31="",$B31=""),"",GETPIVOTDATA(""&amp;$F31&amp;"",ENI_Pivot_WLAN,"year",H$14,"Segment4",$B31,"Segment4_2",$A31))</f>
        <v>#REF!</v>
      </c>
      <c r="I31" s="406" t="e">
        <f t="shared" si="5"/>
        <v>#REF!</v>
      </c>
      <c r="J31" s="406" t="e">
        <f t="shared" si="5"/>
        <v>#REF!</v>
      </c>
      <c r="K31" s="406" t="e">
        <f t="shared" si="5"/>
        <v>#REF!</v>
      </c>
      <c r="L31" s="406" t="e">
        <f t="shared" si="5"/>
        <v>#REF!</v>
      </c>
      <c r="M31" s="406" t="e">
        <f t="shared" si="5"/>
        <v>#REF!</v>
      </c>
      <c r="N31" s="406" t="e">
        <f t="shared" si="5"/>
        <v>#REF!</v>
      </c>
      <c r="O31" s="501" t="str">
        <f t="shared" si="2"/>
        <v/>
      </c>
    </row>
    <row r="32" spans="1:30" ht="15.75">
      <c r="A32" s="270" t="str">
        <f t="shared" si="3"/>
        <v>Enterprise WLAN Aps</v>
      </c>
      <c r="B32" s="270" t="str">
        <f t="shared" si="3"/>
        <v>Enterprise WLAN APs, 802.11a/g</v>
      </c>
      <c r="D32" s="404" t="str">
        <f>IF([4]Sheet5_WLAN!A38="","",[4]Sheet5_WLAN!A38)</f>
        <v/>
      </c>
      <c r="E32" s="404" t="str">
        <f>IF([4]Sheet5_WLAN!B38="","",[4]Sheet5_WLAN!B38)</f>
        <v/>
      </c>
      <c r="F32" s="404" t="str">
        <f>IF([4]Sheet5_WLAN!C38="","",[4]Sheet5_WLAN!C38)</f>
        <v>Vendor Revenue ($M)</v>
      </c>
      <c r="G32" s="405" t="e">
        <f t="shared" si="5"/>
        <v>#REF!</v>
      </c>
      <c r="H32" s="406" t="e">
        <f t="shared" si="5"/>
        <v>#REF!</v>
      </c>
      <c r="I32" s="406" t="e">
        <f t="shared" si="5"/>
        <v>#REF!</v>
      </c>
      <c r="J32" s="406" t="e">
        <f t="shared" si="5"/>
        <v>#REF!</v>
      </c>
      <c r="K32" s="406" t="e">
        <f t="shared" si="5"/>
        <v>#REF!</v>
      </c>
      <c r="L32" s="406" t="e">
        <f t="shared" si="5"/>
        <v>#REF!</v>
      </c>
      <c r="M32" s="406" t="e">
        <f t="shared" si="5"/>
        <v>#REF!</v>
      </c>
      <c r="N32" s="406" t="e">
        <f t="shared" si="5"/>
        <v>#REF!</v>
      </c>
      <c r="O32" s="499" t="str">
        <f t="shared" si="2"/>
        <v/>
      </c>
    </row>
    <row r="33" spans="1:30" ht="15.75">
      <c r="A33" s="270" t="str">
        <f t="shared" ref="A33:B47" si="6">IF(D33&lt;&gt;"",D33,A32)</f>
        <v>Enterprise WLAN Aps</v>
      </c>
      <c r="B33" s="270" t="str">
        <f t="shared" si="6"/>
        <v>Enterprise WLAN APs, 802.11a/g</v>
      </c>
      <c r="D33" s="404" t="str">
        <f>IF([4]Sheet5_WLAN!A39="","",[4]Sheet5_WLAN!A39)</f>
        <v/>
      </c>
      <c r="E33" s="404" t="str">
        <f>IF([4]Sheet5_WLAN!B39="","",[4]Sheet5_WLAN!B39)</f>
        <v/>
      </c>
      <c r="F33" s="404" t="str">
        <f>IF([4]Sheet5_WLAN!C39="","",[4]Sheet5_WLAN!C39)</f>
        <v>Unit Shipments (K)</v>
      </c>
      <c r="G33" s="407" t="e">
        <f t="shared" si="5"/>
        <v>#REF!</v>
      </c>
      <c r="H33" s="408" t="e">
        <f t="shared" si="5"/>
        <v>#REF!</v>
      </c>
      <c r="I33" s="408" t="e">
        <f t="shared" si="5"/>
        <v>#REF!</v>
      </c>
      <c r="J33" s="408" t="e">
        <f t="shared" si="5"/>
        <v>#REF!</v>
      </c>
      <c r="K33" s="408" t="e">
        <f t="shared" si="5"/>
        <v>#REF!</v>
      </c>
      <c r="L33" s="408" t="e">
        <f t="shared" si="5"/>
        <v>#REF!</v>
      </c>
      <c r="M33" s="408" t="e">
        <f t="shared" si="5"/>
        <v>#REF!</v>
      </c>
      <c r="N33" s="408" t="e">
        <f t="shared" si="5"/>
        <v>#REF!</v>
      </c>
      <c r="O33" s="500" t="str">
        <f t="shared" si="2"/>
        <v/>
      </c>
      <c r="P33"/>
      <c r="Q33"/>
      <c r="R33"/>
      <c r="S33"/>
      <c r="T33"/>
      <c r="U33"/>
      <c r="V33"/>
      <c r="W33"/>
      <c r="X33"/>
      <c r="Y33"/>
      <c r="Z33"/>
      <c r="AA33"/>
      <c r="AB33"/>
      <c r="AC33"/>
      <c r="AD33"/>
    </row>
    <row r="34" spans="1:30" ht="15.75">
      <c r="A34" s="270" t="str">
        <f t="shared" si="6"/>
        <v>Enterprise WLAN Aps</v>
      </c>
      <c r="B34" s="270" t="str">
        <f t="shared" si="6"/>
        <v>Enterprise WLAN APs, 802.11ac</v>
      </c>
      <c r="D34" s="404" t="str">
        <f>IF([4]Sheet5_WLAN!A40="","",[4]Sheet5_WLAN!A40)</f>
        <v/>
      </c>
      <c r="E34" s="399" t="str">
        <f>IF([4]Sheet5_WLAN!B40="","",[4]Sheet5_WLAN!B40)</f>
        <v>Enterprise WLAN APs, 802.11ac</v>
      </c>
      <c r="F34" s="399" t="str">
        <f>IF([4]Sheet5_WLAN!C40="","",[4]Sheet5_WLAN!C40)</f>
        <v>End-User Spending ($M)</v>
      </c>
      <c r="G34" s="400" t="e">
        <f t="shared" si="5"/>
        <v>#REF!</v>
      </c>
      <c r="H34" s="401" t="e">
        <f t="shared" si="5"/>
        <v>#REF!</v>
      </c>
      <c r="I34" s="401" t="e">
        <f t="shared" si="5"/>
        <v>#REF!</v>
      </c>
      <c r="J34" s="401" t="e">
        <f t="shared" si="5"/>
        <v>#REF!</v>
      </c>
      <c r="K34" s="401" t="e">
        <f t="shared" si="5"/>
        <v>#REF!</v>
      </c>
      <c r="L34" s="401" t="e">
        <f t="shared" si="5"/>
        <v>#REF!</v>
      </c>
      <c r="M34" s="401" t="e">
        <f t="shared" si="5"/>
        <v>#REF!</v>
      </c>
      <c r="N34" s="401" t="e">
        <f t="shared" si="5"/>
        <v>#REF!</v>
      </c>
      <c r="O34" s="499" t="str">
        <f t="shared" si="2"/>
        <v/>
      </c>
      <c r="P34"/>
      <c r="Q34"/>
      <c r="R34"/>
      <c r="S34"/>
      <c r="T34"/>
      <c r="U34"/>
      <c r="V34"/>
      <c r="W34"/>
      <c r="X34"/>
      <c r="Y34"/>
      <c r="Z34"/>
      <c r="AA34"/>
      <c r="AB34"/>
      <c r="AC34"/>
      <c r="AD34"/>
    </row>
    <row r="35" spans="1:30" ht="15.75">
      <c r="A35" s="270" t="str">
        <f t="shared" si="6"/>
        <v>Enterprise WLAN Aps</v>
      </c>
      <c r="B35" s="270" t="str">
        <f t="shared" si="6"/>
        <v>Enterprise WLAN APs, 802.11ac</v>
      </c>
      <c r="D35" s="404" t="str">
        <f>IF([4]Sheet5_WLAN!A41="","",[4]Sheet5_WLAN!A41)</f>
        <v/>
      </c>
      <c r="E35" s="404" t="str">
        <f>IF([4]Sheet5_WLAN!B41="","",[4]Sheet5_WLAN!B41)</f>
        <v/>
      </c>
      <c r="F35" s="404" t="str">
        <f>IF([4]Sheet5_WLAN!C41="","",[4]Sheet5_WLAN!C41)</f>
        <v>Vendor Revenue ($M)</v>
      </c>
      <c r="G35" s="405" t="e">
        <f t="shared" si="5"/>
        <v>#REF!</v>
      </c>
      <c r="H35" s="406" t="e">
        <f t="shared" si="5"/>
        <v>#REF!</v>
      </c>
      <c r="I35" s="406" t="e">
        <f t="shared" si="5"/>
        <v>#REF!</v>
      </c>
      <c r="J35" s="406" t="e">
        <f t="shared" si="5"/>
        <v>#REF!</v>
      </c>
      <c r="K35" s="406" t="e">
        <f t="shared" si="5"/>
        <v>#REF!</v>
      </c>
      <c r="L35" s="406" t="e">
        <f t="shared" si="5"/>
        <v>#REF!</v>
      </c>
      <c r="M35" s="406" t="e">
        <f t="shared" si="5"/>
        <v>#REF!</v>
      </c>
      <c r="N35" s="406" t="e">
        <f t="shared" si="5"/>
        <v>#REF!</v>
      </c>
      <c r="O35" s="499" t="str">
        <f t="shared" si="2"/>
        <v/>
      </c>
      <c r="P35"/>
      <c r="Q35"/>
      <c r="R35"/>
      <c r="S35"/>
      <c r="T35"/>
      <c r="U35"/>
      <c r="V35"/>
      <c r="W35"/>
      <c r="X35"/>
      <c r="Y35"/>
      <c r="Z35"/>
      <c r="AA35"/>
      <c r="AB35"/>
      <c r="AC35"/>
      <c r="AD35"/>
    </row>
    <row r="36" spans="1:30" ht="15.75">
      <c r="A36" s="270" t="str">
        <f t="shared" si="6"/>
        <v>Enterprise WLAN Aps</v>
      </c>
      <c r="B36" s="270" t="str">
        <f t="shared" si="6"/>
        <v>Enterprise WLAN APs, 802.11ac</v>
      </c>
      <c r="D36" s="404" t="str">
        <f>IF([4]Sheet5_WLAN!A42="","",[4]Sheet5_WLAN!A42)</f>
        <v/>
      </c>
      <c r="E36" s="404" t="str">
        <f>IF([4]Sheet5_WLAN!B42="","",[4]Sheet5_WLAN!B42)</f>
        <v/>
      </c>
      <c r="F36" s="412" t="str">
        <f>IF([4]Sheet5_WLAN!C42="","",[4]Sheet5_WLAN!C42)</f>
        <v>Unit Shipments (K)</v>
      </c>
      <c r="G36" s="407" t="e">
        <f t="shared" si="5"/>
        <v>#REF!</v>
      </c>
      <c r="H36" s="408" t="e">
        <f t="shared" si="5"/>
        <v>#REF!</v>
      </c>
      <c r="I36" s="408" t="e">
        <f t="shared" si="5"/>
        <v>#REF!</v>
      </c>
      <c r="J36" s="408" t="e">
        <f t="shared" si="5"/>
        <v>#REF!</v>
      </c>
      <c r="K36" s="408" t="e">
        <f t="shared" si="5"/>
        <v>#REF!</v>
      </c>
      <c r="L36" s="408" t="e">
        <f t="shared" si="5"/>
        <v>#REF!</v>
      </c>
      <c r="M36" s="408" t="e">
        <f t="shared" si="5"/>
        <v>#REF!</v>
      </c>
      <c r="N36" s="408" t="e">
        <f t="shared" si="5"/>
        <v>#REF!</v>
      </c>
      <c r="O36" s="500" t="str">
        <f t="shared" si="2"/>
        <v/>
      </c>
      <c r="P36"/>
      <c r="Q36"/>
      <c r="R36"/>
      <c r="S36"/>
      <c r="T36"/>
      <c r="U36"/>
      <c r="V36"/>
      <c r="W36"/>
      <c r="X36"/>
      <c r="Y36"/>
      <c r="Z36"/>
      <c r="AA36"/>
      <c r="AB36"/>
      <c r="AC36"/>
      <c r="AD36"/>
    </row>
    <row r="37" spans="1:30" ht="15.75">
      <c r="A37" s="270" t="str">
        <f t="shared" si="6"/>
        <v>Enterprise WLAN Aps</v>
      </c>
      <c r="B37" s="270" t="str">
        <f t="shared" si="6"/>
        <v>Enterprise WLAN APs, 802.11n</v>
      </c>
      <c r="D37" s="404" t="str">
        <f>IF([4]Sheet5_WLAN!A43="","",[4]Sheet5_WLAN!A43)</f>
        <v/>
      </c>
      <c r="E37" s="424" t="str">
        <f>IF([4]Sheet5_WLAN!B43="","",[4]Sheet5_WLAN!B43)</f>
        <v>Enterprise WLAN APs, 802.11n</v>
      </c>
      <c r="F37" s="404" t="str">
        <f>IF([4]Sheet5_WLAN!C43="","",[4]Sheet5_WLAN!C43)</f>
        <v>End-User Spending ($M)</v>
      </c>
      <c r="G37" s="400" t="e">
        <f t="shared" si="5"/>
        <v>#REF!</v>
      </c>
      <c r="H37" s="401" t="e">
        <f t="shared" si="5"/>
        <v>#REF!</v>
      </c>
      <c r="I37" s="401" t="e">
        <f t="shared" si="5"/>
        <v>#REF!</v>
      </c>
      <c r="J37" s="401" t="e">
        <f t="shared" si="5"/>
        <v>#REF!</v>
      </c>
      <c r="K37" s="401" t="e">
        <f t="shared" si="5"/>
        <v>#REF!</v>
      </c>
      <c r="L37" s="401" t="e">
        <f t="shared" si="5"/>
        <v>#REF!</v>
      </c>
      <c r="M37" s="401" t="e">
        <f t="shared" si="5"/>
        <v>#REF!</v>
      </c>
      <c r="N37" s="401" t="e">
        <f t="shared" si="5"/>
        <v>#REF!</v>
      </c>
      <c r="O37" s="499" t="str">
        <f t="shared" si="2"/>
        <v/>
      </c>
      <c r="P37"/>
      <c r="Q37"/>
      <c r="R37"/>
      <c r="S37"/>
      <c r="T37"/>
      <c r="U37"/>
      <c r="V37"/>
      <c r="W37"/>
      <c r="X37"/>
      <c r="Y37"/>
      <c r="Z37"/>
      <c r="AA37"/>
      <c r="AB37"/>
      <c r="AC37"/>
      <c r="AD37"/>
    </row>
    <row r="38" spans="1:30" ht="15.75">
      <c r="A38" s="270" t="str">
        <f t="shared" si="6"/>
        <v>Enterprise WLAN Aps</v>
      </c>
      <c r="B38" s="270" t="str">
        <f t="shared" si="6"/>
        <v>Enterprise WLAN APs, 802.11n</v>
      </c>
      <c r="D38" s="404" t="str">
        <f>IF([4]Sheet5_WLAN!A44="","",[4]Sheet5_WLAN!A44)</f>
        <v/>
      </c>
      <c r="E38" s="404" t="str">
        <f>IF([4]Sheet5_WLAN!B44="","",[4]Sheet5_WLAN!B44)</f>
        <v/>
      </c>
      <c r="F38" s="404" t="str">
        <f>IF([4]Sheet5_WLAN!C44="","",[4]Sheet5_WLAN!C44)</f>
        <v>Vendor Revenue ($M)</v>
      </c>
      <c r="G38" s="405" t="e">
        <f t="shared" si="5"/>
        <v>#REF!</v>
      </c>
      <c r="H38" s="406" t="e">
        <f t="shared" si="5"/>
        <v>#REF!</v>
      </c>
      <c r="I38" s="406" t="e">
        <f t="shared" si="5"/>
        <v>#REF!</v>
      </c>
      <c r="J38" s="406" t="e">
        <f t="shared" si="5"/>
        <v>#REF!</v>
      </c>
      <c r="K38" s="406" t="e">
        <f t="shared" si="5"/>
        <v>#REF!</v>
      </c>
      <c r="L38" s="406" t="e">
        <f t="shared" si="5"/>
        <v>#REF!</v>
      </c>
      <c r="M38" s="406" t="e">
        <f t="shared" si="5"/>
        <v>#REF!</v>
      </c>
      <c r="N38" s="406" t="e">
        <f t="shared" si="5"/>
        <v>#REF!</v>
      </c>
      <c r="O38" s="499" t="str">
        <f t="shared" si="2"/>
        <v/>
      </c>
      <c r="P38"/>
      <c r="Q38"/>
      <c r="R38"/>
      <c r="S38"/>
      <c r="T38"/>
      <c r="U38"/>
      <c r="V38"/>
      <c r="W38"/>
      <c r="X38"/>
      <c r="Y38"/>
      <c r="Z38"/>
      <c r="AA38"/>
      <c r="AB38"/>
      <c r="AC38"/>
      <c r="AD38"/>
    </row>
    <row r="39" spans="1:30" ht="15.75">
      <c r="A39" s="270" t="str">
        <f t="shared" si="6"/>
        <v>Enterprise WLAN Aps</v>
      </c>
      <c r="B39" s="270" t="str">
        <f t="shared" si="6"/>
        <v>Enterprise WLAN APs, 802.11n</v>
      </c>
      <c r="D39" s="404" t="str">
        <f>IF([4]Sheet5_WLAN!A45="","",[4]Sheet5_WLAN!A45)</f>
        <v/>
      </c>
      <c r="E39" s="404" t="str">
        <f>IF([4]Sheet5_WLAN!B45="","",[4]Sheet5_WLAN!B45)</f>
        <v/>
      </c>
      <c r="F39" s="404" t="str">
        <f>IF([4]Sheet5_WLAN!C45="","",[4]Sheet5_WLAN!C45)</f>
        <v>Unit Shipments (K)</v>
      </c>
      <c r="G39" s="405" t="e">
        <f t="shared" si="5"/>
        <v>#REF!</v>
      </c>
      <c r="H39" s="406" t="e">
        <f t="shared" si="5"/>
        <v>#REF!</v>
      </c>
      <c r="I39" s="406" t="e">
        <f t="shared" si="5"/>
        <v>#REF!</v>
      </c>
      <c r="J39" s="406" t="e">
        <f t="shared" si="5"/>
        <v>#REF!</v>
      </c>
      <c r="K39" s="406" t="e">
        <f t="shared" si="5"/>
        <v>#REF!</v>
      </c>
      <c r="L39" s="406" t="e">
        <f t="shared" si="5"/>
        <v>#REF!</v>
      </c>
      <c r="M39" s="406" t="e">
        <f t="shared" si="5"/>
        <v>#REF!</v>
      </c>
      <c r="N39" s="406" t="e">
        <f t="shared" si="5"/>
        <v>#REF!</v>
      </c>
      <c r="O39" s="500" t="str">
        <f t="shared" si="2"/>
        <v/>
      </c>
      <c r="P39"/>
      <c r="Q39"/>
      <c r="R39"/>
      <c r="S39"/>
      <c r="T39"/>
      <c r="U39"/>
      <c r="V39"/>
      <c r="W39"/>
      <c r="X39"/>
      <c r="Y39"/>
      <c r="Z39"/>
      <c r="AA39"/>
      <c r="AB39"/>
      <c r="AC39"/>
      <c r="AD39"/>
    </row>
    <row r="40" spans="1:30" ht="15.75">
      <c r="A40" s="270" t="str">
        <f t="shared" si="6"/>
        <v>Enterprise WLAN Aps End-User Spending ($M)</v>
      </c>
      <c r="B40" s="270" t="str">
        <f t="shared" si="6"/>
        <v>Enterprise WLAN APs, 802.11n</v>
      </c>
      <c r="D40" s="398" t="str">
        <f>IF([4]Sheet5_WLAN!A46="","",[4]Sheet5_WLAN!A46)</f>
        <v>Enterprise WLAN Aps End-User Spending ($M)</v>
      </c>
      <c r="E40" s="419" t="str">
        <f>IF([4]Sheet5_WLAN!B46="","",[4]Sheet5_WLAN!B46)</f>
        <v/>
      </c>
      <c r="F40" s="419" t="str">
        <f>IF([4]Sheet5_WLAN!C46="","",[4]Sheet5_WLAN!C46)</f>
        <v/>
      </c>
      <c r="G40" s="401" t="e">
        <f t="shared" ref="G40:N42" si="7">IF($A40="","",GETPIVOTDATA(""&amp;$F37&amp;"",ENI_Pivot_WLAN,"year",G$14,"Segment4_2",$A37))</f>
        <v>#REF!</v>
      </c>
      <c r="H40" s="401" t="e">
        <f t="shared" si="7"/>
        <v>#REF!</v>
      </c>
      <c r="I40" s="401" t="e">
        <f t="shared" si="7"/>
        <v>#REF!</v>
      </c>
      <c r="J40" s="401" t="e">
        <f t="shared" si="7"/>
        <v>#REF!</v>
      </c>
      <c r="K40" s="401" t="e">
        <f t="shared" si="7"/>
        <v>#REF!</v>
      </c>
      <c r="L40" s="401" t="e">
        <f t="shared" si="7"/>
        <v>#REF!</v>
      </c>
      <c r="M40" s="401" t="e">
        <f t="shared" si="7"/>
        <v>#REF!</v>
      </c>
      <c r="N40" s="409" t="e">
        <f t="shared" si="7"/>
        <v>#REF!</v>
      </c>
      <c r="O40" s="507" t="str">
        <f t="shared" si="2"/>
        <v/>
      </c>
      <c r="P40"/>
      <c r="Q40"/>
      <c r="R40"/>
      <c r="S40"/>
      <c r="T40"/>
      <c r="U40"/>
      <c r="V40"/>
      <c r="W40"/>
      <c r="X40"/>
      <c r="Y40"/>
      <c r="Z40"/>
      <c r="AA40"/>
      <c r="AB40"/>
      <c r="AC40"/>
      <c r="AD40"/>
    </row>
    <row r="41" spans="1:30" ht="15.75">
      <c r="A41" s="270" t="str">
        <f t="shared" si="6"/>
        <v>Enterprise WLAN Aps Vendor Revenue ($M)</v>
      </c>
      <c r="B41" s="270" t="str">
        <f t="shared" si="6"/>
        <v>Enterprise WLAN APs, 802.11n</v>
      </c>
      <c r="D41" s="503" t="str">
        <f>IF([4]Sheet5_WLAN!A47="","",[4]Sheet5_WLAN!A47)</f>
        <v>Enterprise WLAN Aps Vendor Revenue ($M)</v>
      </c>
      <c r="E41" s="504" t="str">
        <f>IF([4]Sheet5_WLAN!B47="","",[4]Sheet5_WLAN!B47)</f>
        <v/>
      </c>
      <c r="F41" s="504" t="str">
        <f>IF([4]Sheet5_WLAN!C47="","",[4]Sheet5_WLAN!C47)</f>
        <v/>
      </c>
      <c r="G41" s="505" t="e">
        <f t="shared" si="7"/>
        <v>#REF!</v>
      </c>
      <c r="H41" s="505" t="e">
        <f t="shared" si="7"/>
        <v>#REF!</v>
      </c>
      <c r="I41" s="505" t="e">
        <f t="shared" si="7"/>
        <v>#REF!</v>
      </c>
      <c r="J41" s="505" t="e">
        <f t="shared" si="7"/>
        <v>#REF!</v>
      </c>
      <c r="K41" s="505" t="e">
        <f t="shared" si="7"/>
        <v>#REF!</v>
      </c>
      <c r="L41" s="505" t="e">
        <f t="shared" si="7"/>
        <v>#REF!</v>
      </c>
      <c r="M41" s="505" t="e">
        <f t="shared" si="7"/>
        <v>#REF!</v>
      </c>
      <c r="N41" s="506" t="e">
        <f t="shared" si="7"/>
        <v>#REF!</v>
      </c>
      <c r="O41" s="507" t="str">
        <f t="shared" si="2"/>
        <v/>
      </c>
      <c r="P41"/>
      <c r="Q41"/>
      <c r="R41"/>
      <c r="S41"/>
      <c r="T41"/>
      <c r="U41"/>
      <c r="V41"/>
      <c r="W41"/>
      <c r="X41"/>
      <c r="Y41"/>
      <c r="Z41"/>
      <c r="AA41"/>
      <c r="AB41"/>
      <c r="AC41"/>
      <c r="AD41"/>
    </row>
    <row r="42" spans="1:30" ht="15.75">
      <c r="A42" s="270" t="str">
        <f t="shared" si="6"/>
        <v>Enterprise WLAN Aps Unit Shipments (K)</v>
      </c>
      <c r="B42" s="270" t="str">
        <f t="shared" si="6"/>
        <v>Enterprise WLAN APs, 802.11n</v>
      </c>
      <c r="D42" s="418" t="str">
        <f>IF([4]Sheet5_WLAN!A48="","",[4]Sheet5_WLAN!A48)</f>
        <v>Enterprise WLAN Aps Unit Shipments (K)</v>
      </c>
      <c r="E42" s="426" t="str">
        <f>IF([4]Sheet5_WLAN!B48="","",[4]Sheet5_WLAN!B48)</f>
        <v/>
      </c>
      <c r="F42" s="426" t="str">
        <f>IF([4]Sheet5_WLAN!C48="","",[4]Sheet5_WLAN!C48)</f>
        <v/>
      </c>
      <c r="G42" s="408" t="e">
        <f t="shared" si="7"/>
        <v>#REF!</v>
      </c>
      <c r="H42" s="408" t="e">
        <f t="shared" si="7"/>
        <v>#REF!</v>
      </c>
      <c r="I42" s="408" t="e">
        <f t="shared" si="7"/>
        <v>#REF!</v>
      </c>
      <c r="J42" s="408" t="e">
        <f t="shared" si="7"/>
        <v>#REF!</v>
      </c>
      <c r="K42" s="408" t="e">
        <f t="shared" si="7"/>
        <v>#REF!</v>
      </c>
      <c r="L42" s="408" t="e">
        <f t="shared" si="7"/>
        <v>#REF!</v>
      </c>
      <c r="M42" s="408" t="e">
        <f t="shared" si="7"/>
        <v>#REF!</v>
      </c>
      <c r="N42" s="413" t="e">
        <f t="shared" si="7"/>
        <v>#REF!</v>
      </c>
      <c r="O42" s="507" t="str">
        <f t="shared" si="2"/>
        <v/>
      </c>
      <c r="P42"/>
      <c r="Q42"/>
      <c r="R42"/>
      <c r="S42"/>
      <c r="T42"/>
      <c r="U42"/>
      <c r="V42"/>
      <c r="W42"/>
      <c r="X42"/>
      <c r="Y42"/>
      <c r="Z42"/>
      <c r="AA42"/>
      <c r="AB42"/>
      <c r="AC42"/>
      <c r="AD42"/>
    </row>
    <row r="43" spans="1:30" ht="15.75">
      <c r="A43" s="270" t="str">
        <f t="shared" si="6"/>
        <v>WLAN Other</v>
      </c>
      <c r="B43" s="270" t="str">
        <f>IF(E43&lt;&gt;"",E43,B30)</f>
        <v>Enterprise WLAN Controllers</v>
      </c>
      <c r="D43" s="404" t="str">
        <f>IF([4]Sheet5_WLAN!A49="","",[4]Sheet5_WLAN!A49)</f>
        <v>WLAN Other</v>
      </c>
      <c r="E43" s="425" t="str">
        <f>IF([4]Sheet5_WLAN!B49="","",[4]Sheet5_WLAN!B49)</f>
        <v>Enterprise WLAN Controllers</v>
      </c>
      <c r="F43" s="404" t="str">
        <f>IF([4]Sheet5_WLAN!C49="","",[4]Sheet5_WLAN!C49)</f>
        <v>End-User Spending ($M)</v>
      </c>
      <c r="G43" s="405" t="e">
        <f t="shared" ref="G43:N47" si="8">IF(OR($A43="",$B43=""),"",GETPIVOTDATA(""&amp;$F43&amp;"",ENI_Pivot_WLAN,"year",G$14,"Segment4",$B43,"Segment4_2",$A43))</f>
        <v>#REF!</v>
      </c>
      <c r="H43" s="406" t="e">
        <f t="shared" si="8"/>
        <v>#REF!</v>
      </c>
      <c r="I43" s="406" t="e">
        <f t="shared" si="8"/>
        <v>#REF!</v>
      </c>
      <c r="J43" s="406" t="e">
        <f t="shared" si="8"/>
        <v>#REF!</v>
      </c>
      <c r="K43" s="406" t="e">
        <f t="shared" si="8"/>
        <v>#REF!</v>
      </c>
      <c r="L43" s="406" t="e">
        <f t="shared" si="8"/>
        <v>#REF!</v>
      </c>
      <c r="M43" s="406" t="e">
        <f t="shared" si="8"/>
        <v>#REF!</v>
      </c>
      <c r="N43" s="406" t="e">
        <f t="shared" si="8"/>
        <v>#REF!</v>
      </c>
      <c r="O43" s="499" t="str">
        <f t="shared" si="2"/>
        <v/>
      </c>
      <c r="P43"/>
      <c r="Q43"/>
      <c r="R43"/>
      <c r="S43"/>
      <c r="T43"/>
      <c r="U43"/>
      <c r="V43"/>
      <c r="W43"/>
      <c r="X43"/>
      <c r="Y43"/>
      <c r="Z43"/>
      <c r="AA43"/>
      <c r="AB43"/>
      <c r="AC43"/>
      <c r="AD43"/>
    </row>
    <row r="44" spans="1:30" ht="15.75">
      <c r="A44" s="270" t="str">
        <f t="shared" si="6"/>
        <v>WLAN Other</v>
      </c>
      <c r="B44" s="270" t="str">
        <f t="shared" si="6"/>
        <v>Enterprise WLAN Controllers</v>
      </c>
      <c r="D44" s="404" t="str">
        <f>IF([4]Sheet5_WLAN!A50="","",[4]Sheet5_WLAN!A50)</f>
        <v/>
      </c>
      <c r="E44" s="404" t="str">
        <f>IF([4]Sheet5_WLAN!B50="","",[4]Sheet5_WLAN!B50)</f>
        <v/>
      </c>
      <c r="F44" s="404" t="str">
        <f>IF([4]Sheet5_WLAN!C50="","",[4]Sheet5_WLAN!C50)</f>
        <v>Vendor Revenue ($M)</v>
      </c>
      <c r="G44" s="405" t="e">
        <f t="shared" si="8"/>
        <v>#REF!</v>
      </c>
      <c r="H44" s="406" t="e">
        <f t="shared" si="8"/>
        <v>#REF!</v>
      </c>
      <c r="I44" s="406" t="e">
        <f t="shared" si="8"/>
        <v>#REF!</v>
      </c>
      <c r="J44" s="406" t="e">
        <f t="shared" si="8"/>
        <v>#REF!</v>
      </c>
      <c r="K44" s="406" t="e">
        <f t="shared" si="8"/>
        <v>#REF!</v>
      </c>
      <c r="L44" s="406" t="e">
        <f t="shared" si="8"/>
        <v>#REF!</v>
      </c>
      <c r="M44" s="406" t="e">
        <f t="shared" si="8"/>
        <v>#REF!</v>
      </c>
      <c r="N44" s="406" t="e">
        <f t="shared" si="8"/>
        <v>#REF!</v>
      </c>
      <c r="O44" s="499" t="str">
        <f t="shared" si="2"/>
        <v/>
      </c>
      <c r="P44"/>
      <c r="Q44"/>
      <c r="R44"/>
      <c r="S44"/>
      <c r="T44"/>
      <c r="U44"/>
      <c r="V44"/>
      <c r="W44"/>
      <c r="X44"/>
      <c r="Y44"/>
      <c r="Z44"/>
      <c r="AA44"/>
      <c r="AB44"/>
      <c r="AC44"/>
      <c r="AD44"/>
    </row>
    <row r="45" spans="1:30" ht="15.75">
      <c r="A45" s="270" t="str">
        <f t="shared" si="6"/>
        <v>WLAN Other</v>
      </c>
      <c r="B45" s="270" t="str">
        <f t="shared" si="6"/>
        <v>Enterprise WLAN Controllers</v>
      </c>
      <c r="D45" s="404" t="str">
        <f>IF([4]Sheet5_WLAN!A51="","",[4]Sheet5_WLAN!A51)</f>
        <v/>
      </c>
      <c r="E45" s="404" t="str">
        <f>IF([4]Sheet5_WLAN!B51="","",[4]Sheet5_WLAN!B51)</f>
        <v/>
      </c>
      <c r="F45" s="404" t="str">
        <f>IF([4]Sheet5_WLAN!C51="","",[4]Sheet5_WLAN!C51)</f>
        <v>Unit Shipments (K)</v>
      </c>
      <c r="G45" s="405" t="e">
        <f t="shared" si="8"/>
        <v>#REF!</v>
      </c>
      <c r="H45" s="406" t="e">
        <f t="shared" si="8"/>
        <v>#REF!</v>
      </c>
      <c r="I45" s="406" t="e">
        <f t="shared" si="8"/>
        <v>#REF!</v>
      </c>
      <c r="J45" s="406" t="e">
        <f t="shared" si="8"/>
        <v>#REF!</v>
      </c>
      <c r="K45" s="406" t="e">
        <f t="shared" si="8"/>
        <v>#REF!</v>
      </c>
      <c r="L45" s="406" t="e">
        <f t="shared" si="8"/>
        <v>#REF!</v>
      </c>
      <c r="M45" s="406" t="e">
        <f t="shared" si="8"/>
        <v>#REF!</v>
      </c>
      <c r="N45" s="410" t="e">
        <f t="shared" si="8"/>
        <v>#REF!</v>
      </c>
      <c r="O45" s="500" t="str">
        <f t="shared" si="2"/>
        <v/>
      </c>
      <c r="P45"/>
      <c r="Q45"/>
      <c r="R45"/>
      <c r="S45"/>
      <c r="T45"/>
      <c r="U45"/>
      <c r="V45"/>
      <c r="W45"/>
      <c r="X45"/>
      <c r="Y45"/>
      <c r="Z45"/>
      <c r="AA45"/>
      <c r="AB45"/>
      <c r="AC45"/>
      <c r="AD45"/>
    </row>
    <row r="46" spans="1:30" ht="15.75">
      <c r="A46" s="270" t="str">
        <f t="shared" si="6"/>
        <v>WLAN Other</v>
      </c>
      <c r="B46" s="270" t="str">
        <f t="shared" si="6"/>
        <v xml:space="preserve">Enterprise WLAN Enhancement Products </v>
      </c>
      <c r="D46" s="404" t="str">
        <f>IF([4]Sheet5_WLAN!A52="","",[4]Sheet5_WLAN!A52)</f>
        <v/>
      </c>
      <c r="E46" s="399" t="str">
        <f>IF([4]Sheet5_WLAN!B52="","",[4]Sheet5_WLAN!B52)</f>
        <v xml:space="preserve">Enterprise WLAN Enhancement Products </v>
      </c>
      <c r="F46" s="398" t="str">
        <f>IF([4]Sheet5_WLAN!C52="","",[4]Sheet5_WLAN!C52)</f>
        <v>End-User Spending ($M)</v>
      </c>
      <c r="G46" s="400" t="e">
        <f>IF(OR($A46="",$B46=""),"",GETPIVOTDATA(""&amp;$F46&amp;"",ENI_Pivot_WLAN,"year",G$14,"Segment4",$B46,"Segment4_2",$A46))</f>
        <v>#REF!</v>
      </c>
      <c r="H46" s="401" t="e">
        <f t="shared" si="8"/>
        <v>#REF!</v>
      </c>
      <c r="I46" s="401" t="e">
        <f t="shared" si="8"/>
        <v>#REF!</v>
      </c>
      <c r="J46" s="401" t="e">
        <f t="shared" si="8"/>
        <v>#REF!</v>
      </c>
      <c r="K46" s="401" t="e">
        <f t="shared" si="8"/>
        <v>#REF!</v>
      </c>
      <c r="L46" s="401" t="e">
        <f t="shared" si="8"/>
        <v>#REF!</v>
      </c>
      <c r="M46" s="401" t="e">
        <f t="shared" si="8"/>
        <v>#REF!</v>
      </c>
      <c r="N46" s="409" t="e">
        <f t="shared" si="8"/>
        <v>#REF!</v>
      </c>
      <c r="O46" s="509" t="str">
        <f t="shared" si="2"/>
        <v/>
      </c>
      <c r="P46"/>
      <c r="Q46"/>
      <c r="R46"/>
      <c r="S46"/>
      <c r="T46"/>
      <c r="U46"/>
      <c r="V46"/>
      <c r="W46"/>
      <c r="X46"/>
      <c r="Y46"/>
      <c r="Z46"/>
      <c r="AA46"/>
      <c r="AB46"/>
      <c r="AC46"/>
      <c r="AD46"/>
    </row>
    <row r="47" spans="1:30" ht="15.75">
      <c r="A47" s="270" t="str">
        <f t="shared" si="6"/>
        <v>WLAN Other</v>
      </c>
      <c r="B47" s="270" t="str">
        <f t="shared" si="6"/>
        <v xml:space="preserve">Enterprise WLAN Enhancement Products </v>
      </c>
      <c r="D47" s="404" t="str">
        <f>IF([4]Sheet5_WLAN!A53="","",[4]Sheet5_WLAN!A53)</f>
        <v/>
      </c>
      <c r="E47" s="404" t="str">
        <f>IF([4]Sheet5_WLAN!B53="","",[4]Sheet5_WLAN!B53)</f>
        <v/>
      </c>
      <c r="F47" s="403" t="str">
        <f>IF([4]Sheet5_WLAN!C53="","",[4]Sheet5_WLAN!C53)</f>
        <v>Vendor Revenue ($M)</v>
      </c>
      <c r="G47" s="407" t="e">
        <f>IF(OR($A47="",$B47=""),"",GETPIVOTDATA(""&amp;$F47&amp;"",ENI_Pivot_WLAN,"year",G$14,"Segment4",$B47,"Segment4_2",$A47))</f>
        <v>#REF!</v>
      </c>
      <c r="H47" s="408" t="e">
        <f t="shared" si="8"/>
        <v>#REF!</v>
      </c>
      <c r="I47" s="408" t="e">
        <f t="shared" si="8"/>
        <v>#REF!</v>
      </c>
      <c r="J47" s="408" t="e">
        <f t="shared" si="8"/>
        <v>#REF!</v>
      </c>
      <c r="K47" s="408" t="e">
        <f t="shared" si="8"/>
        <v>#REF!</v>
      </c>
      <c r="L47" s="408" t="e">
        <f t="shared" si="8"/>
        <v>#REF!</v>
      </c>
      <c r="M47" s="408" t="e">
        <f t="shared" si="8"/>
        <v>#REF!</v>
      </c>
      <c r="N47" s="413" t="e">
        <f t="shared" si="8"/>
        <v>#REF!</v>
      </c>
      <c r="O47" s="509" t="str">
        <f t="shared" si="2"/>
        <v/>
      </c>
      <c r="P47"/>
      <c r="Q47"/>
      <c r="R47"/>
      <c r="S47"/>
      <c r="T47"/>
      <c r="U47"/>
      <c r="V47"/>
      <c r="W47"/>
      <c r="X47"/>
      <c r="Y47"/>
      <c r="Z47"/>
      <c r="AA47"/>
      <c r="AB47"/>
      <c r="AC47"/>
      <c r="AD47"/>
    </row>
    <row r="48" spans="1:30" ht="15.75">
      <c r="A48" s="270" t="str">
        <f>IF(D48&lt;&gt;"",D48,#REF!)</f>
        <v>WLAN Other End-User Spending ($M)</v>
      </c>
      <c r="B48" s="270" t="str">
        <f>IF(E48&lt;&gt;"",E48,B45)</f>
        <v>Enterprise WLAN Controllers</v>
      </c>
      <c r="D48" s="503" t="str">
        <f>IF([4]Sheet5_WLAN!A55="","",[4]Sheet5_WLAN!A55)</f>
        <v>WLAN Other End-User Spending ($M)</v>
      </c>
      <c r="E48" s="504" t="str">
        <f>IF([4]Sheet5_WLAN!B55="","",[4]Sheet5_WLAN!B55)</f>
        <v/>
      </c>
      <c r="F48" s="504" t="str">
        <f>IF([4]Sheet5_WLAN!C55="","",[4]Sheet5_WLAN!C55)</f>
        <v/>
      </c>
      <c r="G48" s="510" t="e">
        <f t="shared" ref="G48:N49" si="9">IF($A46="","",GETPIVOTDATA(""&amp;$F46&amp;"",ENI_Pivot_WLAN,"year",G$14,"Segment4_2",$A46))</f>
        <v>#REF!</v>
      </c>
      <c r="H48" s="510" t="e">
        <f t="shared" si="9"/>
        <v>#REF!</v>
      </c>
      <c r="I48" s="510" t="e">
        <f t="shared" si="9"/>
        <v>#REF!</v>
      </c>
      <c r="J48" s="510" t="e">
        <f t="shared" si="9"/>
        <v>#REF!</v>
      </c>
      <c r="K48" s="510" t="e">
        <f t="shared" si="9"/>
        <v>#REF!</v>
      </c>
      <c r="L48" s="510" t="e">
        <f t="shared" si="9"/>
        <v>#REF!</v>
      </c>
      <c r="M48" s="510" t="e">
        <f t="shared" si="9"/>
        <v>#REF!</v>
      </c>
      <c r="N48" s="511" t="e">
        <f t="shared" si="9"/>
        <v>#REF!</v>
      </c>
      <c r="O48" s="512" t="str">
        <f t="shared" si="2"/>
        <v/>
      </c>
      <c r="P48"/>
      <c r="Q48"/>
      <c r="R48"/>
      <c r="S48"/>
      <c r="T48"/>
      <c r="U48"/>
      <c r="V48"/>
      <c r="W48"/>
      <c r="X48"/>
      <c r="Y48"/>
      <c r="Z48"/>
      <c r="AA48"/>
      <c r="AB48"/>
      <c r="AC48"/>
      <c r="AD48"/>
    </row>
    <row r="49" spans="1:30" ht="15.75">
      <c r="A49" s="270" t="str">
        <f t="shared" ref="A49:B54" si="10">IF(D49&lt;&gt;"",D49,A48)</f>
        <v>WLAN Other Vendor Revenue ($M)</v>
      </c>
      <c r="B49" s="270" t="str">
        <f t="shared" si="10"/>
        <v>Enterprise WLAN Controllers</v>
      </c>
      <c r="D49" s="503" t="str">
        <f>IF([4]Sheet5_WLAN!A56="","",[4]Sheet5_WLAN!A56)</f>
        <v>WLAN Other Vendor Revenue ($M)</v>
      </c>
      <c r="E49" s="504" t="str">
        <f>IF([4]Sheet5_WLAN!B56="","",[4]Sheet5_WLAN!B56)</f>
        <v/>
      </c>
      <c r="F49" s="426" t="str">
        <f>IF([4]Sheet5_WLAN!C56="","",[4]Sheet5_WLAN!C56)</f>
        <v/>
      </c>
      <c r="G49" s="510" t="e">
        <f t="shared" si="9"/>
        <v>#REF!</v>
      </c>
      <c r="H49" s="510" t="e">
        <f t="shared" si="9"/>
        <v>#REF!</v>
      </c>
      <c r="I49" s="510" t="e">
        <f t="shared" si="9"/>
        <v>#REF!</v>
      </c>
      <c r="J49" s="510" t="e">
        <f t="shared" si="9"/>
        <v>#REF!</v>
      </c>
      <c r="K49" s="510" t="e">
        <f t="shared" si="9"/>
        <v>#REF!</v>
      </c>
      <c r="L49" s="510" t="e">
        <f t="shared" si="9"/>
        <v>#REF!</v>
      </c>
      <c r="M49" s="510" t="e">
        <f t="shared" si="9"/>
        <v>#REF!</v>
      </c>
      <c r="N49" s="510" t="e">
        <f t="shared" si="9"/>
        <v>#REF!</v>
      </c>
      <c r="O49" s="512" t="str">
        <f t="shared" si="2"/>
        <v/>
      </c>
      <c r="P49"/>
      <c r="Q49"/>
      <c r="R49"/>
      <c r="S49"/>
      <c r="T49"/>
      <c r="U49"/>
      <c r="V49"/>
      <c r="W49"/>
      <c r="X49"/>
      <c r="Y49"/>
      <c r="Z49"/>
      <c r="AA49"/>
      <c r="AB49"/>
      <c r="AC49"/>
      <c r="AD49"/>
    </row>
    <row r="50" spans="1:30" ht="15.75">
      <c r="A50" s="270" t="str">
        <f>IF(D50&lt;&gt;"",D50,#REF!)</f>
        <v>Total End-User Spending ($M)</v>
      </c>
      <c r="B50" s="270" t="e">
        <f>IF(E50&lt;&gt;"",E50,#REF!)</f>
        <v>#REF!</v>
      </c>
      <c r="D50" s="414" t="str">
        <f>IF([4]Sheet5_WLAN!A58="","",[4]Sheet5_WLAN!A58)</f>
        <v>Total End-User Spending ($M)</v>
      </c>
      <c r="E50" s="504" t="str">
        <f>IF([4]Sheet5_WLAN!B58="","",[4]Sheet5_WLAN!B58)</f>
        <v/>
      </c>
      <c r="F50" s="426" t="str">
        <f>IF([4]Sheet5_WLAN!C58="","",[4]Sheet5_WLAN!C58)</f>
        <v/>
      </c>
      <c r="G50" s="513" t="e">
        <f t="shared" ref="G50:N51" si="11">GETPIVOTDATA(""&amp;$F43&amp;"",ENI_Pivot_WLAN,"year",G$14)</f>
        <v>#REF!</v>
      </c>
      <c r="H50" s="513" t="e">
        <f t="shared" si="11"/>
        <v>#REF!</v>
      </c>
      <c r="I50" s="513" t="e">
        <f t="shared" si="11"/>
        <v>#REF!</v>
      </c>
      <c r="J50" s="513" t="e">
        <f t="shared" si="11"/>
        <v>#REF!</v>
      </c>
      <c r="K50" s="513" t="e">
        <f t="shared" si="11"/>
        <v>#REF!</v>
      </c>
      <c r="L50" s="513" t="e">
        <f t="shared" si="11"/>
        <v>#REF!</v>
      </c>
      <c r="M50" s="513" t="e">
        <f t="shared" si="11"/>
        <v>#REF!</v>
      </c>
      <c r="N50" s="513" t="e">
        <f t="shared" si="11"/>
        <v>#REF!</v>
      </c>
      <c r="O50" s="514" t="str">
        <f t="shared" si="2"/>
        <v/>
      </c>
      <c r="P50"/>
      <c r="Q50"/>
      <c r="R50"/>
      <c r="S50"/>
      <c r="T50"/>
      <c r="U50"/>
      <c r="V50"/>
      <c r="W50"/>
      <c r="X50"/>
      <c r="Y50"/>
      <c r="Z50"/>
      <c r="AA50"/>
      <c r="AB50"/>
      <c r="AC50"/>
      <c r="AD50"/>
    </row>
    <row r="51" spans="1:30" ht="15.75">
      <c r="A51" s="270" t="str">
        <f t="shared" si="10"/>
        <v>Total Vendor Revenue ($M)</v>
      </c>
      <c r="B51" s="270" t="e">
        <f>IF(E51&lt;&gt;"",E51,B50)</f>
        <v>#REF!</v>
      </c>
      <c r="D51" s="414" t="str">
        <f>IF([4]Sheet5_WLAN!A59="","",[4]Sheet5_WLAN!A59)</f>
        <v>Total Vendor Revenue ($M)</v>
      </c>
      <c r="E51" s="504" t="str">
        <f>IF([4]Sheet5_WLAN!B59="","",[4]Sheet5_WLAN!B59)</f>
        <v/>
      </c>
      <c r="F51" s="426" t="str">
        <f>IF([4]Sheet5_WLAN!C59="","",[4]Sheet5_WLAN!C59)</f>
        <v/>
      </c>
      <c r="G51" s="513" t="e">
        <f t="shared" si="11"/>
        <v>#REF!</v>
      </c>
      <c r="H51" s="513" t="e">
        <f t="shared" si="11"/>
        <v>#REF!</v>
      </c>
      <c r="I51" s="513" t="e">
        <f t="shared" si="11"/>
        <v>#REF!</v>
      </c>
      <c r="J51" s="513" t="e">
        <f t="shared" si="11"/>
        <v>#REF!</v>
      </c>
      <c r="K51" s="513" t="e">
        <f t="shared" si="11"/>
        <v>#REF!</v>
      </c>
      <c r="L51" s="513" t="e">
        <f t="shared" si="11"/>
        <v>#REF!</v>
      </c>
      <c r="M51" s="513" t="e">
        <f t="shared" si="11"/>
        <v>#REF!</v>
      </c>
      <c r="N51" s="513" t="e">
        <f t="shared" si="11"/>
        <v>#REF!</v>
      </c>
      <c r="O51" s="514" t="str">
        <f t="shared" si="2"/>
        <v/>
      </c>
      <c r="P51"/>
      <c r="Q51"/>
      <c r="R51"/>
      <c r="S51"/>
      <c r="T51"/>
      <c r="U51"/>
      <c r="V51"/>
      <c r="W51"/>
      <c r="X51"/>
      <c r="Y51"/>
      <c r="Z51"/>
      <c r="AA51"/>
      <c r="AB51"/>
      <c r="AC51"/>
      <c r="AD51"/>
    </row>
    <row r="52" spans="1:30" ht="15.75">
      <c r="A52" s="270" t="str">
        <f>IF(D52&lt;&gt;"",D52,#REF!)</f>
        <v>Growth — End-User Spending</v>
      </c>
      <c r="B52" s="270" t="e">
        <f>IF(E52&lt;&gt;"",E52,#REF!)</f>
        <v>#REF!</v>
      </c>
      <c r="D52" s="411" t="s">
        <v>347</v>
      </c>
      <c r="E52" s="429"/>
      <c r="F52" s="430"/>
      <c r="G52" s="430"/>
      <c r="H52" s="430" t="e">
        <f t="shared" ref="H52:N53" si="12">H50/G50-1</f>
        <v>#REF!</v>
      </c>
      <c r="I52" s="430" t="e">
        <f t="shared" si="12"/>
        <v>#REF!</v>
      </c>
      <c r="J52" s="430" t="e">
        <f t="shared" si="12"/>
        <v>#REF!</v>
      </c>
      <c r="K52" s="430" t="e">
        <f t="shared" si="12"/>
        <v>#REF!</v>
      </c>
      <c r="L52" s="430" t="e">
        <f t="shared" si="12"/>
        <v>#REF!</v>
      </c>
      <c r="M52" s="430" t="e">
        <f t="shared" si="12"/>
        <v>#REF!</v>
      </c>
      <c r="N52" s="430" t="e">
        <f t="shared" si="12"/>
        <v>#REF!</v>
      </c>
      <c r="O52" s="417"/>
      <c r="P52"/>
      <c r="Q52"/>
      <c r="R52"/>
      <c r="S52"/>
      <c r="T52"/>
      <c r="U52"/>
      <c r="V52"/>
      <c r="W52"/>
      <c r="X52"/>
      <c r="Y52"/>
      <c r="Z52"/>
      <c r="AA52"/>
      <c r="AB52"/>
      <c r="AC52"/>
      <c r="AD52"/>
    </row>
    <row r="53" spans="1:30" ht="15.75">
      <c r="A53" s="270" t="str">
        <f t="shared" si="10"/>
        <v>Growth — Vendor Revenue</v>
      </c>
      <c r="B53" s="270" t="e">
        <f t="shared" si="10"/>
        <v>#REF!</v>
      </c>
      <c r="D53" s="411" t="s">
        <v>348</v>
      </c>
      <c r="E53" s="429"/>
      <c r="F53" s="428"/>
      <c r="G53" s="430"/>
      <c r="H53" s="430" t="e">
        <f t="shared" si="12"/>
        <v>#REF!</v>
      </c>
      <c r="I53" s="430" t="e">
        <f t="shared" si="12"/>
        <v>#REF!</v>
      </c>
      <c r="J53" s="430" t="e">
        <f t="shared" si="12"/>
        <v>#REF!</v>
      </c>
      <c r="K53" s="430" t="e">
        <f t="shared" si="12"/>
        <v>#REF!</v>
      </c>
      <c r="L53" s="430" t="e">
        <f t="shared" si="12"/>
        <v>#REF!</v>
      </c>
      <c r="M53" s="430" t="e">
        <f t="shared" si="12"/>
        <v>#REF!</v>
      </c>
      <c r="N53" s="430" t="e">
        <f t="shared" si="12"/>
        <v>#REF!</v>
      </c>
      <c r="O53" s="422"/>
      <c r="P53"/>
      <c r="Q53"/>
      <c r="R53"/>
      <c r="S53"/>
      <c r="T53"/>
      <c r="U53"/>
      <c r="V53"/>
      <c r="W53"/>
      <c r="X53"/>
      <c r="Y53"/>
      <c r="Z53"/>
      <c r="AA53"/>
    </row>
    <row r="54" spans="1:30" ht="15.75" hidden="1">
      <c r="A54" s="270" t="str">
        <f t="shared" si="10"/>
        <v>Growth — Unit Shipments</v>
      </c>
      <c r="B54" s="270" t="e">
        <f t="shared" si="10"/>
        <v>#REF!</v>
      </c>
      <c r="D54" s="411" t="s">
        <v>367</v>
      </c>
      <c r="E54" s="431"/>
      <c r="F54" s="432"/>
      <c r="G54" s="430"/>
      <c r="H54" s="430" t="e">
        <f>#REF!/#REF!-1</f>
        <v>#REF!</v>
      </c>
      <c r="I54" s="430" t="e">
        <f>#REF!/#REF!-1</f>
        <v>#REF!</v>
      </c>
      <c r="J54" s="430" t="e">
        <f>#REF!/#REF!-1</f>
        <v>#REF!</v>
      </c>
      <c r="K54" s="430" t="e">
        <f>#REF!/#REF!-1</f>
        <v>#REF!</v>
      </c>
      <c r="L54" s="430" t="e">
        <f>#REF!/#REF!-1</f>
        <v>#REF!</v>
      </c>
      <c r="M54" s="430" t="e">
        <f>#REF!/#REF!-1</f>
        <v>#REF!</v>
      </c>
      <c r="N54" s="430" t="e">
        <f>#REF!/#REF!-1</f>
        <v>#REF!</v>
      </c>
      <c r="O54" s="430" t="e">
        <f>#REF!/#REF!-1</f>
        <v>#REF!</v>
      </c>
      <c r="P54" s="430" t="e">
        <f>#REF!/#REF!-1</f>
        <v>#REF!</v>
      </c>
      <c r="Q54" s="515"/>
      <c r="R54"/>
      <c r="S54"/>
      <c r="T54"/>
      <c r="U54"/>
      <c r="V54"/>
      <c r="W54"/>
      <c r="X54"/>
      <c r="Y54"/>
      <c r="Z54"/>
      <c r="AA54"/>
      <c r="AB54"/>
      <c r="AC54"/>
    </row>
    <row r="55" spans="1:30" ht="15.75">
      <c r="D55" s="516" t="str">
        <f>"Source: Gartner ("&amp;UpdatePeriodMOYR&amp;")"</f>
        <v>Source: Gartner (December 2017)</v>
      </c>
      <c r="E55" s="427"/>
      <c r="F55" s="517"/>
      <c r="G55" s="517"/>
      <c r="H55" s="517"/>
      <c r="I55"/>
      <c r="J55"/>
      <c r="K55"/>
      <c r="L55"/>
      <c r="M55"/>
      <c r="N55"/>
      <c r="O55" s="517"/>
      <c r="P55" s="517"/>
      <c r="Q55" s="518"/>
      <c r="R55" s="518"/>
      <c r="S55" s="518"/>
      <c r="T55" s="518"/>
      <c r="U55" s="518"/>
      <c r="V55" s="518"/>
      <c r="W55" s="518"/>
      <c r="X55"/>
      <c r="Y55"/>
      <c r="Z55"/>
      <c r="AA55"/>
      <c r="AB55"/>
      <c r="AC55"/>
    </row>
    <row r="56" spans="1:30" ht="15.75">
      <c r="D56" s="516"/>
      <c r="E56" s="427"/>
      <c r="F56" s="517"/>
      <c r="G56" s="519"/>
      <c r="H56" s="519"/>
      <c r="I56" s="519"/>
      <c r="J56" s="519"/>
      <c r="K56" s="519"/>
      <c r="L56" s="519"/>
      <c r="M56" s="519"/>
      <c r="N56" s="519"/>
      <c r="O56" s="517"/>
      <c r="P56" s="517"/>
      <c r="Q56" s="518"/>
      <c r="R56" s="518"/>
      <c r="S56" s="518"/>
      <c r="T56" s="518"/>
      <c r="U56" s="518"/>
      <c r="V56" s="518"/>
      <c r="W56" s="518"/>
      <c r="X56"/>
      <c r="Y56"/>
      <c r="Z56"/>
      <c r="AA56"/>
      <c r="AB56"/>
      <c r="AC56"/>
    </row>
    <row r="57" spans="1:30" ht="15.75">
      <c r="D57" s="516"/>
      <c r="E57" s="427"/>
      <c r="F57" s="517"/>
      <c r="G57" s="517"/>
      <c r="H57" s="517"/>
      <c r="I57"/>
      <c r="J57"/>
      <c r="K57"/>
      <c r="L57"/>
      <c r="M57"/>
      <c r="N57"/>
      <c r="O57" s="517"/>
      <c r="P57" s="517"/>
      <c r="Q57" s="518"/>
      <c r="R57" s="518"/>
      <c r="S57" s="518"/>
      <c r="T57" s="518"/>
      <c r="U57" s="518"/>
      <c r="V57" s="518"/>
      <c r="W57" s="518"/>
      <c r="X57"/>
      <c r="Y57"/>
      <c r="Z57"/>
      <c r="AA57"/>
      <c r="AB57"/>
      <c r="AC57"/>
    </row>
    <row r="58" spans="1:30" ht="15.75">
      <c r="C58" s="270"/>
      <c r="D58" s="433" t="s">
        <v>368</v>
      </c>
      <c r="E58" s="305" t="s">
        <v>318</v>
      </c>
      <c r="F58" s="394" t="s">
        <v>297</v>
      </c>
      <c r="G58" s="520"/>
      <c r="H58" s="520"/>
      <c r="I58" s="520"/>
      <c r="J58" s="520"/>
      <c r="K58" s="520"/>
      <c r="L58" s="520"/>
      <c r="M58" s="520"/>
      <c r="N58" s="520"/>
      <c r="O58" s="520"/>
      <c r="P58" s="520"/>
      <c r="Q58"/>
      <c r="R58"/>
      <c r="S58"/>
      <c r="T58"/>
      <c r="U58"/>
      <c r="V58"/>
    </row>
    <row r="59" spans="1:30" ht="15.75">
      <c r="C59" s="270"/>
      <c r="D59" s="304" t="str">
        <f>"Forecast: Enterprise WLAN Equipment Market by Region, "&amp;StartYear&amp;"-"&amp;EndYear</f>
        <v>Forecast: Enterprise WLAN Equipment Market by Region, 2015-2021</v>
      </c>
      <c r="E59" s="520"/>
      <c r="F59" s="520"/>
      <c r="G59" s="520"/>
      <c r="H59" s="520"/>
      <c r="I59" s="520"/>
      <c r="J59" s="520"/>
      <c r="K59" s="520"/>
      <c r="L59" s="520"/>
      <c r="M59" s="520"/>
      <c r="N59" s="520"/>
      <c r="O59" s="520"/>
      <c r="P59" s="520"/>
      <c r="Q59"/>
      <c r="R59"/>
      <c r="S59"/>
      <c r="T59"/>
      <c r="U59"/>
      <c r="V59"/>
    </row>
    <row r="60" spans="1:30" ht="12" hidden="1" customHeight="1">
      <c r="C60" s="270"/>
      <c r="D60" s="270"/>
      <c r="E60" s="423"/>
      <c r="F60" s="303"/>
      <c r="G60" s="303" t="str">
        <f>IF([4]Sheet6_WLAN!E22="","",[4]Sheet6_WLAN!E22)</f>
        <v>2014 YR</v>
      </c>
      <c r="H60" s="303" t="str">
        <f>IF([4]Sheet6_WLAN!F22="","",[4]Sheet6_WLAN!F22)</f>
        <v>2015 YR</v>
      </c>
      <c r="I60" s="303" t="str">
        <f>IF([4]Sheet6_WLAN!G22="","",[4]Sheet6_WLAN!G22)</f>
        <v>2016 YR</v>
      </c>
      <c r="J60" s="303" t="str">
        <f>IF([4]Sheet6_WLAN!H22="","",[4]Sheet6_WLAN!H22)</f>
        <v>2017 YR</v>
      </c>
      <c r="K60" s="303" t="str">
        <f>IF([4]Sheet6_WLAN!I22="","",[4]Sheet6_WLAN!I22)</f>
        <v>2018 YR</v>
      </c>
      <c r="L60" s="303" t="str">
        <f>IF([4]Sheet6_WLAN!J22="","",[4]Sheet6_WLAN!J22)</f>
        <v>2019 YR</v>
      </c>
      <c r="M60" s="303" t="str">
        <f>IF([4]Sheet6_WLAN!K22="","",[4]Sheet6_WLAN!K22)</f>
        <v>2020 YR</v>
      </c>
      <c r="N60" s="303" t="str">
        <f>IF([4]Sheet6_WLAN!L22="","",[4]Sheet6_WLAN!L22)</f>
        <v>2021 YR</v>
      </c>
      <c r="O60" s="303"/>
      <c r="P60"/>
      <c r="Q60"/>
      <c r="R60"/>
      <c r="S60"/>
      <c r="T60"/>
    </row>
    <row r="61" spans="1:30" ht="25.15" customHeight="1">
      <c r="C61" s="270"/>
      <c r="D61" s="395" t="str">
        <f>IF(ENI_Pivot_WLAN2="","",ENI_Pivot_WLAN2)</f>
        <v>Region</v>
      </c>
      <c r="E61" s="395" t="s">
        <v>319</v>
      </c>
      <c r="F61" s="396" t="str">
        <f>IF([4]Sheet6_WLAN!D22 ="","",[4]Sheet6_WLAN!D22)</f>
        <v>Data</v>
      </c>
      <c r="G61" s="416" t="str">
        <f>LEFT(G60,4)</f>
        <v>2014</v>
      </c>
      <c r="H61" s="416" t="str">
        <f t="shared" ref="H61:N61" si="13">LEFT(H60,4)</f>
        <v>2015</v>
      </c>
      <c r="I61" s="416" t="str">
        <f t="shared" si="13"/>
        <v>2016</v>
      </c>
      <c r="J61" s="416" t="str">
        <f t="shared" si="13"/>
        <v>2017</v>
      </c>
      <c r="K61" s="416" t="str">
        <f t="shared" si="13"/>
        <v>2018</v>
      </c>
      <c r="L61" s="416" t="str">
        <f t="shared" si="13"/>
        <v>2019</v>
      </c>
      <c r="M61" s="416" t="str">
        <f t="shared" si="13"/>
        <v>2020</v>
      </c>
      <c r="N61" s="416" t="str">
        <f t="shared" si="13"/>
        <v>2021</v>
      </c>
      <c r="O61" s="498" t="str">
        <f>"CAGR            "&amp;I61&amp;"-"&amp;N61</f>
        <v>CAGR            2016-2021</v>
      </c>
      <c r="P61"/>
      <c r="Q61"/>
      <c r="R61"/>
      <c r="S61"/>
    </row>
    <row r="62" spans="1:30" ht="15.75">
      <c r="A62" s="270" t="str">
        <f>IF([4]Sheet6_WLAN!B23="",A61,[4]Sheet6_WLAN!B23)</f>
        <v>Small-Business WLAN APs</v>
      </c>
      <c r="B62" s="270" t="str">
        <f>IF(E62&lt;&gt;"",E62,B61)</f>
        <v>Small-Business WLAN APs</v>
      </c>
      <c r="C62" s="270" t="str">
        <f>IF(D62&lt;&gt;"",D62,C61)</f>
        <v>Asia/Pacific</v>
      </c>
      <c r="D62" s="521" t="str">
        <f>IF([4]Sheet6_WLAN!A23="","",[4]Sheet6_WLAN!A23)</f>
        <v>Asia/Pacific</v>
      </c>
      <c r="E62" s="424" t="str">
        <f>IF([4]Sheet6_WLAN!B23="","",[4]Sheet6_WLAN!B23)</f>
        <v>Small-Business WLAN APs</v>
      </c>
      <c r="F62" s="419" t="str">
        <f>IF([4]Sheet6_WLAN!D23 ="","",[4]Sheet6_WLAN!D23)</f>
        <v>End-User Spending ($M)</v>
      </c>
      <c r="G62" s="522" t="e">
        <f t="shared" ref="G62:N67" si="14">IF(OR($C62="",$A62=""),"",GETPIVOTDATA(""&amp;$F62&amp;"",ENI_Pivot_WLAN2,"region",$C62,"year",G$60,"Segment3",$A62))</f>
        <v>#REF!</v>
      </c>
      <c r="H62" s="523" t="e">
        <f t="shared" si="14"/>
        <v>#REF!</v>
      </c>
      <c r="I62" s="523" t="e">
        <f t="shared" si="14"/>
        <v>#REF!</v>
      </c>
      <c r="J62" s="523" t="e">
        <f t="shared" si="14"/>
        <v>#REF!</v>
      </c>
      <c r="K62" s="523" t="e">
        <f t="shared" si="14"/>
        <v>#REF!</v>
      </c>
      <c r="L62" s="523" t="e">
        <f t="shared" si="14"/>
        <v>#REF!</v>
      </c>
      <c r="M62" s="523" t="e">
        <f t="shared" si="14"/>
        <v>#REF!</v>
      </c>
      <c r="N62" s="524" t="e">
        <f t="shared" si="14"/>
        <v>#REF!</v>
      </c>
      <c r="O62" s="307" t="str">
        <f>IF( ISERROR((IF(I62=0,"NA",(N62/I62)^(1/5)-1))), "",(IF(I62=0,"NA",(N62/I62)^(1/5)-1)) )</f>
        <v/>
      </c>
      <c r="P62"/>
      <c r="Q62"/>
      <c r="R62"/>
      <c r="S62"/>
    </row>
    <row r="63" spans="1:30" ht="15.75">
      <c r="A63" s="270" t="str">
        <f>IF([4]Sheet6_WLAN!B24="",A62,[4]Sheet6_WLAN!B24)</f>
        <v>Small-Business WLAN APs</v>
      </c>
      <c r="B63" s="270" t="str">
        <f t="shared" ref="B63:B126" si="15">IF(E63&lt;&gt;"",E63,B62)</f>
        <v>Small-Business WLAN APs</v>
      </c>
      <c r="C63" s="270" t="str">
        <f t="shared" ref="C63:C126" si="16">IF(D63&lt;&gt;"",D63,C62)</f>
        <v>Asia/Pacific</v>
      </c>
      <c r="D63" s="525" t="str">
        <f>IF([4]Sheet6_WLAN!A24="","",[4]Sheet6_WLAN!A24)</f>
        <v/>
      </c>
      <c r="E63" s="425" t="str">
        <f>IF([4]Sheet6_WLAN!B24="","",[4]Sheet6_WLAN!B24)</f>
        <v/>
      </c>
      <c r="F63" s="420" t="str">
        <f>IF([4]Sheet6_WLAN!D24 ="","",[4]Sheet6_WLAN!D24)</f>
        <v>Vendor Revenue ($M)</v>
      </c>
      <c r="G63" s="526" t="e">
        <f t="shared" si="14"/>
        <v>#REF!</v>
      </c>
      <c r="H63" s="527" t="e">
        <f t="shared" si="14"/>
        <v>#REF!</v>
      </c>
      <c r="I63" s="527" t="e">
        <f t="shared" si="14"/>
        <v>#REF!</v>
      </c>
      <c r="J63" s="527" t="e">
        <f t="shared" si="14"/>
        <v>#REF!</v>
      </c>
      <c r="K63" s="527" t="e">
        <f t="shared" si="14"/>
        <v>#REF!</v>
      </c>
      <c r="L63" s="527" t="e">
        <f t="shared" si="14"/>
        <v>#REF!</v>
      </c>
      <c r="M63" s="527" t="e">
        <f t="shared" si="14"/>
        <v>#REF!</v>
      </c>
      <c r="N63" s="528" t="e">
        <f t="shared" si="14"/>
        <v>#REF!</v>
      </c>
      <c r="O63" s="307" t="str">
        <f t="shared" ref="O63:O126" si="17">IF( ISERROR((IF(I63=0,"NA",(N63/I63)^(1/5)-1))), "",(IF(I63=0,"NA",(N63/I63)^(1/5)-1)) )</f>
        <v/>
      </c>
      <c r="P63"/>
      <c r="Q63"/>
      <c r="R63"/>
      <c r="S63"/>
    </row>
    <row r="64" spans="1:30" ht="15.75">
      <c r="A64" s="270" t="str">
        <f>IF([4]Sheet6_WLAN!B25="",A63,[4]Sheet6_WLAN!B25)</f>
        <v>Small-Business WLAN APs</v>
      </c>
      <c r="B64" s="270" t="str">
        <f t="shared" si="15"/>
        <v>Small-Business WLAN APs</v>
      </c>
      <c r="C64" s="270" t="str">
        <f t="shared" si="16"/>
        <v>Asia/Pacific</v>
      </c>
      <c r="D64" s="525" t="str">
        <f>IF([4]Sheet6_WLAN!A25="","",[4]Sheet6_WLAN!A25)</f>
        <v/>
      </c>
      <c r="E64" s="412" t="str">
        <f>IF([4]Sheet6_WLAN!B25="","",[4]Sheet6_WLAN!B25)</f>
        <v/>
      </c>
      <c r="F64" s="420" t="str">
        <f>IF([4]Sheet6_WLAN!D25 ="","",[4]Sheet6_WLAN!D25)</f>
        <v>Unit Shipments (K)</v>
      </c>
      <c r="G64" s="529" t="e">
        <f t="shared" si="14"/>
        <v>#REF!</v>
      </c>
      <c r="H64" s="510" t="e">
        <f t="shared" si="14"/>
        <v>#REF!</v>
      </c>
      <c r="I64" s="510" t="e">
        <f t="shared" si="14"/>
        <v>#REF!</v>
      </c>
      <c r="J64" s="510" t="e">
        <f t="shared" si="14"/>
        <v>#REF!</v>
      </c>
      <c r="K64" s="510" t="e">
        <f t="shared" si="14"/>
        <v>#REF!</v>
      </c>
      <c r="L64" s="510" t="e">
        <f t="shared" si="14"/>
        <v>#REF!</v>
      </c>
      <c r="M64" s="510" t="e">
        <f t="shared" si="14"/>
        <v>#REF!</v>
      </c>
      <c r="N64" s="511" t="e">
        <f t="shared" si="14"/>
        <v>#REF!</v>
      </c>
      <c r="O64" s="307" t="str">
        <f t="shared" si="17"/>
        <v/>
      </c>
      <c r="P64"/>
      <c r="Q64"/>
      <c r="R64"/>
      <c r="S64"/>
    </row>
    <row r="65" spans="1:19" ht="15.75">
      <c r="A65" s="270" t="str">
        <f>IF([4]Sheet6_WLAN!B26="",A64,[4]Sheet6_WLAN!B26)</f>
        <v>Enterprise WLAN APs</v>
      </c>
      <c r="B65" s="270" t="str">
        <f t="shared" si="15"/>
        <v>Enterprise WLAN APs</v>
      </c>
      <c r="C65" s="270" t="str">
        <f t="shared" si="16"/>
        <v>Asia/Pacific</v>
      </c>
      <c r="D65" s="525" t="str">
        <f>IF([4]Sheet6_WLAN!A26="","",[4]Sheet6_WLAN!A26)</f>
        <v/>
      </c>
      <c r="E65" s="425" t="str">
        <f>IF([4]Sheet6_WLAN!B26="","",[4]Sheet6_WLAN!B26)</f>
        <v>Enterprise WLAN APs</v>
      </c>
      <c r="F65" s="419" t="str">
        <f>IF([4]Sheet6_WLAN!D26 ="","",[4]Sheet6_WLAN!D26)</f>
        <v>End-User Spending ($M)</v>
      </c>
      <c r="G65" s="526" t="e">
        <f t="shared" si="14"/>
        <v>#REF!</v>
      </c>
      <c r="H65" s="527" t="e">
        <f t="shared" si="14"/>
        <v>#REF!</v>
      </c>
      <c r="I65" s="527" t="e">
        <f t="shared" si="14"/>
        <v>#REF!</v>
      </c>
      <c r="J65" s="527" t="e">
        <f t="shared" si="14"/>
        <v>#REF!</v>
      </c>
      <c r="K65" s="527" t="e">
        <f t="shared" si="14"/>
        <v>#REF!</v>
      </c>
      <c r="L65" s="527" t="e">
        <f t="shared" si="14"/>
        <v>#REF!</v>
      </c>
      <c r="M65" s="527" t="e">
        <f t="shared" si="14"/>
        <v>#REF!</v>
      </c>
      <c r="N65" s="527" t="e">
        <f t="shared" si="14"/>
        <v>#REF!</v>
      </c>
      <c r="O65" s="530" t="str">
        <f t="shared" si="17"/>
        <v/>
      </c>
      <c r="P65"/>
      <c r="Q65"/>
      <c r="R65"/>
      <c r="S65"/>
    </row>
    <row r="66" spans="1:19" ht="15.75">
      <c r="A66" s="270" t="str">
        <f>IF([4]Sheet6_WLAN!B27="",A65,[4]Sheet6_WLAN!B27)</f>
        <v>Enterprise WLAN APs</v>
      </c>
      <c r="B66" s="270" t="str">
        <f t="shared" si="15"/>
        <v>Enterprise WLAN APs</v>
      </c>
      <c r="C66" s="270" t="str">
        <f t="shared" si="16"/>
        <v>Asia/Pacific</v>
      </c>
      <c r="D66" s="525" t="str">
        <f>IF([4]Sheet6_WLAN!A27="","",[4]Sheet6_WLAN!A27)</f>
        <v/>
      </c>
      <c r="E66" s="425" t="str">
        <f>IF([4]Sheet6_WLAN!B27="","",[4]Sheet6_WLAN!B27)</f>
        <v/>
      </c>
      <c r="F66" s="420" t="str">
        <f>IF([4]Sheet6_WLAN!D27 ="","",[4]Sheet6_WLAN!D27)</f>
        <v>Vendor Revenue ($M)</v>
      </c>
      <c r="G66" s="526" t="e">
        <f t="shared" si="14"/>
        <v>#REF!</v>
      </c>
      <c r="H66" s="527" t="e">
        <f t="shared" si="14"/>
        <v>#REF!</v>
      </c>
      <c r="I66" s="527" t="e">
        <f t="shared" si="14"/>
        <v>#REF!</v>
      </c>
      <c r="J66" s="527" t="e">
        <f t="shared" si="14"/>
        <v>#REF!</v>
      </c>
      <c r="K66" s="527" t="e">
        <f t="shared" si="14"/>
        <v>#REF!</v>
      </c>
      <c r="L66" s="527" t="e">
        <f t="shared" si="14"/>
        <v>#REF!</v>
      </c>
      <c r="M66" s="527" t="e">
        <f t="shared" si="14"/>
        <v>#REF!</v>
      </c>
      <c r="N66" s="527" t="e">
        <f t="shared" si="14"/>
        <v>#REF!</v>
      </c>
      <c r="O66" s="531" t="str">
        <f t="shared" si="17"/>
        <v/>
      </c>
      <c r="P66"/>
      <c r="Q66"/>
      <c r="R66"/>
      <c r="S66"/>
    </row>
    <row r="67" spans="1:19" ht="15.75">
      <c r="A67" s="270" t="str">
        <f>IF([4]Sheet6_WLAN!B28="",A66,[4]Sheet6_WLAN!B28)</f>
        <v>Enterprise WLAN APs</v>
      </c>
      <c r="B67" s="270" t="str">
        <f t="shared" si="15"/>
        <v>Enterprise WLAN APs</v>
      </c>
      <c r="C67" s="270" t="str">
        <f t="shared" si="16"/>
        <v>Asia/Pacific</v>
      </c>
      <c r="D67" s="525" t="str">
        <f>IF([4]Sheet6_WLAN!A28="","",[4]Sheet6_WLAN!A28)</f>
        <v/>
      </c>
      <c r="E67" s="425" t="str">
        <f>IF([4]Sheet6_WLAN!B28="","",[4]Sheet6_WLAN!B28)</f>
        <v/>
      </c>
      <c r="F67" s="420" t="str">
        <f>IF([4]Sheet6_WLAN!D28 ="","",[4]Sheet6_WLAN!D28)</f>
        <v>Unit Shipments (K)</v>
      </c>
      <c r="G67" s="529" t="e">
        <f t="shared" si="14"/>
        <v>#REF!</v>
      </c>
      <c r="H67" s="510" t="e">
        <f t="shared" si="14"/>
        <v>#REF!</v>
      </c>
      <c r="I67" s="510" t="e">
        <f t="shared" si="14"/>
        <v>#REF!</v>
      </c>
      <c r="J67" s="510" t="e">
        <f t="shared" si="14"/>
        <v>#REF!</v>
      </c>
      <c r="K67" s="510" t="e">
        <f t="shared" si="14"/>
        <v>#REF!</v>
      </c>
      <c r="L67" s="510" t="e">
        <f t="shared" si="14"/>
        <v>#REF!</v>
      </c>
      <c r="M67" s="510" t="e">
        <f t="shared" si="14"/>
        <v>#REF!</v>
      </c>
      <c r="N67" s="510" t="e">
        <f t="shared" si="14"/>
        <v>#REF!</v>
      </c>
      <c r="O67" s="531" t="str">
        <f t="shared" si="17"/>
        <v/>
      </c>
      <c r="P67"/>
      <c r="Q67"/>
      <c r="R67"/>
      <c r="S67"/>
    </row>
    <row r="68" spans="1:19" ht="15.75">
      <c r="A68" s="270" t="str">
        <f>IF([4]Sheet6_WLAN!B29="",A67,[4]Sheet6_WLAN!B29)</f>
        <v>Enterprise WLAN Other</v>
      </c>
      <c r="B68" s="270" t="str">
        <f t="shared" si="15"/>
        <v>Enterprise WLAN Controllers</v>
      </c>
      <c r="C68" s="270" t="str">
        <f t="shared" si="16"/>
        <v>Asia/Pacific</v>
      </c>
      <c r="D68" s="525" t="str">
        <f>IF([4]Sheet6_WLAN!A29="","",[4]Sheet6_WLAN!A29)</f>
        <v/>
      </c>
      <c r="E68" s="424" t="str">
        <f>IF([4]Sheet6_WLAN!C29="","",[4]Sheet6_WLAN!C29)</f>
        <v>Enterprise WLAN Controllers</v>
      </c>
      <c r="F68" s="419" t="str">
        <f>IF([4]Sheet6_WLAN!D29 ="","",[4]Sheet6_WLAN!D29)</f>
        <v>End-User Spending ($M)</v>
      </c>
      <c r="G68" s="522" t="e">
        <f t="shared" ref="G68:N73" si="18">IF(OR($A68="",$C68="",$B68=""),"",GETPIVOTDATA(""&amp;$F68&amp;"",ENI_Pivot_WLAN2,"region",$C68,"year",G$60,"Segment3",$A68,"Segment4",$B68))</f>
        <v>#REF!</v>
      </c>
      <c r="H68" s="523" t="e">
        <f t="shared" si="18"/>
        <v>#REF!</v>
      </c>
      <c r="I68" s="523" t="e">
        <f t="shared" si="18"/>
        <v>#REF!</v>
      </c>
      <c r="J68" s="523" t="e">
        <f t="shared" si="18"/>
        <v>#REF!</v>
      </c>
      <c r="K68" s="523" t="e">
        <f t="shared" si="18"/>
        <v>#REF!</v>
      </c>
      <c r="L68" s="523" t="e">
        <f t="shared" si="18"/>
        <v>#REF!</v>
      </c>
      <c r="M68" s="523" t="e">
        <f t="shared" si="18"/>
        <v>#REF!</v>
      </c>
      <c r="N68" s="523" t="e">
        <f t="shared" si="18"/>
        <v>#REF!</v>
      </c>
      <c r="O68" s="530" t="str">
        <f t="shared" si="17"/>
        <v/>
      </c>
      <c r="P68"/>
      <c r="Q68"/>
      <c r="R68"/>
      <c r="S68"/>
    </row>
    <row r="69" spans="1:19" ht="15.75">
      <c r="A69" s="270" t="str">
        <f>IF([4]Sheet6_WLAN!B30="",A68,[4]Sheet6_WLAN!B30)</f>
        <v>Enterprise WLAN Other</v>
      </c>
      <c r="B69" s="270" t="str">
        <f t="shared" si="15"/>
        <v>Enterprise WLAN Controllers</v>
      </c>
      <c r="C69" s="270" t="str">
        <f t="shared" si="16"/>
        <v>Asia/Pacific</v>
      </c>
      <c r="D69" s="525" t="str">
        <f>IF([4]Sheet6_WLAN!A30="","",[4]Sheet6_WLAN!A30)</f>
        <v/>
      </c>
      <c r="E69" s="425" t="str">
        <f>IF([4]Sheet6_WLAN!C30="","",[4]Sheet6_WLAN!C30)</f>
        <v/>
      </c>
      <c r="F69" s="420" t="str">
        <f>IF([4]Sheet6_WLAN!D30 ="","",[4]Sheet6_WLAN!D30)</f>
        <v>Vendor Revenue ($M)</v>
      </c>
      <c r="G69" s="526" t="e">
        <f t="shared" si="18"/>
        <v>#REF!</v>
      </c>
      <c r="H69" s="527" t="e">
        <f t="shared" si="18"/>
        <v>#REF!</v>
      </c>
      <c r="I69" s="527" t="e">
        <f t="shared" si="18"/>
        <v>#REF!</v>
      </c>
      <c r="J69" s="527" t="e">
        <f t="shared" si="18"/>
        <v>#REF!</v>
      </c>
      <c r="K69" s="527" t="e">
        <f t="shared" si="18"/>
        <v>#REF!</v>
      </c>
      <c r="L69" s="527" t="e">
        <f t="shared" si="18"/>
        <v>#REF!</v>
      </c>
      <c r="M69" s="527" t="e">
        <f t="shared" si="18"/>
        <v>#REF!</v>
      </c>
      <c r="N69" s="527" t="e">
        <f t="shared" si="18"/>
        <v>#REF!</v>
      </c>
      <c r="O69" s="531" t="str">
        <f t="shared" si="17"/>
        <v/>
      </c>
      <c r="P69"/>
      <c r="Q69"/>
      <c r="R69"/>
      <c r="S69"/>
    </row>
    <row r="70" spans="1:19" ht="15.75">
      <c r="A70" s="270" t="str">
        <f>IF([4]Sheet6_WLAN!B31="",A69,[4]Sheet6_WLAN!B31)</f>
        <v>Enterprise WLAN Other</v>
      </c>
      <c r="B70" s="270" t="str">
        <f t="shared" si="15"/>
        <v>Enterprise WLAN Controllers</v>
      </c>
      <c r="C70" s="270" t="str">
        <f t="shared" si="16"/>
        <v>Asia/Pacific</v>
      </c>
      <c r="D70" s="525" t="str">
        <f>IF([4]Sheet6_WLAN!A31="","",[4]Sheet6_WLAN!A31)</f>
        <v/>
      </c>
      <c r="E70" s="412" t="str">
        <f>IF([4]Sheet6_WLAN!C31="","",[4]Sheet6_WLAN!C31)</f>
        <v/>
      </c>
      <c r="F70" s="420" t="str">
        <f>IF([4]Sheet6_WLAN!D31 ="","",[4]Sheet6_WLAN!D31)</f>
        <v>Unit Shipments (K)</v>
      </c>
      <c r="G70" s="526" t="e">
        <f t="shared" si="18"/>
        <v>#REF!</v>
      </c>
      <c r="H70" s="527" t="e">
        <f t="shared" si="18"/>
        <v>#REF!</v>
      </c>
      <c r="I70" s="527" t="e">
        <f t="shared" si="18"/>
        <v>#REF!</v>
      </c>
      <c r="J70" s="527" t="e">
        <f t="shared" si="18"/>
        <v>#REF!</v>
      </c>
      <c r="K70" s="527" t="e">
        <f t="shared" si="18"/>
        <v>#REF!</v>
      </c>
      <c r="L70" s="527" t="e">
        <f t="shared" si="18"/>
        <v>#REF!</v>
      </c>
      <c r="M70" s="527" t="e">
        <f t="shared" si="18"/>
        <v>#REF!</v>
      </c>
      <c r="N70" s="527" t="e">
        <f t="shared" si="18"/>
        <v>#REF!</v>
      </c>
      <c r="O70" s="531" t="str">
        <f t="shared" si="17"/>
        <v/>
      </c>
      <c r="P70"/>
      <c r="Q70"/>
      <c r="R70"/>
      <c r="S70"/>
    </row>
    <row r="71" spans="1:19" ht="15.75">
      <c r="A71" s="270" t="str">
        <f>IF([4]Sheet6_WLAN!B32="",A70,[4]Sheet6_WLAN!B32)</f>
        <v>Enterprise WLAN Other</v>
      </c>
      <c r="B71" s="270" t="str">
        <f t="shared" si="15"/>
        <v xml:space="preserve">Enterprise WLAN Enhancement Products </v>
      </c>
      <c r="C71" s="270" t="str">
        <f t="shared" si="16"/>
        <v>Asia/Pacific</v>
      </c>
      <c r="D71" s="525" t="str">
        <f>IF([4]Sheet6_WLAN!A32="","",[4]Sheet6_WLAN!A32)</f>
        <v/>
      </c>
      <c r="E71" s="425" t="str">
        <f>IF([4]Sheet6_WLAN!C32="","",[4]Sheet6_WLAN!C32)</f>
        <v xml:space="preserve">Enterprise WLAN Enhancement Products </v>
      </c>
      <c r="F71" s="419" t="str">
        <f>IF([4]Sheet6_WLAN!D32 ="","",[4]Sheet6_WLAN!D32)</f>
        <v>End-User Spending ($M)</v>
      </c>
      <c r="G71" s="522" t="e">
        <f t="shared" si="18"/>
        <v>#REF!</v>
      </c>
      <c r="H71" s="523" t="e">
        <f t="shared" si="18"/>
        <v>#REF!</v>
      </c>
      <c r="I71" s="523" t="e">
        <f t="shared" si="18"/>
        <v>#REF!</v>
      </c>
      <c r="J71" s="523" t="e">
        <f t="shared" si="18"/>
        <v>#REF!</v>
      </c>
      <c r="K71" s="523" t="e">
        <f t="shared" si="18"/>
        <v>#REF!</v>
      </c>
      <c r="L71" s="523" t="e">
        <f t="shared" si="18"/>
        <v>#REF!</v>
      </c>
      <c r="M71" s="523" t="e">
        <f t="shared" si="18"/>
        <v>#REF!</v>
      </c>
      <c r="N71" s="523" t="e">
        <f t="shared" si="18"/>
        <v>#REF!</v>
      </c>
      <c r="O71" s="530" t="str">
        <f t="shared" si="17"/>
        <v/>
      </c>
      <c r="P71"/>
      <c r="Q71"/>
      <c r="R71"/>
      <c r="S71"/>
    </row>
    <row r="72" spans="1:19" ht="15.75">
      <c r="A72" s="270" t="str">
        <f>IF([4]Sheet6_WLAN!B33="",A71,[4]Sheet6_WLAN!B33)</f>
        <v>Enterprise WLAN Other</v>
      </c>
      <c r="B72" s="270" t="str">
        <f t="shared" si="15"/>
        <v xml:space="preserve">Enterprise WLAN Enhancement Products </v>
      </c>
      <c r="C72" s="270" t="str">
        <f t="shared" si="16"/>
        <v>Asia/Pacific</v>
      </c>
      <c r="D72" s="532" t="str">
        <f>IF([4]Sheet6_WLAN!A33="","",[4]Sheet6_WLAN!A33)</f>
        <v/>
      </c>
      <c r="E72" s="421" t="str">
        <f>IF([4]Sheet6_WLAN!C33="","",[4]Sheet6_WLAN!C33)</f>
        <v/>
      </c>
      <c r="F72" s="426" t="str">
        <f>IF([4]Sheet6_WLAN!D33 ="","",[4]Sheet6_WLAN!D33)</f>
        <v>Vendor Revenue ($M)</v>
      </c>
      <c r="G72" s="529" t="e">
        <f t="shared" si="18"/>
        <v>#REF!</v>
      </c>
      <c r="H72" s="510" t="e">
        <f t="shared" si="18"/>
        <v>#REF!</v>
      </c>
      <c r="I72" s="510" t="e">
        <f t="shared" si="18"/>
        <v>#REF!</v>
      </c>
      <c r="J72" s="510" t="e">
        <f t="shared" si="18"/>
        <v>#REF!</v>
      </c>
      <c r="K72" s="510" t="e">
        <f t="shared" si="18"/>
        <v>#REF!</v>
      </c>
      <c r="L72" s="510" t="e">
        <f t="shared" si="18"/>
        <v>#REF!</v>
      </c>
      <c r="M72" s="510" t="e">
        <f t="shared" si="18"/>
        <v>#REF!</v>
      </c>
      <c r="N72" s="510" t="e">
        <f t="shared" si="18"/>
        <v>#REF!</v>
      </c>
      <c r="O72" s="531" t="str">
        <f t="shared" si="17"/>
        <v/>
      </c>
      <c r="P72"/>
      <c r="Q72"/>
      <c r="R72"/>
      <c r="S72"/>
    </row>
    <row r="73" spans="1:19" ht="15.75" hidden="1">
      <c r="A73" s="270" t="str">
        <f>IF([4]Sheet6_WLAN!B34="",A72,[4]Sheet6_WLAN!B34)</f>
        <v>Enterprise WLAN Other</v>
      </c>
      <c r="B73" s="270" t="str">
        <f t="shared" si="15"/>
        <v xml:space="preserve">Enterprise WLAN Enhancement Products </v>
      </c>
      <c r="C73" s="270" t="str">
        <f t="shared" si="16"/>
        <v>Asia/Pacific</v>
      </c>
      <c r="D73" s="532" t="str">
        <f>IF([4]Sheet6_WLAN!A34="","",[4]Sheet6_WLAN!A34)</f>
        <v/>
      </c>
      <c r="E73" s="425" t="str">
        <f>IF([4]Sheet6_WLAN!C34="","",[4]Sheet6_WLAN!C34)</f>
        <v/>
      </c>
      <c r="F73" s="420" t="str">
        <f>IF([4]Sheet6_WLAN!D34 ="","",[4]Sheet6_WLAN!D34)</f>
        <v>Unit Shipments (K)</v>
      </c>
      <c r="G73" s="529" t="e">
        <f t="shared" si="18"/>
        <v>#REF!</v>
      </c>
      <c r="H73" s="510" t="e">
        <f t="shared" si="18"/>
        <v>#REF!</v>
      </c>
      <c r="I73" s="510" t="e">
        <f t="shared" si="18"/>
        <v>#REF!</v>
      </c>
      <c r="J73" s="510" t="e">
        <f t="shared" si="18"/>
        <v>#REF!</v>
      </c>
      <c r="K73" s="510" t="e">
        <f t="shared" si="18"/>
        <v>#REF!</v>
      </c>
      <c r="L73" s="510" t="e">
        <f t="shared" si="18"/>
        <v>#REF!</v>
      </c>
      <c r="M73" s="510" t="e">
        <f t="shared" si="18"/>
        <v>#REF!</v>
      </c>
      <c r="N73" s="510" t="e">
        <f t="shared" si="18"/>
        <v>#REF!</v>
      </c>
      <c r="O73" s="531" t="str">
        <f t="shared" si="17"/>
        <v/>
      </c>
      <c r="P73"/>
      <c r="Q73"/>
      <c r="R73"/>
      <c r="S73"/>
    </row>
    <row r="74" spans="1:19" ht="15.75">
      <c r="A74" s="270" t="str">
        <f>IF([4]Sheet6_WLAN!B35="",A73,[4]Sheet6_WLAN!B35)</f>
        <v>Enterprise WLAN Other</v>
      </c>
      <c r="B74" s="270" t="str">
        <f>IF(E74&lt;&gt;"",E74,B73)</f>
        <v xml:space="preserve">Enterprise WLAN Enhancement Products </v>
      </c>
      <c r="C74" s="270" t="str">
        <f t="shared" si="16"/>
        <v>Asia/Pacific End-User Spending ($M)</v>
      </c>
      <c r="D74" s="533" t="str">
        <f>IF([4]Sheet6_WLAN!A35="","",[4]Sheet6_WLAN!A35)</f>
        <v>Asia/Pacific End-User Spending ($M)</v>
      </c>
      <c r="E74" s="419" t="str">
        <f>IF([4]Sheet6_WLAN!B35="","",[4]Sheet6_WLAN!B35)</f>
        <v/>
      </c>
      <c r="F74" s="419" t="str">
        <f>IF([4]Sheet6_WLAN!D35 ="","",[4]Sheet6_WLAN!D35)</f>
        <v/>
      </c>
      <c r="G74" s="510" t="e">
        <f t="shared" ref="G74:N74" si="19">GETPIVOTDATA(""&amp;$F71&amp;"",ENI_Pivot_WLAN2,"region",$C71,"year",G$60)</f>
        <v>#REF!</v>
      </c>
      <c r="H74" s="510" t="e">
        <f t="shared" si="19"/>
        <v>#REF!</v>
      </c>
      <c r="I74" s="510" t="e">
        <f t="shared" si="19"/>
        <v>#REF!</v>
      </c>
      <c r="J74" s="510" t="e">
        <f t="shared" si="19"/>
        <v>#REF!</v>
      </c>
      <c r="K74" s="510" t="e">
        <f t="shared" si="19"/>
        <v>#REF!</v>
      </c>
      <c r="L74" s="510" t="e">
        <f t="shared" si="19"/>
        <v>#REF!</v>
      </c>
      <c r="M74" s="510" t="e">
        <f t="shared" si="19"/>
        <v>#REF!</v>
      </c>
      <c r="N74" s="510" t="e">
        <f t="shared" si="19"/>
        <v>#REF!</v>
      </c>
      <c r="O74" s="530" t="str">
        <f t="shared" si="17"/>
        <v/>
      </c>
      <c r="P74"/>
      <c r="Q74"/>
      <c r="R74"/>
      <c r="S74"/>
    </row>
    <row r="75" spans="1:19" ht="15.75">
      <c r="A75" s="270" t="str">
        <f>IF([4]Sheet6_WLAN!B36="",A74,[4]Sheet6_WLAN!B36)</f>
        <v>Enterprise WLAN Other</v>
      </c>
      <c r="B75" s="270" t="str">
        <f t="shared" si="15"/>
        <v xml:space="preserve">Enterprise WLAN Enhancement Products </v>
      </c>
      <c r="C75" s="270" t="str">
        <f t="shared" si="16"/>
        <v>Asia/Pacific Vendor Revenue ($M)</v>
      </c>
      <c r="D75" s="534" t="str">
        <f>IF([4]Sheet6_WLAN!A36="","",[4]Sheet6_WLAN!A36)</f>
        <v>Asia/Pacific Vendor Revenue ($M)</v>
      </c>
      <c r="E75" s="504" t="str">
        <f>IF([4]Sheet6_WLAN!B36="","",[4]Sheet6_WLAN!B36)</f>
        <v/>
      </c>
      <c r="F75" s="504" t="str">
        <f>IF([4]Sheet6_WLAN!D36 ="","",[4]Sheet6_WLAN!D36)</f>
        <v/>
      </c>
      <c r="G75" s="510" t="e">
        <f t="shared" ref="G75:N75" si="20">GETPIVOTDATA(""&amp;$F72&amp;"",ENI_Pivot_WLAN2,"region",$C72,"year",G$60)</f>
        <v>#REF!</v>
      </c>
      <c r="H75" s="510" t="e">
        <f t="shared" si="20"/>
        <v>#REF!</v>
      </c>
      <c r="I75" s="510" t="e">
        <f t="shared" si="20"/>
        <v>#REF!</v>
      </c>
      <c r="J75" s="510" t="e">
        <f t="shared" si="20"/>
        <v>#REF!</v>
      </c>
      <c r="K75" s="510" t="e">
        <f t="shared" si="20"/>
        <v>#REF!</v>
      </c>
      <c r="L75" s="510" t="e">
        <f t="shared" si="20"/>
        <v>#REF!</v>
      </c>
      <c r="M75" s="510" t="e">
        <f t="shared" si="20"/>
        <v>#REF!</v>
      </c>
      <c r="N75" s="510" t="e">
        <f t="shared" si="20"/>
        <v>#REF!</v>
      </c>
      <c r="O75" s="530" t="str">
        <f t="shared" si="17"/>
        <v/>
      </c>
      <c r="P75"/>
      <c r="Q75"/>
      <c r="R75"/>
      <c r="S75"/>
    </row>
    <row r="76" spans="1:19" ht="15.75" hidden="1">
      <c r="A76" s="270" t="str">
        <f>IF([4]Sheet6_WLAN!B37="",A75,[4]Sheet6_WLAN!B37)</f>
        <v>Enterprise WLAN Other</v>
      </c>
      <c r="B76" s="270" t="str">
        <f t="shared" si="15"/>
        <v xml:space="preserve">Enterprise WLAN Enhancement Products </v>
      </c>
      <c r="C76" s="270" t="str">
        <f t="shared" si="16"/>
        <v>Asia/Pacific Unit Shipments (K)</v>
      </c>
      <c r="D76" s="533" t="str">
        <f>IF([4]Sheet6_WLAN!A37="","",[4]Sheet6_WLAN!A37)</f>
        <v>Asia/Pacific Unit Shipments (K)</v>
      </c>
      <c r="E76" s="420" t="str">
        <f>IF([4]Sheet6_WLAN!B37="","",[4]Sheet6_WLAN!B37)</f>
        <v/>
      </c>
      <c r="F76" s="420" t="str">
        <f>IF([4]Sheet6_WLAN!D37 ="","",[4]Sheet6_WLAN!D37)</f>
        <v/>
      </c>
      <c r="G76" s="510" t="e">
        <f t="shared" ref="G76:N76" si="21">GETPIVOTDATA(""&amp;$F73&amp;"",ENI_Pivot_WLAN2,"region",$C73,"year",G$60)</f>
        <v>#REF!</v>
      </c>
      <c r="H76" s="510" t="e">
        <f t="shared" si="21"/>
        <v>#REF!</v>
      </c>
      <c r="I76" s="510" t="e">
        <f t="shared" si="21"/>
        <v>#REF!</v>
      </c>
      <c r="J76" s="510" t="e">
        <f t="shared" si="21"/>
        <v>#REF!</v>
      </c>
      <c r="K76" s="510" t="e">
        <f t="shared" si="21"/>
        <v>#REF!</v>
      </c>
      <c r="L76" s="510" t="e">
        <f t="shared" si="21"/>
        <v>#REF!</v>
      </c>
      <c r="M76" s="510" t="e">
        <f t="shared" si="21"/>
        <v>#REF!</v>
      </c>
      <c r="N76" s="510" t="e">
        <f t="shared" si="21"/>
        <v>#REF!</v>
      </c>
      <c r="O76" s="531" t="str">
        <f t="shared" si="17"/>
        <v/>
      </c>
      <c r="P76"/>
      <c r="Q76"/>
      <c r="R76"/>
      <c r="S76"/>
    </row>
    <row r="77" spans="1:19" ht="15.75">
      <c r="A77" s="270" t="str">
        <f>IF([4]Sheet6_WLAN!B38="",A76,[4]Sheet6_WLAN!B38)</f>
        <v>Small-Business WLAN APs</v>
      </c>
      <c r="B77" s="270" t="str">
        <f t="shared" si="15"/>
        <v>Small-Business WLAN APs</v>
      </c>
      <c r="C77" s="270" t="str">
        <f t="shared" si="16"/>
        <v>Eastern Europe</v>
      </c>
      <c r="D77" s="521" t="str">
        <f>IF([4]Sheet6_WLAN!A38="","",[4]Sheet6_WLAN!A38)</f>
        <v>Eastern Europe</v>
      </c>
      <c r="E77" s="424" t="str">
        <f>IF([4]Sheet6_WLAN!B38="","",[4]Sheet6_WLAN!B38)</f>
        <v>Small-Business WLAN APs</v>
      </c>
      <c r="F77" s="419" t="str">
        <f>IF([4]Sheet6_WLAN!D38 ="","",[4]Sheet6_WLAN!D38)</f>
        <v>End-User Spending ($M)</v>
      </c>
      <c r="G77" s="522" t="e">
        <f t="shared" ref="G77:N82" si="22">IF(OR($C77="",$A77=""),"",GETPIVOTDATA(""&amp;$F77&amp;"",ENI_Pivot_WLAN2,"region",$C77,"year",G$60,"Segment3",$A77))</f>
        <v>#REF!</v>
      </c>
      <c r="H77" s="523" t="e">
        <f t="shared" si="22"/>
        <v>#REF!</v>
      </c>
      <c r="I77" s="523" t="e">
        <f t="shared" si="22"/>
        <v>#REF!</v>
      </c>
      <c r="J77" s="523" t="e">
        <f t="shared" si="22"/>
        <v>#REF!</v>
      </c>
      <c r="K77" s="523" t="e">
        <f t="shared" si="22"/>
        <v>#REF!</v>
      </c>
      <c r="L77" s="523" t="e">
        <f t="shared" si="22"/>
        <v>#REF!</v>
      </c>
      <c r="M77" s="523" t="e">
        <f t="shared" si="22"/>
        <v>#REF!</v>
      </c>
      <c r="N77" s="523" t="e">
        <f t="shared" si="22"/>
        <v>#REF!</v>
      </c>
      <c r="O77" s="530" t="str">
        <f t="shared" si="17"/>
        <v/>
      </c>
      <c r="P77"/>
      <c r="Q77"/>
      <c r="R77"/>
      <c r="S77"/>
    </row>
    <row r="78" spans="1:19" ht="15.75">
      <c r="A78" s="270" t="str">
        <f>IF([4]Sheet6_WLAN!B39="",A77,[4]Sheet6_WLAN!B39)</f>
        <v>Small-Business WLAN APs</v>
      </c>
      <c r="B78" s="270" t="str">
        <f t="shared" si="15"/>
        <v>Small-Business WLAN APs</v>
      </c>
      <c r="C78" s="270" t="str">
        <f t="shared" si="16"/>
        <v>Eastern Europe</v>
      </c>
      <c r="D78" s="525" t="str">
        <f>IF([4]Sheet6_WLAN!A39="","",[4]Sheet6_WLAN!A39)</f>
        <v/>
      </c>
      <c r="E78" s="425" t="str">
        <f>IF([4]Sheet6_WLAN!B39="","",[4]Sheet6_WLAN!B39)</f>
        <v/>
      </c>
      <c r="F78" s="420" t="str">
        <f>IF([4]Sheet6_WLAN!D39 ="","",[4]Sheet6_WLAN!D39)</f>
        <v>Vendor Revenue ($M)</v>
      </c>
      <c r="G78" s="526" t="e">
        <f t="shared" si="22"/>
        <v>#REF!</v>
      </c>
      <c r="H78" s="527" t="e">
        <f t="shared" si="22"/>
        <v>#REF!</v>
      </c>
      <c r="I78" s="527" t="e">
        <f t="shared" si="22"/>
        <v>#REF!</v>
      </c>
      <c r="J78" s="527" t="e">
        <f t="shared" si="22"/>
        <v>#REF!</v>
      </c>
      <c r="K78" s="527" t="e">
        <f t="shared" si="22"/>
        <v>#REF!</v>
      </c>
      <c r="L78" s="527" t="e">
        <f t="shared" si="22"/>
        <v>#REF!</v>
      </c>
      <c r="M78" s="527" t="e">
        <f t="shared" si="22"/>
        <v>#REF!</v>
      </c>
      <c r="N78" s="527" t="e">
        <f t="shared" si="22"/>
        <v>#REF!</v>
      </c>
      <c r="O78" s="531" t="str">
        <f t="shared" si="17"/>
        <v/>
      </c>
      <c r="P78"/>
      <c r="Q78"/>
      <c r="R78"/>
      <c r="S78"/>
    </row>
    <row r="79" spans="1:19" ht="15.75">
      <c r="A79" s="270" t="str">
        <f>IF([4]Sheet6_WLAN!B40="",A78,[4]Sheet6_WLAN!B40)</f>
        <v>Small-Business WLAN APs</v>
      </c>
      <c r="B79" s="270" t="str">
        <f t="shared" si="15"/>
        <v>Small-Business WLAN APs</v>
      </c>
      <c r="C79" s="270" t="str">
        <f t="shared" si="16"/>
        <v>Eastern Europe</v>
      </c>
      <c r="D79" s="525" t="str">
        <f>IF([4]Sheet6_WLAN!A40="","",[4]Sheet6_WLAN!A40)</f>
        <v/>
      </c>
      <c r="E79" s="412" t="str">
        <f>IF([4]Sheet6_WLAN!B40="","",[4]Sheet6_WLAN!B40)</f>
        <v/>
      </c>
      <c r="F79" s="420" t="str">
        <f>IF([4]Sheet6_WLAN!D40 ="","",[4]Sheet6_WLAN!D40)</f>
        <v>Unit Shipments (K)</v>
      </c>
      <c r="G79" s="526" t="e">
        <f t="shared" si="22"/>
        <v>#REF!</v>
      </c>
      <c r="H79" s="527" t="e">
        <f t="shared" si="22"/>
        <v>#REF!</v>
      </c>
      <c r="I79" s="527" t="e">
        <f t="shared" si="22"/>
        <v>#REF!</v>
      </c>
      <c r="J79" s="527" t="e">
        <f t="shared" si="22"/>
        <v>#REF!</v>
      </c>
      <c r="K79" s="527" t="e">
        <f t="shared" si="22"/>
        <v>#REF!</v>
      </c>
      <c r="L79" s="527" t="e">
        <f t="shared" si="22"/>
        <v>#REF!</v>
      </c>
      <c r="M79" s="527" t="e">
        <f t="shared" si="22"/>
        <v>#REF!</v>
      </c>
      <c r="N79" s="527" t="e">
        <f t="shared" si="22"/>
        <v>#REF!</v>
      </c>
      <c r="O79" s="531" t="str">
        <f t="shared" si="17"/>
        <v/>
      </c>
      <c r="P79"/>
      <c r="Q79"/>
      <c r="R79"/>
      <c r="S79"/>
    </row>
    <row r="80" spans="1:19" ht="15.75">
      <c r="A80" s="270" t="str">
        <f>IF([4]Sheet6_WLAN!B41="",A79,[4]Sheet6_WLAN!B41)</f>
        <v>Enterprise WLAN APs</v>
      </c>
      <c r="B80" s="270" t="str">
        <f t="shared" si="15"/>
        <v>Enterprise WLAN APs</v>
      </c>
      <c r="C80" s="270" t="str">
        <f t="shared" si="16"/>
        <v>Eastern Europe</v>
      </c>
      <c r="D80" s="525" t="str">
        <f>IF([4]Sheet6_WLAN!A41="","",[4]Sheet6_WLAN!A41)</f>
        <v/>
      </c>
      <c r="E80" s="425" t="str">
        <f>IF([4]Sheet6_WLAN!B41="","",[4]Sheet6_WLAN!B41)</f>
        <v>Enterprise WLAN APs</v>
      </c>
      <c r="F80" s="419" t="str">
        <f>IF([4]Sheet6_WLAN!D41 ="","",[4]Sheet6_WLAN!D41)</f>
        <v>End-User Spending ($M)</v>
      </c>
      <c r="G80" s="522" t="e">
        <f t="shared" si="22"/>
        <v>#REF!</v>
      </c>
      <c r="H80" s="523" t="e">
        <f t="shared" si="22"/>
        <v>#REF!</v>
      </c>
      <c r="I80" s="523" t="e">
        <f t="shared" si="22"/>
        <v>#REF!</v>
      </c>
      <c r="J80" s="523" t="e">
        <f t="shared" si="22"/>
        <v>#REF!</v>
      </c>
      <c r="K80" s="523" t="e">
        <f t="shared" si="22"/>
        <v>#REF!</v>
      </c>
      <c r="L80" s="523" t="e">
        <f t="shared" si="22"/>
        <v>#REF!</v>
      </c>
      <c r="M80" s="523" t="e">
        <f t="shared" si="22"/>
        <v>#REF!</v>
      </c>
      <c r="N80" s="523" t="e">
        <f t="shared" si="22"/>
        <v>#REF!</v>
      </c>
      <c r="O80" s="530" t="str">
        <f t="shared" si="17"/>
        <v/>
      </c>
      <c r="P80"/>
      <c r="Q80"/>
      <c r="R80"/>
      <c r="S80"/>
    </row>
    <row r="81" spans="1:19" ht="15.75">
      <c r="A81" s="270" t="str">
        <f>IF([4]Sheet6_WLAN!B42="",A80,[4]Sheet6_WLAN!B42)</f>
        <v>Enterprise WLAN APs</v>
      </c>
      <c r="B81" s="270" t="str">
        <f t="shared" si="15"/>
        <v>Enterprise WLAN APs</v>
      </c>
      <c r="C81" s="270" t="str">
        <f t="shared" si="16"/>
        <v>Eastern Europe</v>
      </c>
      <c r="D81" s="525" t="str">
        <f>IF([4]Sheet6_WLAN!A42="","",[4]Sheet6_WLAN!A42)</f>
        <v/>
      </c>
      <c r="E81" s="425" t="str">
        <f>IF([4]Sheet6_WLAN!B42="","",[4]Sheet6_WLAN!B42)</f>
        <v/>
      </c>
      <c r="F81" s="420" t="str">
        <f>IF([4]Sheet6_WLAN!D42 ="","",[4]Sheet6_WLAN!D42)</f>
        <v>Vendor Revenue ($M)</v>
      </c>
      <c r="G81" s="526" t="e">
        <f t="shared" si="22"/>
        <v>#REF!</v>
      </c>
      <c r="H81" s="527" t="e">
        <f t="shared" si="22"/>
        <v>#REF!</v>
      </c>
      <c r="I81" s="527" t="e">
        <f t="shared" si="22"/>
        <v>#REF!</v>
      </c>
      <c r="J81" s="527" t="e">
        <f t="shared" si="22"/>
        <v>#REF!</v>
      </c>
      <c r="K81" s="527" t="e">
        <f t="shared" si="22"/>
        <v>#REF!</v>
      </c>
      <c r="L81" s="527" t="e">
        <f t="shared" si="22"/>
        <v>#REF!</v>
      </c>
      <c r="M81" s="527" t="e">
        <f t="shared" si="22"/>
        <v>#REF!</v>
      </c>
      <c r="N81" s="527" t="e">
        <f t="shared" si="22"/>
        <v>#REF!</v>
      </c>
      <c r="O81" s="531" t="str">
        <f t="shared" si="17"/>
        <v/>
      </c>
      <c r="P81"/>
      <c r="Q81"/>
      <c r="R81"/>
      <c r="S81"/>
    </row>
    <row r="82" spans="1:19" ht="15.75">
      <c r="A82" s="270" t="str">
        <f>IF([4]Sheet6_WLAN!B43="",A81,[4]Sheet6_WLAN!B43)</f>
        <v>Enterprise WLAN APs</v>
      </c>
      <c r="B82" s="270" t="str">
        <f t="shared" si="15"/>
        <v>Enterprise WLAN APs</v>
      </c>
      <c r="C82" s="270" t="str">
        <f t="shared" si="16"/>
        <v>Eastern Europe</v>
      </c>
      <c r="D82" s="525" t="str">
        <f>IF([4]Sheet6_WLAN!A43="","",[4]Sheet6_WLAN!A43)</f>
        <v/>
      </c>
      <c r="E82" s="425" t="str">
        <f>IF([4]Sheet6_WLAN!B43="","",[4]Sheet6_WLAN!B43)</f>
        <v/>
      </c>
      <c r="F82" s="420" t="str">
        <f>IF([4]Sheet6_WLAN!D43 ="","",[4]Sheet6_WLAN!D43)</f>
        <v>Unit Shipments (K)</v>
      </c>
      <c r="G82" s="529" t="e">
        <f t="shared" si="22"/>
        <v>#REF!</v>
      </c>
      <c r="H82" s="510" t="e">
        <f t="shared" si="22"/>
        <v>#REF!</v>
      </c>
      <c r="I82" s="510" t="e">
        <f t="shared" si="22"/>
        <v>#REF!</v>
      </c>
      <c r="J82" s="510" t="e">
        <f t="shared" si="22"/>
        <v>#REF!</v>
      </c>
      <c r="K82" s="510" t="e">
        <f t="shared" si="22"/>
        <v>#REF!</v>
      </c>
      <c r="L82" s="510" t="e">
        <f t="shared" si="22"/>
        <v>#REF!</v>
      </c>
      <c r="M82" s="510" t="e">
        <f t="shared" si="22"/>
        <v>#REF!</v>
      </c>
      <c r="N82" s="510" t="e">
        <f t="shared" si="22"/>
        <v>#REF!</v>
      </c>
      <c r="O82" s="531" t="str">
        <f t="shared" si="17"/>
        <v/>
      </c>
      <c r="P82"/>
      <c r="Q82"/>
      <c r="R82"/>
      <c r="S82"/>
    </row>
    <row r="83" spans="1:19" ht="15.75">
      <c r="A83" s="270" t="str">
        <f>IF([4]Sheet6_WLAN!B44="",A82,[4]Sheet6_WLAN!B44)</f>
        <v>Enterprise WLAN Other</v>
      </c>
      <c r="B83" s="270" t="str">
        <f t="shared" si="15"/>
        <v>Enterprise WLAN Controllers</v>
      </c>
      <c r="C83" s="270" t="str">
        <f t="shared" si="16"/>
        <v>Eastern Europe</v>
      </c>
      <c r="D83" s="525" t="str">
        <f>IF([4]Sheet6_WLAN!A44="","",[4]Sheet6_WLAN!A44)</f>
        <v/>
      </c>
      <c r="E83" s="424" t="str">
        <f>IF([4]Sheet6_WLAN!C44="","",[4]Sheet6_WLAN!C44)</f>
        <v>Enterprise WLAN Controllers</v>
      </c>
      <c r="F83" s="419" t="str">
        <f>IF([4]Sheet6_WLAN!D44 ="","",[4]Sheet6_WLAN!D44)</f>
        <v>End-User Spending ($M)</v>
      </c>
      <c r="G83" s="526" t="e">
        <f t="shared" ref="G83:N88" si="23">IF(OR($A83="",$C83="",$B83=""),"",GETPIVOTDATA(""&amp;$F83&amp;"",ENI_Pivot_WLAN2,"region",$C83,"year",G$60,"Segment3",$A83,"Segment4",$B83))</f>
        <v>#REF!</v>
      </c>
      <c r="H83" s="527" t="e">
        <f t="shared" si="23"/>
        <v>#REF!</v>
      </c>
      <c r="I83" s="527" t="e">
        <f t="shared" si="23"/>
        <v>#REF!</v>
      </c>
      <c r="J83" s="527" t="e">
        <f t="shared" si="23"/>
        <v>#REF!</v>
      </c>
      <c r="K83" s="527" t="e">
        <f t="shared" si="23"/>
        <v>#REF!</v>
      </c>
      <c r="L83" s="527" t="e">
        <f t="shared" si="23"/>
        <v>#REF!</v>
      </c>
      <c r="M83" s="527" t="e">
        <f t="shared" si="23"/>
        <v>#REF!</v>
      </c>
      <c r="N83" s="527" t="e">
        <f t="shared" si="23"/>
        <v>#REF!</v>
      </c>
      <c r="O83" s="530" t="str">
        <f t="shared" si="17"/>
        <v/>
      </c>
      <c r="P83"/>
      <c r="Q83"/>
      <c r="R83"/>
      <c r="S83"/>
    </row>
    <row r="84" spans="1:19" ht="15.75">
      <c r="A84" s="270" t="str">
        <f>IF([4]Sheet6_WLAN!B45="",A83,[4]Sheet6_WLAN!B45)</f>
        <v>Enterprise WLAN Other</v>
      </c>
      <c r="B84" s="270" t="str">
        <f t="shared" si="15"/>
        <v>Enterprise WLAN Controllers</v>
      </c>
      <c r="C84" s="270" t="str">
        <f t="shared" si="16"/>
        <v>Eastern Europe</v>
      </c>
      <c r="D84" s="525" t="str">
        <f>IF([4]Sheet6_WLAN!A45="","",[4]Sheet6_WLAN!A45)</f>
        <v/>
      </c>
      <c r="E84" s="425" t="str">
        <f>IF([4]Sheet6_WLAN!C45="","",[4]Sheet6_WLAN!C45)</f>
        <v/>
      </c>
      <c r="F84" s="420" t="str">
        <f>IF([4]Sheet6_WLAN!D45 ="","",[4]Sheet6_WLAN!D45)</f>
        <v>Vendor Revenue ($M)</v>
      </c>
      <c r="G84" s="526" t="e">
        <f t="shared" si="23"/>
        <v>#REF!</v>
      </c>
      <c r="H84" s="527" t="e">
        <f t="shared" si="23"/>
        <v>#REF!</v>
      </c>
      <c r="I84" s="527" t="e">
        <f t="shared" si="23"/>
        <v>#REF!</v>
      </c>
      <c r="J84" s="527" t="e">
        <f t="shared" si="23"/>
        <v>#REF!</v>
      </c>
      <c r="K84" s="527" t="e">
        <f t="shared" si="23"/>
        <v>#REF!</v>
      </c>
      <c r="L84" s="527" t="e">
        <f t="shared" si="23"/>
        <v>#REF!</v>
      </c>
      <c r="M84" s="527" t="e">
        <f t="shared" si="23"/>
        <v>#REF!</v>
      </c>
      <c r="N84" s="527" t="e">
        <f t="shared" si="23"/>
        <v>#REF!</v>
      </c>
      <c r="O84" s="531" t="str">
        <f t="shared" si="17"/>
        <v/>
      </c>
      <c r="P84"/>
      <c r="Q84"/>
      <c r="R84"/>
      <c r="S84"/>
    </row>
    <row r="85" spans="1:19" ht="15.75">
      <c r="A85" s="270" t="str">
        <f>IF([4]Sheet6_WLAN!B46="",A84,[4]Sheet6_WLAN!B46)</f>
        <v>Enterprise WLAN Other</v>
      </c>
      <c r="B85" s="270" t="str">
        <f t="shared" si="15"/>
        <v>Enterprise WLAN Controllers</v>
      </c>
      <c r="C85" s="270" t="str">
        <f t="shared" si="16"/>
        <v>Eastern Europe</v>
      </c>
      <c r="D85" s="525" t="str">
        <f>IF([4]Sheet6_WLAN!A46="","",[4]Sheet6_WLAN!A46)</f>
        <v/>
      </c>
      <c r="E85" s="412" t="str">
        <f>IF([4]Sheet6_WLAN!C46="","",[4]Sheet6_WLAN!C46)</f>
        <v/>
      </c>
      <c r="F85" s="420" t="str">
        <f>IF([4]Sheet6_WLAN!D46 ="","",[4]Sheet6_WLAN!D46)</f>
        <v>Unit Shipments (K)</v>
      </c>
      <c r="G85" s="526" t="e">
        <f t="shared" si="23"/>
        <v>#REF!</v>
      </c>
      <c r="H85" s="527" t="e">
        <f t="shared" si="23"/>
        <v>#REF!</v>
      </c>
      <c r="I85" s="527" t="e">
        <f t="shared" si="23"/>
        <v>#REF!</v>
      </c>
      <c r="J85" s="527" t="e">
        <f t="shared" si="23"/>
        <v>#REF!</v>
      </c>
      <c r="K85" s="527" t="e">
        <f t="shared" si="23"/>
        <v>#REF!</v>
      </c>
      <c r="L85" s="527" t="e">
        <f t="shared" si="23"/>
        <v>#REF!</v>
      </c>
      <c r="M85" s="527" t="e">
        <f t="shared" si="23"/>
        <v>#REF!</v>
      </c>
      <c r="N85" s="527" t="e">
        <f t="shared" si="23"/>
        <v>#REF!</v>
      </c>
      <c r="O85" s="531" t="str">
        <f t="shared" si="17"/>
        <v/>
      </c>
      <c r="P85"/>
      <c r="Q85"/>
      <c r="R85"/>
      <c r="S85"/>
    </row>
    <row r="86" spans="1:19" ht="15.75">
      <c r="A86" s="270" t="str">
        <f>IF([4]Sheet6_WLAN!B47="",A85,[4]Sheet6_WLAN!B47)</f>
        <v>Enterprise WLAN Other</v>
      </c>
      <c r="B86" s="270" t="str">
        <f t="shared" si="15"/>
        <v xml:space="preserve">Enterprise WLAN Enhancement Products </v>
      </c>
      <c r="C86" s="270" t="str">
        <f t="shared" si="16"/>
        <v>Eastern Europe</v>
      </c>
      <c r="D86" s="525" t="str">
        <f>IF([4]Sheet6_WLAN!A47="","",[4]Sheet6_WLAN!A47)</f>
        <v/>
      </c>
      <c r="E86" s="425" t="str">
        <f>IF([4]Sheet6_WLAN!C47="","",[4]Sheet6_WLAN!C47)</f>
        <v xml:space="preserve">Enterprise WLAN Enhancement Products </v>
      </c>
      <c r="F86" s="419" t="str">
        <f>IF([4]Sheet6_WLAN!D47 ="","",[4]Sheet6_WLAN!D47)</f>
        <v>End-User Spending ($M)</v>
      </c>
      <c r="G86" s="522" t="e">
        <f t="shared" si="23"/>
        <v>#REF!</v>
      </c>
      <c r="H86" s="523" t="e">
        <f t="shared" si="23"/>
        <v>#REF!</v>
      </c>
      <c r="I86" s="523" t="e">
        <f t="shared" si="23"/>
        <v>#REF!</v>
      </c>
      <c r="J86" s="523" t="e">
        <f t="shared" si="23"/>
        <v>#REF!</v>
      </c>
      <c r="K86" s="523" t="e">
        <f t="shared" si="23"/>
        <v>#REF!</v>
      </c>
      <c r="L86" s="523" t="e">
        <f t="shared" si="23"/>
        <v>#REF!</v>
      </c>
      <c r="M86" s="523" t="e">
        <f t="shared" si="23"/>
        <v>#REF!</v>
      </c>
      <c r="N86" s="523" t="e">
        <f t="shared" si="23"/>
        <v>#REF!</v>
      </c>
      <c r="O86" s="530" t="str">
        <f t="shared" si="17"/>
        <v/>
      </c>
      <c r="P86"/>
      <c r="Q86"/>
      <c r="R86"/>
      <c r="S86"/>
    </row>
    <row r="87" spans="1:19" ht="15.75">
      <c r="A87" s="270" t="str">
        <f>IF([4]Sheet6_WLAN!B48="",A86,[4]Sheet6_WLAN!B48)</f>
        <v>Enterprise WLAN Other</v>
      </c>
      <c r="B87" s="270" t="str">
        <f t="shared" si="15"/>
        <v xml:space="preserve">Enterprise WLAN Enhancement Products </v>
      </c>
      <c r="C87" s="270" t="str">
        <f t="shared" si="16"/>
        <v>Eastern Europe</v>
      </c>
      <c r="D87" s="525" t="str">
        <f>IF([4]Sheet6_WLAN!A48="","",[4]Sheet6_WLAN!A48)</f>
        <v/>
      </c>
      <c r="E87" s="425" t="str">
        <f>IF([4]Sheet6_WLAN!C48="","",[4]Sheet6_WLAN!C48)</f>
        <v/>
      </c>
      <c r="F87" s="420" t="str">
        <f>IF([4]Sheet6_WLAN!D48 ="","",[4]Sheet6_WLAN!D48)</f>
        <v>Vendor Revenue ($M)</v>
      </c>
      <c r="G87" s="529" t="e">
        <f t="shared" si="23"/>
        <v>#REF!</v>
      </c>
      <c r="H87" s="510" t="e">
        <f t="shared" si="23"/>
        <v>#REF!</v>
      </c>
      <c r="I87" s="510" t="e">
        <f t="shared" si="23"/>
        <v>#REF!</v>
      </c>
      <c r="J87" s="510" t="e">
        <f t="shared" si="23"/>
        <v>#REF!</v>
      </c>
      <c r="K87" s="510" t="e">
        <f t="shared" si="23"/>
        <v>#REF!</v>
      </c>
      <c r="L87" s="510" t="e">
        <f t="shared" si="23"/>
        <v>#REF!</v>
      </c>
      <c r="M87" s="510" t="e">
        <f t="shared" si="23"/>
        <v>#REF!</v>
      </c>
      <c r="N87" s="510" t="e">
        <f t="shared" si="23"/>
        <v>#REF!</v>
      </c>
      <c r="O87" s="531" t="str">
        <f t="shared" si="17"/>
        <v/>
      </c>
      <c r="P87"/>
      <c r="Q87"/>
      <c r="R87"/>
      <c r="S87"/>
    </row>
    <row r="88" spans="1:19" ht="15.75" hidden="1">
      <c r="A88" s="270" t="str">
        <f>IF([4]Sheet6_WLAN!B49="",A87,[4]Sheet6_WLAN!B49)</f>
        <v>Enterprise WLAN Other</v>
      </c>
      <c r="B88" s="270" t="str">
        <f t="shared" si="15"/>
        <v xml:space="preserve">Enterprise WLAN Enhancement Products </v>
      </c>
      <c r="C88" s="270" t="str">
        <f t="shared" si="16"/>
        <v>Eastern Europe</v>
      </c>
      <c r="D88" s="525" t="str">
        <f>IF([4]Sheet6_WLAN!A49="","",[4]Sheet6_WLAN!A49)</f>
        <v/>
      </c>
      <c r="E88" s="425" t="str">
        <f>IF([4]Sheet6_WLAN!C49="","",[4]Sheet6_WLAN!C49)</f>
        <v/>
      </c>
      <c r="F88" s="420" t="str">
        <f>IF([4]Sheet6_WLAN!D49 ="","",[4]Sheet6_WLAN!D49)</f>
        <v>Unit Shipments (K)</v>
      </c>
      <c r="G88" s="529" t="e">
        <f t="shared" si="23"/>
        <v>#REF!</v>
      </c>
      <c r="H88" s="510" t="e">
        <f t="shared" si="23"/>
        <v>#REF!</v>
      </c>
      <c r="I88" s="510" t="e">
        <f t="shared" si="23"/>
        <v>#REF!</v>
      </c>
      <c r="J88" s="510" t="e">
        <f t="shared" si="23"/>
        <v>#REF!</v>
      </c>
      <c r="K88" s="510" t="e">
        <f t="shared" si="23"/>
        <v>#REF!</v>
      </c>
      <c r="L88" s="510" t="e">
        <f t="shared" si="23"/>
        <v>#REF!</v>
      </c>
      <c r="M88" s="510" t="e">
        <f t="shared" si="23"/>
        <v>#REF!</v>
      </c>
      <c r="N88" s="510" t="e">
        <f t="shared" si="23"/>
        <v>#REF!</v>
      </c>
      <c r="O88" s="531" t="str">
        <f t="shared" si="17"/>
        <v/>
      </c>
      <c r="P88"/>
      <c r="Q88"/>
      <c r="R88"/>
      <c r="S88"/>
    </row>
    <row r="89" spans="1:19" ht="15.75">
      <c r="A89" s="270" t="str">
        <f>IF([4]Sheet6_WLAN!B50="",A88,[4]Sheet6_WLAN!B50)</f>
        <v>Enterprise WLAN Other</v>
      </c>
      <c r="B89" s="270" t="str">
        <f t="shared" si="15"/>
        <v xml:space="preserve">Enterprise WLAN Enhancement Products </v>
      </c>
      <c r="C89" s="270" t="str">
        <f t="shared" si="16"/>
        <v>Eastern Europe End-User Spending ($M)</v>
      </c>
      <c r="D89" s="535" t="str">
        <f>IF([4]Sheet6_WLAN!A50="","",[4]Sheet6_WLAN!A50)</f>
        <v>Eastern Europe End-User Spending ($M)</v>
      </c>
      <c r="E89" s="419" t="str">
        <f>IF([4]Sheet6_WLAN!B50="","",[4]Sheet6_WLAN!B50)</f>
        <v/>
      </c>
      <c r="F89" s="419" t="str">
        <f>IF([4]Sheet6_WLAN!D50 ="","",[4]Sheet6_WLAN!D50)</f>
        <v/>
      </c>
      <c r="G89" s="510" t="e">
        <f t="shared" ref="G89:N89" si="24">GETPIVOTDATA(""&amp;$F86&amp;"",ENI_Pivot_WLAN2,"region",$C86,"year",G$60)</f>
        <v>#REF!</v>
      </c>
      <c r="H89" s="510" t="e">
        <f t="shared" si="24"/>
        <v>#REF!</v>
      </c>
      <c r="I89" s="510" t="e">
        <f t="shared" si="24"/>
        <v>#REF!</v>
      </c>
      <c r="J89" s="510" t="e">
        <f t="shared" si="24"/>
        <v>#REF!</v>
      </c>
      <c r="K89" s="510" t="e">
        <f t="shared" si="24"/>
        <v>#REF!</v>
      </c>
      <c r="L89" s="510" t="e">
        <f t="shared" si="24"/>
        <v>#REF!</v>
      </c>
      <c r="M89" s="510" t="e">
        <f t="shared" si="24"/>
        <v>#REF!</v>
      </c>
      <c r="N89" s="510" t="e">
        <f t="shared" si="24"/>
        <v>#REF!</v>
      </c>
      <c r="O89" s="536" t="str">
        <f t="shared" si="17"/>
        <v/>
      </c>
      <c r="P89"/>
      <c r="Q89"/>
      <c r="R89"/>
      <c r="S89"/>
    </row>
    <row r="90" spans="1:19" ht="15.75">
      <c r="A90" s="270" t="str">
        <f>IF([4]Sheet6_WLAN!B51="",A89,[4]Sheet6_WLAN!B51)</f>
        <v>Enterprise WLAN Other</v>
      </c>
      <c r="B90" s="270" t="str">
        <f t="shared" si="15"/>
        <v xml:space="preserve">Enterprise WLAN Enhancement Products </v>
      </c>
      <c r="C90" s="270" t="str">
        <f t="shared" si="16"/>
        <v>Eastern Europe Vendor Revenue ($M)</v>
      </c>
      <c r="D90" s="534" t="str">
        <f>IF([4]Sheet6_WLAN!A51="","",[4]Sheet6_WLAN!A51)</f>
        <v>Eastern Europe Vendor Revenue ($M)</v>
      </c>
      <c r="E90" s="504" t="str">
        <f>IF([4]Sheet6_WLAN!B51="","",[4]Sheet6_WLAN!B51)</f>
        <v/>
      </c>
      <c r="F90" s="504" t="str">
        <f>IF([4]Sheet6_WLAN!D51 ="","",[4]Sheet6_WLAN!D51)</f>
        <v/>
      </c>
      <c r="G90" s="510" t="e">
        <f t="shared" ref="G90:N90" si="25">GETPIVOTDATA(""&amp;$F87&amp;"",ENI_Pivot_WLAN2,"region",$C87,"year",G$60)</f>
        <v>#REF!</v>
      </c>
      <c r="H90" s="510" t="e">
        <f t="shared" si="25"/>
        <v>#REF!</v>
      </c>
      <c r="I90" s="510" t="e">
        <f t="shared" si="25"/>
        <v>#REF!</v>
      </c>
      <c r="J90" s="510" t="e">
        <f t="shared" si="25"/>
        <v>#REF!</v>
      </c>
      <c r="K90" s="510" t="e">
        <f t="shared" si="25"/>
        <v>#REF!</v>
      </c>
      <c r="L90" s="510" t="e">
        <f t="shared" si="25"/>
        <v>#REF!</v>
      </c>
      <c r="M90" s="510" t="e">
        <f t="shared" si="25"/>
        <v>#REF!</v>
      </c>
      <c r="N90" s="510" t="e">
        <f t="shared" si="25"/>
        <v>#REF!</v>
      </c>
      <c r="O90" s="530" t="str">
        <f t="shared" si="17"/>
        <v/>
      </c>
      <c r="P90"/>
      <c r="Q90"/>
      <c r="R90"/>
      <c r="S90"/>
    </row>
    <row r="91" spans="1:19" ht="15.75" hidden="1">
      <c r="A91" s="270" t="str">
        <f>IF([4]Sheet6_WLAN!B52="",A90,[4]Sheet6_WLAN!B52)</f>
        <v>Enterprise WLAN Other</v>
      </c>
      <c r="B91" s="270" t="str">
        <f t="shared" si="15"/>
        <v xml:space="preserve">Enterprise WLAN Enhancement Products </v>
      </c>
      <c r="C91" s="270" t="str">
        <f t="shared" si="16"/>
        <v>Eastern Europe Unit Shipments (K)</v>
      </c>
      <c r="D91" s="308" t="str">
        <f>IF([4]Sheet6_WLAN!A52="","",[4]Sheet6_WLAN!A52)</f>
        <v>Eastern Europe Unit Shipments (K)</v>
      </c>
      <c r="E91" s="420" t="str">
        <f>IF([4]Sheet6_WLAN!B52="","",[4]Sheet6_WLAN!B52)</f>
        <v/>
      </c>
      <c r="F91" s="420" t="str">
        <f>IF([4]Sheet6_WLAN!D52 ="","",[4]Sheet6_WLAN!D52)</f>
        <v/>
      </c>
      <c r="G91" s="510" t="e">
        <f t="shared" ref="G91:N91" si="26">GETPIVOTDATA(""&amp;$F88&amp;"",ENI_Pivot_WLAN2,"region",$C88,"year",G$60)</f>
        <v>#REF!</v>
      </c>
      <c r="H91" s="510" t="e">
        <f t="shared" si="26"/>
        <v>#REF!</v>
      </c>
      <c r="I91" s="510" t="e">
        <f t="shared" si="26"/>
        <v>#REF!</v>
      </c>
      <c r="J91" s="510" t="e">
        <f t="shared" si="26"/>
        <v>#REF!</v>
      </c>
      <c r="K91" s="510" t="e">
        <f t="shared" si="26"/>
        <v>#REF!</v>
      </c>
      <c r="L91" s="510" t="e">
        <f t="shared" si="26"/>
        <v>#REF!</v>
      </c>
      <c r="M91" s="510" t="e">
        <f t="shared" si="26"/>
        <v>#REF!</v>
      </c>
      <c r="N91" s="510" t="e">
        <f t="shared" si="26"/>
        <v>#REF!</v>
      </c>
      <c r="O91" s="531" t="str">
        <f t="shared" si="17"/>
        <v/>
      </c>
      <c r="P91"/>
      <c r="Q91"/>
      <c r="R91"/>
      <c r="S91"/>
    </row>
    <row r="92" spans="1:19" ht="15.75">
      <c r="A92" s="270" t="str">
        <f>IF([4]Sheet6_WLAN!B53="",A91,[4]Sheet6_WLAN!B53)</f>
        <v>Small-Business WLAN APs</v>
      </c>
      <c r="B92" s="270" t="str">
        <f t="shared" si="15"/>
        <v>Small-Business WLAN APs</v>
      </c>
      <c r="C92" s="270" t="str">
        <f t="shared" si="16"/>
        <v>Japan</v>
      </c>
      <c r="D92" s="535" t="str">
        <f>IF([4]Sheet6_WLAN!A53="","",[4]Sheet6_WLAN!A53)</f>
        <v>Japan</v>
      </c>
      <c r="E92" s="398" t="str">
        <f>IF([4]Sheet6_WLAN!B53="","",[4]Sheet6_WLAN!B53)</f>
        <v>Small-Business WLAN APs</v>
      </c>
      <c r="F92" s="398" t="str">
        <f>IF([4]Sheet6_WLAN!D53 ="","",[4]Sheet6_WLAN!D53)</f>
        <v>End-User Spending ($M)</v>
      </c>
      <c r="G92" s="522" t="e">
        <f t="shared" ref="G92:N97" si="27">IF(OR($C92="",$A92=""),"",GETPIVOTDATA(""&amp;$F92&amp;"",ENI_Pivot_WLAN2,"region",$C92,"year",G$60,"Segment3",$A92))</f>
        <v>#REF!</v>
      </c>
      <c r="H92" s="523" t="e">
        <f t="shared" si="27"/>
        <v>#REF!</v>
      </c>
      <c r="I92" s="523" t="e">
        <f t="shared" si="27"/>
        <v>#REF!</v>
      </c>
      <c r="J92" s="523" t="e">
        <f t="shared" si="27"/>
        <v>#REF!</v>
      </c>
      <c r="K92" s="523" t="e">
        <f t="shared" si="27"/>
        <v>#REF!</v>
      </c>
      <c r="L92" s="523" t="e">
        <f t="shared" si="27"/>
        <v>#REF!</v>
      </c>
      <c r="M92" s="523" t="e">
        <f t="shared" si="27"/>
        <v>#REF!</v>
      </c>
      <c r="N92" s="523" t="e">
        <f t="shared" si="27"/>
        <v>#REF!</v>
      </c>
      <c r="O92" s="530" t="str">
        <f t="shared" si="17"/>
        <v/>
      </c>
      <c r="P92"/>
      <c r="Q92"/>
      <c r="R92"/>
      <c r="S92"/>
    </row>
    <row r="93" spans="1:19" ht="15.75">
      <c r="A93" s="270" t="str">
        <f>IF([4]Sheet6_WLAN!B54="",A92,[4]Sheet6_WLAN!B54)</f>
        <v>Small-Business WLAN APs</v>
      </c>
      <c r="B93" s="270" t="str">
        <f t="shared" si="15"/>
        <v>Small-Business WLAN APs</v>
      </c>
      <c r="C93" s="270" t="str">
        <f t="shared" si="16"/>
        <v>Japan</v>
      </c>
      <c r="D93" s="533" t="str">
        <f>IF([4]Sheet6_WLAN!A54="","",[4]Sheet6_WLAN!A54)</f>
        <v/>
      </c>
      <c r="E93" s="403" t="str">
        <f>IF([4]Sheet6_WLAN!B54="","",[4]Sheet6_WLAN!B54)</f>
        <v/>
      </c>
      <c r="F93" s="403" t="str">
        <f>IF([4]Sheet6_WLAN!D54 ="","",[4]Sheet6_WLAN!D54)</f>
        <v>Vendor Revenue ($M)</v>
      </c>
      <c r="G93" s="526" t="e">
        <f t="shared" si="27"/>
        <v>#REF!</v>
      </c>
      <c r="H93" s="527" t="e">
        <f t="shared" si="27"/>
        <v>#REF!</v>
      </c>
      <c r="I93" s="527" t="e">
        <f t="shared" si="27"/>
        <v>#REF!</v>
      </c>
      <c r="J93" s="527" t="e">
        <f t="shared" si="27"/>
        <v>#REF!</v>
      </c>
      <c r="K93" s="527" t="e">
        <f t="shared" si="27"/>
        <v>#REF!</v>
      </c>
      <c r="L93" s="527" t="e">
        <f t="shared" si="27"/>
        <v>#REF!</v>
      </c>
      <c r="M93" s="527" t="e">
        <f t="shared" si="27"/>
        <v>#REF!</v>
      </c>
      <c r="N93" s="527" t="e">
        <f t="shared" si="27"/>
        <v>#REF!</v>
      </c>
      <c r="O93" s="531" t="str">
        <f t="shared" si="17"/>
        <v/>
      </c>
      <c r="P93"/>
      <c r="Q93"/>
      <c r="R93"/>
      <c r="S93"/>
    </row>
    <row r="94" spans="1:19" ht="15.75">
      <c r="A94" s="270" t="str">
        <f>IF([4]Sheet6_WLAN!B55="",A93,[4]Sheet6_WLAN!B55)</f>
        <v>Small-Business WLAN APs</v>
      </c>
      <c r="B94" s="270" t="str">
        <f t="shared" si="15"/>
        <v>Small-Business WLAN APs</v>
      </c>
      <c r="C94" s="270" t="str">
        <f t="shared" si="16"/>
        <v>Japan</v>
      </c>
      <c r="D94" s="533" t="str">
        <f>IF([4]Sheet6_WLAN!A55="","",[4]Sheet6_WLAN!A55)</f>
        <v/>
      </c>
      <c r="E94" s="412" t="str">
        <f>IF([4]Sheet6_WLAN!B55="","",[4]Sheet6_WLAN!B55)</f>
        <v/>
      </c>
      <c r="F94" s="403" t="str">
        <f>IF([4]Sheet6_WLAN!D55 ="","",[4]Sheet6_WLAN!D55)</f>
        <v>Unit Shipments (K)</v>
      </c>
      <c r="G94" s="526" t="e">
        <f t="shared" si="27"/>
        <v>#REF!</v>
      </c>
      <c r="H94" s="527" t="e">
        <f t="shared" si="27"/>
        <v>#REF!</v>
      </c>
      <c r="I94" s="527" t="e">
        <f t="shared" si="27"/>
        <v>#REF!</v>
      </c>
      <c r="J94" s="527" t="e">
        <f t="shared" si="27"/>
        <v>#REF!</v>
      </c>
      <c r="K94" s="527" t="e">
        <f t="shared" si="27"/>
        <v>#REF!</v>
      </c>
      <c r="L94" s="527" t="e">
        <f t="shared" si="27"/>
        <v>#REF!</v>
      </c>
      <c r="M94" s="527" t="e">
        <f t="shared" si="27"/>
        <v>#REF!</v>
      </c>
      <c r="N94" s="527" t="e">
        <f t="shared" si="27"/>
        <v>#REF!</v>
      </c>
      <c r="O94" s="531" t="str">
        <f t="shared" si="17"/>
        <v/>
      </c>
      <c r="P94"/>
      <c r="Q94"/>
      <c r="R94"/>
      <c r="S94"/>
    </row>
    <row r="95" spans="1:19" ht="15.75">
      <c r="A95" s="270" t="str">
        <f>IF([4]Sheet6_WLAN!B56="",A94,[4]Sheet6_WLAN!B56)</f>
        <v>Enterprise WLAN APs</v>
      </c>
      <c r="B95" s="270" t="str">
        <f t="shared" si="15"/>
        <v>Enterprise WLAN APs</v>
      </c>
      <c r="C95" s="270" t="str">
        <f t="shared" si="16"/>
        <v>Japan</v>
      </c>
      <c r="D95" s="533" t="str">
        <f>IF([4]Sheet6_WLAN!A56="","",[4]Sheet6_WLAN!A56)</f>
        <v/>
      </c>
      <c r="E95" s="403" t="str">
        <f>IF([4]Sheet6_WLAN!B56="","",[4]Sheet6_WLAN!B56)</f>
        <v>Enterprise WLAN APs</v>
      </c>
      <c r="F95" s="398" t="str">
        <f>IF([4]Sheet6_WLAN!D56 ="","",[4]Sheet6_WLAN!D56)</f>
        <v>End-User Spending ($M)</v>
      </c>
      <c r="G95" s="522" t="e">
        <f t="shared" si="27"/>
        <v>#REF!</v>
      </c>
      <c r="H95" s="523" t="e">
        <f t="shared" si="27"/>
        <v>#REF!</v>
      </c>
      <c r="I95" s="523" t="e">
        <f t="shared" si="27"/>
        <v>#REF!</v>
      </c>
      <c r="J95" s="523" t="e">
        <f t="shared" si="27"/>
        <v>#REF!</v>
      </c>
      <c r="K95" s="523" t="e">
        <f t="shared" si="27"/>
        <v>#REF!</v>
      </c>
      <c r="L95" s="523" t="e">
        <f t="shared" si="27"/>
        <v>#REF!</v>
      </c>
      <c r="M95" s="523" t="e">
        <f t="shared" si="27"/>
        <v>#REF!</v>
      </c>
      <c r="N95" s="523" t="e">
        <f t="shared" si="27"/>
        <v>#REF!</v>
      </c>
      <c r="O95" s="530" t="str">
        <f t="shared" si="17"/>
        <v/>
      </c>
      <c r="P95"/>
      <c r="Q95"/>
      <c r="R95"/>
      <c r="S95"/>
    </row>
    <row r="96" spans="1:19" ht="15.75">
      <c r="A96" s="270" t="str">
        <f>IF([4]Sheet6_WLAN!B57="",A95,[4]Sheet6_WLAN!B57)</f>
        <v>Enterprise WLAN APs</v>
      </c>
      <c r="B96" s="270" t="str">
        <f t="shared" si="15"/>
        <v>Enterprise WLAN APs</v>
      </c>
      <c r="C96" s="270" t="str">
        <f t="shared" si="16"/>
        <v>Japan</v>
      </c>
      <c r="D96" s="533" t="str">
        <f>IF([4]Sheet6_WLAN!A57="","",[4]Sheet6_WLAN!A57)</f>
        <v/>
      </c>
      <c r="E96" s="403" t="str">
        <f>IF([4]Sheet6_WLAN!B57="","",[4]Sheet6_WLAN!B57)</f>
        <v/>
      </c>
      <c r="F96" s="403" t="str">
        <f>IF([4]Sheet6_WLAN!D57 ="","",[4]Sheet6_WLAN!D57)</f>
        <v>Vendor Revenue ($M)</v>
      </c>
      <c r="G96" s="526" t="e">
        <f t="shared" si="27"/>
        <v>#REF!</v>
      </c>
      <c r="H96" s="527" t="e">
        <f t="shared" si="27"/>
        <v>#REF!</v>
      </c>
      <c r="I96" s="527" t="e">
        <f t="shared" si="27"/>
        <v>#REF!</v>
      </c>
      <c r="J96" s="527" t="e">
        <f t="shared" si="27"/>
        <v>#REF!</v>
      </c>
      <c r="K96" s="527" t="e">
        <f t="shared" si="27"/>
        <v>#REF!</v>
      </c>
      <c r="L96" s="527" t="e">
        <f t="shared" si="27"/>
        <v>#REF!</v>
      </c>
      <c r="M96" s="527" t="e">
        <f t="shared" si="27"/>
        <v>#REF!</v>
      </c>
      <c r="N96" s="527" t="e">
        <f t="shared" si="27"/>
        <v>#REF!</v>
      </c>
      <c r="O96" s="531" t="str">
        <f t="shared" si="17"/>
        <v/>
      </c>
      <c r="P96"/>
      <c r="Q96"/>
      <c r="R96"/>
      <c r="S96"/>
    </row>
    <row r="97" spans="1:31" ht="15.75">
      <c r="A97" s="270" t="str">
        <f>IF([4]Sheet6_WLAN!B58="",A96,[4]Sheet6_WLAN!B58)</f>
        <v>Enterprise WLAN APs</v>
      </c>
      <c r="B97" s="270" t="str">
        <f t="shared" si="15"/>
        <v>Enterprise WLAN APs</v>
      </c>
      <c r="C97" s="270" t="str">
        <f t="shared" si="16"/>
        <v>Japan</v>
      </c>
      <c r="D97" s="533" t="str">
        <f>IF([4]Sheet6_WLAN!A58="","",[4]Sheet6_WLAN!A58)</f>
        <v/>
      </c>
      <c r="E97" s="403" t="str">
        <f>IF([4]Sheet6_WLAN!B58="","",[4]Sheet6_WLAN!B58)</f>
        <v/>
      </c>
      <c r="F97" s="403" t="str">
        <f>IF([4]Sheet6_WLAN!D58 ="","",[4]Sheet6_WLAN!D58)</f>
        <v>Unit Shipments (K)</v>
      </c>
      <c r="G97" s="529" t="e">
        <f t="shared" si="27"/>
        <v>#REF!</v>
      </c>
      <c r="H97" s="510" t="e">
        <f t="shared" si="27"/>
        <v>#REF!</v>
      </c>
      <c r="I97" s="510" t="e">
        <f t="shared" si="27"/>
        <v>#REF!</v>
      </c>
      <c r="J97" s="510" t="e">
        <f t="shared" si="27"/>
        <v>#REF!</v>
      </c>
      <c r="K97" s="510" t="e">
        <f t="shared" si="27"/>
        <v>#REF!</v>
      </c>
      <c r="L97" s="510" t="e">
        <f t="shared" si="27"/>
        <v>#REF!</v>
      </c>
      <c r="M97" s="510" t="e">
        <f t="shared" si="27"/>
        <v>#REF!</v>
      </c>
      <c r="N97" s="510" t="e">
        <f t="shared" si="27"/>
        <v>#REF!</v>
      </c>
      <c r="O97" s="531" t="str">
        <f t="shared" si="17"/>
        <v/>
      </c>
      <c r="P97"/>
      <c r="Q97"/>
      <c r="R97"/>
      <c r="S97"/>
    </row>
    <row r="98" spans="1:31" ht="15.75">
      <c r="A98" s="270" t="str">
        <f>IF([4]Sheet6_WLAN!B59="",A97,[4]Sheet6_WLAN!B59)</f>
        <v>Enterprise WLAN Other</v>
      </c>
      <c r="B98" s="270" t="str">
        <f t="shared" si="15"/>
        <v>Enterprise WLAN Controllers</v>
      </c>
      <c r="C98" s="270" t="str">
        <f t="shared" si="16"/>
        <v>Japan</v>
      </c>
      <c r="D98" s="533" t="str">
        <f>IF([4]Sheet6_WLAN!A59="","",[4]Sheet6_WLAN!A59)</f>
        <v/>
      </c>
      <c r="E98" s="398" t="str">
        <f>IF([4]Sheet6_WLAN!C59="","",[4]Sheet6_WLAN!C59)</f>
        <v>Enterprise WLAN Controllers</v>
      </c>
      <c r="F98" s="399" t="str">
        <f>IF([4]Sheet6_WLAN!D59 ="","",[4]Sheet6_WLAN!D59)</f>
        <v>End-User Spending ($M)</v>
      </c>
      <c r="G98" s="526" t="e">
        <f t="shared" ref="G98:N103" si="28">IF(OR($A98="",$C98="",$B98=""),"",GETPIVOTDATA(""&amp;$F98&amp;"",ENI_Pivot_WLAN2,"region",$C98,"year",G$60,"Segment3",$A98,"Segment4",$B98))</f>
        <v>#REF!</v>
      </c>
      <c r="H98" s="527" t="e">
        <f t="shared" si="28"/>
        <v>#REF!</v>
      </c>
      <c r="I98" s="527" t="e">
        <f t="shared" si="28"/>
        <v>#REF!</v>
      </c>
      <c r="J98" s="527" t="e">
        <f t="shared" si="28"/>
        <v>#REF!</v>
      </c>
      <c r="K98" s="527" t="e">
        <f t="shared" si="28"/>
        <v>#REF!</v>
      </c>
      <c r="L98" s="527" t="e">
        <f t="shared" si="28"/>
        <v>#REF!</v>
      </c>
      <c r="M98" s="527" t="e">
        <f t="shared" si="28"/>
        <v>#REF!</v>
      </c>
      <c r="N98" s="527" t="e">
        <f t="shared" si="28"/>
        <v>#REF!</v>
      </c>
      <c r="O98" s="530" t="str">
        <f t="shared" si="17"/>
        <v/>
      </c>
      <c r="P98"/>
      <c r="Q98"/>
      <c r="R98"/>
      <c r="S98"/>
    </row>
    <row r="99" spans="1:31" ht="15.75">
      <c r="A99" s="270" t="str">
        <f>IF([4]Sheet6_WLAN!B60="",A98,[4]Sheet6_WLAN!B60)</f>
        <v>Enterprise WLAN Other</v>
      </c>
      <c r="B99" s="270" t="str">
        <f t="shared" si="15"/>
        <v>Enterprise WLAN Controllers</v>
      </c>
      <c r="C99" s="270" t="str">
        <f t="shared" si="16"/>
        <v>Japan</v>
      </c>
      <c r="D99" s="533" t="str">
        <f>IF([4]Sheet6_WLAN!A60="","",[4]Sheet6_WLAN!A60)</f>
        <v/>
      </c>
      <c r="E99" s="403" t="str">
        <f>IF([4]Sheet6_WLAN!C60="","",[4]Sheet6_WLAN!C60)</f>
        <v/>
      </c>
      <c r="F99" s="404" t="str">
        <f>IF([4]Sheet6_WLAN!D60 ="","",[4]Sheet6_WLAN!D60)</f>
        <v>Vendor Revenue ($M)</v>
      </c>
      <c r="G99" s="526" t="e">
        <f t="shared" si="28"/>
        <v>#REF!</v>
      </c>
      <c r="H99" s="527" t="e">
        <f t="shared" si="28"/>
        <v>#REF!</v>
      </c>
      <c r="I99" s="527" t="e">
        <f t="shared" si="28"/>
        <v>#REF!</v>
      </c>
      <c r="J99" s="527" t="e">
        <f t="shared" si="28"/>
        <v>#REF!</v>
      </c>
      <c r="K99" s="527" t="e">
        <f t="shared" si="28"/>
        <v>#REF!</v>
      </c>
      <c r="L99" s="527" t="e">
        <f t="shared" si="28"/>
        <v>#REF!</v>
      </c>
      <c r="M99" s="527" t="e">
        <f t="shared" si="28"/>
        <v>#REF!</v>
      </c>
      <c r="N99" s="527" t="e">
        <f t="shared" si="28"/>
        <v>#REF!</v>
      </c>
      <c r="O99" s="531" t="str">
        <f t="shared" si="17"/>
        <v/>
      </c>
      <c r="P99"/>
      <c r="Q99"/>
      <c r="R99"/>
      <c r="S99"/>
    </row>
    <row r="100" spans="1:31" ht="15.75">
      <c r="A100" s="270" t="str">
        <f>IF([4]Sheet6_WLAN!B61="",A99,[4]Sheet6_WLAN!B61)</f>
        <v>Enterprise WLAN Other</v>
      </c>
      <c r="B100" s="270" t="str">
        <f t="shared" si="15"/>
        <v>Enterprise WLAN Controllers</v>
      </c>
      <c r="C100" s="270" t="str">
        <f t="shared" si="16"/>
        <v>Japan</v>
      </c>
      <c r="D100" s="533" t="str">
        <f>IF([4]Sheet6_WLAN!A61="","",[4]Sheet6_WLAN!A61)</f>
        <v/>
      </c>
      <c r="E100" s="403" t="str">
        <f>IF([4]Sheet6_WLAN!C61="","",[4]Sheet6_WLAN!C61)</f>
        <v/>
      </c>
      <c r="F100" s="404" t="str">
        <f>IF([4]Sheet6_WLAN!D61 ="","",[4]Sheet6_WLAN!D61)</f>
        <v>Unit Shipments (K)</v>
      </c>
      <c r="G100" s="526" t="e">
        <f t="shared" si="28"/>
        <v>#REF!</v>
      </c>
      <c r="H100" s="527" t="e">
        <f t="shared" si="28"/>
        <v>#REF!</v>
      </c>
      <c r="I100" s="527" t="e">
        <f t="shared" si="28"/>
        <v>#REF!</v>
      </c>
      <c r="J100" s="527" t="e">
        <f t="shared" si="28"/>
        <v>#REF!</v>
      </c>
      <c r="K100" s="527" t="e">
        <f t="shared" si="28"/>
        <v>#REF!</v>
      </c>
      <c r="L100" s="527" t="e">
        <f t="shared" si="28"/>
        <v>#REF!</v>
      </c>
      <c r="M100" s="527" t="e">
        <f t="shared" si="28"/>
        <v>#REF!</v>
      </c>
      <c r="N100" s="527" t="e">
        <f t="shared" si="28"/>
        <v>#REF!</v>
      </c>
      <c r="O100" s="531" t="str">
        <f t="shared" si="17"/>
        <v/>
      </c>
      <c r="P100"/>
      <c r="Q100"/>
      <c r="R100"/>
      <c r="S100"/>
    </row>
    <row r="101" spans="1:31" ht="15.75">
      <c r="A101" s="270" t="str">
        <f>IF([4]Sheet6_WLAN!B62="",A100,[4]Sheet6_WLAN!B62)</f>
        <v>Enterprise WLAN Other</v>
      </c>
      <c r="B101" s="270" t="str">
        <f t="shared" si="15"/>
        <v xml:space="preserve">Enterprise WLAN Enhancement Products </v>
      </c>
      <c r="C101" s="270" t="str">
        <f t="shared" si="16"/>
        <v>Japan</v>
      </c>
      <c r="D101" s="533" t="str">
        <f>IF([4]Sheet6_WLAN!A62="","",[4]Sheet6_WLAN!A62)</f>
        <v/>
      </c>
      <c r="E101" s="399" t="str">
        <f>IF([4]Sheet6_WLAN!C62="","",[4]Sheet6_WLAN!C62)</f>
        <v xml:space="preserve">Enterprise WLAN Enhancement Products </v>
      </c>
      <c r="F101" s="419" t="str">
        <f>IF([4]Sheet6_WLAN!D62 ="","",[4]Sheet6_WLAN!D62)</f>
        <v>End-User Spending ($M)</v>
      </c>
      <c r="G101" s="522" t="e">
        <f t="shared" si="28"/>
        <v>#REF!</v>
      </c>
      <c r="H101" s="523" t="e">
        <f t="shared" si="28"/>
        <v>#REF!</v>
      </c>
      <c r="I101" s="523" t="e">
        <f t="shared" si="28"/>
        <v>#REF!</v>
      </c>
      <c r="J101" s="523" t="e">
        <f t="shared" si="28"/>
        <v>#REF!</v>
      </c>
      <c r="K101" s="523" t="e">
        <f t="shared" si="28"/>
        <v>#REF!</v>
      </c>
      <c r="L101" s="523" t="e">
        <f t="shared" si="28"/>
        <v>#REF!</v>
      </c>
      <c r="M101" s="523" t="e">
        <f t="shared" si="28"/>
        <v>#REF!</v>
      </c>
      <c r="N101" s="523" t="e">
        <f t="shared" si="28"/>
        <v>#REF!</v>
      </c>
      <c r="O101" s="530" t="str">
        <f t="shared" si="17"/>
        <v/>
      </c>
      <c r="P101"/>
      <c r="Q101"/>
      <c r="R101"/>
      <c r="S101"/>
    </row>
    <row r="102" spans="1:31" ht="15.75">
      <c r="A102" s="270" t="str">
        <f>IF([4]Sheet6_WLAN!B63="",A101,[4]Sheet6_WLAN!B63)</f>
        <v>Enterprise WLAN Other</v>
      </c>
      <c r="B102" s="270" t="str">
        <f t="shared" si="15"/>
        <v xml:space="preserve">Enterprise WLAN Enhancement Products </v>
      </c>
      <c r="C102" s="270" t="str">
        <f t="shared" si="16"/>
        <v>Japan</v>
      </c>
      <c r="D102" s="533" t="str">
        <f>IF([4]Sheet6_WLAN!A63="","",[4]Sheet6_WLAN!A63)</f>
        <v/>
      </c>
      <c r="E102" s="412" t="str">
        <f>IF([4]Sheet6_WLAN!C63="","",[4]Sheet6_WLAN!C63)</f>
        <v/>
      </c>
      <c r="F102" s="426" t="str">
        <f>IF([4]Sheet6_WLAN!D63 ="","",[4]Sheet6_WLAN!D63)</f>
        <v>Vendor Revenue ($M)</v>
      </c>
      <c r="G102" s="529" t="e">
        <f t="shared" si="28"/>
        <v>#REF!</v>
      </c>
      <c r="H102" s="510" t="e">
        <f t="shared" si="28"/>
        <v>#REF!</v>
      </c>
      <c r="I102" s="510" t="e">
        <f t="shared" si="28"/>
        <v>#REF!</v>
      </c>
      <c r="J102" s="510" t="e">
        <f t="shared" si="28"/>
        <v>#REF!</v>
      </c>
      <c r="K102" s="510" t="e">
        <f t="shared" si="28"/>
        <v>#REF!</v>
      </c>
      <c r="L102" s="510" t="e">
        <f t="shared" si="28"/>
        <v>#REF!</v>
      </c>
      <c r="M102" s="510" t="e">
        <f t="shared" si="28"/>
        <v>#REF!</v>
      </c>
      <c r="N102" s="510" t="e">
        <f t="shared" si="28"/>
        <v>#REF!</v>
      </c>
      <c r="O102" s="531" t="str">
        <f t="shared" si="17"/>
        <v/>
      </c>
      <c r="P102"/>
      <c r="Q102"/>
      <c r="R102"/>
      <c r="S102"/>
    </row>
    <row r="103" spans="1:31" ht="15.75" hidden="1">
      <c r="A103" s="270" t="str">
        <f>IF([4]Sheet6_WLAN!B64="",A102,[4]Sheet6_WLAN!B64)</f>
        <v>Enterprise WLAN Other</v>
      </c>
      <c r="B103" s="270" t="str">
        <f t="shared" si="15"/>
        <v xml:space="preserve">Enterprise WLAN Enhancement Products </v>
      </c>
      <c r="C103" s="270" t="str">
        <f t="shared" si="16"/>
        <v>Japan</v>
      </c>
      <c r="D103" s="533" t="str">
        <f>IF([4]Sheet6_WLAN!A64="","",[4]Sheet6_WLAN!A64)</f>
        <v/>
      </c>
      <c r="E103" s="412" t="str">
        <f>IF([4]Sheet6_WLAN!C64="","",[4]Sheet6_WLAN!C64)</f>
        <v/>
      </c>
      <c r="F103" s="426" t="str">
        <f>IF([4]Sheet6_WLAN!D64 ="","",[4]Sheet6_WLAN!D64)</f>
        <v>Unit Shipments (K)</v>
      </c>
      <c r="G103" s="529" t="e">
        <f t="shared" si="28"/>
        <v>#REF!</v>
      </c>
      <c r="H103" s="510" t="e">
        <f t="shared" si="28"/>
        <v>#REF!</v>
      </c>
      <c r="I103" s="510" t="e">
        <f t="shared" si="28"/>
        <v>#REF!</v>
      </c>
      <c r="J103" s="510" t="e">
        <f t="shared" si="28"/>
        <v>#REF!</v>
      </c>
      <c r="K103" s="510" t="e">
        <f t="shared" si="28"/>
        <v>#REF!</v>
      </c>
      <c r="L103" s="510" t="e">
        <f t="shared" si="28"/>
        <v>#REF!</v>
      </c>
      <c r="M103" s="510" t="e">
        <f t="shared" si="28"/>
        <v>#REF!</v>
      </c>
      <c r="N103" s="510" t="e">
        <f t="shared" si="28"/>
        <v>#REF!</v>
      </c>
      <c r="O103" s="531" t="str">
        <f t="shared" si="17"/>
        <v/>
      </c>
      <c r="P103"/>
      <c r="Q103"/>
      <c r="R103"/>
      <c r="S103"/>
      <c r="T103"/>
    </row>
    <row r="104" spans="1:31" ht="15.75">
      <c r="A104" s="270" t="str">
        <f>IF([4]Sheet6_WLAN!B65="",A103,[4]Sheet6_WLAN!B65)</f>
        <v>Enterprise WLAN Other</v>
      </c>
      <c r="B104" s="270" t="str">
        <f t="shared" si="15"/>
        <v xml:space="preserve">Enterprise WLAN Enhancement Products </v>
      </c>
      <c r="C104" s="270" t="str">
        <f t="shared" si="16"/>
        <v>Japan End-User Spending ($M)</v>
      </c>
      <c r="D104" s="535" t="str">
        <f>IF([4]Sheet6_WLAN!A65="","",[4]Sheet6_WLAN!A65)</f>
        <v>Japan End-User Spending ($M)</v>
      </c>
      <c r="E104" s="420" t="str">
        <f>IF([4]Sheet6_WLAN!B65="","",[4]Sheet6_WLAN!B65)</f>
        <v/>
      </c>
      <c r="F104" s="420" t="str">
        <f>IF([4]Sheet6_WLAN!D65 ="","",[4]Sheet6_WLAN!D65)</f>
        <v/>
      </c>
      <c r="G104" s="510" t="e">
        <f t="shared" ref="G104:N104" si="29">GETPIVOTDATA(""&amp;$F101&amp;"",ENI_Pivot_WLAN2,"region",$C101,"year",G$60)</f>
        <v>#REF!</v>
      </c>
      <c r="H104" s="510" t="e">
        <f t="shared" si="29"/>
        <v>#REF!</v>
      </c>
      <c r="I104" s="510" t="e">
        <f t="shared" si="29"/>
        <v>#REF!</v>
      </c>
      <c r="J104" s="510" t="e">
        <f t="shared" si="29"/>
        <v>#REF!</v>
      </c>
      <c r="K104" s="510" t="e">
        <f t="shared" si="29"/>
        <v>#REF!</v>
      </c>
      <c r="L104" s="510" t="e">
        <f t="shared" si="29"/>
        <v>#REF!</v>
      </c>
      <c r="M104" s="510" t="e">
        <f t="shared" si="29"/>
        <v>#REF!</v>
      </c>
      <c r="N104" s="510" t="e">
        <f t="shared" si="29"/>
        <v>#REF!</v>
      </c>
      <c r="O104" s="536" t="str">
        <f t="shared" si="17"/>
        <v/>
      </c>
      <c r="P104"/>
      <c r="Q104"/>
      <c r="R104"/>
      <c r="S104"/>
      <c r="T104"/>
    </row>
    <row r="105" spans="1:31" ht="15.75">
      <c r="A105" s="270" t="str">
        <f>IF([4]Sheet6_WLAN!B66="",A104,[4]Sheet6_WLAN!B66)</f>
        <v>Enterprise WLAN Other</v>
      </c>
      <c r="B105" s="270" t="str">
        <f t="shared" si="15"/>
        <v xml:space="preserve">Enterprise WLAN Enhancement Products </v>
      </c>
      <c r="C105" s="270" t="str">
        <f t="shared" si="16"/>
        <v>Japan Vendor Revenue ($M)</v>
      </c>
      <c r="D105" s="534" t="str">
        <f>IF([4]Sheet6_WLAN!A66="","",[4]Sheet6_WLAN!A66)</f>
        <v>Japan Vendor Revenue ($M)</v>
      </c>
      <c r="E105" s="504" t="str">
        <f>IF([4]Sheet6_WLAN!B66="","",[4]Sheet6_WLAN!B66)</f>
        <v/>
      </c>
      <c r="F105" s="504" t="str">
        <f>IF([4]Sheet6_WLAN!D66 ="","",[4]Sheet6_WLAN!D66)</f>
        <v/>
      </c>
      <c r="G105" s="510" t="e">
        <f t="shared" ref="G105:N105" si="30">GETPIVOTDATA(""&amp;$F102&amp;"",ENI_Pivot_WLAN2,"region",$C102,"year",G$60)</f>
        <v>#REF!</v>
      </c>
      <c r="H105" s="510" t="e">
        <f t="shared" si="30"/>
        <v>#REF!</v>
      </c>
      <c r="I105" s="510" t="e">
        <f t="shared" si="30"/>
        <v>#REF!</v>
      </c>
      <c r="J105" s="510" t="e">
        <f t="shared" si="30"/>
        <v>#REF!</v>
      </c>
      <c r="K105" s="510" t="e">
        <f t="shared" si="30"/>
        <v>#REF!</v>
      </c>
      <c r="L105" s="510" t="e">
        <f t="shared" si="30"/>
        <v>#REF!</v>
      </c>
      <c r="M105" s="510" t="e">
        <f t="shared" si="30"/>
        <v>#REF!</v>
      </c>
      <c r="N105" s="510" t="e">
        <f t="shared" si="30"/>
        <v>#REF!</v>
      </c>
      <c r="O105" s="530" t="str">
        <f t="shared" si="17"/>
        <v/>
      </c>
      <c r="P105"/>
      <c r="Q105"/>
      <c r="R105"/>
      <c r="S105"/>
      <c r="T105"/>
    </row>
    <row r="106" spans="1:31" ht="15.75" hidden="1">
      <c r="A106" s="270" t="str">
        <f>IF([4]Sheet6_WLAN!B67="",A105,[4]Sheet6_WLAN!B67)</f>
        <v>Enterprise WLAN Other</v>
      </c>
      <c r="B106" s="270" t="str">
        <f t="shared" si="15"/>
        <v xml:space="preserve">Enterprise WLAN Enhancement Products </v>
      </c>
      <c r="C106" s="270" t="str">
        <f t="shared" si="16"/>
        <v>Japan Unit Shipments (K)</v>
      </c>
      <c r="D106" s="533" t="str">
        <f>IF([4]Sheet6_WLAN!A67="","",[4]Sheet6_WLAN!A67)</f>
        <v>Japan Unit Shipments (K)</v>
      </c>
      <c r="E106" s="420" t="str">
        <f>IF([4]Sheet6_WLAN!B67="","",[4]Sheet6_WLAN!B67)</f>
        <v/>
      </c>
      <c r="F106" s="420" t="str">
        <f>IF([4]Sheet6_WLAN!D67 ="","",[4]Sheet6_WLAN!D67)</f>
        <v/>
      </c>
      <c r="G106" s="510" t="e">
        <f t="shared" ref="G106:N106" si="31">GETPIVOTDATA(""&amp;$F103&amp;"",ENI_Pivot_WLAN2,"region",$C103,"year",G$60)</f>
        <v>#REF!</v>
      </c>
      <c r="H106" s="510" t="e">
        <f t="shared" si="31"/>
        <v>#REF!</v>
      </c>
      <c r="I106" s="510" t="e">
        <f t="shared" si="31"/>
        <v>#REF!</v>
      </c>
      <c r="J106" s="510" t="e">
        <f t="shared" si="31"/>
        <v>#REF!</v>
      </c>
      <c r="K106" s="510" t="e">
        <f t="shared" si="31"/>
        <v>#REF!</v>
      </c>
      <c r="L106" s="510" t="e">
        <f t="shared" si="31"/>
        <v>#REF!</v>
      </c>
      <c r="M106" s="510" t="e">
        <f t="shared" si="31"/>
        <v>#REF!</v>
      </c>
      <c r="N106" s="510" t="e">
        <f t="shared" si="31"/>
        <v>#REF!</v>
      </c>
      <c r="O106" s="531" t="str">
        <f t="shared" si="17"/>
        <v/>
      </c>
      <c r="P106"/>
      <c r="Q106"/>
      <c r="R106"/>
      <c r="S106"/>
      <c r="T106"/>
    </row>
    <row r="107" spans="1:31" ht="15.75">
      <c r="A107" s="270" t="str">
        <f>IF([4]Sheet6_WLAN!B68="",A106,[4]Sheet6_WLAN!B68)</f>
        <v>Small-Business WLAN APs</v>
      </c>
      <c r="B107" s="270" t="str">
        <f t="shared" si="15"/>
        <v>Small-Business WLAN APs</v>
      </c>
      <c r="C107" s="270" t="str">
        <f t="shared" si="16"/>
        <v>Latin America</v>
      </c>
      <c r="D107" s="521" t="str">
        <f>IF([4]Sheet6_WLAN!A68="","",[4]Sheet6_WLAN!A68)</f>
        <v>Latin America</v>
      </c>
      <c r="E107" s="424" t="str">
        <f>IF([4]Sheet6_WLAN!B68="","",[4]Sheet6_WLAN!B68)</f>
        <v>Small-Business WLAN APs</v>
      </c>
      <c r="F107" s="424" t="str">
        <f>IF([4]Sheet6_WLAN!D68 ="","",[4]Sheet6_WLAN!D68)</f>
        <v>End-User Spending ($M)</v>
      </c>
      <c r="G107" s="522" t="e">
        <f t="shared" ref="G107:N112" si="32">IF(OR($C107="",$A107=""),"",GETPIVOTDATA(""&amp;$F107&amp;"",ENI_Pivot_WLAN2,"region",$C107,"year",G$60,"Segment3",$A107))</f>
        <v>#REF!</v>
      </c>
      <c r="H107" s="523" t="e">
        <f t="shared" si="32"/>
        <v>#REF!</v>
      </c>
      <c r="I107" s="523" t="e">
        <f t="shared" si="32"/>
        <v>#REF!</v>
      </c>
      <c r="J107" s="523" t="e">
        <f t="shared" si="32"/>
        <v>#REF!</v>
      </c>
      <c r="K107" s="523" t="e">
        <f t="shared" si="32"/>
        <v>#REF!</v>
      </c>
      <c r="L107" s="523" t="e">
        <f t="shared" si="32"/>
        <v>#REF!</v>
      </c>
      <c r="M107" s="523" t="e">
        <f t="shared" si="32"/>
        <v>#REF!</v>
      </c>
      <c r="N107" s="523" t="e">
        <f t="shared" si="32"/>
        <v>#REF!</v>
      </c>
      <c r="O107" s="530" t="str">
        <f t="shared" si="17"/>
        <v/>
      </c>
      <c r="P107"/>
      <c r="Q107"/>
      <c r="R107"/>
      <c r="S107"/>
      <c r="T107"/>
    </row>
    <row r="108" spans="1:31" ht="15.75">
      <c r="A108" s="270" t="str">
        <f>IF([4]Sheet6_WLAN!B69="",A107,[4]Sheet6_WLAN!B69)</f>
        <v>Small-Business WLAN APs</v>
      </c>
      <c r="B108" s="270" t="str">
        <f t="shared" si="15"/>
        <v>Small-Business WLAN APs</v>
      </c>
      <c r="C108" s="270" t="str">
        <f t="shared" si="16"/>
        <v>Latin America</v>
      </c>
      <c r="D108" s="525" t="str">
        <f>IF([4]Sheet6_WLAN!A69="","",[4]Sheet6_WLAN!A69)</f>
        <v/>
      </c>
      <c r="E108" s="425" t="str">
        <f>IF([4]Sheet6_WLAN!B69="","",[4]Sheet6_WLAN!B69)</f>
        <v/>
      </c>
      <c r="F108" s="425" t="str">
        <f>IF([4]Sheet6_WLAN!D69 ="","",[4]Sheet6_WLAN!D69)</f>
        <v>Vendor Revenue ($M)</v>
      </c>
      <c r="G108" s="526" t="e">
        <f t="shared" si="32"/>
        <v>#REF!</v>
      </c>
      <c r="H108" s="527" t="e">
        <f t="shared" si="32"/>
        <v>#REF!</v>
      </c>
      <c r="I108" s="527" t="e">
        <f t="shared" si="32"/>
        <v>#REF!</v>
      </c>
      <c r="J108" s="527" t="e">
        <f t="shared" si="32"/>
        <v>#REF!</v>
      </c>
      <c r="K108" s="527" t="e">
        <f t="shared" si="32"/>
        <v>#REF!</v>
      </c>
      <c r="L108" s="527" t="e">
        <f t="shared" si="32"/>
        <v>#REF!</v>
      </c>
      <c r="M108" s="527" t="e">
        <f t="shared" si="32"/>
        <v>#REF!</v>
      </c>
      <c r="N108" s="527" t="e">
        <f t="shared" si="32"/>
        <v>#REF!</v>
      </c>
      <c r="O108" s="531" t="str">
        <f t="shared" si="17"/>
        <v/>
      </c>
      <c r="P108"/>
      <c r="Q108"/>
      <c r="R108"/>
      <c r="S108"/>
      <c r="T108"/>
      <c r="U108"/>
      <c r="V108"/>
      <c r="W108"/>
      <c r="X108"/>
      <c r="Y108"/>
      <c r="Z108"/>
      <c r="AA108"/>
      <c r="AB108"/>
      <c r="AC108"/>
      <c r="AD108"/>
      <c r="AE108"/>
    </row>
    <row r="109" spans="1:31" ht="15.75">
      <c r="A109" s="270" t="str">
        <f>IF([4]Sheet6_WLAN!B70="",A108,[4]Sheet6_WLAN!B70)</f>
        <v>Small-Business WLAN APs</v>
      </c>
      <c r="B109" s="270" t="str">
        <f t="shared" si="15"/>
        <v>Small-Business WLAN APs</v>
      </c>
      <c r="C109" s="270" t="str">
        <f t="shared" si="16"/>
        <v>Latin America</v>
      </c>
      <c r="D109" s="525" t="str">
        <f>IF([4]Sheet6_WLAN!A70="","",[4]Sheet6_WLAN!A70)</f>
        <v/>
      </c>
      <c r="E109" s="412" t="str">
        <f>IF([4]Sheet6_WLAN!B70="","",[4]Sheet6_WLAN!B70)</f>
        <v/>
      </c>
      <c r="F109" s="425" t="str">
        <f>IF([4]Sheet6_WLAN!D70 ="","",[4]Sheet6_WLAN!D70)</f>
        <v>Unit Shipments (K)</v>
      </c>
      <c r="G109" s="526" t="e">
        <f t="shared" si="32"/>
        <v>#REF!</v>
      </c>
      <c r="H109" s="527" t="e">
        <f t="shared" si="32"/>
        <v>#REF!</v>
      </c>
      <c r="I109" s="527" t="e">
        <f t="shared" si="32"/>
        <v>#REF!</v>
      </c>
      <c r="J109" s="527" t="e">
        <f t="shared" si="32"/>
        <v>#REF!</v>
      </c>
      <c r="K109" s="527" t="e">
        <f t="shared" si="32"/>
        <v>#REF!</v>
      </c>
      <c r="L109" s="527" t="e">
        <f t="shared" si="32"/>
        <v>#REF!</v>
      </c>
      <c r="M109" s="527" t="e">
        <f t="shared" si="32"/>
        <v>#REF!</v>
      </c>
      <c r="N109" s="527" t="e">
        <f t="shared" si="32"/>
        <v>#REF!</v>
      </c>
      <c r="O109" s="531" t="str">
        <f t="shared" si="17"/>
        <v/>
      </c>
      <c r="P109"/>
      <c r="Q109"/>
      <c r="R109"/>
      <c r="S109"/>
      <c r="T109"/>
      <c r="U109"/>
      <c r="V109"/>
      <c r="W109"/>
      <c r="X109"/>
      <c r="Y109"/>
      <c r="Z109"/>
      <c r="AA109"/>
      <c r="AB109"/>
      <c r="AC109"/>
      <c r="AD109"/>
      <c r="AE109"/>
    </row>
    <row r="110" spans="1:31" ht="15.75">
      <c r="A110" s="270" t="str">
        <f>IF([4]Sheet6_WLAN!B71="",A109,[4]Sheet6_WLAN!B71)</f>
        <v>Enterprise WLAN APs</v>
      </c>
      <c r="B110" s="270" t="str">
        <f t="shared" si="15"/>
        <v>Enterprise WLAN APs</v>
      </c>
      <c r="C110" s="270" t="str">
        <f t="shared" si="16"/>
        <v>Latin America</v>
      </c>
      <c r="D110" s="525" t="str">
        <f>IF([4]Sheet6_WLAN!A71="","",[4]Sheet6_WLAN!A71)</f>
        <v/>
      </c>
      <c r="E110" s="425" t="str">
        <f>IF([4]Sheet6_WLAN!B71="","",[4]Sheet6_WLAN!B71)</f>
        <v>Enterprise WLAN APs</v>
      </c>
      <c r="F110" s="419" t="str">
        <f>IF([4]Sheet6_WLAN!D71 ="","",[4]Sheet6_WLAN!D71)</f>
        <v>End-User Spending ($M)</v>
      </c>
      <c r="G110" s="522" t="e">
        <f t="shared" si="32"/>
        <v>#REF!</v>
      </c>
      <c r="H110" s="523" t="e">
        <f t="shared" si="32"/>
        <v>#REF!</v>
      </c>
      <c r="I110" s="523" t="e">
        <f t="shared" si="32"/>
        <v>#REF!</v>
      </c>
      <c r="J110" s="523" t="e">
        <f t="shared" si="32"/>
        <v>#REF!</v>
      </c>
      <c r="K110" s="523" t="e">
        <f t="shared" si="32"/>
        <v>#REF!</v>
      </c>
      <c r="L110" s="523" t="e">
        <f t="shared" si="32"/>
        <v>#REF!</v>
      </c>
      <c r="M110" s="523" t="e">
        <f t="shared" si="32"/>
        <v>#REF!</v>
      </c>
      <c r="N110" s="523" t="e">
        <f t="shared" si="32"/>
        <v>#REF!</v>
      </c>
      <c r="O110" s="530" t="str">
        <f t="shared" si="17"/>
        <v/>
      </c>
      <c r="P110"/>
      <c r="Q110"/>
      <c r="R110"/>
      <c r="S110"/>
      <c r="T110"/>
      <c r="U110"/>
      <c r="V110"/>
      <c r="W110"/>
      <c r="X110"/>
      <c r="Y110"/>
      <c r="Z110"/>
      <c r="AA110"/>
      <c r="AB110"/>
      <c r="AC110"/>
      <c r="AD110"/>
      <c r="AE110"/>
    </row>
    <row r="111" spans="1:31" ht="15.75">
      <c r="A111" s="270" t="str">
        <f>IF([4]Sheet6_WLAN!B72="",A110,[4]Sheet6_WLAN!B72)</f>
        <v>Enterprise WLAN APs</v>
      </c>
      <c r="B111" s="270" t="str">
        <f t="shared" si="15"/>
        <v>Enterprise WLAN APs</v>
      </c>
      <c r="C111" s="270" t="str">
        <f t="shared" si="16"/>
        <v>Latin America</v>
      </c>
      <c r="D111" s="525" t="str">
        <f>IF([4]Sheet6_WLAN!A72="","",[4]Sheet6_WLAN!A72)</f>
        <v/>
      </c>
      <c r="E111" s="425" t="str">
        <f>IF([4]Sheet6_WLAN!B72="","",[4]Sheet6_WLAN!B72)</f>
        <v/>
      </c>
      <c r="F111" s="420" t="str">
        <f>IF([4]Sheet6_WLAN!D72 ="","",[4]Sheet6_WLAN!D72)</f>
        <v>Vendor Revenue ($M)</v>
      </c>
      <c r="G111" s="526" t="e">
        <f t="shared" si="32"/>
        <v>#REF!</v>
      </c>
      <c r="H111" s="527" t="e">
        <f t="shared" si="32"/>
        <v>#REF!</v>
      </c>
      <c r="I111" s="527" t="e">
        <f t="shared" si="32"/>
        <v>#REF!</v>
      </c>
      <c r="J111" s="527" t="e">
        <f t="shared" si="32"/>
        <v>#REF!</v>
      </c>
      <c r="K111" s="527" t="e">
        <f t="shared" si="32"/>
        <v>#REF!</v>
      </c>
      <c r="L111" s="527" t="e">
        <f t="shared" si="32"/>
        <v>#REF!</v>
      </c>
      <c r="M111" s="527" t="e">
        <f t="shared" si="32"/>
        <v>#REF!</v>
      </c>
      <c r="N111" s="527" t="e">
        <f t="shared" si="32"/>
        <v>#REF!</v>
      </c>
      <c r="O111" s="531" t="str">
        <f t="shared" si="17"/>
        <v/>
      </c>
      <c r="P111"/>
      <c r="Q111"/>
      <c r="R111"/>
      <c r="S111"/>
      <c r="T111"/>
      <c r="U111"/>
      <c r="V111"/>
      <c r="W111"/>
      <c r="X111"/>
      <c r="Y111"/>
      <c r="Z111"/>
      <c r="AA111"/>
      <c r="AB111"/>
      <c r="AC111"/>
      <c r="AD111"/>
      <c r="AE111"/>
    </row>
    <row r="112" spans="1:31" ht="15.75">
      <c r="A112" s="270" t="str">
        <f>IF([4]Sheet6_WLAN!B73="",A111,[4]Sheet6_WLAN!B73)</f>
        <v>Enterprise WLAN APs</v>
      </c>
      <c r="B112" s="270" t="str">
        <f t="shared" si="15"/>
        <v>Enterprise WLAN APs</v>
      </c>
      <c r="C112" s="270" t="str">
        <f t="shared" si="16"/>
        <v>Latin America</v>
      </c>
      <c r="D112" s="525" t="str">
        <f>IF([4]Sheet6_WLAN!A73="","",[4]Sheet6_WLAN!A73)</f>
        <v/>
      </c>
      <c r="E112" s="425" t="str">
        <f>IF([4]Sheet6_WLAN!B73="","",[4]Sheet6_WLAN!B73)</f>
        <v/>
      </c>
      <c r="F112" s="420" t="str">
        <f>IF([4]Sheet6_WLAN!D73 ="","",[4]Sheet6_WLAN!D73)</f>
        <v>Unit Shipments (K)</v>
      </c>
      <c r="G112" s="529" t="e">
        <f t="shared" si="32"/>
        <v>#REF!</v>
      </c>
      <c r="H112" s="510" t="e">
        <f t="shared" si="32"/>
        <v>#REF!</v>
      </c>
      <c r="I112" s="510" t="e">
        <f t="shared" si="32"/>
        <v>#REF!</v>
      </c>
      <c r="J112" s="510" t="e">
        <f t="shared" si="32"/>
        <v>#REF!</v>
      </c>
      <c r="K112" s="510" t="e">
        <f t="shared" si="32"/>
        <v>#REF!</v>
      </c>
      <c r="L112" s="510" t="e">
        <f t="shared" si="32"/>
        <v>#REF!</v>
      </c>
      <c r="M112" s="510" t="e">
        <f t="shared" si="32"/>
        <v>#REF!</v>
      </c>
      <c r="N112" s="510" t="e">
        <f t="shared" si="32"/>
        <v>#REF!</v>
      </c>
      <c r="O112" s="531" t="str">
        <f t="shared" si="17"/>
        <v/>
      </c>
      <c r="P112"/>
      <c r="Q112"/>
      <c r="R112"/>
      <c r="S112"/>
      <c r="T112"/>
      <c r="U112"/>
      <c r="V112"/>
      <c r="W112"/>
      <c r="X112"/>
      <c r="Y112"/>
      <c r="Z112"/>
      <c r="AA112"/>
      <c r="AB112"/>
      <c r="AC112"/>
      <c r="AD112"/>
      <c r="AE112"/>
    </row>
    <row r="113" spans="1:31" ht="15.75">
      <c r="A113" s="270" t="str">
        <f>IF([4]Sheet6_WLAN!B74="",A112,[4]Sheet6_WLAN!B74)</f>
        <v>Enterprise WLAN Other</v>
      </c>
      <c r="B113" s="270" t="str">
        <f t="shared" si="15"/>
        <v>Enterprise WLAN Controllers</v>
      </c>
      <c r="C113" s="270" t="str">
        <f t="shared" si="16"/>
        <v>Latin America</v>
      </c>
      <c r="D113" s="525" t="str">
        <f>IF([4]Sheet6_WLAN!A74="","",[4]Sheet6_WLAN!A74)</f>
        <v/>
      </c>
      <c r="E113" s="424" t="str">
        <f>IF([4]Sheet6_WLAN!C74="","",[4]Sheet6_WLAN!C74)</f>
        <v>Enterprise WLAN Controllers</v>
      </c>
      <c r="F113" s="419" t="str">
        <f>IF([4]Sheet6_WLAN!D74 ="","",[4]Sheet6_WLAN!D74)</f>
        <v>End-User Spending ($M)</v>
      </c>
      <c r="G113" s="526" t="e">
        <f t="shared" ref="G113:N118" si="33">IF(OR($A113="",$C113="",$B113=""),"",GETPIVOTDATA(""&amp;$F113&amp;"",ENI_Pivot_WLAN2,"region",$C113,"year",G$60,"Segment3",$A113,"Segment4",$B113))</f>
        <v>#REF!</v>
      </c>
      <c r="H113" s="527" t="e">
        <f t="shared" si="33"/>
        <v>#REF!</v>
      </c>
      <c r="I113" s="527" t="e">
        <f t="shared" si="33"/>
        <v>#REF!</v>
      </c>
      <c r="J113" s="527" t="e">
        <f t="shared" si="33"/>
        <v>#REF!</v>
      </c>
      <c r="K113" s="527" t="e">
        <f t="shared" si="33"/>
        <v>#REF!</v>
      </c>
      <c r="L113" s="527" t="e">
        <f t="shared" si="33"/>
        <v>#REF!</v>
      </c>
      <c r="M113" s="527" t="e">
        <f t="shared" si="33"/>
        <v>#REF!</v>
      </c>
      <c r="N113" s="527" t="e">
        <f t="shared" si="33"/>
        <v>#REF!</v>
      </c>
      <c r="O113" s="530" t="str">
        <f t="shared" si="17"/>
        <v/>
      </c>
      <c r="P113"/>
      <c r="Q113"/>
      <c r="R113"/>
      <c r="S113"/>
      <c r="T113"/>
      <c r="U113"/>
      <c r="V113"/>
      <c r="W113"/>
      <c r="X113"/>
      <c r="Y113"/>
      <c r="Z113"/>
      <c r="AA113"/>
      <c r="AB113"/>
      <c r="AC113"/>
      <c r="AD113"/>
      <c r="AE113"/>
    </row>
    <row r="114" spans="1:31" ht="15.75">
      <c r="A114" s="270" t="str">
        <f>IF([4]Sheet6_WLAN!B75="",A113,[4]Sheet6_WLAN!B75)</f>
        <v>Enterprise WLAN Other</v>
      </c>
      <c r="B114" s="270" t="str">
        <f t="shared" si="15"/>
        <v>Enterprise WLAN Controllers</v>
      </c>
      <c r="C114" s="270" t="str">
        <f t="shared" si="16"/>
        <v>Latin America</v>
      </c>
      <c r="D114" s="525" t="str">
        <f>IF([4]Sheet6_WLAN!A75="","",[4]Sheet6_WLAN!A75)</f>
        <v/>
      </c>
      <c r="E114" s="425" t="str">
        <f>IF([4]Sheet6_WLAN!C75="","",[4]Sheet6_WLAN!C75)</f>
        <v/>
      </c>
      <c r="F114" s="420" t="str">
        <f>IF([4]Sheet6_WLAN!D75 ="","",[4]Sheet6_WLAN!D75)</f>
        <v>Vendor Revenue ($M)</v>
      </c>
      <c r="G114" s="526" t="e">
        <f t="shared" si="33"/>
        <v>#REF!</v>
      </c>
      <c r="H114" s="527" t="e">
        <f t="shared" si="33"/>
        <v>#REF!</v>
      </c>
      <c r="I114" s="527" t="e">
        <f t="shared" si="33"/>
        <v>#REF!</v>
      </c>
      <c r="J114" s="527" t="e">
        <f t="shared" si="33"/>
        <v>#REF!</v>
      </c>
      <c r="K114" s="527" t="e">
        <f t="shared" si="33"/>
        <v>#REF!</v>
      </c>
      <c r="L114" s="527" t="e">
        <f t="shared" si="33"/>
        <v>#REF!</v>
      </c>
      <c r="M114" s="527" t="e">
        <f t="shared" si="33"/>
        <v>#REF!</v>
      </c>
      <c r="N114" s="527" t="e">
        <f t="shared" si="33"/>
        <v>#REF!</v>
      </c>
      <c r="O114" s="531" t="str">
        <f t="shared" si="17"/>
        <v/>
      </c>
      <c r="P114"/>
      <c r="Q114"/>
      <c r="R114"/>
      <c r="S114"/>
      <c r="T114"/>
      <c r="U114"/>
      <c r="V114"/>
      <c r="W114"/>
      <c r="X114"/>
      <c r="Y114"/>
      <c r="Z114"/>
      <c r="AA114"/>
      <c r="AB114"/>
      <c r="AC114"/>
      <c r="AD114"/>
      <c r="AE114"/>
    </row>
    <row r="115" spans="1:31" ht="15.75">
      <c r="A115" s="270" t="str">
        <f>IF([4]Sheet6_WLAN!B76="",A114,[4]Sheet6_WLAN!B76)</f>
        <v>Enterprise WLAN Other</v>
      </c>
      <c r="B115" s="270" t="str">
        <f t="shared" si="15"/>
        <v>Enterprise WLAN Controllers</v>
      </c>
      <c r="C115" s="270" t="str">
        <f t="shared" si="16"/>
        <v>Latin America</v>
      </c>
      <c r="D115" s="525" t="str">
        <f>IF([4]Sheet6_WLAN!A76="","",[4]Sheet6_WLAN!A76)</f>
        <v/>
      </c>
      <c r="E115" s="412" t="str">
        <f>IF([4]Sheet6_WLAN!C76="","",[4]Sheet6_WLAN!C76)</f>
        <v/>
      </c>
      <c r="F115" s="420" t="str">
        <f>IF([4]Sheet6_WLAN!D76 ="","",[4]Sheet6_WLAN!D76)</f>
        <v>Unit Shipments (K)</v>
      </c>
      <c r="G115" s="526" t="e">
        <f t="shared" si="33"/>
        <v>#REF!</v>
      </c>
      <c r="H115" s="527" t="e">
        <f t="shared" si="33"/>
        <v>#REF!</v>
      </c>
      <c r="I115" s="527" t="e">
        <f t="shared" si="33"/>
        <v>#REF!</v>
      </c>
      <c r="J115" s="527" t="e">
        <f t="shared" si="33"/>
        <v>#REF!</v>
      </c>
      <c r="K115" s="527" t="e">
        <f t="shared" si="33"/>
        <v>#REF!</v>
      </c>
      <c r="L115" s="527" t="e">
        <f t="shared" si="33"/>
        <v>#REF!</v>
      </c>
      <c r="M115" s="527" t="e">
        <f t="shared" si="33"/>
        <v>#REF!</v>
      </c>
      <c r="N115" s="527" t="e">
        <f t="shared" si="33"/>
        <v>#REF!</v>
      </c>
      <c r="O115" s="531" t="str">
        <f t="shared" si="17"/>
        <v/>
      </c>
      <c r="P115"/>
      <c r="Q115"/>
      <c r="R115"/>
      <c r="S115"/>
      <c r="T115"/>
      <c r="U115"/>
      <c r="V115"/>
      <c r="W115"/>
      <c r="X115"/>
      <c r="Y115"/>
      <c r="Z115"/>
      <c r="AA115"/>
      <c r="AB115"/>
      <c r="AC115"/>
      <c r="AD115"/>
      <c r="AE115"/>
    </row>
    <row r="116" spans="1:31" ht="15.75">
      <c r="A116" s="270" t="str">
        <f>IF([4]Sheet6_WLAN!B77="",A115,[4]Sheet6_WLAN!B77)</f>
        <v>Enterprise WLAN Other</v>
      </c>
      <c r="B116" s="270" t="str">
        <f t="shared" si="15"/>
        <v xml:space="preserve">Enterprise WLAN Enhancement Products </v>
      </c>
      <c r="C116" s="270" t="str">
        <f t="shared" si="16"/>
        <v>Latin America</v>
      </c>
      <c r="D116" s="525" t="str">
        <f>IF([4]Sheet6_WLAN!A77="","",[4]Sheet6_WLAN!A77)</f>
        <v/>
      </c>
      <c r="E116" s="425" t="str">
        <f>IF([4]Sheet6_WLAN!C77="","",[4]Sheet6_WLAN!C77)</f>
        <v xml:space="preserve">Enterprise WLAN Enhancement Products </v>
      </c>
      <c r="F116" s="419" t="str">
        <f>IF([4]Sheet6_WLAN!D77 ="","",[4]Sheet6_WLAN!D77)</f>
        <v>End-User Spending ($M)</v>
      </c>
      <c r="G116" s="522" t="e">
        <f t="shared" si="33"/>
        <v>#REF!</v>
      </c>
      <c r="H116" s="523" t="e">
        <f t="shared" si="33"/>
        <v>#REF!</v>
      </c>
      <c r="I116" s="523" t="e">
        <f t="shared" si="33"/>
        <v>#REF!</v>
      </c>
      <c r="J116" s="523" t="e">
        <f t="shared" si="33"/>
        <v>#REF!</v>
      </c>
      <c r="K116" s="523" t="e">
        <f t="shared" si="33"/>
        <v>#REF!</v>
      </c>
      <c r="L116" s="523" t="e">
        <f t="shared" si="33"/>
        <v>#REF!</v>
      </c>
      <c r="M116" s="523" t="e">
        <f t="shared" si="33"/>
        <v>#REF!</v>
      </c>
      <c r="N116" s="523" t="e">
        <f t="shared" si="33"/>
        <v>#REF!</v>
      </c>
      <c r="O116" s="530" t="str">
        <f t="shared" si="17"/>
        <v/>
      </c>
      <c r="P116"/>
      <c r="Q116"/>
      <c r="R116"/>
      <c r="S116"/>
      <c r="T116"/>
      <c r="U116"/>
      <c r="V116"/>
      <c r="W116"/>
      <c r="X116"/>
      <c r="Y116"/>
      <c r="Z116"/>
      <c r="AA116"/>
      <c r="AB116"/>
      <c r="AC116"/>
      <c r="AD116"/>
      <c r="AE116"/>
    </row>
    <row r="117" spans="1:31" ht="15.75">
      <c r="A117" s="270" t="str">
        <f>IF([4]Sheet6_WLAN!B78="",A116,[4]Sheet6_WLAN!B78)</f>
        <v>Enterprise WLAN Other</v>
      </c>
      <c r="B117" s="270" t="str">
        <f t="shared" si="15"/>
        <v xml:space="preserve">Enterprise WLAN Enhancement Products </v>
      </c>
      <c r="C117" s="270" t="str">
        <f t="shared" si="16"/>
        <v>Latin America</v>
      </c>
      <c r="D117" s="532" t="str">
        <f>IF([4]Sheet6_WLAN!A78="","",[4]Sheet6_WLAN!A78)</f>
        <v/>
      </c>
      <c r="E117" s="421" t="str">
        <f>IF([4]Sheet6_WLAN!C78="","",[4]Sheet6_WLAN!C78)</f>
        <v/>
      </c>
      <c r="F117" s="426" t="str">
        <f>IF([4]Sheet6_WLAN!D78 ="","",[4]Sheet6_WLAN!D78)</f>
        <v>Vendor Revenue ($M)</v>
      </c>
      <c r="G117" s="529" t="e">
        <f t="shared" si="33"/>
        <v>#REF!</v>
      </c>
      <c r="H117" s="510" t="e">
        <f t="shared" si="33"/>
        <v>#REF!</v>
      </c>
      <c r="I117" s="510" t="e">
        <f t="shared" si="33"/>
        <v>#REF!</v>
      </c>
      <c r="J117" s="510" t="e">
        <f t="shared" si="33"/>
        <v>#REF!</v>
      </c>
      <c r="K117" s="510" t="e">
        <f t="shared" si="33"/>
        <v>#REF!</v>
      </c>
      <c r="L117" s="510" t="e">
        <f t="shared" si="33"/>
        <v>#REF!</v>
      </c>
      <c r="M117" s="510" t="e">
        <f t="shared" si="33"/>
        <v>#REF!</v>
      </c>
      <c r="N117" s="510" t="e">
        <f t="shared" si="33"/>
        <v>#REF!</v>
      </c>
      <c r="O117" s="531" t="str">
        <f t="shared" si="17"/>
        <v/>
      </c>
      <c r="P117"/>
      <c r="Q117"/>
      <c r="R117"/>
      <c r="S117"/>
      <c r="T117"/>
      <c r="U117"/>
      <c r="V117"/>
      <c r="W117"/>
      <c r="X117"/>
      <c r="Y117"/>
      <c r="Z117"/>
      <c r="AA117"/>
      <c r="AB117"/>
      <c r="AC117"/>
      <c r="AD117"/>
      <c r="AE117"/>
    </row>
    <row r="118" spans="1:31" ht="15.75" hidden="1">
      <c r="A118" s="270" t="str">
        <f>IF([4]Sheet6_WLAN!B79="",A117,[4]Sheet6_WLAN!B79)</f>
        <v>Enterprise WLAN Other</v>
      </c>
      <c r="B118" s="270" t="str">
        <f t="shared" si="15"/>
        <v xml:space="preserve">Enterprise WLAN Enhancement Products </v>
      </c>
      <c r="C118" s="270" t="str">
        <f t="shared" si="16"/>
        <v>Latin America</v>
      </c>
      <c r="D118" s="532" t="str">
        <f>IF([4]Sheet6_WLAN!A79="","",[4]Sheet6_WLAN!A79)</f>
        <v/>
      </c>
      <c r="E118" s="425" t="str">
        <f>IF([4]Sheet6_WLAN!C79="","",[4]Sheet6_WLAN!C79)</f>
        <v/>
      </c>
      <c r="F118" s="420" t="str">
        <f>IF([4]Sheet6_WLAN!D79 ="","",[4]Sheet6_WLAN!D79)</f>
        <v>Unit Shipments (K)</v>
      </c>
      <c r="G118" s="529" t="e">
        <f t="shared" si="33"/>
        <v>#REF!</v>
      </c>
      <c r="H118" s="510" t="e">
        <f t="shared" si="33"/>
        <v>#REF!</v>
      </c>
      <c r="I118" s="510" t="e">
        <f t="shared" si="33"/>
        <v>#REF!</v>
      </c>
      <c r="J118" s="510" t="e">
        <f t="shared" si="33"/>
        <v>#REF!</v>
      </c>
      <c r="K118" s="510" t="e">
        <f t="shared" si="33"/>
        <v>#REF!</v>
      </c>
      <c r="L118" s="510" t="e">
        <f t="shared" si="33"/>
        <v>#REF!</v>
      </c>
      <c r="M118" s="510" t="e">
        <f t="shared" si="33"/>
        <v>#REF!</v>
      </c>
      <c r="N118" s="510" t="e">
        <f t="shared" si="33"/>
        <v>#REF!</v>
      </c>
      <c r="O118" s="531" t="str">
        <f t="shared" si="17"/>
        <v/>
      </c>
      <c r="P118"/>
      <c r="Q118"/>
      <c r="R118"/>
      <c r="S118"/>
      <c r="T118"/>
      <c r="U118"/>
      <c r="V118"/>
      <c r="W118"/>
      <c r="X118"/>
      <c r="Y118"/>
      <c r="Z118"/>
      <c r="AA118"/>
      <c r="AB118"/>
      <c r="AC118"/>
      <c r="AD118"/>
      <c r="AE118"/>
    </row>
    <row r="119" spans="1:31" ht="15.75">
      <c r="A119" s="270" t="str">
        <f>IF([4]Sheet6_WLAN!B80="",A118,[4]Sheet6_WLAN!B80)</f>
        <v>Enterprise WLAN Other</v>
      </c>
      <c r="B119" s="270" t="str">
        <f t="shared" si="15"/>
        <v xml:space="preserve">Enterprise WLAN Enhancement Products </v>
      </c>
      <c r="C119" s="270" t="str">
        <f t="shared" si="16"/>
        <v>Latin America End-User Spending ($M)</v>
      </c>
      <c r="D119" s="533" t="str">
        <f>IF([4]Sheet6_WLAN!A80="","",[4]Sheet6_WLAN!A80)</f>
        <v>Latin America End-User Spending ($M)</v>
      </c>
      <c r="E119" s="419" t="str">
        <f>IF([4]Sheet6_WLAN!B80="","",[4]Sheet6_WLAN!B80)</f>
        <v/>
      </c>
      <c r="F119" s="419" t="str">
        <f>IF([4]Sheet6_WLAN!D80 ="","",[4]Sheet6_WLAN!D80)</f>
        <v/>
      </c>
      <c r="G119" s="510" t="e">
        <f t="shared" ref="G119:N119" si="34">GETPIVOTDATA(""&amp;$F116&amp;"",ENI_Pivot_WLAN2,"region",$C116,"year",G$60)</f>
        <v>#REF!</v>
      </c>
      <c r="H119" s="510" t="e">
        <f t="shared" si="34"/>
        <v>#REF!</v>
      </c>
      <c r="I119" s="510" t="e">
        <f t="shared" si="34"/>
        <v>#REF!</v>
      </c>
      <c r="J119" s="510" t="e">
        <f t="shared" si="34"/>
        <v>#REF!</v>
      </c>
      <c r="K119" s="510" t="e">
        <f t="shared" si="34"/>
        <v>#REF!</v>
      </c>
      <c r="L119" s="510" t="e">
        <f t="shared" si="34"/>
        <v>#REF!</v>
      </c>
      <c r="M119" s="510" t="e">
        <f t="shared" si="34"/>
        <v>#REF!</v>
      </c>
      <c r="N119" s="510" t="e">
        <f t="shared" si="34"/>
        <v>#REF!</v>
      </c>
      <c r="O119" s="530" t="str">
        <f t="shared" si="17"/>
        <v/>
      </c>
      <c r="P119"/>
      <c r="Q119"/>
      <c r="R119"/>
      <c r="S119"/>
      <c r="T119"/>
      <c r="U119"/>
      <c r="V119"/>
      <c r="W119"/>
      <c r="X119"/>
      <c r="Y119"/>
      <c r="Z119"/>
      <c r="AA119"/>
      <c r="AB119"/>
      <c r="AC119"/>
      <c r="AD119"/>
      <c r="AE119"/>
    </row>
    <row r="120" spans="1:31" ht="15.75">
      <c r="A120" s="270" t="str">
        <f>IF([4]Sheet6_WLAN!B81="",A119,[4]Sheet6_WLAN!B81)</f>
        <v>Enterprise WLAN Other</v>
      </c>
      <c r="B120" s="270" t="str">
        <f t="shared" si="15"/>
        <v xml:space="preserve">Enterprise WLAN Enhancement Products </v>
      </c>
      <c r="C120" s="270" t="str">
        <f t="shared" si="16"/>
        <v>Latin America Vendor Revenue ($M)</v>
      </c>
      <c r="D120" s="534" t="str">
        <f>IF([4]Sheet6_WLAN!A81="","",[4]Sheet6_WLAN!A81)</f>
        <v>Latin America Vendor Revenue ($M)</v>
      </c>
      <c r="E120" s="504" t="str">
        <f>IF([4]Sheet6_WLAN!B81="","",[4]Sheet6_WLAN!B81)</f>
        <v/>
      </c>
      <c r="F120" s="504" t="str">
        <f>IF([4]Sheet6_WLAN!D81 ="","",[4]Sheet6_WLAN!D81)</f>
        <v/>
      </c>
      <c r="G120" s="510" t="e">
        <f t="shared" ref="G120:N120" si="35">GETPIVOTDATA(""&amp;$F117&amp;"",ENI_Pivot_WLAN2,"region",$C117,"year",G$60)</f>
        <v>#REF!</v>
      </c>
      <c r="H120" s="510" t="e">
        <f t="shared" si="35"/>
        <v>#REF!</v>
      </c>
      <c r="I120" s="510" t="e">
        <f t="shared" si="35"/>
        <v>#REF!</v>
      </c>
      <c r="J120" s="510" t="e">
        <f t="shared" si="35"/>
        <v>#REF!</v>
      </c>
      <c r="K120" s="510" t="e">
        <f t="shared" si="35"/>
        <v>#REF!</v>
      </c>
      <c r="L120" s="510" t="e">
        <f t="shared" si="35"/>
        <v>#REF!</v>
      </c>
      <c r="M120" s="510" t="e">
        <f t="shared" si="35"/>
        <v>#REF!</v>
      </c>
      <c r="N120" s="510" t="e">
        <f t="shared" si="35"/>
        <v>#REF!</v>
      </c>
      <c r="O120" s="530" t="str">
        <f t="shared" si="17"/>
        <v/>
      </c>
      <c r="P120"/>
      <c r="Q120"/>
      <c r="R120"/>
      <c r="S120"/>
      <c r="T120"/>
      <c r="U120"/>
      <c r="V120"/>
      <c r="W120"/>
      <c r="X120"/>
      <c r="Y120"/>
      <c r="Z120"/>
      <c r="AA120"/>
      <c r="AB120"/>
      <c r="AC120"/>
      <c r="AD120"/>
      <c r="AE120"/>
    </row>
    <row r="121" spans="1:31" ht="15.75" hidden="1">
      <c r="A121" s="270" t="str">
        <f>IF([4]Sheet6_WLAN!B82="",A120,[4]Sheet6_WLAN!B82)</f>
        <v>Enterprise WLAN Other</v>
      </c>
      <c r="B121" s="270" t="str">
        <f t="shared" si="15"/>
        <v xml:space="preserve">Enterprise WLAN Enhancement Products </v>
      </c>
      <c r="C121" s="270" t="str">
        <f t="shared" si="16"/>
        <v>Latin America Unit Shipments (K)</v>
      </c>
      <c r="D121" s="533" t="str">
        <f>IF([4]Sheet6_WLAN!A82="","",[4]Sheet6_WLAN!A82)</f>
        <v>Latin America Unit Shipments (K)</v>
      </c>
      <c r="E121" s="420" t="str">
        <f>IF([4]Sheet6_WLAN!B82="","",[4]Sheet6_WLAN!B82)</f>
        <v/>
      </c>
      <c r="F121" s="420" t="str">
        <f>IF([4]Sheet6_WLAN!D82 ="","",[4]Sheet6_WLAN!D82)</f>
        <v/>
      </c>
      <c r="G121" s="510" t="e">
        <f t="shared" ref="G121:N121" si="36">GETPIVOTDATA(""&amp;$F118&amp;"",ENI_Pivot_WLAN2,"region",$C118,"year",G$60)</f>
        <v>#REF!</v>
      </c>
      <c r="H121" s="510" t="e">
        <f t="shared" si="36"/>
        <v>#REF!</v>
      </c>
      <c r="I121" s="510" t="e">
        <f t="shared" si="36"/>
        <v>#REF!</v>
      </c>
      <c r="J121" s="510" t="e">
        <f t="shared" si="36"/>
        <v>#REF!</v>
      </c>
      <c r="K121" s="510" t="e">
        <f t="shared" si="36"/>
        <v>#REF!</v>
      </c>
      <c r="L121" s="510" t="e">
        <f t="shared" si="36"/>
        <v>#REF!</v>
      </c>
      <c r="M121" s="510" t="e">
        <f t="shared" si="36"/>
        <v>#REF!</v>
      </c>
      <c r="N121" s="510" t="e">
        <f t="shared" si="36"/>
        <v>#REF!</v>
      </c>
      <c r="O121" s="531" t="str">
        <f t="shared" si="17"/>
        <v/>
      </c>
      <c r="P121"/>
      <c r="Q121"/>
      <c r="R121"/>
      <c r="S121"/>
      <c r="T121"/>
      <c r="U121"/>
      <c r="V121"/>
      <c r="W121"/>
      <c r="X121"/>
      <c r="Y121"/>
      <c r="Z121"/>
      <c r="AA121"/>
      <c r="AB121"/>
      <c r="AC121"/>
      <c r="AD121"/>
      <c r="AE121"/>
    </row>
    <row r="122" spans="1:31" ht="15.75">
      <c r="A122" s="270" t="str">
        <f>IF([4]Sheet6_WLAN!B83="",A121,[4]Sheet6_WLAN!B83)</f>
        <v>Small-Business WLAN APs</v>
      </c>
      <c r="B122" s="270" t="str">
        <f t="shared" si="15"/>
        <v>Small-Business WLAN APs</v>
      </c>
      <c r="C122" s="270" t="str">
        <f t="shared" si="16"/>
        <v>Middle East &amp; Africa</v>
      </c>
      <c r="D122" s="521" t="str">
        <f>IF([4]Sheet6_WLAN!A83="","",[4]Sheet6_WLAN!A83)</f>
        <v>Middle East &amp; Africa</v>
      </c>
      <c r="E122" s="424" t="str">
        <f>IF([4]Sheet6_WLAN!B83="","",[4]Sheet6_WLAN!B83)</f>
        <v>Small-Business WLAN APs</v>
      </c>
      <c r="F122" s="398" t="str">
        <f>IF([4]Sheet6_WLAN!D83 ="","",[4]Sheet6_WLAN!D83)</f>
        <v>End-User Spending ($M)</v>
      </c>
      <c r="G122" s="522" t="e">
        <f t="shared" ref="G122:N127" si="37">IF(OR($C122="",$A122=""),"",GETPIVOTDATA(""&amp;$F122&amp;"",ENI_Pivot_WLAN2,"region",$C122,"year",G$60,"Segment3",$A122))</f>
        <v>#REF!</v>
      </c>
      <c r="H122" s="523" t="e">
        <f t="shared" si="37"/>
        <v>#REF!</v>
      </c>
      <c r="I122" s="523" t="e">
        <f t="shared" si="37"/>
        <v>#REF!</v>
      </c>
      <c r="J122" s="523" t="e">
        <f t="shared" si="37"/>
        <v>#REF!</v>
      </c>
      <c r="K122" s="523" t="e">
        <f t="shared" si="37"/>
        <v>#REF!</v>
      </c>
      <c r="L122" s="523" t="e">
        <f t="shared" si="37"/>
        <v>#REF!</v>
      </c>
      <c r="M122" s="523" t="e">
        <f t="shared" si="37"/>
        <v>#REF!</v>
      </c>
      <c r="N122" s="523" t="e">
        <f t="shared" si="37"/>
        <v>#REF!</v>
      </c>
      <c r="O122" s="530" t="str">
        <f t="shared" si="17"/>
        <v/>
      </c>
      <c r="P122"/>
      <c r="Q122"/>
      <c r="R122"/>
      <c r="S122"/>
      <c r="T122"/>
      <c r="U122"/>
      <c r="V122"/>
      <c r="W122"/>
      <c r="X122"/>
      <c r="Y122"/>
      <c r="Z122"/>
      <c r="AA122"/>
      <c r="AB122"/>
      <c r="AC122"/>
      <c r="AD122"/>
      <c r="AE122"/>
    </row>
    <row r="123" spans="1:31" ht="15.75">
      <c r="A123" s="270" t="str">
        <f>IF([4]Sheet6_WLAN!B84="",A122,[4]Sheet6_WLAN!B84)</f>
        <v>Small-Business WLAN APs</v>
      </c>
      <c r="B123" s="270" t="str">
        <f t="shared" si="15"/>
        <v>Small-Business WLAN APs</v>
      </c>
      <c r="C123" s="270" t="str">
        <f t="shared" si="16"/>
        <v>Middle East &amp; Africa</v>
      </c>
      <c r="D123" s="525" t="str">
        <f>IF([4]Sheet6_WLAN!A84="","",[4]Sheet6_WLAN!A84)</f>
        <v/>
      </c>
      <c r="E123" s="425" t="str">
        <f>IF([4]Sheet6_WLAN!B84="","",[4]Sheet6_WLAN!B84)</f>
        <v/>
      </c>
      <c r="F123" s="403" t="str">
        <f>IF([4]Sheet6_WLAN!D84 ="","",[4]Sheet6_WLAN!D84)</f>
        <v>Vendor Revenue ($M)</v>
      </c>
      <c r="G123" s="526" t="e">
        <f t="shared" si="37"/>
        <v>#REF!</v>
      </c>
      <c r="H123" s="527" t="e">
        <f t="shared" si="37"/>
        <v>#REF!</v>
      </c>
      <c r="I123" s="527" t="e">
        <f t="shared" si="37"/>
        <v>#REF!</v>
      </c>
      <c r="J123" s="527" t="e">
        <f t="shared" si="37"/>
        <v>#REF!</v>
      </c>
      <c r="K123" s="527" t="e">
        <f t="shared" si="37"/>
        <v>#REF!</v>
      </c>
      <c r="L123" s="527" t="e">
        <f t="shared" si="37"/>
        <v>#REF!</v>
      </c>
      <c r="M123" s="527" t="e">
        <f t="shared" si="37"/>
        <v>#REF!</v>
      </c>
      <c r="N123" s="527" t="e">
        <f t="shared" si="37"/>
        <v>#REF!</v>
      </c>
      <c r="O123" s="531" t="str">
        <f t="shared" si="17"/>
        <v/>
      </c>
      <c r="P123"/>
      <c r="Q123"/>
      <c r="R123"/>
      <c r="S123"/>
      <c r="T123"/>
      <c r="U123"/>
      <c r="V123"/>
      <c r="W123"/>
      <c r="X123"/>
      <c r="Y123"/>
      <c r="Z123"/>
      <c r="AA123"/>
      <c r="AB123"/>
      <c r="AC123"/>
      <c r="AD123"/>
      <c r="AE123"/>
    </row>
    <row r="124" spans="1:31" ht="15.75">
      <c r="A124" s="270" t="str">
        <f>IF([4]Sheet6_WLAN!B85="",A123,[4]Sheet6_WLAN!B85)</f>
        <v>Small-Business WLAN APs</v>
      </c>
      <c r="B124" s="270" t="str">
        <f t="shared" si="15"/>
        <v>Small-Business WLAN APs</v>
      </c>
      <c r="C124" s="270" t="str">
        <f t="shared" si="16"/>
        <v>Middle East &amp; Africa</v>
      </c>
      <c r="D124" s="525" t="str">
        <f>IF([4]Sheet6_WLAN!A85="","",[4]Sheet6_WLAN!A85)</f>
        <v/>
      </c>
      <c r="E124" s="412" t="str">
        <f>IF([4]Sheet6_WLAN!B85="","",[4]Sheet6_WLAN!B85)</f>
        <v/>
      </c>
      <c r="F124" s="403" t="str">
        <f>IF([4]Sheet6_WLAN!D85 ="","",[4]Sheet6_WLAN!D85)</f>
        <v>Unit Shipments (K)</v>
      </c>
      <c r="G124" s="526" t="e">
        <f t="shared" si="37"/>
        <v>#REF!</v>
      </c>
      <c r="H124" s="527" t="e">
        <f t="shared" si="37"/>
        <v>#REF!</v>
      </c>
      <c r="I124" s="527" t="e">
        <f t="shared" si="37"/>
        <v>#REF!</v>
      </c>
      <c r="J124" s="527" t="e">
        <f t="shared" si="37"/>
        <v>#REF!</v>
      </c>
      <c r="K124" s="527" t="e">
        <f t="shared" si="37"/>
        <v>#REF!</v>
      </c>
      <c r="L124" s="527" t="e">
        <f t="shared" si="37"/>
        <v>#REF!</v>
      </c>
      <c r="M124" s="527" t="e">
        <f t="shared" si="37"/>
        <v>#REF!</v>
      </c>
      <c r="N124" s="527" t="e">
        <f t="shared" si="37"/>
        <v>#REF!</v>
      </c>
      <c r="O124" s="531" t="str">
        <f t="shared" si="17"/>
        <v/>
      </c>
      <c r="P124"/>
      <c r="Q124"/>
      <c r="R124"/>
      <c r="S124"/>
      <c r="T124"/>
      <c r="U124"/>
      <c r="V124"/>
      <c r="W124"/>
      <c r="X124"/>
      <c r="Y124"/>
      <c r="Z124"/>
      <c r="AA124"/>
      <c r="AB124"/>
      <c r="AC124"/>
      <c r="AD124"/>
      <c r="AE124"/>
    </row>
    <row r="125" spans="1:31" ht="15.75">
      <c r="A125" s="270" t="str">
        <f>IF([4]Sheet6_WLAN!B86="",A124,[4]Sheet6_WLAN!B86)</f>
        <v>Enterprise WLAN APs</v>
      </c>
      <c r="B125" s="270" t="str">
        <f t="shared" si="15"/>
        <v>Enterprise WLAN APs</v>
      </c>
      <c r="C125" s="270" t="str">
        <f t="shared" si="16"/>
        <v>Middle East &amp; Africa</v>
      </c>
      <c r="D125" s="525" t="str">
        <f>IF([4]Sheet6_WLAN!A86="","",[4]Sheet6_WLAN!A86)</f>
        <v/>
      </c>
      <c r="E125" s="425" t="str">
        <f>IF([4]Sheet6_WLAN!B86="","",[4]Sheet6_WLAN!B86)</f>
        <v>Enterprise WLAN APs</v>
      </c>
      <c r="F125" s="398" t="str">
        <f>IF([4]Sheet6_WLAN!D86 ="","",[4]Sheet6_WLAN!D86)</f>
        <v>End-User Spending ($M)</v>
      </c>
      <c r="G125" s="522" t="e">
        <f t="shared" si="37"/>
        <v>#REF!</v>
      </c>
      <c r="H125" s="523" t="e">
        <f t="shared" si="37"/>
        <v>#REF!</v>
      </c>
      <c r="I125" s="523" t="e">
        <f t="shared" si="37"/>
        <v>#REF!</v>
      </c>
      <c r="J125" s="523" t="e">
        <f t="shared" si="37"/>
        <v>#REF!</v>
      </c>
      <c r="K125" s="523" t="e">
        <f t="shared" si="37"/>
        <v>#REF!</v>
      </c>
      <c r="L125" s="523" t="e">
        <f t="shared" si="37"/>
        <v>#REF!</v>
      </c>
      <c r="M125" s="523" t="e">
        <f t="shared" si="37"/>
        <v>#REF!</v>
      </c>
      <c r="N125" s="523" t="e">
        <f t="shared" si="37"/>
        <v>#REF!</v>
      </c>
      <c r="O125" s="530" t="str">
        <f t="shared" si="17"/>
        <v/>
      </c>
      <c r="P125"/>
      <c r="Q125"/>
      <c r="R125"/>
      <c r="S125"/>
      <c r="T125"/>
      <c r="U125"/>
      <c r="V125"/>
      <c r="W125"/>
      <c r="X125"/>
      <c r="Y125"/>
      <c r="Z125"/>
      <c r="AA125"/>
      <c r="AB125"/>
      <c r="AC125"/>
      <c r="AD125"/>
      <c r="AE125"/>
    </row>
    <row r="126" spans="1:31" ht="15.75">
      <c r="A126" s="270" t="str">
        <f>IF([4]Sheet6_WLAN!B87="",A125,[4]Sheet6_WLAN!B87)</f>
        <v>Enterprise WLAN APs</v>
      </c>
      <c r="B126" s="270" t="str">
        <f t="shared" si="15"/>
        <v>Enterprise WLAN APs</v>
      </c>
      <c r="C126" s="270" t="str">
        <f t="shared" si="16"/>
        <v>Middle East &amp; Africa</v>
      </c>
      <c r="D126" s="525" t="str">
        <f>IF([4]Sheet6_WLAN!A87="","",[4]Sheet6_WLAN!A87)</f>
        <v/>
      </c>
      <c r="E126" s="425" t="str">
        <f>IF([4]Sheet6_WLAN!B87="","",[4]Sheet6_WLAN!B87)</f>
        <v/>
      </c>
      <c r="F126" s="403" t="str">
        <f>IF([4]Sheet6_WLAN!D87 ="","",[4]Sheet6_WLAN!D87)</f>
        <v>Vendor Revenue ($M)</v>
      </c>
      <c r="G126" s="526" t="e">
        <f t="shared" si="37"/>
        <v>#REF!</v>
      </c>
      <c r="H126" s="527" t="e">
        <f t="shared" si="37"/>
        <v>#REF!</v>
      </c>
      <c r="I126" s="527" t="e">
        <f t="shared" si="37"/>
        <v>#REF!</v>
      </c>
      <c r="J126" s="527" t="e">
        <f t="shared" si="37"/>
        <v>#REF!</v>
      </c>
      <c r="K126" s="527" t="e">
        <f t="shared" si="37"/>
        <v>#REF!</v>
      </c>
      <c r="L126" s="527" t="e">
        <f t="shared" si="37"/>
        <v>#REF!</v>
      </c>
      <c r="M126" s="527" t="e">
        <f t="shared" si="37"/>
        <v>#REF!</v>
      </c>
      <c r="N126" s="527" t="e">
        <f t="shared" si="37"/>
        <v>#REF!</v>
      </c>
      <c r="O126" s="531" t="str">
        <f t="shared" si="17"/>
        <v/>
      </c>
      <c r="P126"/>
      <c r="Q126"/>
      <c r="R126"/>
      <c r="S126"/>
      <c r="T126"/>
      <c r="U126"/>
      <c r="V126"/>
      <c r="W126"/>
      <c r="X126"/>
      <c r="Y126"/>
      <c r="Z126"/>
      <c r="AA126"/>
      <c r="AB126"/>
      <c r="AC126"/>
      <c r="AD126"/>
      <c r="AE126"/>
    </row>
    <row r="127" spans="1:31" ht="15.75">
      <c r="A127" s="270" t="str">
        <f>IF([4]Sheet6_WLAN!B88="",A126,[4]Sheet6_WLAN!B88)</f>
        <v>Enterprise WLAN APs</v>
      </c>
      <c r="B127" s="270" t="str">
        <f t="shared" ref="B127:B163" si="38">IF(E127&lt;&gt;"",E127,B126)</f>
        <v>Enterprise WLAN APs</v>
      </c>
      <c r="C127" s="270" t="str">
        <f t="shared" ref="C127:C166" si="39">IF(D127&lt;&gt;"",D127,C126)</f>
        <v>Middle East &amp; Africa</v>
      </c>
      <c r="D127" s="525" t="str">
        <f>IF([4]Sheet6_WLAN!A88="","",[4]Sheet6_WLAN!A88)</f>
        <v/>
      </c>
      <c r="E127" s="425" t="str">
        <f>IF([4]Sheet6_WLAN!B88="","",[4]Sheet6_WLAN!B88)</f>
        <v/>
      </c>
      <c r="F127" s="403" t="str">
        <f>IF([4]Sheet6_WLAN!D88 ="","",[4]Sheet6_WLAN!D88)</f>
        <v>Unit Shipments (K)</v>
      </c>
      <c r="G127" s="529" t="e">
        <f t="shared" si="37"/>
        <v>#REF!</v>
      </c>
      <c r="H127" s="510" t="e">
        <f t="shared" si="37"/>
        <v>#REF!</v>
      </c>
      <c r="I127" s="510" t="e">
        <f t="shared" si="37"/>
        <v>#REF!</v>
      </c>
      <c r="J127" s="510" t="e">
        <f t="shared" si="37"/>
        <v>#REF!</v>
      </c>
      <c r="K127" s="510" t="e">
        <f t="shared" si="37"/>
        <v>#REF!</v>
      </c>
      <c r="L127" s="510" t="e">
        <f t="shared" si="37"/>
        <v>#REF!</v>
      </c>
      <c r="M127" s="510" t="e">
        <f t="shared" si="37"/>
        <v>#REF!</v>
      </c>
      <c r="N127" s="510" t="e">
        <f t="shared" si="37"/>
        <v>#REF!</v>
      </c>
      <c r="O127" s="531" t="str">
        <f t="shared" ref="O127:O165" si="40">IF( ISERROR((IF(I127=0,"NA",(N127/I127)^(1/5)-1))), "",(IF(I127=0,"NA",(N127/I127)^(1/5)-1)) )</f>
        <v/>
      </c>
      <c r="P127"/>
      <c r="Q127"/>
      <c r="R127"/>
      <c r="S127"/>
      <c r="T127"/>
      <c r="U127"/>
      <c r="V127"/>
      <c r="W127"/>
      <c r="X127"/>
      <c r="Y127"/>
      <c r="Z127"/>
      <c r="AA127"/>
      <c r="AB127"/>
      <c r="AC127"/>
      <c r="AD127"/>
      <c r="AE127"/>
    </row>
    <row r="128" spans="1:31" ht="15.75">
      <c r="A128" s="270" t="str">
        <f>IF([4]Sheet6_WLAN!B89="",A127,[4]Sheet6_WLAN!B89)</f>
        <v>Enterprise WLAN Other</v>
      </c>
      <c r="B128" s="270" t="str">
        <f t="shared" si="38"/>
        <v>Enterprise WLAN Controllers</v>
      </c>
      <c r="C128" s="270" t="str">
        <f t="shared" si="39"/>
        <v>Middle East &amp; Africa</v>
      </c>
      <c r="D128" s="525" t="str">
        <f>IF([4]Sheet6_WLAN!A89="","",[4]Sheet6_WLAN!A89)</f>
        <v/>
      </c>
      <c r="E128" s="424" t="str">
        <f>IF([4]Sheet6_WLAN!C89="","",[4]Sheet6_WLAN!C89)</f>
        <v>Enterprise WLAN Controllers</v>
      </c>
      <c r="F128" s="398" t="str">
        <f>IF([4]Sheet6_WLAN!D89 ="","",[4]Sheet6_WLAN!D89)</f>
        <v>End-User Spending ($M)</v>
      </c>
      <c r="G128" s="526" t="e">
        <f t="shared" ref="G128:N133" si="41">IF(OR($A128="",$C128="",$B128=""),"",GETPIVOTDATA(""&amp;$F128&amp;"",ENI_Pivot_WLAN2,"region",$C128,"year",G$60,"Segment3",$A128,"Segment4",$B128))</f>
        <v>#REF!</v>
      </c>
      <c r="H128" s="527" t="e">
        <f t="shared" si="41"/>
        <v>#REF!</v>
      </c>
      <c r="I128" s="527" t="e">
        <f t="shared" si="41"/>
        <v>#REF!</v>
      </c>
      <c r="J128" s="527" t="e">
        <f t="shared" si="41"/>
        <v>#REF!</v>
      </c>
      <c r="K128" s="527" t="e">
        <f t="shared" si="41"/>
        <v>#REF!</v>
      </c>
      <c r="L128" s="527" t="e">
        <f t="shared" si="41"/>
        <v>#REF!</v>
      </c>
      <c r="M128" s="527" t="e">
        <f t="shared" si="41"/>
        <v>#REF!</v>
      </c>
      <c r="N128" s="527" t="e">
        <f t="shared" si="41"/>
        <v>#REF!</v>
      </c>
      <c r="O128" s="530" t="str">
        <f t="shared" si="40"/>
        <v/>
      </c>
      <c r="P128"/>
      <c r="Q128"/>
      <c r="R128"/>
      <c r="S128"/>
      <c r="T128"/>
      <c r="U128"/>
      <c r="V128"/>
      <c r="W128"/>
      <c r="X128"/>
      <c r="Y128"/>
      <c r="Z128"/>
      <c r="AA128"/>
      <c r="AB128"/>
      <c r="AC128"/>
      <c r="AD128"/>
      <c r="AE128"/>
    </row>
    <row r="129" spans="1:31" ht="15.75">
      <c r="A129" s="270" t="str">
        <f>IF([4]Sheet6_WLAN!B90="",A128,[4]Sheet6_WLAN!B90)</f>
        <v>Enterprise WLAN Other</v>
      </c>
      <c r="B129" s="270" t="str">
        <f t="shared" si="38"/>
        <v>Enterprise WLAN Controllers</v>
      </c>
      <c r="C129" s="270" t="str">
        <f t="shared" si="39"/>
        <v>Middle East &amp; Africa</v>
      </c>
      <c r="D129" s="525" t="str">
        <f>IF([4]Sheet6_WLAN!A90="","",[4]Sheet6_WLAN!A90)</f>
        <v/>
      </c>
      <c r="E129" s="425" t="str">
        <f>IF([4]Sheet6_WLAN!C90="","",[4]Sheet6_WLAN!C90)</f>
        <v/>
      </c>
      <c r="F129" s="403" t="str">
        <f>IF([4]Sheet6_WLAN!D90 ="","",[4]Sheet6_WLAN!D90)</f>
        <v>Vendor Revenue ($M)</v>
      </c>
      <c r="G129" s="526" t="e">
        <f t="shared" si="41"/>
        <v>#REF!</v>
      </c>
      <c r="H129" s="527" t="e">
        <f t="shared" si="41"/>
        <v>#REF!</v>
      </c>
      <c r="I129" s="527" t="e">
        <f t="shared" si="41"/>
        <v>#REF!</v>
      </c>
      <c r="J129" s="527" t="e">
        <f t="shared" si="41"/>
        <v>#REF!</v>
      </c>
      <c r="K129" s="527" t="e">
        <f t="shared" si="41"/>
        <v>#REF!</v>
      </c>
      <c r="L129" s="527" t="e">
        <f t="shared" si="41"/>
        <v>#REF!</v>
      </c>
      <c r="M129" s="527" t="e">
        <f t="shared" si="41"/>
        <v>#REF!</v>
      </c>
      <c r="N129" s="527" t="e">
        <f t="shared" si="41"/>
        <v>#REF!</v>
      </c>
      <c r="O129" s="531" t="str">
        <f t="shared" si="40"/>
        <v/>
      </c>
      <c r="P129"/>
      <c r="Q129"/>
      <c r="R129"/>
      <c r="S129"/>
      <c r="T129"/>
      <c r="U129"/>
      <c r="V129"/>
      <c r="W129"/>
      <c r="X129"/>
      <c r="Y129"/>
      <c r="Z129"/>
      <c r="AA129"/>
      <c r="AB129"/>
      <c r="AC129"/>
      <c r="AD129"/>
      <c r="AE129"/>
    </row>
    <row r="130" spans="1:31" ht="15.75">
      <c r="A130" s="270" t="str">
        <f>IF([4]Sheet6_WLAN!B91="",A129,[4]Sheet6_WLAN!B91)</f>
        <v>Enterprise WLAN Other</v>
      </c>
      <c r="B130" s="270" t="str">
        <f t="shared" si="38"/>
        <v>Enterprise WLAN Controllers</v>
      </c>
      <c r="C130" s="270" t="str">
        <f t="shared" si="39"/>
        <v>Middle East &amp; Africa</v>
      </c>
      <c r="D130" s="525" t="str">
        <f>IF([4]Sheet6_WLAN!A91="","",[4]Sheet6_WLAN!A91)</f>
        <v/>
      </c>
      <c r="E130" s="412" t="str">
        <f>IF([4]Sheet6_WLAN!C91="","",[4]Sheet6_WLAN!C91)</f>
        <v/>
      </c>
      <c r="F130" s="403" t="str">
        <f>IF([4]Sheet6_WLAN!D91 ="","",[4]Sheet6_WLAN!D91)</f>
        <v>Unit Shipments (K)</v>
      </c>
      <c r="G130" s="526" t="e">
        <f t="shared" si="41"/>
        <v>#REF!</v>
      </c>
      <c r="H130" s="527" t="e">
        <f t="shared" si="41"/>
        <v>#REF!</v>
      </c>
      <c r="I130" s="527" t="e">
        <f t="shared" si="41"/>
        <v>#REF!</v>
      </c>
      <c r="J130" s="527" t="e">
        <f t="shared" si="41"/>
        <v>#REF!</v>
      </c>
      <c r="K130" s="527" t="e">
        <f t="shared" si="41"/>
        <v>#REF!</v>
      </c>
      <c r="L130" s="527" t="e">
        <f t="shared" si="41"/>
        <v>#REF!</v>
      </c>
      <c r="M130" s="527" t="e">
        <f t="shared" si="41"/>
        <v>#REF!</v>
      </c>
      <c r="N130" s="527" t="e">
        <f t="shared" si="41"/>
        <v>#REF!</v>
      </c>
      <c r="O130" s="531" t="str">
        <f t="shared" si="40"/>
        <v/>
      </c>
      <c r="P130"/>
      <c r="Q130"/>
      <c r="R130"/>
      <c r="S130"/>
      <c r="T130"/>
      <c r="U130"/>
      <c r="V130"/>
      <c r="W130"/>
      <c r="X130"/>
      <c r="Y130"/>
      <c r="Z130"/>
      <c r="AA130"/>
      <c r="AB130"/>
      <c r="AC130"/>
      <c r="AD130"/>
      <c r="AE130"/>
    </row>
    <row r="131" spans="1:31" ht="15.75">
      <c r="A131" s="270" t="str">
        <f>IF([4]Sheet6_WLAN!B92="",A130,[4]Sheet6_WLAN!B92)</f>
        <v>Enterprise WLAN Other</v>
      </c>
      <c r="B131" s="270" t="str">
        <f t="shared" si="38"/>
        <v xml:space="preserve">Enterprise WLAN Enhancement Products </v>
      </c>
      <c r="C131" s="270" t="str">
        <f t="shared" si="39"/>
        <v>Middle East &amp; Africa</v>
      </c>
      <c r="D131" s="525" t="str">
        <f>IF([4]Sheet6_WLAN!A92="","",[4]Sheet6_WLAN!A92)</f>
        <v/>
      </c>
      <c r="E131" s="425" t="str">
        <f>IF([4]Sheet6_WLAN!C92="","",[4]Sheet6_WLAN!C92)</f>
        <v xml:space="preserve">Enterprise WLAN Enhancement Products </v>
      </c>
      <c r="F131" s="398" t="str">
        <f>IF([4]Sheet6_WLAN!D92 ="","",[4]Sheet6_WLAN!D92)</f>
        <v>End-User Spending ($M)</v>
      </c>
      <c r="G131" s="522" t="e">
        <f t="shared" si="41"/>
        <v>#REF!</v>
      </c>
      <c r="H131" s="523" t="e">
        <f t="shared" si="41"/>
        <v>#REF!</v>
      </c>
      <c r="I131" s="523" t="e">
        <f t="shared" si="41"/>
        <v>#REF!</v>
      </c>
      <c r="J131" s="523" t="e">
        <f t="shared" si="41"/>
        <v>#REF!</v>
      </c>
      <c r="K131" s="523" t="e">
        <f t="shared" si="41"/>
        <v>#REF!</v>
      </c>
      <c r="L131" s="523" t="e">
        <f t="shared" si="41"/>
        <v>#REF!</v>
      </c>
      <c r="M131" s="523" t="e">
        <f t="shared" si="41"/>
        <v>#REF!</v>
      </c>
      <c r="N131" s="523" t="e">
        <f t="shared" si="41"/>
        <v>#REF!</v>
      </c>
      <c r="O131" s="530" t="str">
        <f t="shared" si="40"/>
        <v/>
      </c>
      <c r="P131"/>
      <c r="Q131"/>
      <c r="R131"/>
      <c r="S131"/>
      <c r="T131"/>
      <c r="U131"/>
      <c r="V131"/>
      <c r="W131"/>
      <c r="X131"/>
      <c r="Y131"/>
      <c r="Z131"/>
      <c r="AA131"/>
      <c r="AB131"/>
      <c r="AC131"/>
      <c r="AD131"/>
      <c r="AE131"/>
    </row>
    <row r="132" spans="1:31" ht="15.75">
      <c r="A132" s="270" t="str">
        <f>IF([4]Sheet6_WLAN!B93="",A131,[4]Sheet6_WLAN!B93)</f>
        <v>Enterprise WLAN Other</v>
      </c>
      <c r="B132" s="270" t="str">
        <f t="shared" si="38"/>
        <v xml:space="preserve">Enterprise WLAN Enhancement Products </v>
      </c>
      <c r="C132" s="270" t="str">
        <f t="shared" si="39"/>
        <v>Middle East &amp; Africa</v>
      </c>
      <c r="D132" s="532" t="str">
        <f>IF([4]Sheet6_WLAN!A93="","",[4]Sheet6_WLAN!A93)</f>
        <v/>
      </c>
      <c r="E132" s="425" t="str">
        <f>IF([4]Sheet6_WLAN!C93="","",[4]Sheet6_WLAN!C93)</f>
        <v/>
      </c>
      <c r="F132" s="403" t="str">
        <f>IF([4]Sheet6_WLAN!D93 ="","",[4]Sheet6_WLAN!D93)</f>
        <v>Vendor Revenue ($M)</v>
      </c>
      <c r="G132" s="529" t="e">
        <f t="shared" si="41"/>
        <v>#REF!</v>
      </c>
      <c r="H132" s="510" t="e">
        <f t="shared" si="41"/>
        <v>#REF!</v>
      </c>
      <c r="I132" s="510" t="e">
        <f t="shared" si="41"/>
        <v>#REF!</v>
      </c>
      <c r="J132" s="510" t="e">
        <f t="shared" si="41"/>
        <v>#REF!</v>
      </c>
      <c r="K132" s="510" t="e">
        <f t="shared" si="41"/>
        <v>#REF!</v>
      </c>
      <c r="L132" s="510" t="e">
        <f t="shared" si="41"/>
        <v>#REF!</v>
      </c>
      <c r="M132" s="510" t="e">
        <f t="shared" si="41"/>
        <v>#REF!</v>
      </c>
      <c r="N132" s="510" t="e">
        <f t="shared" si="41"/>
        <v>#REF!</v>
      </c>
      <c r="O132" s="531" t="str">
        <f t="shared" si="40"/>
        <v/>
      </c>
      <c r="P132"/>
      <c r="Q132"/>
      <c r="R132"/>
      <c r="S132"/>
      <c r="T132"/>
      <c r="U132"/>
      <c r="V132"/>
      <c r="W132"/>
      <c r="X132"/>
      <c r="Y132"/>
      <c r="Z132"/>
      <c r="AA132"/>
      <c r="AB132"/>
      <c r="AC132"/>
      <c r="AD132"/>
      <c r="AE132"/>
    </row>
    <row r="133" spans="1:31" ht="15.75" hidden="1">
      <c r="A133" s="270" t="str">
        <f>IF([4]Sheet6_WLAN!B94="",A132,[4]Sheet6_WLAN!B94)</f>
        <v>Enterprise WLAN Other</v>
      </c>
      <c r="B133" s="270" t="str">
        <f t="shared" si="38"/>
        <v xml:space="preserve">Enterprise WLAN Enhancement Products </v>
      </c>
      <c r="C133" s="270" t="str">
        <f t="shared" si="39"/>
        <v>Middle East &amp; Africa</v>
      </c>
      <c r="D133" s="532" t="str">
        <f>IF([4]Sheet6_WLAN!A94="","",[4]Sheet6_WLAN!A94)</f>
        <v/>
      </c>
      <c r="E133" s="425" t="str">
        <f>IF([4]Sheet6_WLAN!C94="","",[4]Sheet6_WLAN!C94)</f>
        <v/>
      </c>
      <c r="F133" s="403" t="str">
        <f>IF([4]Sheet6_WLAN!D94 ="","",[4]Sheet6_WLAN!D94)</f>
        <v>Unit Shipments (K)</v>
      </c>
      <c r="G133" s="529" t="e">
        <f t="shared" si="41"/>
        <v>#REF!</v>
      </c>
      <c r="H133" s="510" t="e">
        <f t="shared" si="41"/>
        <v>#REF!</v>
      </c>
      <c r="I133" s="510" t="e">
        <f t="shared" si="41"/>
        <v>#REF!</v>
      </c>
      <c r="J133" s="510" t="e">
        <f t="shared" si="41"/>
        <v>#REF!</v>
      </c>
      <c r="K133" s="510" t="e">
        <f t="shared" si="41"/>
        <v>#REF!</v>
      </c>
      <c r="L133" s="510" t="e">
        <f t="shared" si="41"/>
        <v>#REF!</v>
      </c>
      <c r="M133" s="510" t="e">
        <f t="shared" si="41"/>
        <v>#REF!</v>
      </c>
      <c r="N133" s="510" t="e">
        <f t="shared" si="41"/>
        <v>#REF!</v>
      </c>
      <c r="O133" s="531" t="str">
        <f t="shared" si="40"/>
        <v/>
      </c>
      <c r="P133"/>
      <c r="Q133"/>
      <c r="R133"/>
      <c r="S133"/>
      <c r="T133"/>
      <c r="U133"/>
      <c r="V133"/>
      <c r="W133"/>
      <c r="X133"/>
      <c r="Y133"/>
      <c r="Z133"/>
      <c r="AA133"/>
      <c r="AB133"/>
      <c r="AC133"/>
      <c r="AD133"/>
      <c r="AE133"/>
    </row>
    <row r="134" spans="1:31" ht="15.75">
      <c r="A134" s="270" t="str">
        <f>IF([4]Sheet6_WLAN!B95="",A133,[4]Sheet6_WLAN!B95)</f>
        <v>Enterprise WLAN Other</v>
      </c>
      <c r="B134" s="270" t="str">
        <f t="shared" si="38"/>
        <v xml:space="preserve">Enterprise WLAN Enhancement Products </v>
      </c>
      <c r="C134" s="270" t="str">
        <f t="shared" si="39"/>
        <v>Middle East &amp; Africa End-User Spending ($M)</v>
      </c>
      <c r="D134" s="533" t="str">
        <f>IF([4]Sheet6_WLAN!A95="","",[4]Sheet6_WLAN!A95)</f>
        <v>Middle East &amp; Africa End-User Spending ($M)</v>
      </c>
      <c r="E134" s="419" t="str">
        <f>IF([4]Sheet6_WLAN!B95="","",[4]Sheet6_WLAN!B95)</f>
        <v/>
      </c>
      <c r="F134" s="419" t="str">
        <f>IF([4]Sheet6_WLAN!D95 ="","",[4]Sheet6_WLAN!D95)</f>
        <v/>
      </c>
      <c r="G134" s="510" t="e">
        <f t="shared" ref="G134:N134" si="42">GETPIVOTDATA(""&amp;$F131&amp;"",ENI_Pivot_WLAN2,"region",$C131,"year",G$60)</f>
        <v>#REF!</v>
      </c>
      <c r="H134" s="510" t="e">
        <f t="shared" si="42"/>
        <v>#REF!</v>
      </c>
      <c r="I134" s="510" t="e">
        <f t="shared" si="42"/>
        <v>#REF!</v>
      </c>
      <c r="J134" s="510" t="e">
        <f t="shared" si="42"/>
        <v>#REF!</v>
      </c>
      <c r="K134" s="510" t="e">
        <f t="shared" si="42"/>
        <v>#REF!</v>
      </c>
      <c r="L134" s="510" t="e">
        <f t="shared" si="42"/>
        <v>#REF!</v>
      </c>
      <c r="M134" s="510" t="e">
        <f t="shared" si="42"/>
        <v>#REF!</v>
      </c>
      <c r="N134" s="510" t="e">
        <f t="shared" si="42"/>
        <v>#REF!</v>
      </c>
      <c r="O134" s="536" t="str">
        <f t="shared" si="40"/>
        <v/>
      </c>
      <c r="P134"/>
      <c r="Q134"/>
      <c r="R134"/>
      <c r="S134"/>
      <c r="T134"/>
      <c r="U134"/>
      <c r="V134"/>
      <c r="W134"/>
      <c r="X134"/>
      <c r="Y134"/>
      <c r="Z134"/>
      <c r="AA134"/>
      <c r="AB134"/>
      <c r="AC134"/>
      <c r="AD134"/>
      <c r="AE134"/>
    </row>
    <row r="135" spans="1:31" ht="15.75">
      <c r="A135" s="270" t="str">
        <f>IF([4]Sheet6_WLAN!B96="",A134,[4]Sheet6_WLAN!B96)</f>
        <v>Enterprise WLAN Other</v>
      </c>
      <c r="B135" s="270" t="str">
        <f t="shared" si="38"/>
        <v xml:space="preserve">Enterprise WLAN Enhancement Products </v>
      </c>
      <c r="C135" s="270" t="str">
        <f t="shared" si="39"/>
        <v>Middle East &amp; Africa Vendor Revenue ($M)</v>
      </c>
      <c r="D135" s="534" t="str">
        <f>IF([4]Sheet6_WLAN!A96="","",[4]Sheet6_WLAN!A96)</f>
        <v>Middle East &amp; Africa Vendor Revenue ($M)</v>
      </c>
      <c r="E135" s="504" t="str">
        <f>IF([4]Sheet6_WLAN!B96="","",[4]Sheet6_WLAN!B96)</f>
        <v/>
      </c>
      <c r="F135" s="504" t="str">
        <f>IF([4]Sheet6_WLAN!D96 ="","",[4]Sheet6_WLAN!D96)</f>
        <v/>
      </c>
      <c r="G135" s="510" t="e">
        <f t="shared" ref="G135:N135" si="43">GETPIVOTDATA(""&amp;$F132&amp;"",ENI_Pivot_WLAN2,"region",$C132,"year",G$60)</f>
        <v>#REF!</v>
      </c>
      <c r="H135" s="510" t="e">
        <f t="shared" si="43"/>
        <v>#REF!</v>
      </c>
      <c r="I135" s="510" t="e">
        <f t="shared" si="43"/>
        <v>#REF!</v>
      </c>
      <c r="J135" s="510" t="e">
        <f t="shared" si="43"/>
        <v>#REF!</v>
      </c>
      <c r="K135" s="510" t="e">
        <f t="shared" si="43"/>
        <v>#REF!</v>
      </c>
      <c r="L135" s="510" t="e">
        <f t="shared" si="43"/>
        <v>#REF!</v>
      </c>
      <c r="M135" s="510" t="e">
        <f t="shared" si="43"/>
        <v>#REF!</v>
      </c>
      <c r="N135" s="510" t="e">
        <f t="shared" si="43"/>
        <v>#REF!</v>
      </c>
      <c r="O135" s="530" t="str">
        <f t="shared" si="40"/>
        <v/>
      </c>
      <c r="P135"/>
      <c r="Q135"/>
      <c r="R135"/>
      <c r="S135"/>
      <c r="T135"/>
      <c r="U135"/>
      <c r="V135"/>
      <c r="W135"/>
      <c r="X135"/>
      <c r="Y135"/>
      <c r="Z135"/>
      <c r="AA135"/>
      <c r="AB135"/>
      <c r="AC135"/>
      <c r="AD135"/>
      <c r="AE135"/>
    </row>
    <row r="136" spans="1:31" ht="15.75" hidden="1">
      <c r="A136" s="270" t="str">
        <f>IF([4]Sheet6_WLAN!B97="",A135,[4]Sheet6_WLAN!B97)</f>
        <v>Enterprise WLAN Other</v>
      </c>
      <c r="B136" s="270" t="str">
        <f t="shared" si="38"/>
        <v xml:space="preserve">Enterprise WLAN Enhancement Products </v>
      </c>
      <c r="C136" s="270" t="str">
        <f t="shared" si="39"/>
        <v>Middle East &amp; Africa Unit Shipments (K)</v>
      </c>
      <c r="D136" s="533" t="str">
        <f>IF([4]Sheet6_WLAN!A97="","",[4]Sheet6_WLAN!A97)</f>
        <v>Middle East &amp; Africa Unit Shipments (K)</v>
      </c>
      <c r="E136" s="420" t="str">
        <f>IF([4]Sheet6_WLAN!B97="","",[4]Sheet6_WLAN!B97)</f>
        <v/>
      </c>
      <c r="F136" s="420" t="str">
        <f>IF([4]Sheet6_WLAN!D97 ="","",[4]Sheet6_WLAN!D97)</f>
        <v/>
      </c>
      <c r="G136" s="510" t="e">
        <f t="shared" ref="G136:N136" si="44">GETPIVOTDATA(""&amp;$F133&amp;"",ENI_Pivot_WLAN2,"region",$C133,"year",G$60)</f>
        <v>#REF!</v>
      </c>
      <c r="H136" s="510" t="e">
        <f t="shared" si="44"/>
        <v>#REF!</v>
      </c>
      <c r="I136" s="510" t="e">
        <f t="shared" si="44"/>
        <v>#REF!</v>
      </c>
      <c r="J136" s="510" t="e">
        <f t="shared" si="44"/>
        <v>#REF!</v>
      </c>
      <c r="K136" s="510" t="e">
        <f t="shared" si="44"/>
        <v>#REF!</v>
      </c>
      <c r="L136" s="510" t="e">
        <f t="shared" si="44"/>
        <v>#REF!</v>
      </c>
      <c r="M136" s="510" t="e">
        <f t="shared" si="44"/>
        <v>#REF!</v>
      </c>
      <c r="N136" s="510" t="e">
        <f t="shared" si="44"/>
        <v>#REF!</v>
      </c>
      <c r="O136" s="531" t="str">
        <f t="shared" si="40"/>
        <v/>
      </c>
      <c r="P136"/>
      <c r="Q136"/>
      <c r="R136"/>
      <c r="S136"/>
      <c r="T136"/>
      <c r="U136"/>
      <c r="V136"/>
      <c r="W136"/>
      <c r="X136"/>
      <c r="Y136"/>
      <c r="Z136"/>
      <c r="AA136"/>
      <c r="AB136"/>
      <c r="AC136"/>
      <c r="AD136"/>
      <c r="AE136"/>
    </row>
    <row r="137" spans="1:31" ht="15.75">
      <c r="A137" s="270" t="str">
        <f>IF([4]Sheet6_WLAN!B98="",A136,[4]Sheet6_WLAN!B98)</f>
        <v>Small-Business WLAN APs</v>
      </c>
      <c r="B137" s="270" t="str">
        <f t="shared" si="38"/>
        <v>Small-Business WLAN APs</v>
      </c>
      <c r="C137" s="270" t="str">
        <f t="shared" si="39"/>
        <v>North America</v>
      </c>
      <c r="D137" s="521" t="str">
        <f>IF([4]Sheet6_WLAN!A98="","",[4]Sheet6_WLAN!A98)</f>
        <v>North America</v>
      </c>
      <c r="E137" s="424" t="str">
        <f>IF([4]Sheet6_WLAN!B98="","",[4]Sheet6_WLAN!B98)</f>
        <v>Small-Business WLAN APs</v>
      </c>
      <c r="F137" s="398" t="str">
        <f>IF([4]Sheet6_WLAN!D98 ="","",[4]Sheet6_WLAN!D98)</f>
        <v>End-User Spending ($M)</v>
      </c>
      <c r="G137" s="522" t="e">
        <f t="shared" ref="G137:N142" si="45">IF(OR($C137="",$A137=""),"",GETPIVOTDATA(""&amp;$F137&amp;"",ENI_Pivot_WLAN2,"region",$C137,"year",G$60,"Segment3",$A137))</f>
        <v>#REF!</v>
      </c>
      <c r="H137" s="523" t="e">
        <f t="shared" si="45"/>
        <v>#REF!</v>
      </c>
      <c r="I137" s="523" t="e">
        <f t="shared" si="45"/>
        <v>#REF!</v>
      </c>
      <c r="J137" s="523" t="e">
        <f t="shared" si="45"/>
        <v>#REF!</v>
      </c>
      <c r="K137" s="523" t="e">
        <f t="shared" si="45"/>
        <v>#REF!</v>
      </c>
      <c r="L137" s="523" t="e">
        <f t="shared" si="45"/>
        <v>#REF!</v>
      </c>
      <c r="M137" s="523" t="e">
        <f t="shared" si="45"/>
        <v>#REF!</v>
      </c>
      <c r="N137" s="523" t="e">
        <f t="shared" si="45"/>
        <v>#REF!</v>
      </c>
      <c r="O137" s="530" t="str">
        <f t="shared" si="40"/>
        <v/>
      </c>
      <c r="P137"/>
      <c r="Q137"/>
      <c r="R137"/>
      <c r="S137"/>
      <c r="T137"/>
      <c r="U137"/>
      <c r="V137"/>
      <c r="W137"/>
      <c r="X137"/>
      <c r="Y137"/>
      <c r="Z137"/>
      <c r="AA137"/>
      <c r="AB137"/>
      <c r="AC137"/>
      <c r="AD137"/>
      <c r="AE137"/>
    </row>
    <row r="138" spans="1:31" ht="15.75">
      <c r="A138" s="270" t="str">
        <f>IF([4]Sheet6_WLAN!B99="",A137,[4]Sheet6_WLAN!B99)</f>
        <v>Small-Business WLAN APs</v>
      </c>
      <c r="B138" s="270" t="str">
        <f t="shared" si="38"/>
        <v>Small-Business WLAN APs</v>
      </c>
      <c r="C138" s="270" t="str">
        <f t="shared" si="39"/>
        <v>North America</v>
      </c>
      <c r="D138" s="525" t="str">
        <f>IF([4]Sheet6_WLAN!A99="","",[4]Sheet6_WLAN!A99)</f>
        <v/>
      </c>
      <c r="E138" s="425" t="str">
        <f>IF([4]Sheet6_WLAN!B99="","",[4]Sheet6_WLAN!B99)</f>
        <v/>
      </c>
      <c r="F138" s="403" t="str">
        <f>IF([4]Sheet6_WLAN!D99 ="","",[4]Sheet6_WLAN!D99)</f>
        <v>Vendor Revenue ($M)</v>
      </c>
      <c r="G138" s="526" t="e">
        <f t="shared" si="45"/>
        <v>#REF!</v>
      </c>
      <c r="H138" s="527" t="e">
        <f t="shared" si="45"/>
        <v>#REF!</v>
      </c>
      <c r="I138" s="527" t="e">
        <f t="shared" si="45"/>
        <v>#REF!</v>
      </c>
      <c r="J138" s="527" t="e">
        <f t="shared" si="45"/>
        <v>#REF!</v>
      </c>
      <c r="K138" s="527" t="e">
        <f t="shared" si="45"/>
        <v>#REF!</v>
      </c>
      <c r="L138" s="527" t="e">
        <f t="shared" si="45"/>
        <v>#REF!</v>
      </c>
      <c r="M138" s="527" t="e">
        <f t="shared" si="45"/>
        <v>#REF!</v>
      </c>
      <c r="N138" s="527" t="e">
        <f t="shared" si="45"/>
        <v>#REF!</v>
      </c>
      <c r="O138" s="531" t="str">
        <f t="shared" si="40"/>
        <v/>
      </c>
      <c r="P138"/>
      <c r="Q138"/>
      <c r="R138"/>
      <c r="S138"/>
      <c r="T138"/>
      <c r="U138"/>
      <c r="V138"/>
      <c r="W138"/>
      <c r="X138"/>
      <c r="Y138"/>
      <c r="Z138"/>
      <c r="AA138"/>
      <c r="AB138"/>
      <c r="AC138"/>
      <c r="AD138"/>
      <c r="AE138"/>
    </row>
    <row r="139" spans="1:31" ht="15.75">
      <c r="A139" s="270" t="str">
        <f>IF([4]Sheet6_WLAN!B100="",A138,[4]Sheet6_WLAN!B100)</f>
        <v>Small-Business WLAN APs</v>
      </c>
      <c r="B139" s="270" t="str">
        <f t="shared" si="38"/>
        <v>Small-Business WLAN APs</v>
      </c>
      <c r="C139" s="270" t="str">
        <f t="shared" si="39"/>
        <v>North America</v>
      </c>
      <c r="D139" s="525" t="str">
        <f>IF([4]Sheet6_WLAN!A100="","",[4]Sheet6_WLAN!A100)</f>
        <v/>
      </c>
      <c r="E139" s="425" t="str">
        <f>IF([4]Sheet6_WLAN!B100="","",[4]Sheet6_WLAN!B100)</f>
        <v/>
      </c>
      <c r="F139" s="418" t="str">
        <f>IF([4]Sheet6_WLAN!D100 ="","",[4]Sheet6_WLAN!D100)</f>
        <v>Unit Shipments (K)</v>
      </c>
      <c r="G139" s="526" t="e">
        <f t="shared" si="45"/>
        <v>#REF!</v>
      </c>
      <c r="H139" s="527" t="e">
        <f t="shared" si="45"/>
        <v>#REF!</v>
      </c>
      <c r="I139" s="527" t="e">
        <f t="shared" si="45"/>
        <v>#REF!</v>
      </c>
      <c r="J139" s="527" t="e">
        <f t="shared" si="45"/>
        <v>#REF!</v>
      </c>
      <c r="K139" s="527" t="e">
        <f t="shared" si="45"/>
        <v>#REF!</v>
      </c>
      <c r="L139" s="527" t="e">
        <f t="shared" si="45"/>
        <v>#REF!</v>
      </c>
      <c r="M139" s="527" t="e">
        <f t="shared" si="45"/>
        <v>#REF!</v>
      </c>
      <c r="N139" s="527" t="e">
        <f t="shared" si="45"/>
        <v>#REF!</v>
      </c>
      <c r="O139" s="531" t="str">
        <f t="shared" si="40"/>
        <v/>
      </c>
      <c r="P139"/>
      <c r="Q139"/>
      <c r="R139"/>
      <c r="S139"/>
      <c r="T139"/>
      <c r="U139"/>
      <c r="V139"/>
      <c r="W139"/>
      <c r="X139"/>
      <c r="Y139"/>
      <c r="Z139"/>
      <c r="AA139"/>
      <c r="AB139"/>
      <c r="AC139"/>
      <c r="AD139"/>
      <c r="AE139"/>
    </row>
    <row r="140" spans="1:31" ht="15.75">
      <c r="A140" s="270" t="str">
        <f>IF([4]Sheet6_WLAN!B101="",A139,[4]Sheet6_WLAN!B101)</f>
        <v>Enterprise WLAN APs</v>
      </c>
      <c r="B140" s="270" t="str">
        <f t="shared" si="38"/>
        <v>Enterprise WLAN APs</v>
      </c>
      <c r="C140" s="270" t="str">
        <f t="shared" si="39"/>
        <v>North America</v>
      </c>
      <c r="D140" s="533" t="str">
        <f>IF([4]Sheet6_WLAN!A101="","",[4]Sheet6_WLAN!A101)</f>
        <v/>
      </c>
      <c r="E140" s="399" t="str">
        <f>IF([4]Sheet6_WLAN!B101="","",[4]Sheet6_WLAN!B101)</f>
        <v>Enterprise WLAN APs</v>
      </c>
      <c r="F140" s="420" t="str">
        <f>IF([4]Sheet6_WLAN!D101 ="","",[4]Sheet6_WLAN!D101)</f>
        <v>End-User Spending ($M)</v>
      </c>
      <c r="G140" s="522" t="e">
        <f t="shared" si="45"/>
        <v>#REF!</v>
      </c>
      <c r="H140" s="523" t="e">
        <f t="shared" si="45"/>
        <v>#REF!</v>
      </c>
      <c r="I140" s="523" t="e">
        <f t="shared" si="45"/>
        <v>#REF!</v>
      </c>
      <c r="J140" s="523" t="e">
        <f t="shared" si="45"/>
        <v>#REF!</v>
      </c>
      <c r="K140" s="523" t="e">
        <f t="shared" si="45"/>
        <v>#REF!</v>
      </c>
      <c r="L140" s="523" t="e">
        <f t="shared" si="45"/>
        <v>#REF!</v>
      </c>
      <c r="M140" s="523" t="e">
        <f t="shared" si="45"/>
        <v>#REF!</v>
      </c>
      <c r="N140" s="523" t="e">
        <f t="shared" si="45"/>
        <v>#REF!</v>
      </c>
      <c r="O140" s="530" t="str">
        <f t="shared" si="40"/>
        <v/>
      </c>
      <c r="P140"/>
      <c r="Q140"/>
      <c r="R140"/>
      <c r="S140"/>
      <c r="T140"/>
      <c r="U140"/>
      <c r="V140"/>
      <c r="W140"/>
      <c r="X140"/>
      <c r="Y140"/>
      <c r="Z140"/>
      <c r="AA140"/>
      <c r="AB140"/>
      <c r="AC140"/>
      <c r="AD140"/>
      <c r="AE140"/>
    </row>
    <row r="141" spans="1:31" ht="15.75">
      <c r="A141" s="270" t="str">
        <f>IF([4]Sheet6_WLAN!B102="",A140,[4]Sheet6_WLAN!B102)</f>
        <v>Enterprise WLAN APs</v>
      </c>
      <c r="B141" s="270" t="str">
        <f t="shared" si="38"/>
        <v>Enterprise WLAN APs</v>
      </c>
      <c r="C141" s="270" t="str">
        <f t="shared" si="39"/>
        <v>North America</v>
      </c>
      <c r="D141" s="533" t="str">
        <f>IF([4]Sheet6_WLAN!A102="","",[4]Sheet6_WLAN!A102)</f>
        <v/>
      </c>
      <c r="E141" s="404" t="str">
        <f>IF([4]Sheet6_WLAN!B102="","",[4]Sheet6_WLAN!B102)</f>
        <v/>
      </c>
      <c r="F141" s="420" t="str">
        <f>IF([4]Sheet6_WLAN!D102 ="","",[4]Sheet6_WLAN!D102)</f>
        <v>Vendor Revenue ($M)</v>
      </c>
      <c r="G141" s="526" t="e">
        <f t="shared" si="45"/>
        <v>#REF!</v>
      </c>
      <c r="H141" s="527" t="e">
        <f t="shared" si="45"/>
        <v>#REF!</v>
      </c>
      <c r="I141" s="527" t="e">
        <f t="shared" si="45"/>
        <v>#REF!</v>
      </c>
      <c r="J141" s="527" t="e">
        <f t="shared" si="45"/>
        <v>#REF!</v>
      </c>
      <c r="K141" s="527" t="e">
        <f t="shared" si="45"/>
        <v>#REF!</v>
      </c>
      <c r="L141" s="527" t="e">
        <f t="shared" si="45"/>
        <v>#REF!</v>
      </c>
      <c r="M141" s="527" t="e">
        <f t="shared" si="45"/>
        <v>#REF!</v>
      </c>
      <c r="N141" s="527" t="e">
        <f t="shared" si="45"/>
        <v>#REF!</v>
      </c>
      <c r="O141" s="531" t="str">
        <f t="shared" si="40"/>
        <v/>
      </c>
      <c r="P141"/>
      <c r="Q141"/>
      <c r="R141"/>
      <c r="S141"/>
      <c r="T141"/>
      <c r="U141"/>
      <c r="V141"/>
      <c r="W141"/>
      <c r="X141"/>
      <c r="Y141"/>
      <c r="Z141"/>
      <c r="AA141"/>
      <c r="AB141"/>
      <c r="AC141"/>
      <c r="AD141"/>
      <c r="AE141"/>
    </row>
    <row r="142" spans="1:31" ht="15.75">
      <c r="A142" s="270" t="str">
        <f>IF([4]Sheet6_WLAN!B103="",A141,[4]Sheet6_WLAN!B103)</f>
        <v>Enterprise WLAN APs</v>
      </c>
      <c r="B142" s="270" t="str">
        <f t="shared" si="38"/>
        <v>Enterprise WLAN APs</v>
      </c>
      <c r="C142" s="270" t="str">
        <f t="shared" si="39"/>
        <v>North America</v>
      </c>
      <c r="D142" s="533" t="str">
        <f>IF([4]Sheet6_WLAN!A103="","",[4]Sheet6_WLAN!A103)</f>
        <v/>
      </c>
      <c r="E142" s="412" t="str">
        <f>IF([4]Sheet6_WLAN!B103="","",[4]Sheet6_WLAN!B103)</f>
        <v/>
      </c>
      <c r="F142" s="426" t="str">
        <f>IF([4]Sheet6_WLAN!D103 ="","",[4]Sheet6_WLAN!D103)</f>
        <v>Unit Shipments (K)</v>
      </c>
      <c r="G142" s="529" t="e">
        <f t="shared" si="45"/>
        <v>#REF!</v>
      </c>
      <c r="H142" s="510" t="e">
        <f t="shared" si="45"/>
        <v>#REF!</v>
      </c>
      <c r="I142" s="510" t="e">
        <f t="shared" si="45"/>
        <v>#REF!</v>
      </c>
      <c r="J142" s="510" t="e">
        <f t="shared" si="45"/>
        <v>#REF!</v>
      </c>
      <c r="K142" s="510" t="e">
        <f t="shared" si="45"/>
        <v>#REF!</v>
      </c>
      <c r="L142" s="510" t="e">
        <f t="shared" si="45"/>
        <v>#REF!</v>
      </c>
      <c r="M142" s="510" t="e">
        <f t="shared" si="45"/>
        <v>#REF!</v>
      </c>
      <c r="N142" s="510" t="e">
        <f t="shared" si="45"/>
        <v>#REF!</v>
      </c>
      <c r="O142" s="531" t="str">
        <f t="shared" si="40"/>
        <v/>
      </c>
      <c r="P142"/>
      <c r="Q142"/>
      <c r="R142"/>
      <c r="S142"/>
      <c r="T142"/>
      <c r="U142"/>
      <c r="V142"/>
      <c r="W142"/>
      <c r="X142"/>
      <c r="Y142"/>
      <c r="Z142"/>
      <c r="AA142"/>
      <c r="AB142"/>
      <c r="AC142"/>
      <c r="AD142"/>
      <c r="AE142"/>
    </row>
    <row r="143" spans="1:31" ht="15.75">
      <c r="A143" s="270" t="str">
        <f>IF([4]Sheet6_WLAN!B104="",A142,[4]Sheet6_WLAN!B104)</f>
        <v>Enterprise WLAN Other</v>
      </c>
      <c r="B143" s="270" t="str">
        <f t="shared" si="38"/>
        <v>Enterprise WLAN Controllers</v>
      </c>
      <c r="C143" s="270" t="str">
        <f t="shared" si="39"/>
        <v>North America</v>
      </c>
      <c r="D143" s="525" t="str">
        <f>IF([4]Sheet6_WLAN!A104="","",[4]Sheet6_WLAN!A104)</f>
        <v/>
      </c>
      <c r="E143" s="420" t="str">
        <f>IF([4]Sheet6_WLAN!C104="","",[4]Sheet6_WLAN!C104)</f>
        <v>Enterprise WLAN Controllers</v>
      </c>
      <c r="F143" s="404" t="str">
        <f>IF([4]Sheet6_WLAN!D104 ="","",[4]Sheet6_WLAN!D104)</f>
        <v>End-User Spending ($M)</v>
      </c>
      <c r="G143" s="526" t="e">
        <f t="shared" ref="G143:N148" si="46">IF(OR($A143="",$C143="",$B143=""),"",GETPIVOTDATA(""&amp;$F143&amp;"",ENI_Pivot_WLAN2,"region",$C143,"year",G$60,"Segment3",$A143,"Segment4",$B143))</f>
        <v>#REF!</v>
      </c>
      <c r="H143" s="527" t="e">
        <f t="shared" si="46"/>
        <v>#REF!</v>
      </c>
      <c r="I143" s="527" t="e">
        <f t="shared" si="46"/>
        <v>#REF!</v>
      </c>
      <c r="J143" s="527" t="e">
        <f t="shared" si="46"/>
        <v>#REF!</v>
      </c>
      <c r="K143" s="527" t="e">
        <f t="shared" si="46"/>
        <v>#REF!</v>
      </c>
      <c r="L143" s="527" t="e">
        <f t="shared" si="46"/>
        <v>#REF!</v>
      </c>
      <c r="M143" s="527" t="e">
        <f t="shared" si="46"/>
        <v>#REF!</v>
      </c>
      <c r="N143" s="527" t="e">
        <f t="shared" si="46"/>
        <v>#REF!</v>
      </c>
      <c r="O143" s="530" t="str">
        <f t="shared" si="40"/>
        <v/>
      </c>
      <c r="P143"/>
      <c r="Q143"/>
      <c r="R143"/>
      <c r="S143"/>
      <c r="T143"/>
      <c r="U143"/>
      <c r="V143"/>
      <c r="W143"/>
      <c r="X143"/>
      <c r="Y143"/>
      <c r="Z143"/>
      <c r="AA143"/>
      <c r="AB143"/>
      <c r="AC143"/>
      <c r="AD143"/>
      <c r="AE143"/>
    </row>
    <row r="144" spans="1:31" ht="15.75">
      <c r="A144" s="270" t="str">
        <f>IF([4]Sheet6_WLAN!B105="",A143,[4]Sheet6_WLAN!B105)</f>
        <v>Enterprise WLAN Other</v>
      </c>
      <c r="B144" s="270" t="str">
        <f t="shared" si="38"/>
        <v>Enterprise WLAN Controllers</v>
      </c>
      <c r="C144" s="270" t="str">
        <f t="shared" si="39"/>
        <v>North America</v>
      </c>
      <c r="D144" s="525" t="str">
        <f>IF([4]Sheet6_WLAN!A105="","",[4]Sheet6_WLAN!A105)</f>
        <v/>
      </c>
      <c r="E144" s="420" t="str">
        <f>IF([4]Sheet6_WLAN!C105="","",[4]Sheet6_WLAN!C105)</f>
        <v/>
      </c>
      <c r="F144" s="404" t="str">
        <f>IF([4]Sheet6_WLAN!D105 ="","",[4]Sheet6_WLAN!D105)</f>
        <v>Vendor Revenue ($M)</v>
      </c>
      <c r="G144" s="526" t="e">
        <f t="shared" si="46"/>
        <v>#REF!</v>
      </c>
      <c r="H144" s="527" t="e">
        <f t="shared" si="46"/>
        <v>#REF!</v>
      </c>
      <c r="I144" s="527" t="e">
        <f t="shared" si="46"/>
        <v>#REF!</v>
      </c>
      <c r="J144" s="527" t="e">
        <f t="shared" si="46"/>
        <v>#REF!</v>
      </c>
      <c r="K144" s="527" t="e">
        <f t="shared" si="46"/>
        <v>#REF!</v>
      </c>
      <c r="L144" s="527" t="e">
        <f t="shared" si="46"/>
        <v>#REF!</v>
      </c>
      <c r="M144" s="527" t="e">
        <f t="shared" si="46"/>
        <v>#REF!</v>
      </c>
      <c r="N144" s="527" t="e">
        <f t="shared" si="46"/>
        <v>#REF!</v>
      </c>
      <c r="O144" s="531" t="str">
        <f t="shared" si="40"/>
        <v/>
      </c>
      <c r="P144"/>
      <c r="Q144"/>
      <c r="R144"/>
      <c r="S144"/>
      <c r="T144"/>
    </row>
    <row r="145" spans="1:20" ht="15.75">
      <c r="A145" s="270" t="str">
        <f>IF([4]Sheet6_WLAN!B106="",A144,[4]Sheet6_WLAN!B106)</f>
        <v>Enterprise WLAN Other</v>
      </c>
      <c r="B145" s="270" t="str">
        <f t="shared" si="38"/>
        <v>Enterprise WLAN Controllers</v>
      </c>
      <c r="C145" s="270" t="str">
        <f t="shared" si="39"/>
        <v>North America</v>
      </c>
      <c r="D145" s="525" t="str">
        <f>IF([4]Sheet6_WLAN!A106="","",[4]Sheet6_WLAN!A106)</f>
        <v/>
      </c>
      <c r="E145" s="403" t="str">
        <f>IF([4]Sheet6_WLAN!C106="","",[4]Sheet6_WLAN!C106)</f>
        <v/>
      </c>
      <c r="F145" s="412" t="str">
        <f>IF([4]Sheet6_WLAN!D106 ="","",[4]Sheet6_WLAN!D106)</f>
        <v>Unit Shipments (K)</v>
      </c>
      <c r="G145" s="526" t="e">
        <f t="shared" si="46"/>
        <v>#REF!</v>
      </c>
      <c r="H145" s="527" t="e">
        <f t="shared" si="46"/>
        <v>#REF!</v>
      </c>
      <c r="I145" s="527" t="e">
        <f t="shared" si="46"/>
        <v>#REF!</v>
      </c>
      <c r="J145" s="527" t="e">
        <f t="shared" si="46"/>
        <v>#REF!</v>
      </c>
      <c r="K145" s="527" t="e">
        <f t="shared" si="46"/>
        <v>#REF!</v>
      </c>
      <c r="L145" s="527" t="e">
        <f t="shared" si="46"/>
        <v>#REF!</v>
      </c>
      <c r="M145" s="527" t="e">
        <f t="shared" si="46"/>
        <v>#REF!</v>
      </c>
      <c r="N145" s="527" t="e">
        <f t="shared" si="46"/>
        <v>#REF!</v>
      </c>
      <c r="O145" s="531" t="str">
        <f t="shared" si="40"/>
        <v/>
      </c>
      <c r="P145"/>
      <c r="Q145"/>
      <c r="R145"/>
      <c r="S145"/>
      <c r="T145"/>
    </row>
    <row r="146" spans="1:20" ht="15.75">
      <c r="A146" s="270" t="str">
        <f>IF([4]Sheet6_WLAN!B107="",A145,[4]Sheet6_WLAN!B107)</f>
        <v>Enterprise WLAN Other</v>
      </c>
      <c r="B146" s="270" t="str">
        <f t="shared" si="38"/>
        <v xml:space="preserve">Enterprise WLAN Enhancement Products </v>
      </c>
      <c r="C146" s="270" t="str">
        <f t="shared" si="39"/>
        <v>North America</v>
      </c>
      <c r="D146" s="533" t="str">
        <f>IF([4]Sheet6_WLAN!A107="","",[4]Sheet6_WLAN!A107)</f>
        <v/>
      </c>
      <c r="E146" s="399" t="str">
        <f>IF([4]Sheet6_WLAN!C107="","",[4]Sheet6_WLAN!C107)</f>
        <v xml:space="preserve">Enterprise WLAN Enhancement Products </v>
      </c>
      <c r="F146" s="420" t="str">
        <f>IF([4]Sheet6_WLAN!D107 ="","",[4]Sheet6_WLAN!D107)</f>
        <v>End-User Spending ($M)</v>
      </c>
      <c r="G146" s="522" t="e">
        <f t="shared" si="46"/>
        <v>#REF!</v>
      </c>
      <c r="H146" s="523" t="e">
        <f t="shared" si="46"/>
        <v>#REF!</v>
      </c>
      <c r="I146" s="523" t="e">
        <f t="shared" si="46"/>
        <v>#REF!</v>
      </c>
      <c r="J146" s="523" t="e">
        <f t="shared" si="46"/>
        <v>#REF!</v>
      </c>
      <c r="K146" s="523" t="e">
        <f t="shared" si="46"/>
        <v>#REF!</v>
      </c>
      <c r="L146" s="523" t="e">
        <f t="shared" si="46"/>
        <v>#REF!</v>
      </c>
      <c r="M146" s="523" t="e">
        <f t="shared" si="46"/>
        <v>#REF!</v>
      </c>
      <c r="N146" s="523" t="e">
        <f t="shared" si="46"/>
        <v>#REF!</v>
      </c>
      <c r="O146" s="530" t="str">
        <f t="shared" si="40"/>
        <v/>
      </c>
      <c r="P146"/>
      <c r="Q146"/>
      <c r="R146"/>
      <c r="S146"/>
      <c r="T146"/>
    </row>
    <row r="147" spans="1:20" ht="15.75">
      <c r="A147" s="270" t="str">
        <f>IF([4]Sheet6_WLAN!B108="",A146,[4]Sheet6_WLAN!B108)</f>
        <v>Enterprise WLAN Other</v>
      </c>
      <c r="B147" s="270" t="str">
        <f t="shared" si="38"/>
        <v xml:space="preserve">Enterprise WLAN Enhancement Products </v>
      </c>
      <c r="C147" s="270" t="str">
        <f t="shared" si="39"/>
        <v>North America</v>
      </c>
      <c r="D147" s="308" t="str">
        <f>IF([4]Sheet6_WLAN!A108="","",[4]Sheet6_WLAN!A108)</f>
        <v/>
      </c>
      <c r="E147" s="412" t="str">
        <f>IF([4]Sheet6_WLAN!C108="","",[4]Sheet6_WLAN!C108)</f>
        <v/>
      </c>
      <c r="F147" s="426" t="str">
        <f>IF([4]Sheet6_WLAN!D108 ="","",[4]Sheet6_WLAN!D108)</f>
        <v>Vendor Revenue ($M)</v>
      </c>
      <c r="G147" s="529" t="e">
        <f t="shared" si="46"/>
        <v>#REF!</v>
      </c>
      <c r="H147" s="510" t="e">
        <f t="shared" si="46"/>
        <v>#REF!</v>
      </c>
      <c r="I147" s="510" t="e">
        <f t="shared" si="46"/>
        <v>#REF!</v>
      </c>
      <c r="J147" s="510" t="e">
        <f t="shared" si="46"/>
        <v>#REF!</v>
      </c>
      <c r="K147" s="510" t="e">
        <f t="shared" si="46"/>
        <v>#REF!</v>
      </c>
      <c r="L147" s="510" t="e">
        <f t="shared" si="46"/>
        <v>#REF!</v>
      </c>
      <c r="M147" s="510" t="e">
        <f t="shared" si="46"/>
        <v>#REF!</v>
      </c>
      <c r="N147" s="510" t="e">
        <f t="shared" si="46"/>
        <v>#REF!</v>
      </c>
      <c r="O147" s="531" t="str">
        <f t="shared" si="40"/>
        <v/>
      </c>
      <c r="P147"/>
      <c r="Q147"/>
      <c r="R147"/>
      <c r="S147"/>
      <c r="T147"/>
    </row>
    <row r="148" spans="1:20" ht="15.75" hidden="1">
      <c r="A148" s="270" t="str">
        <f>IF([4]Sheet6_WLAN!B109="",A147,[4]Sheet6_WLAN!B109)</f>
        <v>Enterprise WLAN Other</v>
      </c>
      <c r="B148" s="270" t="str">
        <f t="shared" si="38"/>
        <v xml:space="preserve">Enterprise WLAN Enhancement Products </v>
      </c>
      <c r="C148" s="270" t="str">
        <f t="shared" si="39"/>
        <v>North America</v>
      </c>
      <c r="D148" s="308" t="str">
        <f>IF([4]Sheet6_WLAN!A109="","",[4]Sheet6_WLAN!A109)</f>
        <v/>
      </c>
      <c r="E148" s="412" t="str">
        <f>IF([4]Sheet6_WLAN!C109="","",[4]Sheet6_WLAN!C109)</f>
        <v/>
      </c>
      <c r="F148" s="420" t="str">
        <f>IF([4]Sheet6_WLAN!D109 ="","",[4]Sheet6_WLAN!D109)</f>
        <v>Unit Shipments (K)</v>
      </c>
      <c r="G148" s="529" t="e">
        <f t="shared" si="46"/>
        <v>#REF!</v>
      </c>
      <c r="H148" s="510" t="e">
        <f t="shared" si="46"/>
        <v>#REF!</v>
      </c>
      <c r="I148" s="510" t="e">
        <f t="shared" si="46"/>
        <v>#REF!</v>
      </c>
      <c r="J148" s="510" t="e">
        <f t="shared" si="46"/>
        <v>#REF!</v>
      </c>
      <c r="K148" s="510" t="e">
        <f t="shared" si="46"/>
        <v>#REF!</v>
      </c>
      <c r="L148" s="510" t="e">
        <f t="shared" si="46"/>
        <v>#REF!</v>
      </c>
      <c r="M148" s="510" t="e">
        <f t="shared" si="46"/>
        <v>#REF!</v>
      </c>
      <c r="N148" s="510" t="e">
        <f t="shared" si="46"/>
        <v>#REF!</v>
      </c>
      <c r="O148" s="531" t="str">
        <f t="shared" si="40"/>
        <v/>
      </c>
      <c r="P148"/>
      <c r="Q148"/>
      <c r="R148"/>
      <c r="S148"/>
      <c r="T148"/>
    </row>
    <row r="149" spans="1:20" ht="15.75">
      <c r="A149" s="270" t="str">
        <f>IF([4]Sheet6_WLAN!B110="",A148,[4]Sheet6_WLAN!B110)</f>
        <v>Enterprise WLAN Other</v>
      </c>
      <c r="B149" s="270" t="str">
        <f t="shared" si="38"/>
        <v xml:space="preserve">Enterprise WLAN Enhancement Products </v>
      </c>
      <c r="C149" s="270" t="str">
        <f t="shared" si="39"/>
        <v>North America End-User Spending ($M)</v>
      </c>
      <c r="D149" s="533" t="str">
        <f>IF([4]Sheet6_WLAN!A110="","",[4]Sheet6_WLAN!A110)</f>
        <v>North America End-User Spending ($M)</v>
      </c>
      <c r="E149" s="420" t="str">
        <f>IF([4]Sheet6_WLAN!B110="","",[4]Sheet6_WLAN!B110)</f>
        <v/>
      </c>
      <c r="F149" s="419" t="str">
        <f>IF([4]Sheet6_WLAN!D110 ="","",[4]Sheet6_WLAN!D110)</f>
        <v/>
      </c>
      <c r="G149" s="510" t="e">
        <f t="shared" ref="G149:N149" si="47">GETPIVOTDATA(""&amp;$F146&amp;"",ENI_Pivot_WLAN2,"region",$C146,"year",G$60)</f>
        <v>#REF!</v>
      </c>
      <c r="H149" s="510" t="e">
        <f t="shared" si="47"/>
        <v>#REF!</v>
      </c>
      <c r="I149" s="510" t="e">
        <f t="shared" si="47"/>
        <v>#REF!</v>
      </c>
      <c r="J149" s="510" t="e">
        <f t="shared" si="47"/>
        <v>#REF!</v>
      </c>
      <c r="K149" s="510" t="e">
        <f t="shared" si="47"/>
        <v>#REF!</v>
      </c>
      <c r="L149" s="510" t="e">
        <f t="shared" si="47"/>
        <v>#REF!</v>
      </c>
      <c r="M149" s="510" t="e">
        <f t="shared" si="47"/>
        <v>#REF!</v>
      </c>
      <c r="N149" s="510" t="e">
        <f t="shared" si="47"/>
        <v>#REF!</v>
      </c>
      <c r="O149" s="536" t="str">
        <f t="shared" si="40"/>
        <v/>
      </c>
      <c r="P149"/>
      <c r="Q149"/>
      <c r="R149"/>
      <c r="S149"/>
      <c r="T149"/>
    </row>
    <row r="150" spans="1:20" ht="15.75">
      <c r="A150" s="270" t="str">
        <f>IF([4]Sheet6_WLAN!B111="",A149,[4]Sheet6_WLAN!B111)</f>
        <v>Enterprise WLAN Other</v>
      </c>
      <c r="B150" s="270" t="str">
        <f t="shared" si="38"/>
        <v xml:space="preserve">Enterprise WLAN Enhancement Products </v>
      </c>
      <c r="C150" s="270" t="str">
        <f t="shared" si="39"/>
        <v>North America Vendor Revenue ($M)</v>
      </c>
      <c r="D150" s="534" t="str">
        <f>IF([4]Sheet6_WLAN!A111="","",[4]Sheet6_WLAN!A111)</f>
        <v>North America Vendor Revenue ($M)</v>
      </c>
      <c r="E150" s="504" t="str">
        <f>IF([4]Sheet6_WLAN!B111="","",[4]Sheet6_WLAN!B111)</f>
        <v/>
      </c>
      <c r="F150" s="504" t="str">
        <f>IF([4]Sheet6_WLAN!D111 ="","",[4]Sheet6_WLAN!D111)</f>
        <v/>
      </c>
      <c r="G150" s="510" t="e">
        <f t="shared" ref="G150:N150" si="48">GETPIVOTDATA(""&amp;$F147&amp;"",ENI_Pivot_WLAN2,"region",$C147,"year",G$60)</f>
        <v>#REF!</v>
      </c>
      <c r="H150" s="510" t="e">
        <f t="shared" si="48"/>
        <v>#REF!</v>
      </c>
      <c r="I150" s="510" t="e">
        <f t="shared" si="48"/>
        <v>#REF!</v>
      </c>
      <c r="J150" s="510" t="e">
        <f t="shared" si="48"/>
        <v>#REF!</v>
      </c>
      <c r="K150" s="510" t="e">
        <f t="shared" si="48"/>
        <v>#REF!</v>
      </c>
      <c r="L150" s="510" t="e">
        <f t="shared" si="48"/>
        <v>#REF!</v>
      </c>
      <c r="M150" s="510" t="e">
        <f t="shared" si="48"/>
        <v>#REF!</v>
      </c>
      <c r="N150" s="510" t="e">
        <f t="shared" si="48"/>
        <v>#REF!</v>
      </c>
      <c r="O150" s="530" t="str">
        <f t="shared" si="40"/>
        <v/>
      </c>
      <c r="P150"/>
      <c r="Q150"/>
      <c r="R150"/>
      <c r="S150"/>
      <c r="T150"/>
    </row>
    <row r="151" spans="1:20" ht="15.75" hidden="1">
      <c r="A151" s="270" t="str">
        <f>IF([4]Sheet6_WLAN!B112="",A150,[4]Sheet6_WLAN!B112)</f>
        <v>Enterprise WLAN Other</v>
      </c>
      <c r="B151" s="270" t="str">
        <f t="shared" si="38"/>
        <v xml:space="preserve">Enterprise WLAN Enhancement Products </v>
      </c>
      <c r="C151" s="270" t="str">
        <f t="shared" si="39"/>
        <v>North America Unit Shipments (K)</v>
      </c>
      <c r="D151" s="533" t="str">
        <f>IF([4]Sheet6_WLAN!A112="","",[4]Sheet6_WLAN!A112)</f>
        <v>North America Unit Shipments (K)</v>
      </c>
      <c r="E151" s="420" t="str">
        <f>IF([4]Sheet6_WLAN!B112="","",[4]Sheet6_WLAN!B112)</f>
        <v/>
      </c>
      <c r="F151" s="420" t="str">
        <f>IF([4]Sheet6_WLAN!D112 ="","",[4]Sheet6_WLAN!D112)</f>
        <v/>
      </c>
      <c r="G151" s="510" t="e">
        <f t="shared" ref="G151:N151" si="49">GETPIVOTDATA(""&amp;$F148&amp;"",ENI_Pivot_WLAN2,"region",$C148,"year",G$60)</f>
        <v>#REF!</v>
      </c>
      <c r="H151" s="510" t="e">
        <f t="shared" si="49"/>
        <v>#REF!</v>
      </c>
      <c r="I151" s="510" t="e">
        <f t="shared" si="49"/>
        <v>#REF!</v>
      </c>
      <c r="J151" s="510" t="e">
        <f t="shared" si="49"/>
        <v>#REF!</v>
      </c>
      <c r="K151" s="510" t="e">
        <f t="shared" si="49"/>
        <v>#REF!</v>
      </c>
      <c r="L151" s="510" t="e">
        <f t="shared" si="49"/>
        <v>#REF!</v>
      </c>
      <c r="M151" s="510" t="e">
        <f t="shared" si="49"/>
        <v>#REF!</v>
      </c>
      <c r="N151" s="510" t="e">
        <f t="shared" si="49"/>
        <v>#REF!</v>
      </c>
      <c r="O151" s="531" t="str">
        <f t="shared" si="40"/>
        <v/>
      </c>
      <c r="P151"/>
      <c r="Q151"/>
      <c r="R151"/>
      <c r="S151"/>
      <c r="T151"/>
    </row>
    <row r="152" spans="1:20" ht="15.75">
      <c r="A152" s="270" t="str">
        <f>IF([4]Sheet6_WLAN!B113="",A151,[4]Sheet6_WLAN!B113)</f>
        <v>Small-Business WLAN APs</v>
      </c>
      <c r="B152" s="270" t="str">
        <f t="shared" si="38"/>
        <v>Small-Business WLAN APs</v>
      </c>
      <c r="C152" s="270" t="str">
        <f t="shared" si="39"/>
        <v>Western Europe</v>
      </c>
      <c r="D152" s="535" t="str">
        <f>IF([4]Sheet6_WLAN!A113="","",[4]Sheet6_WLAN!A113)</f>
        <v>Western Europe</v>
      </c>
      <c r="E152" s="399" t="str">
        <f>IF([4]Sheet6_WLAN!B113="","",[4]Sheet6_WLAN!B113)</f>
        <v>Small-Business WLAN APs</v>
      </c>
      <c r="F152" s="419" t="str">
        <f>IF([4]Sheet6_WLAN!D113 ="","",[4]Sheet6_WLAN!D113)</f>
        <v>End-User Spending ($M)</v>
      </c>
      <c r="G152" s="522" t="e">
        <f t="shared" ref="G152:N157" si="50">IF(OR($C152="",$A152=""),"",GETPIVOTDATA(""&amp;$F152&amp;"",ENI_Pivot_WLAN2,"region",$C152,"year",G$60,"Segment3",$A152))</f>
        <v>#REF!</v>
      </c>
      <c r="H152" s="523" t="e">
        <f t="shared" si="50"/>
        <v>#REF!</v>
      </c>
      <c r="I152" s="523" t="e">
        <f t="shared" si="50"/>
        <v>#REF!</v>
      </c>
      <c r="J152" s="523" t="e">
        <f t="shared" si="50"/>
        <v>#REF!</v>
      </c>
      <c r="K152" s="523" t="e">
        <f t="shared" si="50"/>
        <v>#REF!</v>
      </c>
      <c r="L152" s="523" t="e">
        <f t="shared" si="50"/>
        <v>#REF!</v>
      </c>
      <c r="M152" s="523" t="e">
        <f t="shared" si="50"/>
        <v>#REF!</v>
      </c>
      <c r="N152" s="523" t="e">
        <f t="shared" si="50"/>
        <v>#REF!</v>
      </c>
      <c r="O152" s="530" t="str">
        <f t="shared" si="40"/>
        <v/>
      </c>
      <c r="P152"/>
      <c r="Q152"/>
      <c r="R152"/>
      <c r="S152"/>
      <c r="T152"/>
    </row>
    <row r="153" spans="1:20" ht="15.75">
      <c r="A153" s="270" t="str">
        <f>IF([4]Sheet6_WLAN!B114="",A152,[4]Sheet6_WLAN!B114)</f>
        <v>Small-Business WLAN APs</v>
      </c>
      <c r="B153" s="270" t="str">
        <f t="shared" si="38"/>
        <v>Small-Business WLAN APs</v>
      </c>
      <c r="C153" s="270" t="str">
        <f t="shared" si="39"/>
        <v>Western Europe</v>
      </c>
      <c r="D153" s="533" t="str">
        <f>IF([4]Sheet6_WLAN!A114="","",[4]Sheet6_WLAN!A114)</f>
        <v/>
      </c>
      <c r="E153" s="404" t="str">
        <f>IF([4]Sheet6_WLAN!B114="","",[4]Sheet6_WLAN!B114)</f>
        <v/>
      </c>
      <c r="F153" s="420" t="str">
        <f>IF([4]Sheet6_WLAN!D114 ="","",[4]Sheet6_WLAN!D114)</f>
        <v>Vendor Revenue ($M)</v>
      </c>
      <c r="G153" s="526" t="e">
        <f t="shared" si="50"/>
        <v>#REF!</v>
      </c>
      <c r="H153" s="527" t="e">
        <f t="shared" si="50"/>
        <v>#REF!</v>
      </c>
      <c r="I153" s="527" t="e">
        <f t="shared" si="50"/>
        <v>#REF!</v>
      </c>
      <c r="J153" s="527" t="e">
        <f t="shared" si="50"/>
        <v>#REF!</v>
      </c>
      <c r="K153" s="527" t="e">
        <f t="shared" si="50"/>
        <v>#REF!</v>
      </c>
      <c r="L153" s="527" t="e">
        <f t="shared" si="50"/>
        <v>#REF!</v>
      </c>
      <c r="M153" s="527" t="e">
        <f t="shared" si="50"/>
        <v>#REF!</v>
      </c>
      <c r="N153" s="527" t="e">
        <f t="shared" si="50"/>
        <v>#REF!</v>
      </c>
      <c r="O153" s="531" t="str">
        <f t="shared" si="40"/>
        <v/>
      </c>
      <c r="P153"/>
      <c r="Q153"/>
      <c r="R153"/>
      <c r="S153"/>
      <c r="T153"/>
    </row>
    <row r="154" spans="1:20" ht="15.75">
      <c r="A154" s="270" t="str">
        <f>IF([4]Sheet6_WLAN!B115="",A153,[4]Sheet6_WLAN!B115)</f>
        <v>Small-Business WLAN APs</v>
      </c>
      <c r="B154" s="270" t="str">
        <f t="shared" si="38"/>
        <v>Small-Business WLAN APs</v>
      </c>
      <c r="C154" s="270" t="str">
        <f t="shared" si="39"/>
        <v>Western Europe</v>
      </c>
      <c r="D154" s="533" t="str">
        <f>IF([4]Sheet6_WLAN!A115="","",[4]Sheet6_WLAN!A115)</f>
        <v/>
      </c>
      <c r="E154" s="404" t="str">
        <f>IF([4]Sheet6_WLAN!B115="","",[4]Sheet6_WLAN!B115)</f>
        <v/>
      </c>
      <c r="F154" s="426" t="str">
        <f>IF([4]Sheet6_WLAN!D115 ="","",[4]Sheet6_WLAN!D115)</f>
        <v>Unit Shipments (K)</v>
      </c>
      <c r="G154" s="526" t="e">
        <f t="shared" si="50"/>
        <v>#REF!</v>
      </c>
      <c r="H154" s="527" t="e">
        <f t="shared" si="50"/>
        <v>#REF!</v>
      </c>
      <c r="I154" s="527" t="e">
        <f t="shared" si="50"/>
        <v>#REF!</v>
      </c>
      <c r="J154" s="527" t="e">
        <f t="shared" si="50"/>
        <v>#REF!</v>
      </c>
      <c r="K154" s="527" t="e">
        <f t="shared" si="50"/>
        <v>#REF!</v>
      </c>
      <c r="L154" s="527" t="e">
        <f t="shared" si="50"/>
        <v>#REF!</v>
      </c>
      <c r="M154" s="527" t="e">
        <f t="shared" si="50"/>
        <v>#REF!</v>
      </c>
      <c r="N154" s="527" t="e">
        <f t="shared" si="50"/>
        <v>#REF!</v>
      </c>
      <c r="O154" s="531" t="str">
        <f t="shared" si="40"/>
        <v/>
      </c>
      <c r="P154"/>
      <c r="Q154"/>
      <c r="R154"/>
      <c r="S154"/>
      <c r="T154"/>
    </row>
    <row r="155" spans="1:20" ht="15.75">
      <c r="A155" s="270" t="str">
        <f>IF([4]Sheet6_WLAN!B116="",A154,[4]Sheet6_WLAN!B116)</f>
        <v>Enterprise WLAN APs</v>
      </c>
      <c r="B155" s="270" t="str">
        <f t="shared" si="38"/>
        <v>Enterprise WLAN APs</v>
      </c>
      <c r="C155" s="270" t="str">
        <f t="shared" si="39"/>
        <v>Western Europe</v>
      </c>
      <c r="D155" s="533" t="str">
        <f>IF([4]Sheet6_WLAN!A116="","",[4]Sheet6_WLAN!A116)</f>
        <v/>
      </c>
      <c r="E155" s="399" t="str">
        <f>IF([4]Sheet6_WLAN!B116="","",[4]Sheet6_WLAN!B116)</f>
        <v>Enterprise WLAN APs</v>
      </c>
      <c r="F155" s="419" t="str">
        <f>IF([4]Sheet6_WLAN!D116 ="","",[4]Sheet6_WLAN!D116)</f>
        <v>End-User Spending ($M)</v>
      </c>
      <c r="G155" s="522" t="e">
        <f t="shared" si="50"/>
        <v>#REF!</v>
      </c>
      <c r="H155" s="523" t="e">
        <f t="shared" si="50"/>
        <v>#REF!</v>
      </c>
      <c r="I155" s="523" t="e">
        <f t="shared" si="50"/>
        <v>#REF!</v>
      </c>
      <c r="J155" s="523" t="e">
        <f t="shared" si="50"/>
        <v>#REF!</v>
      </c>
      <c r="K155" s="523" t="e">
        <f t="shared" si="50"/>
        <v>#REF!</v>
      </c>
      <c r="L155" s="523" t="e">
        <f t="shared" si="50"/>
        <v>#REF!</v>
      </c>
      <c r="M155" s="523" t="e">
        <f t="shared" si="50"/>
        <v>#REF!</v>
      </c>
      <c r="N155" s="523" t="e">
        <f t="shared" si="50"/>
        <v>#REF!</v>
      </c>
      <c r="O155" s="530" t="str">
        <f t="shared" si="40"/>
        <v/>
      </c>
      <c r="P155"/>
      <c r="Q155"/>
      <c r="R155"/>
      <c r="S155"/>
      <c r="T155"/>
    </row>
    <row r="156" spans="1:20" ht="15.75">
      <c r="A156" s="270" t="str">
        <f>IF([4]Sheet6_WLAN!B117="",A155,[4]Sheet6_WLAN!B117)</f>
        <v>Enterprise WLAN APs</v>
      </c>
      <c r="B156" s="270" t="str">
        <f t="shared" si="38"/>
        <v>Enterprise WLAN APs</v>
      </c>
      <c r="C156" s="270" t="str">
        <f t="shared" si="39"/>
        <v>Western Europe</v>
      </c>
      <c r="D156" s="533" t="str">
        <f>IF([4]Sheet6_WLAN!A117="","",[4]Sheet6_WLAN!A117)</f>
        <v/>
      </c>
      <c r="E156" s="404" t="str">
        <f>IF([4]Sheet6_WLAN!B117="","",[4]Sheet6_WLAN!B117)</f>
        <v/>
      </c>
      <c r="F156" s="420" t="str">
        <f>IF([4]Sheet6_WLAN!D117 ="","",[4]Sheet6_WLAN!D117)</f>
        <v>Vendor Revenue ($M)</v>
      </c>
      <c r="G156" s="526" t="e">
        <f t="shared" si="50"/>
        <v>#REF!</v>
      </c>
      <c r="H156" s="527" t="e">
        <f t="shared" si="50"/>
        <v>#REF!</v>
      </c>
      <c r="I156" s="527" t="e">
        <f t="shared" si="50"/>
        <v>#REF!</v>
      </c>
      <c r="J156" s="527" t="e">
        <f t="shared" si="50"/>
        <v>#REF!</v>
      </c>
      <c r="K156" s="527" t="e">
        <f t="shared" si="50"/>
        <v>#REF!</v>
      </c>
      <c r="L156" s="527" t="e">
        <f t="shared" si="50"/>
        <v>#REF!</v>
      </c>
      <c r="M156" s="527" t="e">
        <f t="shared" si="50"/>
        <v>#REF!</v>
      </c>
      <c r="N156" s="527" t="e">
        <f t="shared" si="50"/>
        <v>#REF!</v>
      </c>
      <c r="O156" s="531" t="str">
        <f t="shared" si="40"/>
        <v/>
      </c>
      <c r="P156"/>
      <c r="Q156"/>
      <c r="R156"/>
      <c r="S156"/>
      <c r="T156"/>
    </row>
    <row r="157" spans="1:20" ht="15.75">
      <c r="A157" s="270" t="str">
        <f>IF([4]Sheet6_WLAN!B118="",A156,[4]Sheet6_WLAN!B118)</f>
        <v>Enterprise WLAN APs</v>
      </c>
      <c r="B157" s="270" t="str">
        <f t="shared" si="38"/>
        <v>Enterprise WLAN APs</v>
      </c>
      <c r="C157" s="270" t="str">
        <f t="shared" si="39"/>
        <v>Western Europe</v>
      </c>
      <c r="D157" s="533" t="str">
        <f>IF([4]Sheet6_WLAN!A118="","",[4]Sheet6_WLAN!A118)</f>
        <v/>
      </c>
      <c r="E157" s="412" t="str">
        <f>IF([4]Sheet6_WLAN!B118="","",[4]Sheet6_WLAN!B118)</f>
        <v/>
      </c>
      <c r="F157" s="426" t="str">
        <f>IF([4]Sheet6_WLAN!D118 ="","",[4]Sheet6_WLAN!D118)</f>
        <v>Unit Shipments (K)</v>
      </c>
      <c r="G157" s="529" t="e">
        <f t="shared" si="50"/>
        <v>#REF!</v>
      </c>
      <c r="H157" s="510" t="e">
        <f t="shared" si="50"/>
        <v>#REF!</v>
      </c>
      <c r="I157" s="510" t="e">
        <f t="shared" si="50"/>
        <v>#REF!</v>
      </c>
      <c r="J157" s="510" t="e">
        <f t="shared" si="50"/>
        <v>#REF!</v>
      </c>
      <c r="K157" s="510" t="e">
        <f t="shared" si="50"/>
        <v>#REF!</v>
      </c>
      <c r="L157" s="510" t="e">
        <f t="shared" si="50"/>
        <v>#REF!</v>
      </c>
      <c r="M157" s="510" t="e">
        <f t="shared" si="50"/>
        <v>#REF!</v>
      </c>
      <c r="N157" s="510" t="e">
        <f t="shared" si="50"/>
        <v>#REF!</v>
      </c>
      <c r="O157" s="531" t="str">
        <f t="shared" si="40"/>
        <v/>
      </c>
      <c r="P157"/>
      <c r="Q157"/>
      <c r="R157"/>
      <c r="S157"/>
      <c r="T157"/>
    </row>
    <row r="158" spans="1:20" ht="15.75">
      <c r="A158" s="270" t="str">
        <f>IF([4]Sheet6_WLAN!B119="",A157,[4]Sheet6_WLAN!B119)</f>
        <v>Enterprise WLAN Other</v>
      </c>
      <c r="B158" s="270" t="str">
        <f t="shared" si="38"/>
        <v>Enterprise WLAN Controllers</v>
      </c>
      <c r="C158" s="270" t="str">
        <f t="shared" si="39"/>
        <v>Western Europe</v>
      </c>
      <c r="D158" s="533" t="str">
        <f>IF([4]Sheet6_WLAN!A119="","",[4]Sheet6_WLAN!A119)</f>
        <v/>
      </c>
      <c r="E158" s="404" t="str">
        <f>IF([4]Sheet6_WLAN!C119="","",[4]Sheet6_WLAN!C119)</f>
        <v>Enterprise WLAN Controllers</v>
      </c>
      <c r="F158" s="419" t="str">
        <f>IF([4]Sheet6_WLAN!D119 ="","",[4]Sheet6_WLAN!D119)</f>
        <v>End-User Spending ($M)</v>
      </c>
      <c r="G158" s="526" t="e">
        <f t="shared" ref="G158:N163" si="51">IF(OR($A158="",$C158="",$B158=""),"",GETPIVOTDATA(""&amp;$F158&amp;"",ENI_Pivot_WLAN2,"region",$C158,"year",G$60,"Segment3",$A158,"Segment4",$B158))</f>
        <v>#REF!</v>
      </c>
      <c r="H158" s="527" t="e">
        <f t="shared" si="51"/>
        <v>#REF!</v>
      </c>
      <c r="I158" s="527" t="e">
        <f t="shared" si="51"/>
        <v>#REF!</v>
      </c>
      <c r="J158" s="527" t="e">
        <f t="shared" si="51"/>
        <v>#REF!</v>
      </c>
      <c r="K158" s="527" t="e">
        <f t="shared" si="51"/>
        <v>#REF!</v>
      </c>
      <c r="L158" s="527" t="e">
        <f t="shared" si="51"/>
        <v>#REF!</v>
      </c>
      <c r="M158" s="527" t="e">
        <f t="shared" si="51"/>
        <v>#REF!</v>
      </c>
      <c r="N158" s="527" t="e">
        <f t="shared" si="51"/>
        <v>#REF!</v>
      </c>
      <c r="O158" s="530" t="str">
        <f t="shared" si="40"/>
        <v/>
      </c>
      <c r="P158"/>
      <c r="Q158"/>
      <c r="R158"/>
      <c r="S158"/>
    </row>
    <row r="159" spans="1:20" ht="15.75">
      <c r="A159" s="270" t="str">
        <f>IF([4]Sheet6_WLAN!B120="",A158,[4]Sheet6_WLAN!B120)</f>
        <v>Enterprise WLAN Other</v>
      </c>
      <c r="B159" s="270" t="str">
        <f t="shared" si="38"/>
        <v>Enterprise WLAN Controllers</v>
      </c>
      <c r="C159" s="270" t="str">
        <f t="shared" si="39"/>
        <v>Western Europe</v>
      </c>
      <c r="D159" s="533" t="str">
        <f>IF([4]Sheet6_WLAN!A120="","",[4]Sheet6_WLAN!A120)</f>
        <v/>
      </c>
      <c r="E159" s="404" t="str">
        <f>IF([4]Sheet6_WLAN!C120="","",[4]Sheet6_WLAN!C120)</f>
        <v/>
      </c>
      <c r="F159" s="420" t="str">
        <f>IF([4]Sheet6_WLAN!D120 ="","",[4]Sheet6_WLAN!D120)</f>
        <v>Vendor Revenue ($M)</v>
      </c>
      <c r="G159" s="526" t="e">
        <f t="shared" si="51"/>
        <v>#REF!</v>
      </c>
      <c r="H159" s="527" t="e">
        <f t="shared" si="51"/>
        <v>#REF!</v>
      </c>
      <c r="I159" s="527" t="e">
        <f t="shared" si="51"/>
        <v>#REF!</v>
      </c>
      <c r="J159" s="527" t="e">
        <f t="shared" si="51"/>
        <v>#REF!</v>
      </c>
      <c r="K159" s="527" t="e">
        <f t="shared" si="51"/>
        <v>#REF!</v>
      </c>
      <c r="L159" s="527" t="e">
        <f t="shared" si="51"/>
        <v>#REF!</v>
      </c>
      <c r="M159" s="527" t="e">
        <f t="shared" si="51"/>
        <v>#REF!</v>
      </c>
      <c r="N159" s="527" t="e">
        <f t="shared" si="51"/>
        <v>#REF!</v>
      </c>
      <c r="O159" s="531" t="str">
        <f t="shared" si="40"/>
        <v/>
      </c>
      <c r="P159"/>
      <c r="Q159"/>
      <c r="R159"/>
      <c r="S159"/>
    </row>
    <row r="160" spans="1:20" ht="15.75">
      <c r="A160" s="270" t="str">
        <f>IF([4]Sheet6_WLAN!B121="",A159,[4]Sheet6_WLAN!B121)</f>
        <v>Enterprise WLAN Other</v>
      </c>
      <c r="B160" s="270" t="str">
        <f t="shared" si="38"/>
        <v>Enterprise WLAN Controllers</v>
      </c>
      <c r="C160" s="270" t="str">
        <f t="shared" si="39"/>
        <v>Western Europe</v>
      </c>
      <c r="D160" s="533" t="str">
        <f>IF([4]Sheet6_WLAN!A121="","",[4]Sheet6_WLAN!A121)</f>
        <v/>
      </c>
      <c r="E160" s="404" t="str">
        <f>IF([4]Sheet6_WLAN!C121="","",[4]Sheet6_WLAN!C121)</f>
        <v/>
      </c>
      <c r="F160" s="426" t="str">
        <f>IF([4]Sheet6_WLAN!D121 ="","",[4]Sheet6_WLAN!D121)</f>
        <v>Unit Shipments (K)</v>
      </c>
      <c r="G160" s="526" t="e">
        <f t="shared" si="51"/>
        <v>#REF!</v>
      </c>
      <c r="H160" s="527" t="e">
        <f t="shared" si="51"/>
        <v>#REF!</v>
      </c>
      <c r="I160" s="527" t="e">
        <f t="shared" si="51"/>
        <v>#REF!</v>
      </c>
      <c r="J160" s="527" t="e">
        <f t="shared" si="51"/>
        <v>#REF!</v>
      </c>
      <c r="K160" s="527" t="e">
        <f t="shared" si="51"/>
        <v>#REF!</v>
      </c>
      <c r="L160" s="527" t="e">
        <f t="shared" si="51"/>
        <v>#REF!</v>
      </c>
      <c r="M160" s="527" t="e">
        <f t="shared" si="51"/>
        <v>#REF!</v>
      </c>
      <c r="N160" s="527" t="e">
        <f t="shared" si="51"/>
        <v>#REF!</v>
      </c>
      <c r="O160" s="531" t="str">
        <f t="shared" si="40"/>
        <v/>
      </c>
      <c r="P160"/>
      <c r="Q160"/>
      <c r="R160"/>
      <c r="S160"/>
    </row>
    <row r="161" spans="1:21" ht="15.75">
      <c r="A161" s="270" t="str">
        <f>IF([4]Sheet6_WLAN!B122="",A160,[4]Sheet6_WLAN!B122)</f>
        <v>Enterprise WLAN Other</v>
      </c>
      <c r="B161" s="270" t="str">
        <f t="shared" si="38"/>
        <v xml:space="preserve">Enterprise WLAN Enhancement Products </v>
      </c>
      <c r="C161" s="270" t="str">
        <f t="shared" si="39"/>
        <v>Western Europe</v>
      </c>
      <c r="D161" s="533" t="str">
        <f>IF([4]Sheet6_WLAN!A122="","",[4]Sheet6_WLAN!A122)</f>
        <v/>
      </c>
      <c r="E161" s="399" t="str">
        <f>IF([4]Sheet6_WLAN!C122="","",[4]Sheet6_WLAN!C122)</f>
        <v xml:space="preserve">Enterprise WLAN Enhancement Products </v>
      </c>
      <c r="F161" s="420" t="str">
        <f>IF([4]Sheet6_WLAN!D122 ="","",[4]Sheet6_WLAN!D122)</f>
        <v>End-User Spending ($M)</v>
      </c>
      <c r="G161" s="522" t="e">
        <f t="shared" si="51"/>
        <v>#REF!</v>
      </c>
      <c r="H161" s="523" t="e">
        <f t="shared" si="51"/>
        <v>#REF!</v>
      </c>
      <c r="I161" s="523" t="e">
        <f t="shared" si="51"/>
        <v>#REF!</v>
      </c>
      <c r="J161" s="523" t="e">
        <f t="shared" si="51"/>
        <v>#REF!</v>
      </c>
      <c r="K161" s="523" t="e">
        <f t="shared" si="51"/>
        <v>#REF!</v>
      </c>
      <c r="L161" s="523" t="e">
        <f t="shared" si="51"/>
        <v>#REF!</v>
      </c>
      <c r="M161" s="523" t="e">
        <f t="shared" si="51"/>
        <v>#REF!</v>
      </c>
      <c r="N161" s="523" t="e">
        <f t="shared" si="51"/>
        <v>#REF!</v>
      </c>
      <c r="O161" s="530" t="str">
        <f t="shared" si="40"/>
        <v/>
      </c>
      <c r="P161"/>
      <c r="Q161"/>
      <c r="R161"/>
      <c r="S161"/>
    </row>
    <row r="162" spans="1:21" ht="15.75">
      <c r="A162" s="270" t="str">
        <f>IF([4]Sheet6_WLAN!B123="",A161,[4]Sheet6_WLAN!B123)</f>
        <v>Enterprise WLAN Other</v>
      </c>
      <c r="B162" s="270" t="str">
        <f t="shared" si="38"/>
        <v xml:space="preserve">Enterprise WLAN Enhancement Products </v>
      </c>
      <c r="C162" s="270" t="str">
        <f t="shared" si="39"/>
        <v>Western Europe</v>
      </c>
      <c r="D162" s="533" t="str">
        <f>IF([4]Sheet6_WLAN!A123="","",[4]Sheet6_WLAN!A123)</f>
        <v/>
      </c>
      <c r="E162" s="412" t="str">
        <f>IF([4]Sheet6_WLAN!C123="","",[4]Sheet6_WLAN!C123)</f>
        <v/>
      </c>
      <c r="F162" s="426" t="str">
        <f>IF([4]Sheet6_WLAN!D123 ="","",[4]Sheet6_WLAN!D123)</f>
        <v>Vendor Revenue ($M)</v>
      </c>
      <c r="G162" s="529" t="e">
        <f t="shared" si="51"/>
        <v>#REF!</v>
      </c>
      <c r="H162" s="510" t="e">
        <f t="shared" si="51"/>
        <v>#REF!</v>
      </c>
      <c r="I162" s="510" t="e">
        <f t="shared" si="51"/>
        <v>#REF!</v>
      </c>
      <c r="J162" s="510" t="e">
        <f t="shared" si="51"/>
        <v>#REF!</v>
      </c>
      <c r="K162" s="510" t="e">
        <f t="shared" si="51"/>
        <v>#REF!</v>
      </c>
      <c r="L162" s="510" t="e">
        <f t="shared" si="51"/>
        <v>#REF!</v>
      </c>
      <c r="M162" s="510" t="e">
        <f t="shared" si="51"/>
        <v>#REF!</v>
      </c>
      <c r="N162" s="510" t="e">
        <f t="shared" si="51"/>
        <v>#REF!</v>
      </c>
      <c r="O162" s="531" t="str">
        <f t="shared" si="40"/>
        <v/>
      </c>
      <c r="P162"/>
      <c r="Q162"/>
      <c r="R162"/>
      <c r="S162"/>
    </row>
    <row r="163" spans="1:21" ht="15.75" hidden="1">
      <c r="A163" s="270" t="str">
        <f>IF([4]Sheet6_WLAN!B124="",A162,[4]Sheet6_WLAN!B124)</f>
        <v>Enterprise WLAN Other</v>
      </c>
      <c r="B163" s="270" t="str">
        <f t="shared" si="38"/>
        <v xml:space="preserve">Enterprise WLAN Enhancement Products </v>
      </c>
      <c r="C163" s="270" t="str">
        <f t="shared" si="39"/>
        <v>Western Europe</v>
      </c>
      <c r="D163" s="533" t="str">
        <f>IF([4]Sheet6_WLAN!A124="","",[4]Sheet6_WLAN!A124)</f>
        <v/>
      </c>
      <c r="E163" s="412" t="str">
        <f>IF([4]Sheet6_WLAN!C124="","",[4]Sheet6_WLAN!C124)</f>
        <v/>
      </c>
      <c r="F163" s="426" t="str">
        <f>IF([4]Sheet6_WLAN!D124 ="","",[4]Sheet6_WLAN!D124)</f>
        <v>Unit Shipments (K)</v>
      </c>
      <c r="G163" s="537" t="e">
        <f t="shared" si="51"/>
        <v>#REF!</v>
      </c>
      <c r="H163" s="538" t="e">
        <f t="shared" si="51"/>
        <v>#REF!</v>
      </c>
      <c r="I163" s="538" t="e">
        <f t="shared" si="51"/>
        <v>#REF!</v>
      </c>
      <c r="J163" s="538" t="e">
        <f t="shared" si="51"/>
        <v>#REF!</v>
      </c>
      <c r="K163" s="538" t="e">
        <f t="shared" si="51"/>
        <v>#REF!</v>
      </c>
      <c r="L163" s="538" t="e">
        <f t="shared" si="51"/>
        <v>#REF!</v>
      </c>
      <c r="M163" s="538" t="e">
        <f t="shared" si="51"/>
        <v>#REF!</v>
      </c>
      <c r="N163" s="538" t="e">
        <f t="shared" si="51"/>
        <v>#REF!</v>
      </c>
      <c r="O163" s="531" t="str">
        <f t="shared" si="40"/>
        <v/>
      </c>
      <c r="P163"/>
      <c r="Q163"/>
      <c r="R163"/>
      <c r="S163"/>
    </row>
    <row r="164" spans="1:21" ht="15.75">
      <c r="A164" s="270" t="str">
        <f>IF([4]Sheet6_WLAN!B125="","",[4]Sheet6_WLAN!B125)</f>
        <v/>
      </c>
      <c r="C164" s="270" t="str">
        <f t="shared" si="39"/>
        <v>Western Europe End-User Spending ($M)</v>
      </c>
      <c r="D164" s="534" t="str">
        <f>IF([4]Sheet6_WLAN!A125="","",[4]Sheet6_WLAN!A125)</f>
        <v>Western Europe End-User Spending ($M)</v>
      </c>
      <c r="E164" s="420" t="str">
        <f>IF([4]Sheet6_WLAN!B125="","",[4]Sheet6_WLAN!B125)</f>
        <v/>
      </c>
      <c r="F164" s="420" t="str">
        <f>IF([4]Sheet6_WLAN!D125 ="","",[4]Sheet6_WLAN!D125)</f>
        <v/>
      </c>
      <c r="G164" s="510" t="e">
        <f t="shared" ref="G164:N164" si="52">GETPIVOTDATA(""&amp;$F161&amp;"",ENI_Pivot_WLAN2,"region",$C161,"year",G$60)</f>
        <v>#REF!</v>
      </c>
      <c r="H164" s="510" t="e">
        <f t="shared" si="52"/>
        <v>#REF!</v>
      </c>
      <c r="I164" s="510" t="e">
        <f t="shared" si="52"/>
        <v>#REF!</v>
      </c>
      <c r="J164" s="510" t="e">
        <f t="shared" si="52"/>
        <v>#REF!</v>
      </c>
      <c r="K164" s="510" t="e">
        <f t="shared" si="52"/>
        <v>#REF!</v>
      </c>
      <c r="L164" s="510" t="e">
        <f t="shared" si="52"/>
        <v>#REF!</v>
      </c>
      <c r="M164" s="510" t="e">
        <f t="shared" si="52"/>
        <v>#REF!</v>
      </c>
      <c r="N164" s="510" t="e">
        <f t="shared" si="52"/>
        <v>#REF!</v>
      </c>
      <c r="O164" s="536" t="str">
        <f t="shared" si="40"/>
        <v/>
      </c>
      <c r="P164"/>
      <c r="Q164"/>
      <c r="R164"/>
      <c r="S164"/>
    </row>
    <row r="165" spans="1:21" ht="15.75">
      <c r="A165" s="270" t="str">
        <f>IF([4]Sheet6_WLAN!B126="","",[4]Sheet6_WLAN!B126)</f>
        <v/>
      </c>
      <c r="C165" s="270" t="str">
        <f t="shared" si="39"/>
        <v>Western Europe Vendor Revenue ($M)</v>
      </c>
      <c r="D165" s="534" t="str">
        <f>IF([4]Sheet6_WLAN!A126="","",[4]Sheet6_WLAN!A126)</f>
        <v>Western Europe Vendor Revenue ($M)</v>
      </c>
      <c r="E165" s="504" t="str">
        <f>IF([4]Sheet6_WLAN!B126="","",[4]Sheet6_WLAN!B126)</f>
        <v/>
      </c>
      <c r="F165" s="504" t="str">
        <f>IF([4]Sheet6_WLAN!D126 ="","",[4]Sheet6_WLAN!D126)</f>
        <v/>
      </c>
      <c r="G165" s="510" t="e">
        <f t="shared" ref="G165:N165" si="53">GETPIVOTDATA(""&amp;$F162&amp;"",ENI_Pivot_WLAN2,"region",$C162,"year",G$60)</f>
        <v>#REF!</v>
      </c>
      <c r="H165" s="510" t="e">
        <f t="shared" si="53"/>
        <v>#REF!</v>
      </c>
      <c r="I165" s="510" t="e">
        <f t="shared" si="53"/>
        <v>#REF!</v>
      </c>
      <c r="J165" s="510" t="e">
        <f t="shared" si="53"/>
        <v>#REF!</v>
      </c>
      <c r="K165" s="510" t="e">
        <f t="shared" si="53"/>
        <v>#REF!</v>
      </c>
      <c r="L165" s="510" t="e">
        <f t="shared" si="53"/>
        <v>#REF!</v>
      </c>
      <c r="M165" s="510" t="e">
        <f t="shared" si="53"/>
        <v>#REF!</v>
      </c>
      <c r="N165" s="510" t="e">
        <f t="shared" si="53"/>
        <v>#REF!</v>
      </c>
      <c r="O165" s="536" t="str">
        <f t="shared" si="40"/>
        <v/>
      </c>
      <c r="P165"/>
      <c r="Q165"/>
      <c r="R165"/>
      <c r="S165"/>
    </row>
    <row r="166" spans="1:21" ht="15.75" hidden="1">
      <c r="A166" s="270" t="str">
        <f>IF([4]Sheet6_WLAN!B127="","",[4]Sheet6_WLAN!B127)</f>
        <v/>
      </c>
      <c r="C166" s="270" t="str">
        <f t="shared" si="39"/>
        <v>Western Europe Unit Shipments (K)</v>
      </c>
      <c r="D166" s="534" t="str">
        <f>IF([4]Sheet6_WLAN!A127="","",[4]Sheet6_WLAN!A127)</f>
        <v>Western Europe Unit Shipments (K)</v>
      </c>
      <c r="E166" s="504" t="str">
        <f>IF([4]Sheet6_WLAN!B127="","",[4]Sheet6_WLAN!B127)</f>
        <v/>
      </c>
      <c r="F166" s="504" t="str">
        <f>IF([4]Sheet6_WLAN!D127 ="","",[4]Sheet6_WLAN!D127)</f>
        <v/>
      </c>
      <c r="G166" s="539" t="e">
        <f t="shared" ref="G166:N166" si="54">GETPIVOTDATA(""&amp;$F163&amp;"",ENI_Pivot_WLAN2,"region",$C163,"year",G$60)</f>
        <v>#REF!</v>
      </c>
      <c r="H166" s="539" t="e">
        <f t="shared" si="54"/>
        <v>#REF!</v>
      </c>
      <c r="I166" s="539" t="e">
        <f t="shared" si="54"/>
        <v>#REF!</v>
      </c>
      <c r="J166" s="539" t="e">
        <f t="shared" si="54"/>
        <v>#REF!</v>
      </c>
      <c r="K166" s="539" t="e">
        <f t="shared" si="54"/>
        <v>#REF!</v>
      </c>
      <c r="L166" s="539" t="e">
        <f t="shared" si="54"/>
        <v>#REF!</v>
      </c>
      <c r="M166" s="539" t="e">
        <f t="shared" si="54"/>
        <v>#REF!</v>
      </c>
      <c r="N166" s="539" t="e">
        <f t="shared" si="54"/>
        <v>#REF!</v>
      </c>
      <c r="O166" s="539" t="e">
        <f>GETPIVOTDATA(""&amp;$F163&amp;"",ENI_Pivot_WLAN2,"region",$C163,"year",#REF!)</f>
        <v>#REF!</v>
      </c>
      <c r="P166" s="539" t="e">
        <f>GETPIVOTDATA(""&amp;$F163&amp;"",ENI_Pivot_WLAN2,"region",$C163,"year",#REF!)</f>
        <v>#REF!</v>
      </c>
      <c r="Q166" s="536" t="str">
        <f>IF( ISERROR((IF(K166=0,"NA",(P166/K166)^(1/5)-1))), "",(IF(K166=0,"NA",(P166/K166)^(1/5)-1)) )</f>
        <v/>
      </c>
      <c r="R166"/>
      <c r="S166"/>
      <c r="T166"/>
      <c r="U166"/>
    </row>
    <row r="167" spans="1:21" ht="15.75">
      <c r="B167" s="180"/>
      <c r="C167" s="180"/>
      <c r="D167" s="415" t="str">
        <f>"Source: Gartner ("&amp;UpdatePeriodMOYR&amp;")"</f>
        <v>Source: Gartner (December 2017)</v>
      </c>
      <c r="E167" s="180"/>
      <c r="F167" s="246"/>
      <c r="G167" s="246"/>
      <c r="H167" s="246"/>
      <c r="I167" s="246"/>
      <c r="J167" s="246"/>
      <c r="K167" s="246"/>
      <c r="L167" s="246"/>
      <c r="M167"/>
      <c r="N167"/>
      <c r="O167"/>
      <c r="P167"/>
      <c r="Q167"/>
      <c r="R167"/>
      <c r="S167"/>
      <c r="T167"/>
    </row>
    <row r="168" spans="1:21" ht="15.75">
      <c r="B168" s="180"/>
      <c r="C168" s="180"/>
      <c r="D168" s="180"/>
      <c r="E168" s="180"/>
      <c r="F168" s="246"/>
      <c r="G168" s="246"/>
      <c r="H168" s="246"/>
      <c r="I168" s="246"/>
      <c r="J168" s="246"/>
      <c r="K168" s="246"/>
      <c r="L168" s="246"/>
      <c r="M168"/>
      <c r="N168"/>
      <c r="O168"/>
      <c r="P168"/>
      <c r="Q168"/>
      <c r="R168"/>
      <c r="S168"/>
      <c r="T168"/>
    </row>
    <row r="169" spans="1:21" ht="15.75">
      <c r="B169" s="180"/>
      <c r="C169" s="180"/>
      <c r="D169" s="180"/>
      <c r="E169" s="180"/>
      <c r="F169" s="246"/>
      <c r="G169" s="246"/>
      <c r="H169" s="246"/>
      <c r="I169" s="246"/>
      <c r="J169" s="246"/>
      <c r="K169" s="246"/>
      <c r="L169" s="246"/>
      <c r="M169"/>
      <c r="N169"/>
      <c r="O169"/>
      <c r="P169"/>
      <c r="Q169"/>
      <c r="R169"/>
      <c r="S169"/>
      <c r="T169"/>
    </row>
    <row r="170" spans="1:21" ht="15.75">
      <c r="B170" s="180"/>
      <c r="C170" s="180"/>
      <c r="D170" s="180"/>
      <c r="E170" s="180"/>
      <c r="F170" s="246"/>
      <c r="G170" s="246" t="s">
        <v>323</v>
      </c>
      <c r="H170" s="246" t="s">
        <v>324</v>
      </c>
      <c r="I170" s="246" t="s">
        <v>325</v>
      </c>
      <c r="J170" s="246" t="s">
        <v>326</v>
      </c>
      <c r="K170" s="246" t="s">
        <v>327</v>
      </c>
      <c r="L170" s="246" t="s">
        <v>328</v>
      </c>
      <c r="M170" t="s">
        <v>329</v>
      </c>
      <c r="N170" t="s">
        <v>330</v>
      </c>
      <c r="O170"/>
      <c r="P170"/>
      <c r="Q170"/>
      <c r="R170"/>
      <c r="S170"/>
      <c r="T170"/>
    </row>
    <row r="171" spans="1:21" ht="15.75">
      <c r="B171" s="180"/>
      <c r="C171" s="180"/>
      <c r="D171" s="180"/>
      <c r="E171" s="180"/>
      <c r="F171" s="246" t="s">
        <v>369</v>
      </c>
      <c r="G171" s="246">
        <v>2446.9784507058002</v>
      </c>
      <c r="H171" s="246">
        <v>2860.2344747417201</v>
      </c>
      <c r="I171" s="246">
        <v>3198.0181852232004</v>
      </c>
      <c r="J171" s="246">
        <v>5148.3387668200994</v>
      </c>
      <c r="K171" s="246">
        <v>5771.3980001376403</v>
      </c>
      <c r="L171" s="246">
        <v>6377.4505822977999</v>
      </c>
      <c r="M171">
        <v>7033.3033422997696</v>
      </c>
      <c r="N171">
        <v>7699.21151320645</v>
      </c>
      <c r="O171"/>
      <c r="P171"/>
      <c r="Q171"/>
      <c r="R171"/>
      <c r="S171"/>
      <c r="T171"/>
    </row>
    <row r="172" spans="1:21" ht="15.75">
      <c r="B172" s="180"/>
      <c r="C172" s="180"/>
      <c r="D172" s="180"/>
      <c r="E172" s="180"/>
      <c r="F172" s="246" t="s">
        <v>370</v>
      </c>
      <c r="G172" s="246">
        <v>8100.3424575089102</v>
      </c>
      <c r="H172" s="246">
        <v>9415.4499662099006</v>
      </c>
      <c r="I172" s="246">
        <v>10394.352675631329</v>
      </c>
      <c r="J172" s="246">
        <v>12543.547029812518</v>
      </c>
      <c r="K172" s="246">
        <v>14061.58481820473</v>
      </c>
      <c r="L172" s="246">
        <v>15613.758322177369</v>
      </c>
      <c r="M172">
        <v>17136.123950826601</v>
      </c>
      <c r="N172">
        <v>18667.95120325399</v>
      </c>
      <c r="O172"/>
      <c r="P172"/>
      <c r="Q172"/>
      <c r="R172"/>
      <c r="S172"/>
      <c r="T172"/>
    </row>
    <row r="173" spans="1:21" ht="15.75">
      <c r="B173" s="180"/>
      <c r="C173" s="180"/>
      <c r="D173" s="180"/>
      <c r="E173" s="180"/>
      <c r="F173" s="246" t="s">
        <v>371</v>
      </c>
      <c r="G173" s="246">
        <v>209.19876916910999</v>
      </c>
      <c r="H173" s="246">
        <v>210.07633578130003</v>
      </c>
      <c r="I173" s="246">
        <v>186.26847743025999</v>
      </c>
      <c r="J173" s="246">
        <v>193.91478738283001</v>
      </c>
      <c r="K173" s="246">
        <v>191.50658319044999</v>
      </c>
      <c r="L173" s="246">
        <v>189.08237045599998</v>
      </c>
      <c r="M173">
        <v>186.16383909458</v>
      </c>
      <c r="N173">
        <v>183.15811134328999</v>
      </c>
      <c r="O173"/>
      <c r="P173"/>
      <c r="Q173"/>
      <c r="R173"/>
      <c r="S173"/>
      <c r="T173"/>
    </row>
    <row r="174" spans="1:21" ht="15.75">
      <c r="B174" s="180"/>
      <c r="C174" s="180"/>
      <c r="D174" s="180"/>
      <c r="E174" s="180"/>
      <c r="F174" s="246"/>
      <c r="G174" s="246">
        <f>SUM(G171:G173)</f>
        <v>10756.519677383822</v>
      </c>
      <c r="H174" s="246">
        <f t="shared" ref="H174:N174" si="55">SUM(H171:H173)</f>
        <v>12485.760776732919</v>
      </c>
      <c r="I174" s="246">
        <f t="shared" si="55"/>
        <v>13778.639338284789</v>
      </c>
      <c r="J174" s="246">
        <f t="shared" si="55"/>
        <v>17885.800584015447</v>
      </c>
      <c r="K174" s="246">
        <f t="shared" si="55"/>
        <v>20024.489401532821</v>
      </c>
      <c r="L174" s="246">
        <f t="shared" si="55"/>
        <v>22180.291274931169</v>
      </c>
      <c r="M174" s="246">
        <f t="shared" si="55"/>
        <v>24355.59113222095</v>
      </c>
      <c r="N174" s="246">
        <f t="shared" si="55"/>
        <v>26550.320827803731</v>
      </c>
      <c r="O174"/>
      <c r="P174"/>
      <c r="Q174"/>
      <c r="R174"/>
      <c r="S174"/>
      <c r="T174"/>
    </row>
    <row r="175" spans="1:21" ht="15.75">
      <c r="B175" s="180"/>
      <c r="C175" s="180"/>
      <c r="D175" s="180"/>
      <c r="E175" s="180"/>
      <c r="F175" s="246"/>
      <c r="G175" s="246"/>
      <c r="H175" s="246"/>
      <c r="I175" s="246"/>
      <c r="J175" s="246"/>
      <c r="K175" s="493">
        <f>K174/J174-1</f>
        <v>0.1195746764295651</v>
      </c>
      <c r="L175" s="493">
        <f t="shared" ref="L175:N175" si="56">L174/K174-1</f>
        <v>0.10765826934060696</v>
      </c>
      <c r="M175" s="493">
        <f t="shared" si="56"/>
        <v>9.8073547832456587E-2</v>
      </c>
      <c r="N175" s="493">
        <f t="shared" si="56"/>
        <v>9.0111945288787743E-2</v>
      </c>
      <c r="O175"/>
      <c r="P175"/>
      <c r="Q175"/>
      <c r="R175"/>
      <c r="S175"/>
      <c r="T175"/>
    </row>
    <row r="176" spans="1:21" ht="15.75">
      <c r="B176" s="180"/>
      <c r="C176" s="180"/>
      <c r="D176" s="180"/>
      <c r="E176" s="180"/>
      <c r="F176" s="246"/>
      <c r="G176" s="246"/>
      <c r="H176" s="246"/>
      <c r="I176" s="246"/>
      <c r="J176" s="246"/>
      <c r="K176" s="246"/>
      <c r="L176" s="246"/>
      <c r="M176"/>
      <c r="N176"/>
      <c r="O176"/>
      <c r="P176"/>
      <c r="Q176"/>
      <c r="R176"/>
      <c r="S176"/>
      <c r="T176"/>
    </row>
    <row r="177" spans="2:20" ht="15.75">
      <c r="B177" s="180"/>
      <c r="C177" s="180"/>
      <c r="D177" s="180"/>
      <c r="E177" s="180"/>
      <c r="F177" s="246"/>
      <c r="G177" s="246"/>
      <c r="H177" s="246"/>
      <c r="I177" s="246"/>
      <c r="J177" s="246"/>
      <c r="K177" s="246"/>
      <c r="L177" s="246"/>
      <c r="M177"/>
      <c r="N177"/>
      <c r="O177"/>
      <c r="P177"/>
      <c r="Q177"/>
      <c r="R177"/>
      <c r="S177"/>
      <c r="T177"/>
    </row>
    <row r="178" spans="2:20" ht="15.75">
      <c r="B178" s="180"/>
      <c r="C178" s="180"/>
      <c r="D178" s="180"/>
      <c r="E178" s="180"/>
      <c r="F178" s="246"/>
      <c r="G178" s="246"/>
      <c r="H178" s="246"/>
      <c r="I178" s="246"/>
      <c r="J178" s="246"/>
      <c r="K178" s="246"/>
      <c r="L178" s="246"/>
      <c r="M178"/>
      <c r="N178"/>
      <c r="O178"/>
      <c r="P178"/>
      <c r="Q178"/>
      <c r="R178"/>
      <c r="S178"/>
      <c r="T178"/>
    </row>
    <row r="179" spans="2:20" ht="15.75">
      <c r="B179" s="180"/>
      <c r="C179" s="180"/>
      <c r="D179" s="180"/>
      <c r="E179" s="180"/>
      <c r="F179" s="246"/>
      <c r="G179" s="246"/>
      <c r="H179" s="246"/>
      <c r="I179" s="246"/>
      <c r="J179" s="246"/>
      <c r="K179" s="246"/>
      <c r="L179" s="246"/>
      <c r="M179"/>
      <c r="N179"/>
      <c r="O179"/>
      <c r="P179"/>
      <c r="Q179"/>
      <c r="R179"/>
      <c r="S179"/>
      <c r="T179"/>
    </row>
    <row r="180" spans="2:20" ht="15.75">
      <c r="B180" s="180"/>
      <c r="C180" s="180"/>
      <c r="D180" s="180"/>
      <c r="E180" s="180"/>
      <c r="F180" s="246"/>
      <c r="G180" s="246"/>
      <c r="H180" s="246"/>
      <c r="I180" s="246"/>
      <c r="J180" s="246"/>
      <c r="K180" s="246"/>
      <c r="L180" s="246"/>
      <c r="M180"/>
      <c r="N180"/>
      <c r="O180"/>
      <c r="P180"/>
      <c r="Q180"/>
      <c r="R180"/>
      <c r="S180"/>
      <c r="T180"/>
    </row>
    <row r="181" spans="2:20" ht="15.75">
      <c r="B181" s="180"/>
      <c r="C181" s="180"/>
      <c r="D181" s="180"/>
      <c r="E181" s="180"/>
      <c r="F181" s="246"/>
      <c r="G181" s="246"/>
      <c r="H181" s="246"/>
      <c r="I181" s="246"/>
      <c r="J181" s="246"/>
      <c r="K181" s="246"/>
      <c r="L181" s="246"/>
      <c r="M181"/>
      <c r="N181"/>
      <c r="O181"/>
      <c r="P181"/>
      <c r="Q181"/>
      <c r="R181"/>
      <c r="S181"/>
      <c r="T181"/>
    </row>
    <row r="182" spans="2:20" ht="15.75">
      <c r="B182" s="180"/>
      <c r="C182" s="180"/>
      <c r="D182" s="180"/>
      <c r="E182" s="180"/>
      <c r="F182" s="246"/>
      <c r="G182" s="246"/>
      <c r="H182" s="246"/>
      <c r="I182" s="246"/>
      <c r="J182" s="246"/>
      <c r="K182" s="246"/>
      <c r="L182" s="246"/>
      <c r="M182"/>
      <c r="N182"/>
      <c r="O182"/>
      <c r="P182"/>
      <c r="Q182"/>
      <c r="R182"/>
      <c r="S182"/>
      <c r="T182"/>
    </row>
    <row r="183" spans="2:20" ht="15.75">
      <c r="B183" s="180"/>
      <c r="C183" s="180"/>
      <c r="D183" s="180"/>
      <c r="E183" s="180"/>
      <c r="F183" s="246"/>
      <c r="G183" s="246"/>
      <c r="H183" s="246"/>
      <c r="I183" s="246"/>
      <c r="J183" s="246"/>
      <c r="K183" s="246"/>
      <c r="L183" s="246"/>
      <c r="M183"/>
      <c r="N183"/>
      <c r="O183"/>
      <c r="P183"/>
      <c r="Q183"/>
      <c r="R183"/>
      <c r="S183"/>
      <c r="T183"/>
    </row>
    <row r="184" spans="2:20" ht="15.75">
      <c r="B184" s="180"/>
      <c r="C184" s="180"/>
      <c r="D184" s="180"/>
      <c r="E184" s="180"/>
      <c r="F184" s="246"/>
      <c r="G184" s="246"/>
      <c r="H184" s="246"/>
      <c r="I184" s="246"/>
      <c r="J184" s="246"/>
      <c r="K184" s="246"/>
      <c r="L184" s="246"/>
      <c r="M184"/>
      <c r="N184"/>
      <c r="O184"/>
      <c r="P184"/>
      <c r="Q184"/>
      <c r="R184"/>
      <c r="S184"/>
      <c r="T184"/>
    </row>
    <row r="185" spans="2:20" ht="15.75">
      <c r="B185" s="180"/>
      <c r="C185" s="180"/>
      <c r="D185" s="180"/>
      <c r="E185" s="180"/>
      <c r="F185" s="246"/>
      <c r="G185" s="246"/>
      <c r="H185" s="246"/>
      <c r="I185" s="246"/>
      <c r="J185" s="246"/>
      <c r="K185" s="246"/>
      <c r="L185" s="246"/>
      <c r="M185"/>
      <c r="N185"/>
      <c r="O185"/>
      <c r="P185"/>
      <c r="Q185"/>
      <c r="R185"/>
      <c r="S185"/>
      <c r="T185"/>
    </row>
    <row r="186" spans="2:20" ht="15.75">
      <c r="B186" s="180"/>
      <c r="C186" s="180"/>
      <c r="D186" s="180"/>
      <c r="E186" s="180"/>
      <c r="F186" s="246"/>
      <c r="G186" s="246"/>
      <c r="H186" s="246"/>
      <c r="I186" s="246"/>
      <c r="J186" s="246"/>
      <c r="K186" s="246"/>
      <c r="L186" s="246"/>
      <c r="M186"/>
      <c r="N186"/>
      <c r="O186"/>
      <c r="P186"/>
      <c r="Q186"/>
      <c r="R186"/>
      <c r="S186"/>
      <c r="T186"/>
    </row>
    <row r="187" spans="2:20" ht="15.75">
      <c r="B187" s="180"/>
      <c r="C187" s="180"/>
      <c r="D187" s="180"/>
      <c r="E187" s="180"/>
      <c r="F187" s="246"/>
      <c r="G187" s="246"/>
      <c r="H187" s="246"/>
      <c r="I187" s="246"/>
      <c r="J187" s="246"/>
      <c r="K187" s="246"/>
      <c r="L187" s="246"/>
      <c r="M187"/>
      <c r="N187"/>
      <c r="O187"/>
      <c r="P187"/>
      <c r="Q187"/>
      <c r="R187"/>
      <c r="S187"/>
      <c r="T187"/>
    </row>
    <row r="188" spans="2:20" ht="15.75">
      <c r="B188" s="180"/>
      <c r="C188" s="180"/>
      <c r="D188" s="180"/>
      <c r="E188" s="180"/>
      <c r="F188" s="246"/>
      <c r="G188" s="246"/>
      <c r="H188" s="246"/>
      <c r="I188" s="246"/>
      <c r="J188" s="246"/>
      <c r="K188" s="246"/>
      <c r="L188" s="246"/>
      <c r="M188"/>
      <c r="N188"/>
      <c r="O188"/>
      <c r="P188"/>
      <c r="Q188"/>
      <c r="R188"/>
      <c r="S188"/>
      <c r="T188"/>
    </row>
    <row r="189" spans="2:20" ht="15.75">
      <c r="B189" s="180"/>
      <c r="C189" s="180"/>
      <c r="D189" s="180"/>
      <c r="E189" s="180"/>
      <c r="F189" s="246"/>
      <c r="G189" s="246"/>
      <c r="H189" s="246"/>
      <c r="I189" s="246"/>
      <c r="J189" s="246"/>
      <c r="K189" s="246"/>
      <c r="L189" s="246"/>
      <c r="M189"/>
      <c r="N189"/>
      <c r="O189"/>
      <c r="P189"/>
      <c r="Q189"/>
      <c r="R189"/>
      <c r="S189"/>
      <c r="T189"/>
    </row>
    <row r="190" spans="2:20" ht="15.75">
      <c r="B190" s="180"/>
      <c r="C190" s="180"/>
      <c r="D190" s="180"/>
      <c r="E190" s="180"/>
      <c r="F190" s="246"/>
      <c r="G190" s="246"/>
      <c r="H190" s="246"/>
      <c r="I190" s="246"/>
      <c r="J190" s="246"/>
      <c r="K190" s="246"/>
      <c r="L190" s="246"/>
      <c r="M190"/>
      <c r="N190"/>
      <c r="O190"/>
      <c r="P190"/>
      <c r="Q190"/>
      <c r="R190"/>
      <c r="S190"/>
      <c r="T190"/>
    </row>
    <row r="191" spans="2:20" ht="15.75">
      <c r="B191" s="180"/>
      <c r="C191" s="180"/>
      <c r="D191" s="180"/>
      <c r="E191" s="180"/>
      <c r="F191" s="246"/>
      <c r="G191" s="246"/>
      <c r="H191" s="246"/>
      <c r="I191" s="246"/>
      <c r="J191" s="246"/>
      <c r="K191" s="246"/>
      <c r="L191" s="246"/>
      <c r="M191"/>
      <c r="N191"/>
      <c r="O191"/>
      <c r="P191"/>
      <c r="Q191"/>
      <c r="R191"/>
      <c r="S191"/>
      <c r="T191"/>
    </row>
    <row r="192" spans="2:20" ht="15.75">
      <c r="B192" s="180"/>
      <c r="C192" s="180"/>
      <c r="D192" s="180"/>
      <c r="E192" s="180"/>
      <c r="F192" s="246"/>
      <c r="G192" s="246"/>
      <c r="H192" s="246"/>
      <c r="I192" s="246"/>
      <c r="J192" s="246"/>
      <c r="K192" s="246"/>
      <c r="L192" s="246"/>
      <c r="M192"/>
      <c r="N192"/>
      <c r="O192"/>
      <c r="P192"/>
      <c r="Q192"/>
      <c r="R192"/>
      <c r="S192"/>
      <c r="T192"/>
    </row>
    <row r="193" spans="2:20" ht="15.75">
      <c r="B193" s="180"/>
      <c r="C193" s="180"/>
      <c r="D193" s="180"/>
      <c r="E193" s="180"/>
      <c r="F193" s="246"/>
      <c r="G193" s="246"/>
      <c r="H193" s="246"/>
      <c r="I193" s="246"/>
      <c r="J193" s="246"/>
      <c r="K193" s="246"/>
      <c r="L193" s="246"/>
      <c r="M193"/>
      <c r="N193"/>
      <c r="O193"/>
      <c r="P193"/>
      <c r="Q193"/>
      <c r="R193"/>
      <c r="S193"/>
      <c r="T193"/>
    </row>
    <row r="194" spans="2:20" ht="15.75">
      <c r="B194" s="180"/>
      <c r="C194" s="180"/>
      <c r="D194" s="180"/>
      <c r="E194" s="180"/>
      <c r="F194" s="246"/>
      <c r="G194" s="246"/>
      <c r="H194" s="246"/>
      <c r="I194" s="246"/>
      <c r="J194" s="246"/>
      <c r="K194" s="246"/>
      <c r="L194" s="246"/>
      <c r="M194"/>
      <c r="N194"/>
      <c r="O194"/>
      <c r="P194"/>
      <c r="Q194"/>
      <c r="R194"/>
      <c r="S194"/>
      <c r="T194"/>
    </row>
    <row r="195" spans="2:20" ht="15.75">
      <c r="B195" s="180"/>
      <c r="C195" s="180"/>
      <c r="D195" s="180"/>
      <c r="E195" s="180"/>
      <c r="F195" s="246"/>
      <c r="G195" s="246"/>
      <c r="H195" s="246"/>
      <c r="I195" s="246"/>
      <c r="J195" s="246"/>
      <c r="K195" s="246"/>
      <c r="L195" s="246"/>
      <c r="M195"/>
      <c r="N195"/>
      <c r="O195"/>
      <c r="P195"/>
      <c r="Q195"/>
      <c r="R195"/>
      <c r="S195"/>
      <c r="T195"/>
    </row>
    <row r="196" spans="2:20" ht="15.75">
      <c r="B196" s="180"/>
      <c r="C196" s="180"/>
      <c r="D196" s="180"/>
      <c r="E196" s="180"/>
      <c r="F196" s="246"/>
      <c r="G196" s="246"/>
      <c r="H196" s="246"/>
      <c r="I196" s="246"/>
      <c r="J196" s="246"/>
      <c r="K196" s="246"/>
      <c r="L196" s="246"/>
      <c r="M196"/>
      <c r="N196"/>
      <c r="O196"/>
      <c r="P196"/>
      <c r="Q196"/>
      <c r="R196"/>
      <c r="S196"/>
      <c r="T196"/>
    </row>
    <row r="197" spans="2:20" ht="15.75">
      <c r="B197" s="180"/>
      <c r="C197" s="180"/>
      <c r="D197" s="180"/>
      <c r="E197" s="180"/>
      <c r="F197" s="246"/>
      <c r="G197" s="246"/>
      <c r="H197" s="246"/>
      <c r="I197" s="246"/>
      <c r="J197" s="246"/>
      <c r="K197" s="246"/>
      <c r="L197" s="246"/>
      <c r="M197"/>
      <c r="N197"/>
      <c r="O197"/>
      <c r="P197"/>
      <c r="Q197"/>
      <c r="R197"/>
      <c r="S197"/>
      <c r="T197"/>
    </row>
    <row r="198" spans="2:20" ht="15.75">
      <c r="B198" s="180"/>
      <c r="C198" s="180"/>
      <c r="D198" s="180"/>
      <c r="E198" s="180"/>
      <c r="F198" s="246"/>
      <c r="G198" s="246"/>
      <c r="H198" s="246"/>
      <c r="I198" s="246"/>
      <c r="J198" s="246"/>
      <c r="K198" s="246"/>
      <c r="L198" s="246"/>
      <c r="M198"/>
      <c r="N198"/>
      <c r="O198"/>
      <c r="P198"/>
      <c r="Q198"/>
      <c r="R198"/>
      <c r="S198"/>
      <c r="T198"/>
    </row>
    <row r="199" spans="2:20" ht="15.75">
      <c r="B199" s="180"/>
      <c r="C199" s="180"/>
      <c r="D199" s="180"/>
      <c r="E199" s="180"/>
      <c r="F199" s="246"/>
      <c r="G199" s="246"/>
      <c r="H199" s="246"/>
      <c r="I199" s="246"/>
      <c r="J199" s="246"/>
      <c r="K199" s="246"/>
      <c r="L199" s="246"/>
      <c r="M199"/>
      <c r="N199"/>
      <c r="O199"/>
      <c r="P199"/>
      <c r="Q199"/>
      <c r="R199"/>
      <c r="S199"/>
      <c r="T199"/>
    </row>
    <row r="200" spans="2:20" ht="15.75">
      <c r="B200" s="180"/>
      <c r="C200" s="180"/>
      <c r="D200" s="180"/>
      <c r="E200" s="180"/>
      <c r="F200" s="246"/>
      <c r="G200" s="246"/>
      <c r="H200" s="246"/>
      <c r="I200" s="246"/>
      <c r="J200" s="246"/>
      <c r="K200" s="246"/>
      <c r="L200" s="246"/>
      <c r="M200"/>
      <c r="N200"/>
      <c r="O200"/>
      <c r="P200"/>
      <c r="Q200"/>
      <c r="R200"/>
      <c r="S200"/>
      <c r="T200"/>
    </row>
    <row r="201" spans="2:20" ht="15.75">
      <c r="B201" s="180"/>
      <c r="C201" s="180"/>
      <c r="D201" s="180"/>
      <c r="E201" s="180"/>
      <c r="F201" s="180"/>
      <c r="G201" s="180"/>
      <c r="H201" s="180"/>
      <c r="I201" s="180"/>
      <c r="J201" s="180"/>
      <c r="K201" s="180"/>
      <c r="L201" s="180"/>
      <c r="M201"/>
      <c r="N201"/>
      <c r="O201"/>
      <c r="P201"/>
      <c r="Q201"/>
      <c r="R201"/>
      <c r="S201"/>
      <c r="T201"/>
    </row>
    <row r="202" spans="2:20" ht="15.75">
      <c r="B202" s="180"/>
      <c r="C202" s="180"/>
      <c r="D202" s="180"/>
      <c r="E202" s="180"/>
      <c r="F202" s="180"/>
      <c r="G202" s="180"/>
      <c r="H202" s="180"/>
      <c r="I202" s="180"/>
      <c r="J202" s="180"/>
      <c r="K202" s="180"/>
      <c r="L202" s="180"/>
      <c r="M202"/>
      <c r="N202"/>
      <c r="O202"/>
      <c r="P202"/>
      <c r="Q202"/>
      <c r="R202"/>
      <c r="S202"/>
      <c r="T202"/>
    </row>
    <row r="203" spans="2:20" ht="15.75">
      <c r="B203" s="180"/>
      <c r="C203" s="180"/>
      <c r="D203" s="180"/>
      <c r="E203" s="180"/>
      <c r="F203" s="180"/>
      <c r="G203" s="180"/>
      <c r="H203" s="180"/>
      <c r="I203" s="180"/>
      <c r="J203" s="180"/>
      <c r="K203" s="180"/>
      <c r="L203" s="180"/>
      <c r="M203"/>
      <c r="N203"/>
      <c r="O203"/>
      <c r="P203"/>
      <c r="Q203"/>
      <c r="R203"/>
      <c r="S203"/>
      <c r="T203"/>
    </row>
    <row r="204" spans="2:20" ht="15.75">
      <c r="B204" s="180"/>
      <c r="C204" s="180"/>
      <c r="D204" s="180"/>
      <c r="E204" s="180"/>
      <c r="F204" s="180"/>
      <c r="G204" s="180"/>
      <c r="H204" s="180"/>
      <c r="I204" s="180"/>
      <c r="J204" s="180"/>
      <c r="K204" s="180"/>
      <c r="L204" s="180"/>
      <c r="M204"/>
      <c r="N204"/>
      <c r="O204"/>
      <c r="P204"/>
      <c r="Q204"/>
      <c r="R204"/>
      <c r="S204"/>
      <c r="T204"/>
    </row>
    <row r="205" spans="2:20" ht="15.75">
      <c r="B205" s="180"/>
      <c r="C205" s="180"/>
      <c r="D205" s="180"/>
      <c r="E205" s="180"/>
      <c r="F205" s="180"/>
      <c r="G205" s="180"/>
      <c r="H205" s="180"/>
      <c r="I205" s="180"/>
      <c r="J205" s="180"/>
      <c r="K205" s="180"/>
      <c r="L205" s="180"/>
      <c r="M205"/>
      <c r="N205"/>
      <c r="O205"/>
      <c r="P205"/>
      <c r="Q205"/>
      <c r="R205"/>
      <c r="S205"/>
      <c r="T205"/>
    </row>
    <row r="206" spans="2:20" ht="15.75">
      <c r="B206" s="180"/>
      <c r="C206" s="180"/>
      <c r="D206" s="180"/>
      <c r="E206" s="180"/>
      <c r="F206" s="180"/>
      <c r="G206" s="180"/>
      <c r="H206" s="180"/>
      <c r="I206" s="180"/>
      <c r="J206" s="180"/>
      <c r="K206" s="180"/>
      <c r="L206" s="180"/>
      <c r="M206"/>
      <c r="N206"/>
      <c r="O206"/>
      <c r="P206"/>
      <c r="Q206"/>
      <c r="R206"/>
      <c r="S206"/>
      <c r="T206"/>
    </row>
    <row r="207" spans="2:20" ht="15.75">
      <c r="B207" s="180"/>
      <c r="C207" s="180"/>
      <c r="D207" s="180"/>
      <c r="E207" s="180"/>
      <c r="F207" s="180"/>
      <c r="G207" s="180"/>
      <c r="H207" s="180"/>
      <c r="I207" s="180"/>
      <c r="J207" s="180"/>
      <c r="K207" s="180"/>
      <c r="L207" s="180"/>
      <c r="M207"/>
      <c r="N207"/>
      <c r="O207"/>
      <c r="P207"/>
      <c r="Q207"/>
      <c r="R207"/>
      <c r="S207"/>
      <c r="T207"/>
    </row>
    <row r="208" spans="2:20" ht="15.75">
      <c r="B208" s="180"/>
      <c r="C208" s="180"/>
      <c r="D208" s="180"/>
      <c r="E208" s="180"/>
      <c r="F208" s="180"/>
      <c r="G208" s="180"/>
      <c r="H208" s="180"/>
      <c r="I208" s="180"/>
      <c r="J208" s="180"/>
      <c r="K208" s="180"/>
      <c r="L208" s="180"/>
      <c r="M208"/>
      <c r="N208"/>
      <c r="O208"/>
      <c r="P208"/>
      <c r="Q208"/>
      <c r="R208"/>
      <c r="S208"/>
      <c r="T208"/>
    </row>
    <row r="209" spans="2:20" ht="15.75">
      <c r="B209" s="180"/>
      <c r="C209" s="180"/>
      <c r="D209" s="180"/>
      <c r="E209" s="180"/>
      <c r="F209" s="180"/>
      <c r="G209" s="180"/>
      <c r="H209" s="180"/>
      <c r="I209" s="180"/>
      <c r="J209"/>
      <c r="K209"/>
      <c r="L209"/>
      <c r="M209"/>
      <c r="N209"/>
      <c r="O209"/>
      <c r="P209"/>
      <c r="Q209"/>
      <c r="R209"/>
      <c r="S209"/>
      <c r="T209"/>
    </row>
    <row r="210" spans="2:20" ht="15.75">
      <c r="B210" s="180"/>
      <c r="C210" s="180"/>
      <c r="D210" s="180"/>
      <c r="E210" s="180"/>
      <c r="F210" s="180"/>
      <c r="G210" s="180"/>
      <c r="H210" s="180"/>
      <c r="I210" s="180"/>
      <c r="J210"/>
      <c r="K210"/>
      <c r="L210"/>
      <c r="M210"/>
      <c r="N210"/>
      <c r="O210"/>
      <c r="P210"/>
      <c r="Q210"/>
      <c r="R210"/>
      <c r="S210"/>
      <c r="T210"/>
    </row>
    <row r="211" spans="2:20" ht="15.75">
      <c r="B211" s="180"/>
      <c r="C211" s="180"/>
      <c r="D211" s="180"/>
      <c r="E211" s="180"/>
      <c r="F211" s="180"/>
      <c r="G211" s="180"/>
      <c r="H211" s="180"/>
      <c r="I211" s="180"/>
      <c r="J211"/>
      <c r="K211"/>
      <c r="L211"/>
      <c r="M211"/>
      <c r="N211"/>
      <c r="O211"/>
      <c r="P211"/>
      <c r="Q211"/>
      <c r="R211"/>
      <c r="S211"/>
      <c r="T211"/>
    </row>
    <row r="212" spans="2:20" ht="15.75">
      <c r="B212" s="180"/>
      <c r="C212" s="180"/>
      <c r="D212" s="180"/>
      <c r="E212" s="180"/>
      <c r="F212" s="180"/>
      <c r="G212" s="180"/>
      <c r="H212" s="180"/>
      <c r="I212" s="180"/>
      <c r="J212"/>
      <c r="K212"/>
      <c r="L212"/>
      <c r="M212"/>
      <c r="N212"/>
      <c r="O212"/>
      <c r="P212"/>
      <c r="Q212"/>
      <c r="R212"/>
      <c r="S212"/>
      <c r="T212"/>
    </row>
    <row r="213" spans="2:20" ht="15.75">
      <c r="B213" s="180"/>
      <c r="C213" s="180"/>
      <c r="D213" s="180"/>
      <c r="E213" s="180"/>
      <c r="F213" s="180"/>
      <c r="G213" s="180"/>
      <c r="H213" s="180"/>
      <c r="I213" s="180"/>
      <c r="J213"/>
      <c r="K213"/>
      <c r="L213"/>
      <c r="M213"/>
      <c r="N213"/>
      <c r="O213"/>
      <c r="P213"/>
      <c r="Q213"/>
      <c r="R213"/>
      <c r="S213"/>
      <c r="T213"/>
    </row>
    <row r="214" spans="2:20" ht="15.75">
      <c r="B214" s="180"/>
      <c r="C214" s="180"/>
      <c r="D214" s="180"/>
      <c r="E214" s="180"/>
      <c r="F214" s="180"/>
      <c r="G214" s="180"/>
      <c r="H214" s="180"/>
      <c r="I214" s="180"/>
      <c r="J214"/>
      <c r="K214"/>
      <c r="L214"/>
      <c r="M214"/>
      <c r="N214"/>
      <c r="O214"/>
      <c r="P214"/>
      <c r="Q214"/>
      <c r="R214"/>
      <c r="S214"/>
      <c r="T214"/>
    </row>
    <row r="215" spans="2:20" ht="15.75">
      <c r="B215" s="180"/>
      <c r="C215" s="180"/>
      <c r="D215" s="180"/>
      <c r="E215" s="180"/>
      <c r="F215" s="180"/>
      <c r="G215" s="180"/>
      <c r="H215" s="180"/>
      <c r="I215" s="180"/>
      <c r="J215"/>
      <c r="K215"/>
      <c r="L215"/>
      <c r="M215"/>
      <c r="N215"/>
      <c r="O215"/>
      <c r="P215"/>
      <c r="Q215"/>
      <c r="R215"/>
      <c r="S215"/>
      <c r="T215"/>
    </row>
    <row r="216" spans="2:20" ht="15.75">
      <c r="B216" s="180"/>
      <c r="C216" s="180"/>
      <c r="D216" s="180"/>
      <c r="E216" s="180"/>
      <c r="F216" s="180"/>
      <c r="G216" s="180"/>
      <c r="H216" s="180"/>
      <c r="I216" s="180"/>
      <c r="J216"/>
      <c r="K216"/>
      <c r="L216"/>
      <c r="M216"/>
      <c r="N216"/>
      <c r="O216"/>
      <c r="P216"/>
      <c r="Q216"/>
      <c r="R216"/>
      <c r="S216"/>
      <c r="T216"/>
    </row>
    <row r="217" spans="2:20" ht="15.75">
      <c r="B217" s="180"/>
      <c r="C217" s="180"/>
      <c r="D217" s="180"/>
      <c r="E217" s="180"/>
      <c r="F217" s="180"/>
      <c r="G217" s="180"/>
      <c r="H217" s="180"/>
      <c r="I217" s="180"/>
      <c r="J217"/>
      <c r="K217"/>
      <c r="L217"/>
      <c r="M217"/>
      <c r="N217"/>
      <c r="O217"/>
      <c r="P217"/>
      <c r="Q217"/>
      <c r="R217"/>
      <c r="S217"/>
      <c r="T217"/>
    </row>
    <row r="218" spans="2:20" ht="15.75">
      <c r="B218" s="180"/>
      <c r="C218" s="180"/>
      <c r="D218" s="180"/>
      <c r="E218" s="180"/>
      <c r="F218" s="180"/>
      <c r="G218" s="180"/>
      <c r="H218" s="180"/>
      <c r="I218" s="180"/>
      <c r="J218"/>
      <c r="K218"/>
      <c r="L218"/>
      <c r="M218"/>
      <c r="N218"/>
      <c r="O218"/>
      <c r="P218"/>
      <c r="Q218"/>
      <c r="R218"/>
      <c r="S218"/>
      <c r="T218"/>
    </row>
    <row r="219" spans="2:20" ht="15.75">
      <c r="B219" s="180"/>
      <c r="C219" s="180"/>
      <c r="D219" s="180"/>
      <c r="E219" s="180"/>
      <c r="F219" s="180"/>
      <c r="G219" s="180"/>
      <c r="H219" s="180"/>
      <c r="I219" s="180"/>
      <c r="J219"/>
      <c r="K219"/>
      <c r="L219"/>
      <c r="M219"/>
      <c r="N219"/>
      <c r="O219"/>
      <c r="P219"/>
      <c r="Q219"/>
      <c r="R219"/>
      <c r="S219"/>
      <c r="T219"/>
    </row>
    <row r="220" spans="2:20" ht="15.75">
      <c r="B220" s="180"/>
      <c r="C220" s="180"/>
      <c r="D220" s="180"/>
      <c r="E220" s="180"/>
      <c r="F220" s="180"/>
      <c r="G220" s="180"/>
      <c r="H220" s="180"/>
      <c r="I220" s="180"/>
      <c r="J220"/>
      <c r="K220"/>
      <c r="L220"/>
      <c r="M220"/>
      <c r="N220"/>
      <c r="O220"/>
      <c r="P220"/>
      <c r="Q220"/>
      <c r="R220"/>
      <c r="S220"/>
      <c r="T220"/>
    </row>
    <row r="221" spans="2:20" ht="15.75">
      <c r="B221" s="180"/>
      <c r="C221" s="180"/>
      <c r="D221" s="180"/>
      <c r="E221" s="180"/>
      <c r="F221" s="180"/>
      <c r="G221" s="180"/>
      <c r="H221" s="180"/>
      <c r="I221" s="180"/>
      <c r="J221"/>
      <c r="K221"/>
      <c r="L221"/>
      <c r="M221"/>
      <c r="N221"/>
      <c r="O221"/>
      <c r="P221"/>
      <c r="Q221"/>
      <c r="R221"/>
      <c r="S221"/>
      <c r="T221"/>
    </row>
    <row r="222" spans="2:20" ht="15.75">
      <c r="B222" s="180"/>
      <c r="C222" s="180"/>
      <c r="D222" s="180"/>
      <c r="E222" s="180"/>
      <c r="F222" s="180"/>
      <c r="G222" s="180"/>
      <c r="H222" s="180"/>
      <c r="I222" s="180"/>
      <c r="J222"/>
      <c r="K222"/>
      <c r="L222"/>
      <c r="M222"/>
      <c r="N222"/>
      <c r="O222"/>
      <c r="P222"/>
      <c r="Q222"/>
      <c r="R222"/>
      <c r="S222"/>
      <c r="T222"/>
    </row>
    <row r="223" spans="2:20" ht="15.75">
      <c r="B223" s="180"/>
      <c r="C223" s="180"/>
      <c r="D223" s="180"/>
      <c r="E223" s="180"/>
      <c r="F223" s="180"/>
      <c r="G223" s="180"/>
      <c r="H223" s="180"/>
      <c r="I223" s="180"/>
      <c r="J223"/>
      <c r="K223"/>
      <c r="L223"/>
      <c r="M223"/>
      <c r="N223"/>
      <c r="O223"/>
      <c r="P223"/>
      <c r="Q223"/>
      <c r="R223"/>
      <c r="S223"/>
      <c r="T223"/>
    </row>
    <row r="224" spans="2:20" ht="15.75">
      <c r="B224" s="180"/>
      <c r="C224" s="180"/>
      <c r="D224" s="180"/>
      <c r="E224" s="180"/>
      <c r="F224" s="180"/>
      <c r="G224" s="180"/>
      <c r="H224" s="180"/>
      <c r="I224" s="180"/>
      <c r="J224"/>
      <c r="K224"/>
      <c r="L224"/>
      <c r="M224"/>
      <c r="N224"/>
      <c r="O224"/>
      <c r="P224"/>
      <c r="Q224"/>
      <c r="R224"/>
      <c r="S224"/>
      <c r="T224"/>
    </row>
    <row r="225" spans="2:20" ht="15.75">
      <c r="B225" s="180"/>
      <c r="C225" s="180"/>
      <c r="D225" s="180"/>
      <c r="E225" s="180"/>
      <c r="F225" s="180"/>
      <c r="G225" s="180"/>
      <c r="H225" s="180"/>
      <c r="I225" s="180"/>
      <c r="J225"/>
      <c r="K225"/>
      <c r="L225"/>
      <c r="M225"/>
      <c r="N225"/>
      <c r="O225"/>
      <c r="P225"/>
      <c r="Q225"/>
      <c r="R225"/>
      <c r="S225"/>
      <c r="T225"/>
    </row>
    <row r="226" spans="2:20" ht="15.75">
      <c r="B226" s="180"/>
      <c r="C226" s="180"/>
      <c r="D226" s="180"/>
      <c r="E226" s="180"/>
      <c r="F226" s="180"/>
      <c r="G226" s="180"/>
      <c r="H226" s="180"/>
      <c r="I226" s="180"/>
      <c r="J226"/>
      <c r="K226"/>
      <c r="L226"/>
      <c r="M226"/>
      <c r="N226"/>
      <c r="O226"/>
      <c r="P226"/>
      <c r="Q226"/>
      <c r="R226"/>
      <c r="S226"/>
      <c r="T226"/>
    </row>
    <row r="227" spans="2:20" ht="15.75">
      <c r="B227" s="180"/>
      <c r="C227" s="180"/>
      <c r="D227" s="180"/>
      <c r="E227" s="180"/>
      <c r="F227" s="180"/>
      <c r="G227" s="180"/>
      <c r="H227" s="180"/>
      <c r="I227" s="180"/>
      <c r="J227"/>
      <c r="K227"/>
      <c r="L227"/>
      <c r="M227"/>
      <c r="N227"/>
      <c r="O227"/>
      <c r="P227"/>
      <c r="Q227"/>
      <c r="R227"/>
      <c r="S227"/>
      <c r="T227"/>
    </row>
    <row r="228" spans="2:20" ht="15.75">
      <c r="B228" s="180"/>
      <c r="C228" s="180"/>
      <c r="D228" s="180"/>
      <c r="E228" s="180"/>
      <c r="F228" s="180"/>
      <c r="G228" s="180"/>
      <c r="H228" s="180"/>
      <c r="I228" s="180"/>
      <c r="J228"/>
      <c r="K228"/>
      <c r="L228"/>
      <c r="M228"/>
      <c r="N228"/>
      <c r="O228"/>
      <c r="P228"/>
      <c r="Q228"/>
      <c r="R228"/>
      <c r="S228"/>
      <c r="T228"/>
    </row>
    <row r="229" spans="2:20" ht="15.75">
      <c r="B229" s="180"/>
      <c r="C229" s="180"/>
      <c r="D229" s="180"/>
      <c r="E229" s="180"/>
      <c r="F229" s="180"/>
      <c r="G229" s="180"/>
      <c r="H229" s="180"/>
      <c r="I229" s="180"/>
      <c r="J229"/>
      <c r="K229"/>
      <c r="L229"/>
      <c r="M229"/>
      <c r="N229"/>
      <c r="O229"/>
      <c r="P229"/>
      <c r="Q229"/>
      <c r="R229"/>
      <c r="S229"/>
      <c r="T229"/>
    </row>
    <row r="230" spans="2:20" ht="15.75">
      <c r="B230" s="180"/>
      <c r="C230" s="180"/>
      <c r="D230" s="180"/>
      <c r="E230" s="180"/>
      <c r="F230" s="180"/>
      <c r="G230" s="180"/>
      <c r="H230" s="180"/>
      <c r="I230" s="180"/>
      <c r="J230"/>
      <c r="K230"/>
      <c r="L230"/>
      <c r="M230"/>
      <c r="N230"/>
      <c r="O230"/>
      <c r="P230"/>
      <c r="Q230"/>
      <c r="R230"/>
      <c r="S230"/>
      <c r="T230"/>
    </row>
    <row r="231" spans="2:20" ht="15.75">
      <c r="B231" s="180"/>
      <c r="C231" s="180"/>
      <c r="D231" s="180"/>
      <c r="E231" s="180"/>
      <c r="F231" s="180"/>
      <c r="G231" s="180"/>
      <c r="H231" s="180"/>
      <c r="I231" s="180"/>
      <c r="J231"/>
      <c r="K231"/>
      <c r="L231"/>
      <c r="M231"/>
      <c r="N231"/>
      <c r="O231"/>
      <c r="P231"/>
      <c r="Q231"/>
      <c r="R231"/>
      <c r="S231"/>
      <c r="T231"/>
    </row>
    <row r="232" spans="2:20" ht="15.75">
      <c r="B232" s="180"/>
      <c r="C232" s="180"/>
      <c r="D232" s="180"/>
      <c r="E232" s="180"/>
      <c r="F232" s="180"/>
      <c r="G232" s="180"/>
      <c r="H232" s="180"/>
      <c r="I232" s="180"/>
      <c r="J232"/>
      <c r="K232"/>
      <c r="L232"/>
      <c r="M232"/>
      <c r="N232"/>
      <c r="O232"/>
      <c r="P232"/>
      <c r="Q232"/>
      <c r="R232"/>
      <c r="S232"/>
      <c r="T232"/>
    </row>
    <row r="233" spans="2:20" ht="15.75">
      <c r="B233" s="180"/>
      <c r="C233" s="180"/>
      <c r="D233" s="180"/>
      <c r="E233" s="180"/>
      <c r="F233" s="180"/>
      <c r="G233" s="180"/>
      <c r="H233" s="180"/>
      <c r="I233" s="180"/>
      <c r="J233"/>
      <c r="K233"/>
      <c r="L233"/>
      <c r="M233"/>
      <c r="N233"/>
      <c r="O233"/>
      <c r="P233"/>
      <c r="Q233"/>
      <c r="R233"/>
      <c r="S233"/>
      <c r="T233"/>
    </row>
    <row r="234" spans="2:20" ht="15.75">
      <c r="B234" s="180"/>
      <c r="C234" s="180"/>
      <c r="D234" s="180"/>
      <c r="E234" s="180"/>
      <c r="F234" s="180"/>
      <c r="G234" s="180"/>
      <c r="H234" s="180"/>
      <c r="I234" s="180"/>
      <c r="J234"/>
      <c r="K234"/>
      <c r="L234"/>
      <c r="M234"/>
      <c r="N234"/>
      <c r="O234"/>
      <c r="P234"/>
      <c r="Q234"/>
      <c r="R234"/>
      <c r="S234"/>
      <c r="T234"/>
    </row>
    <row r="235" spans="2:20" ht="15.75">
      <c r="B235" s="180"/>
      <c r="C235" s="180"/>
      <c r="D235" s="180"/>
      <c r="E235" s="180"/>
      <c r="F235" s="180"/>
      <c r="G235" s="180"/>
      <c r="H235" s="180"/>
      <c r="I235" s="180"/>
      <c r="J235"/>
      <c r="K235"/>
      <c r="L235"/>
      <c r="M235"/>
      <c r="N235"/>
      <c r="O235"/>
      <c r="P235"/>
      <c r="Q235"/>
      <c r="R235"/>
      <c r="S235"/>
      <c r="T235"/>
    </row>
    <row r="236" spans="2:20" ht="15.75">
      <c r="B236" s="180"/>
      <c r="C236" s="180"/>
      <c r="D236" s="180"/>
      <c r="E236" s="180"/>
      <c r="F236" s="180"/>
      <c r="G236" s="180"/>
      <c r="H236" s="180"/>
      <c r="I236" s="180"/>
      <c r="J236"/>
      <c r="K236"/>
      <c r="L236"/>
      <c r="M236"/>
      <c r="N236"/>
      <c r="O236"/>
      <c r="P236"/>
      <c r="Q236"/>
      <c r="R236"/>
      <c r="S236"/>
      <c r="T236"/>
    </row>
    <row r="237" spans="2:20" ht="15.75">
      <c r="B237" s="180"/>
      <c r="C237" s="180"/>
      <c r="D237" s="180"/>
      <c r="E237" s="180"/>
      <c r="F237" s="180"/>
      <c r="G237" s="180"/>
      <c r="H237" s="180"/>
      <c r="I237" s="180"/>
      <c r="J237"/>
      <c r="K237"/>
      <c r="L237"/>
      <c r="M237"/>
      <c r="N237"/>
      <c r="O237"/>
      <c r="P237"/>
      <c r="Q237"/>
      <c r="R237"/>
      <c r="S237"/>
      <c r="T237"/>
    </row>
    <row r="238" spans="2:20" ht="15.75">
      <c r="B238" s="180"/>
      <c r="C238" s="180"/>
      <c r="D238" s="180"/>
      <c r="E238" s="180"/>
      <c r="F238" s="180"/>
      <c r="G238" s="180"/>
      <c r="H238" s="180"/>
      <c r="I238" s="180"/>
      <c r="J238"/>
      <c r="K238"/>
      <c r="L238"/>
      <c r="M238"/>
      <c r="N238"/>
      <c r="O238"/>
      <c r="P238"/>
      <c r="Q238"/>
      <c r="R238"/>
      <c r="S238"/>
      <c r="T238"/>
    </row>
    <row r="239" spans="2:20" ht="15.75">
      <c r="B239" s="180"/>
      <c r="C239" s="180"/>
      <c r="D239" s="180"/>
      <c r="E239" s="180"/>
      <c r="F239" s="180"/>
      <c r="G239" s="180"/>
      <c r="H239" s="180"/>
      <c r="I239" s="180"/>
      <c r="J239"/>
      <c r="K239"/>
      <c r="L239"/>
      <c r="M239"/>
      <c r="N239"/>
      <c r="O239"/>
      <c r="P239"/>
      <c r="Q239"/>
      <c r="R239"/>
      <c r="S239"/>
      <c r="T239"/>
    </row>
    <row r="240" spans="2:20" ht="15.75">
      <c r="D240" s="180"/>
      <c r="E240" s="180"/>
      <c r="F240" s="180"/>
      <c r="G240" s="180"/>
      <c r="H240" s="180"/>
      <c r="I240" s="180"/>
      <c r="J240"/>
      <c r="K240"/>
      <c r="L240"/>
      <c r="M240"/>
      <c r="N240"/>
      <c r="O240"/>
      <c r="P240"/>
      <c r="Q240"/>
      <c r="R240"/>
      <c r="S240"/>
      <c r="T240"/>
    </row>
    <row r="241" spans="4:27" ht="15.75">
      <c r="D241" s="180"/>
      <c r="E241" s="180"/>
      <c r="F241" s="180"/>
      <c r="G241" s="180"/>
      <c r="H241" s="180"/>
      <c r="I241" s="180"/>
      <c r="J241"/>
      <c r="K241"/>
      <c r="L241"/>
      <c r="M241"/>
      <c r="N241"/>
      <c r="O241"/>
      <c r="P241"/>
      <c r="Q241"/>
      <c r="R241"/>
      <c r="S241"/>
      <c r="T241"/>
    </row>
    <row r="242" spans="4:27" ht="15.75">
      <c r="E242" s="180"/>
      <c r="F242" s="180"/>
      <c r="G242" s="180"/>
      <c r="H242" s="180"/>
      <c r="I242" s="180"/>
      <c r="J242"/>
      <c r="K242"/>
      <c r="L242"/>
      <c r="M242"/>
      <c r="N242"/>
      <c r="O242"/>
      <c r="P242"/>
      <c r="Q242"/>
      <c r="R242"/>
      <c r="S242"/>
      <c r="T242"/>
    </row>
    <row r="243" spans="4:27" ht="15.75">
      <c r="E243" s="180"/>
      <c r="F243" s="180"/>
      <c r="G243" s="180"/>
      <c r="H243" s="180"/>
      <c r="I243" s="180"/>
      <c r="J243"/>
      <c r="K243"/>
      <c r="L243"/>
      <c r="M243"/>
      <c r="N243"/>
      <c r="O243"/>
      <c r="P243"/>
      <c r="Q243"/>
      <c r="R243"/>
      <c r="S243"/>
      <c r="T243"/>
    </row>
    <row r="244" spans="4:27" ht="15.75">
      <c r="E244" s="180"/>
      <c r="F244" s="180"/>
      <c r="G244" s="180"/>
      <c r="H244" s="180"/>
      <c r="I244" s="180"/>
      <c r="J244"/>
      <c r="K244"/>
      <c r="L244"/>
      <c r="M244"/>
      <c r="N244"/>
      <c r="O244"/>
      <c r="P244"/>
      <c r="Q244"/>
      <c r="R244"/>
      <c r="S244"/>
      <c r="T244"/>
    </row>
    <row r="245" spans="4:27" ht="15.75">
      <c r="E245" s="180"/>
      <c r="F245" s="180"/>
      <c r="G245" s="180"/>
      <c r="H245" s="180"/>
      <c r="I245" s="180"/>
      <c r="J245"/>
      <c r="K245"/>
      <c r="L245"/>
      <c r="M245"/>
      <c r="N245"/>
      <c r="O245"/>
      <c r="P245"/>
      <c r="Q245"/>
      <c r="R245"/>
      <c r="S245"/>
      <c r="T245"/>
    </row>
    <row r="246" spans="4:27" ht="15.75">
      <c r="E246" s="180"/>
      <c r="F246" s="180"/>
      <c r="G246" s="180"/>
      <c r="H246" s="180"/>
      <c r="I246" s="180"/>
      <c r="J246"/>
      <c r="K246"/>
      <c r="L246"/>
      <c r="M246"/>
      <c r="N246"/>
      <c r="O246"/>
      <c r="P246"/>
      <c r="Q246"/>
      <c r="R246"/>
      <c r="S246"/>
      <c r="T246"/>
    </row>
    <row r="247" spans="4:27" ht="15.75">
      <c r="E247" s="180"/>
      <c r="F247" s="180"/>
      <c r="G247" s="180"/>
      <c r="H247" s="180"/>
      <c r="I247" s="180"/>
      <c r="J247"/>
      <c r="K247"/>
      <c r="L247"/>
      <c r="M247"/>
      <c r="N247"/>
      <c r="O247"/>
      <c r="P247"/>
      <c r="Q247"/>
      <c r="R247"/>
      <c r="S247"/>
      <c r="T247"/>
    </row>
    <row r="248" spans="4:27" ht="15.75">
      <c r="E248" s="180"/>
      <c r="F248" s="180"/>
      <c r="G248" s="180"/>
      <c r="H248" s="180"/>
      <c r="I248" s="180"/>
      <c r="J248"/>
      <c r="K248"/>
      <c r="L248"/>
      <c r="M248"/>
      <c r="N248"/>
      <c r="O248"/>
      <c r="P248"/>
      <c r="Q248"/>
      <c r="R248"/>
      <c r="S248"/>
      <c r="T248"/>
    </row>
    <row r="249" spans="4:27" ht="15.75">
      <c r="E249" s="180"/>
      <c r="F249" s="180"/>
      <c r="G249" s="180"/>
      <c r="H249" s="180"/>
      <c r="I249" s="180"/>
      <c r="J249"/>
      <c r="K249"/>
      <c r="L249"/>
      <c r="M249"/>
      <c r="N249"/>
      <c r="O249"/>
      <c r="P249"/>
      <c r="Q249"/>
      <c r="R249"/>
      <c r="S249"/>
      <c r="T249"/>
    </row>
    <row r="250" spans="4:27" ht="15.75">
      <c r="P250"/>
      <c r="Q250"/>
      <c r="R250"/>
      <c r="S250"/>
      <c r="T250"/>
      <c r="U250"/>
      <c r="V250"/>
      <c r="W250"/>
      <c r="X250"/>
      <c r="Y250"/>
      <c r="Z250"/>
      <c r="AA250"/>
    </row>
    <row r="251" spans="4:27" ht="15.75">
      <c r="P251"/>
      <c r="Q251"/>
      <c r="R251"/>
      <c r="S251"/>
      <c r="T251"/>
      <c r="U251"/>
      <c r="V251"/>
      <c r="W251"/>
      <c r="X251"/>
      <c r="Y251"/>
      <c r="Z251"/>
      <c r="AA251"/>
    </row>
    <row r="252" spans="4:27" ht="15.75">
      <c r="P252"/>
      <c r="Q252"/>
      <c r="R252"/>
      <c r="S252"/>
      <c r="T252"/>
      <c r="U252"/>
      <c r="V252"/>
      <c r="W252"/>
      <c r="X252"/>
      <c r="Y252"/>
      <c r="Z252"/>
      <c r="AA252"/>
    </row>
    <row r="253" spans="4:27" ht="15.75">
      <c r="P253"/>
      <c r="Q253"/>
      <c r="R253"/>
      <c r="S253"/>
      <c r="T253"/>
      <c r="U253"/>
      <c r="V253"/>
      <c r="W253"/>
      <c r="X253"/>
      <c r="Y253"/>
      <c r="Z253"/>
      <c r="AA253"/>
    </row>
    <row r="254" spans="4:27" ht="15.75">
      <c r="P254"/>
      <c r="Q254"/>
      <c r="R254"/>
      <c r="S254"/>
      <c r="T254"/>
      <c r="U254"/>
      <c r="V254"/>
      <c r="W254"/>
      <c r="X254"/>
      <c r="Y254"/>
      <c r="Z254"/>
      <c r="AA254"/>
    </row>
    <row r="255" spans="4:27" ht="15.75">
      <c r="P255"/>
      <c r="Q255"/>
      <c r="R255"/>
      <c r="S255"/>
      <c r="T255"/>
      <c r="U255"/>
      <c r="V255"/>
      <c r="W255"/>
      <c r="X255"/>
      <c r="Y255"/>
      <c r="Z255"/>
      <c r="AA255"/>
    </row>
    <row r="256" spans="4:27" ht="15.75">
      <c r="P256"/>
      <c r="Q256"/>
      <c r="R256"/>
      <c r="S256"/>
      <c r="T256"/>
      <c r="U256"/>
      <c r="V256"/>
      <c r="W256"/>
      <c r="X256"/>
      <c r="Y256"/>
      <c r="Z256"/>
      <c r="AA256"/>
    </row>
    <row r="257" spans="16:27" ht="15.75">
      <c r="P257"/>
      <c r="Q257"/>
      <c r="R257"/>
      <c r="S257"/>
      <c r="T257"/>
      <c r="U257"/>
      <c r="V257"/>
      <c r="W257"/>
      <c r="X257"/>
      <c r="Y257"/>
      <c r="Z257"/>
      <c r="AA257"/>
    </row>
    <row r="258" spans="16:27" ht="15.75">
      <c r="P258"/>
      <c r="Q258"/>
      <c r="R258"/>
      <c r="S258"/>
      <c r="T258"/>
      <c r="U258"/>
      <c r="V258"/>
      <c r="W258"/>
      <c r="X258"/>
      <c r="Y258"/>
      <c r="Z258"/>
      <c r="AA258"/>
    </row>
    <row r="259" spans="16:27" ht="15.75">
      <c r="P259"/>
      <c r="Q259"/>
      <c r="R259"/>
      <c r="S259"/>
      <c r="T259"/>
      <c r="U259"/>
      <c r="V259"/>
      <c r="W259"/>
      <c r="X259"/>
      <c r="Y259"/>
      <c r="Z259"/>
      <c r="AA259"/>
    </row>
    <row r="260" spans="16:27" ht="15.75">
      <c r="P260"/>
      <c r="Q260"/>
      <c r="R260"/>
      <c r="S260"/>
      <c r="T260"/>
      <c r="U260"/>
      <c r="V260"/>
      <c r="W260"/>
      <c r="X260"/>
      <c r="Y260"/>
      <c r="Z260"/>
      <c r="AA260"/>
    </row>
    <row r="261" spans="16:27" ht="15.75">
      <c r="P261"/>
      <c r="Q261"/>
      <c r="R261"/>
      <c r="S261"/>
      <c r="T261"/>
      <c r="U261"/>
      <c r="V261"/>
      <c r="W261"/>
      <c r="X261"/>
      <c r="Y261"/>
      <c r="Z261"/>
      <c r="AA261"/>
    </row>
    <row r="262" spans="16:27" ht="15.75">
      <c r="P262"/>
      <c r="Q262"/>
      <c r="R262"/>
      <c r="S262"/>
      <c r="T262"/>
    </row>
    <row r="263" spans="16:27" ht="15.75">
      <c r="P263"/>
      <c r="Q263"/>
      <c r="R263"/>
      <c r="S263"/>
      <c r="T263"/>
    </row>
    <row r="264" spans="16:27" ht="15.75">
      <c r="P264"/>
      <c r="Q264"/>
      <c r="R264"/>
      <c r="S264"/>
      <c r="T264"/>
    </row>
    <row r="265" spans="16:27" ht="15.75">
      <c r="P265"/>
      <c r="Q265"/>
      <c r="R265"/>
      <c r="S265"/>
      <c r="T265"/>
    </row>
    <row r="266" spans="16:27" ht="15.75">
      <c r="P266"/>
      <c r="Q266"/>
      <c r="R266"/>
      <c r="S266"/>
      <c r="T266"/>
    </row>
    <row r="267" spans="16:27" ht="15.75">
      <c r="P267"/>
      <c r="Q267"/>
      <c r="R267"/>
      <c r="S267"/>
      <c r="T267"/>
    </row>
    <row r="268" spans="16:27" ht="15.75">
      <c r="P268"/>
      <c r="Q268"/>
      <c r="R268"/>
      <c r="S268"/>
      <c r="T268"/>
    </row>
    <row r="269" spans="16:27" ht="15.75">
      <c r="P269"/>
      <c r="Q269"/>
      <c r="R269"/>
      <c r="S269"/>
      <c r="T269"/>
    </row>
    <row r="270" spans="16:27" ht="15.75">
      <c r="P270"/>
      <c r="Q270"/>
      <c r="R270"/>
      <c r="S270"/>
      <c r="T270"/>
    </row>
    <row r="271" spans="16:27" ht="15.75">
      <c r="P271"/>
      <c r="Q271"/>
      <c r="R271"/>
      <c r="S271"/>
      <c r="T271"/>
    </row>
    <row r="272" spans="16:27" ht="15.75">
      <c r="P272"/>
      <c r="Q272"/>
      <c r="R272"/>
      <c r="S272"/>
      <c r="T272"/>
    </row>
    <row r="273" spans="16:20" ht="15.75">
      <c r="P273"/>
      <c r="Q273"/>
      <c r="R273"/>
      <c r="S273"/>
      <c r="T273"/>
    </row>
    <row r="274" spans="16:20" ht="15.75">
      <c r="P274"/>
      <c r="Q274"/>
      <c r="R274"/>
      <c r="S274"/>
      <c r="T274"/>
    </row>
    <row r="275" spans="16:20" ht="15.75">
      <c r="P275"/>
      <c r="Q275"/>
      <c r="R275"/>
      <c r="S275"/>
      <c r="T275"/>
    </row>
    <row r="276" spans="16:20" ht="15.75">
      <c r="P276"/>
      <c r="Q276"/>
      <c r="R276"/>
      <c r="S276"/>
      <c r="T276"/>
    </row>
    <row r="277" spans="16:20" ht="15.75">
      <c r="P277"/>
      <c r="Q277"/>
      <c r="R277"/>
      <c r="S277"/>
      <c r="T277"/>
    </row>
    <row r="278" spans="16:20" ht="15.75">
      <c r="P278"/>
      <c r="Q278"/>
      <c r="R278"/>
      <c r="S278"/>
      <c r="T278"/>
    </row>
    <row r="279" spans="16:20" ht="15.75">
      <c r="P279"/>
      <c r="Q279"/>
      <c r="R279"/>
      <c r="S279"/>
      <c r="T279"/>
    </row>
    <row r="280" spans="16:20" ht="15.75">
      <c r="P280"/>
      <c r="Q280"/>
      <c r="R280"/>
      <c r="S280"/>
      <c r="T280"/>
    </row>
    <row r="281" spans="16:20" ht="15.75">
      <c r="P281"/>
      <c r="Q281"/>
      <c r="R281"/>
      <c r="S281"/>
      <c r="T281"/>
    </row>
    <row r="282" spans="16:20" ht="15.75">
      <c r="P282"/>
      <c r="Q282"/>
      <c r="R282"/>
      <c r="S282"/>
      <c r="T282"/>
    </row>
    <row r="283" spans="16:20" ht="15.75">
      <c r="P283"/>
      <c r="Q283"/>
      <c r="R283"/>
      <c r="S283"/>
      <c r="T283"/>
    </row>
    <row r="468" spans="2:13" ht="15.75">
      <c r="B468"/>
      <c r="C468"/>
      <c r="D468"/>
      <c r="E468"/>
      <c r="F468"/>
      <c r="G468"/>
      <c r="H468"/>
      <c r="I468"/>
      <c r="J468"/>
      <c r="K468"/>
      <c r="L468"/>
      <c r="M468"/>
    </row>
    <row r="469" spans="2:13" ht="15.75">
      <c r="B469"/>
      <c r="C469"/>
      <c r="D469"/>
      <c r="E469"/>
      <c r="F469"/>
      <c r="G469"/>
      <c r="H469"/>
      <c r="I469"/>
      <c r="J469"/>
      <c r="K469"/>
      <c r="L469"/>
      <c r="M469"/>
    </row>
    <row r="470" spans="2:13" ht="15.75">
      <c r="B470"/>
      <c r="C470"/>
      <c r="D470"/>
      <c r="E470"/>
      <c r="F470"/>
      <c r="G470"/>
      <c r="H470"/>
      <c r="I470"/>
      <c r="J470"/>
      <c r="K470"/>
      <c r="L470"/>
      <c r="M470"/>
    </row>
  </sheetData>
  <phoneticPr fontId="49" type="noConversion"/>
  <hyperlinks>
    <hyperlink ref="E6:F6" location="WLAN!D61" display="WLAN!D61"/>
    <hyperlink ref="E5:F5" location="WLAN!D12" display="WLAN!D12"/>
    <hyperlink ref="E12" location="WLAN!D1" display="(Top)"/>
    <hyperlink ref="F12" location="Contents!A1" display="(Front Page)"/>
    <hyperlink ref="F58" location="Contents!A1" display="(Front Page)"/>
    <hyperlink ref="E58" location="WLAN!D1" display="(Top)"/>
    <hyperlink ref="E6" location="WLAN!D61" display="WLAN!D6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71"/>
  <sheetViews>
    <sheetView topLeftCell="A13" zoomScale="80" zoomScaleNormal="80" workbookViewId="0">
      <selection activeCell="C34" activeCellId="2" sqref="C16:J16 C32:J32 C34:J34"/>
    </sheetView>
  </sheetViews>
  <sheetFormatPr defaultColWidth="8" defaultRowHeight="15.75"/>
  <cols>
    <col min="1" max="1" width="23.125" style="160" customWidth="1"/>
    <col min="2" max="2" width="14.5" style="160" customWidth="1"/>
    <col min="3" max="11" width="12.75" style="160" customWidth="1"/>
    <col min="12" max="13" width="12.75" style="160" bestFit="1" customWidth="1"/>
    <col min="14" max="17" width="12.125" style="160" bestFit="1" customWidth="1"/>
    <col min="18" max="19" width="12.125" style="160" customWidth="1"/>
    <col min="20" max="25" width="12.125" style="160" bestFit="1" customWidth="1"/>
    <col min="26" max="26" width="14.375" style="160" bestFit="1" customWidth="1"/>
    <col min="27" max="27" width="15.375" style="160" bestFit="1" customWidth="1"/>
    <col min="28" max="28" width="16.25" style="160" bestFit="1" customWidth="1"/>
    <col min="29" max="16384" width="8" style="160"/>
  </cols>
  <sheetData>
    <row r="1" spans="1:15" ht="20.25">
      <c r="A1" s="876" t="str">
        <f>"Forecast: Server by Form Factor and CPU, "&amp;StartYear&amp;"-"&amp;EndYear</f>
        <v>Forecast: Server by Form Factor and CPU, 2015-2021</v>
      </c>
      <c r="B1" s="877"/>
      <c r="C1" s="878"/>
      <c r="D1" s="878"/>
      <c r="E1" s="878"/>
      <c r="F1" s="878"/>
      <c r="G1" s="878"/>
    </row>
    <row r="2" spans="1:15">
      <c r="A2" s="879"/>
      <c r="B2" s="877"/>
      <c r="C2" s="878"/>
      <c r="D2" s="878"/>
      <c r="E2" s="878"/>
      <c r="F2" s="878"/>
      <c r="G2" s="878"/>
    </row>
    <row r="3" spans="1:15">
      <c r="A3" s="879"/>
      <c r="B3" s="880" t="s">
        <v>296</v>
      </c>
      <c r="C3" s="878"/>
      <c r="D3" s="878"/>
      <c r="E3" s="878"/>
      <c r="F3" s="878"/>
      <c r="G3" s="878"/>
    </row>
    <row r="4" spans="1:15">
      <c r="A4" s="881" t="s">
        <v>363</v>
      </c>
      <c r="B4" s="976" t="str">
        <f>"Worldwide Server Form Factor Unit Shipment Forecast by Region, "&amp;StartYear&amp;"-"&amp;EndYear&amp;" "</f>
        <v xml:space="preserve">Worldwide Server Form Factor Unit Shipment Forecast by Region, 2015-2021 </v>
      </c>
      <c r="C4" s="976"/>
      <c r="D4" s="976"/>
      <c r="E4" s="976"/>
      <c r="F4" s="976"/>
      <c r="G4" s="976"/>
      <c r="H4" s="976"/>
      <c r="I4" s="976"/>
      <c r="J4" s="976"/>
      <c r="K4" s="976"/>
    </row>
    <row r="5" spans="1:15">
      <c r="A5" s="881" t="s">
        <v>364</v>
      </c>
      <c r="B5" s="977" t="str">
        <f>"Worldwide Server Form Factor Vendor Revenue Forecast by Region,  "&amp;StartYear&amp;"-"&amp;EndYear &amp;"  (Millions of Dollars)"</f>
        <v>Worldwide Server Form Factor Vendor Revenue Forecast by Region,  2015-2021  (Millions of Dollars)</v>
      </c>
      <c r="C5" s="977"/>
      <c r="D5" s="977"/>
      <c r="E5" s="977"/>
      <c r="F5" s="977"/>
      <c r="G5" s="977"/>
      <c r="H5" s="977"/>
      <c r="I5" s="977"/>
      <c r="J5" s="977"/>
      <c r="K5" s="977"/>
    </row>
    <row r="6" spans="1:15">
      <c r="A6" s="881"/>
      <c r="B6" s="978"/>
      <c r="C6" s="978"/>
      <c r="D6" s="978"/>
      <c r="E6" s="978"/>
      <c r="F6" s="978"/>
      <c r="G6" s="878"/>
    </row>
    <row r="7" spans="1:15">
      <c r="A7" s="882"/>
      <c r="B7" s="878"/>
      <c r="C7" s="878"/>
      <c r="D7" s="878"/>
      <c r="E7" s="878"/>
      <c r="F7" s="878"/>
      <c r="G7" s="878"/>
    </row>
    <row r="8" spans="1:15">
      <c r="A8" s="883" t="s">
        <v>706</v>
      </c>
      <c r="B8" s="884" t="s">
        <v>318</v>
      </c>
      <c r="C8" s="884" t="s">
        <v>297</v>
      </c>
      <c r="D8" s="885"/>
      <c r="E8" s="878"/>
      <c r="F8" s="878"/>
      <c r="G8" s="878"/>
    </row>
    <row r="9" spans="1:15">
      <c r="A9" s="886" t="str">
        <f>B4</f>
        <v xml:space="preserve">Worldwide Server Form Factor Unit Shipment Forecast by Region, 2015-2021 </v>
      </c>
      <c r="B9" s="887"/>
      <c r="C9" s="888"/>
      <c r="D9" s="885"/>
      <c r="E9" s="878"/>
      <c r="F9" s="878"/>
      <c r="G9" s="878"/>
    </row>
    <row r="10" spans="1:15">
      <c r="A10" s="886" t="s">
        <v>707</v>
      </c>
      <c r="B10" s="887"/>
      <c r="C10" s="888"/>
      <c r="D10" s="885"/>
      <c r="E10" s="878"/>
      <c r="F10" s="878"/>
      <c r="G10" s="878"/>
    </row>
    <row r="11" spans="1:15">
      <c r="A11" s="886"/>
      <c r="B11" s="887"/>
      <c r="C11" s="888"/>
      <c r="D11" s="885"/>
      <c r="E11" s="878"/>
      <c r="F11" s="878"/>
      <c r="G11" s="878"/>
    </row>
    <row r="12" spans="1:15" s="891" customFormat="1" ht="12">
      <c r="A12" s="919" t="s">
        <v>708</v>
      </c>
      <c r="B12" s="889" t="s">
        <v>618</v>
      </c>
      <c r="C12" s="890"/>
      <c r="D12" s="890"/>
      <c r="E12" s="890"/>
      <c r="F12" s="890"/>
      <c r="G12" s="890"/>
      <c r="H12" s="890"/>
      <c r="I12" s="890"/>
    </row>
    <row r="13" spans="1:15" s="891" customFormat="1" ht="12">
      <c r="A13" s="919" t="s">
        <v>273</v>
      </c>
      <c r="B13" s="889" t="s">
        <v>618</v>
      </c>
    </row>
    <row r="14" spans="1:15" s="891" customFormat="1" ht="12"/>
    <row r="15" spans="1:15" s="891" customFormat="1">
      <c r="A15" s="892"/>
      <c r="B15" s="893"/>
      <c r="C15" s="920" t="s">
        <v>272</v>
      </c>
      <c r="D15" s="893"/>
      <c r="E15" s="893"/>
      <c r="F15" s="893"/>
      <c r="G15" s="893"/>
      <c r="H15" s="893"/>
      <c r="I15" s="893"/>
      <c r="J15" s="894"/>
      <c r="K15"/>
      <c r="L15" s="160"/>
      <c r="M15" s="160"/>
      <c r="N15" s="160"/>
      <c r="O15" s="160"/>
    </row>
    <row r="16" spans="1:15" s="891" customFormat="1">
      <c r="A16" s="920" t="s">
        <v>349</v>
      </c>
      <c r="B16" s="920" t="s">
        <v>301</v>
      </c>
      <c r="C16" s="895" t="s">
        <v>287</v>
      </c>
      <c r="D16" s="896" t="s">
        <v>20</v>
      </c>
      <c r="E16" s="896" t="s">
        <v>21</v>
      </c>
      <c r="F16" s="896" t="s">
        <v>22</v>
      </c>
      <c r="G16" s="896" t="s">
        <v>23</v>
      </c>
      <c r="H16" s="896" t="s">
        <v>24</v>
      </c>
      <c r="I16" s="896" t="s">
        <v>25</v>
      </c>
      <c r="J16" s="897" t="s">
        <v>619</v>
      </c>
      <c r="K16"/>
      <c r="L16" s="160"/>
      <c r="M16" s="160"/>
      <c r="N16" s="160"/>
      <c r="O16" s="160"/>
    </row>
    <row r="17" spans="1:15" s="891" customFormat="1">
      <c r="A17" s="892" t="s">
        <v>300</v>
      </c>
      <c r="B17" s="892" t="s">
        <v>709</v>
      </c>
      <c r="C17" s="898">
        <v>1122.5199999999982</v>
      </c>
      <c r="D17" s="899">
        <v>958.38999999999839</v>
      </c>
      <c r="E17" s="899">
        <v>821.20999999999913</v>
      </c>
      <c r="F17" s="899">
        <v>909.2599999999984</v>
      </c>
      <c r="G17" s="899">
        <v>897.93999999999869</v>
      </c>
      <c r="H17" s="899">
        <v>916.66999999999871</v>
      </c>
      <c r="I17" s="899">
        <v>913.12999999999874</v>
      </c>
      <c r="J17" s="900">
        <v>897.77999999999895</v>
      </c>
      <c r="K17"/>
      <c r="L17" s="160"/>
      <c r="M17" s="160"/>
      <c r="N17" s="160"/>
      <c r="O17" s="160"/>
    </row>
    <row r="18" spans="1:15" s="891" customFormat="1">
      <c r="A18" s="901"/>
      <c r="B18" s="902" t="s">
        <v>710</v>
      </c>
      <c r="C18" s="903">
        <v>5882.9400000000187</v>
      </c>
      <c r="D18" s="904">
        <v>5981.6900000000196</v>
      </c>
      <c r="E18" s="904">
        <v>6284.870000000019</v>
      </c>
      <c r="F18" s="904">
        <v>6174.2300000000168</v>
      </c>
      <c r="G18" s="904">
        <v>6444.5500000000156</v>
      </c>
      <c r="H18" s="904">
        <v>6573.6100000000197</v>
      </c>
      <c r="I18" s="904">
        <v>6705.8000000000193</v>
      </c>
      <c r="J18" s="905">
        <v>6699.4300000000194</v>
      </c>
      <c r="K18"/>
      <c r="L18" s="160"/>
      <c r="M18" s="160"/>
      <c r="N18" s="160"/>
      <c r="O18" s="160"/>
    </row>
    <row r="19" spans="1:15" s="891" customFormat="1">
      <c r="A19" s="901"/>
      <c r="B19" s="902" t="s">
        <v>711</v>
      </c>
      <c r="C19" s="903">
        <v>917.72999999999888</v>
      </c>
      <c r="D19" s="904">
        <v>903.1</v>
      </c>
      <c r="E19" s="904">
        <v>758.48999999999933</v>
      </c>
      <c r="F19" s="904">
        <v>943.45999999999901</v>
      </c>
      <c r="G19" s="904">
        <v>955.229999999999</v>
      </c>
      <c r="H19" s="904">
        <v>955.61999999999978</v>
      </c>
      <c r="I19" s="904">
        <v>959.46999999999957</v>
      </c>
      <c r="J19" s="905">
        <v>951.03999999999962</v>
      </c>
      <c r="K19"/>
      <c r="L19" s="160"/>
      <c r="M19" s="160"/>
      <c r="N19" s="160"/>
      <c r="O19" s="160"/>
    </row>
    <row r="20" spans="1:15" s="891" customFormat="1">
      <c r="A20" s="901"/>
      <c r="B20" s="902" t="s">
        <v>712</v>
      </c>
      <c r="C20" s="903">
        <v>875.03999999999905</v>
      </c>
      <c r="D20" s="904">
        <v>776.6099999999999</v>
      </c>
      <c r="E20" s="904">
        <v>712.83999999999912</v>
      </c>
      <c r="F20" s="904">
        <v>759.85999999999956</v>
      </c>
      <c r="G20" s="904">
        <v>743.09999999999945</v>
      </c>
      <c r="H20" s="904">
        <v>756.74999999999989</v>
      </c>
      <c r="I20" s="904">
        <v>750.72999999999968</v>
      </c>
      <c r="J20" s="905">
        <v>698.62999999999965</v>
      </c>
      <c r="K20"/>
      <c r="L20" s="160"/>
      <c r="M20" s="160"/>
      <c r="N20" s="160"/>
      <c r="O20" s="160"/>
    </row>
    <row r="21" spans="1:15" s="891" customFormat="1">
      <c r="A21" s="901"/>
      <c r="B21" s="902" t="s">
        <v>713</v>
      </c>
      <c r="C21" s="903">
        <v>2292.1999999999998</v>
      </c>
      <c r="D21" s="904">
        <v>2484.09</v>
      </c>
      <c r="E21" s="904">
        <v>2873.5900000000024</v>
      </c>
      <c r="F21" s="904">
        <v>3523.4500000000025</v>
      </c>
      <c r="G21" s="904">
        <v>3555.5200000000032</v>
      </c>
      <c r="H21" s="904">
        <v>3740.8800000000037</v>
      </c>
      <c r="I21" s="904">
        <v>3981.1400000000012</v>
      </c>
      <c r="J21" s="905">
        <v>3972.41</v>
      </c>
      <c r="K21"/>
      <c r="L21" s="160"/>
      <c r="M21" s="160"/>
      <c r="N21" s="160"/>
      <c r="O21" s="160"/>
    </row>
    <row r="22" spans="1:15" s="891" customFormat="1">
      <c r="A22" s="892" t="s">
        <v>714</v>
      </c>
      <c r="B22" s="892" t="s">
        <v>709</v>
      </c>
      <c r="C22" s="906">
        <v>0.1012151918365651</v>
      </c>
      <c r="D22" s="907">
        <v>8.6311271375410822E-2</v>
      </c>
      <c r="E22" s="907">
        <v>7.1715134049427809E-2</v>
      </c>
      <c r="F22" s="907">
        <v>7.386196554743743E-2</v>
      </c>
      <c r="G22" s="907">
        <v>7.1285786188686348E-2</v>
      </c>
      <c r="H22" s="907">
        <v>7.0820711197022546E-2</v>
      </c>
      <c r="I22" s="907">
        <v>6.8603416760140659E-2</v>
      </c>
      <c r="J22" s="908">
        <v>6.7914388745537596E-2</v>
      </c>
      <c r="K22"/>
      <c r="L22" s="160"/>
      <c r="M22" s="160"/>
      <c r="N22" s="160"/>
      <c r="O22" s="160"/>
    </row>
    <row r="23" spans="1:15" s="891" customFormat="1">
      <c r="A23" s="901"/>
      <c r="B23" s="902" t="s">
        <v>710</v>
      </c>
      <c r="C23" s="909">
        <v>0.53045193017764058</v>
      </c>
      <c r="D23" s="910">
        <v>0.53870268770916196</v>
      </c>
      <c r="E23" s="910">
        <v>0.54884900882019116</v>
      </c>
      <c r="F23" s="910">
        <v>0.50155155130760909</v>
      </c>
      <c r="G23" s="910">
        <v>0.5116208358936013</v>
      </c>
      <c r="H23" s="910">
        <v>0.50786840993144911</v>
      </c>
      <c r="I23" s="910">
        <v>0.50380645922284151</v>
      </c>
      <c r="J23" s="911">
        <v>0.50679196840375018</v>
      </c>
      <c r="K23"/>
      <c r="L23" s="160"/>
      <c r="M23" s="160"/>
      <c r="N23" s="160"/>
      <c r="O23" s="160"/>
    </row>
    <row r="24" spans="1:15" s="891" customFormat="1">
      <c r="A24" s="901"/>
      <c r="B24" s="902" t="s">
        <v>711</v>
      </c>
      <c r="C24" s="909">
        <v>8.2749722057665717E-2</v>
      </c>
      <c r="D24" s="910">
        <v>8.1331930820577894E-2</v>
      </c>
      <c r="E24" s="910">
        <v>6.6237883154309507E-2</v>
      </c>
      <c r="F24" s="910">
        <v>7.6640135951636906E-2</v>
      </c>
      <c r="G24" s="910">
        <v>7.5833932713788105E-2</v>
      </c>
      <c r="H24" s="910">
        <v>7.3829936655610814E-2</v>
      </c>
      <c r="I24" s="910">
        <v>7.208493892310211E-2</v>
      </c>
      <c r="J24" s="911">
        <v>7.1943349453714861E-2</v>
      </c>
      <c r="K24"/>
      <c r="L24" s="160"/>
      <c r="M24" s="160"/>
      <c r="N24" s="160"/>
      <c r="O24" s="160"/>
    </row>
    <row r="25" spans="1:15" s="891" customFormat="1">
      <c r="A25" s="901"/>
      <c r="B25" s="902" t="s">
        <v>712</v>
      </c>
      <c r="C25" s="909">
        <v>7.8900457421398257E-2</v>
      </c>
      <c r="D25" s="910">
        <v>6.9940417223528936E-2</v>
      </c>
      <c r="E25" s="910">
        <v>6.225133176141804E-2</v>
      </c>
      <c r="F25" s="910">
        <v>6.1725747465934802E-2</v>
      </c>
      <c r="G25" s="910">
        <v>5.8993326632974213E-2</v>
      </c>
      <c r="H25" s="910">
        <v>5.8465503614547089E-2</v>
      </c>
      <c r="I25" s="910">
        <v>5.6402311899007206E-2</v>
      </c>
      <c r="J25" s="911">
        <v>5.2849283130939617E-2</v>
      </c>
      <c r="K25"/>
      <c r="L25" s="160"/>
      <c r="M25" s="160"/>
      <c r="N25" s="160"/>
      <c r="O25" s="160"/>
    </row>
    <row r="26" spans="1:15" s="891" customFormat="1">
      <c r="A26" s="901"/>
      <c r="B26" s="902" t="s">
        <v>713</v>
      </c>
      <c r="C26" s="909">
        <v>0.20668269850673029</v>
      </c>
      <c r="D26" s="910">
        <v>0.22371369287132029</v>
      </c>
      <c r="E26" s="910">
        <v>0.25094664221465357</v>
      </c>
      <c r="F26" s="910">
        <v>0.28622059972738167</v>
      </c>
      <c r="G26" s="910">
        <v>0.2822661185709498</v>
      </c>
      <c r="H26" s="910">
        <v>0.28901543860137058</v>
      </c>
      <c r="I26" s="910">
        <v>0.29910287319490858</v>
      </c>
      <c r="J26" s="911">
        <v>0.30050101026605774</v>
      </c>
      <c r="K26"/>
      <c r="L26" s="160"/>
      <c r="M26" s="160"/>
      <c r="N26" s="160"/>
      <c r="O26" s="160"/>
    </row>
    <row r="27" spans="1:15" s="891" customFormat="1">
      <c r="A27" s="892" t="s">
        <v>715</v>
      </c>
      <c r="B27" s="892" t="s">
        <v>709</v>
      </c>
      <c r="C27" s="906"/>
      <c r="D27" s="907">
        <v>-0.14621565762748107</v>
      </c>
      <c r="E27" s="907">
        <v>-0.14313588413902431</v>
      </c>
      <c r="F27" s="907">
        <v>0.1072198341471723</v>
      </c>
      <c r="G27" s="907">
        <v>-1.2449684358708982E-2</v>
      </c>
      <c r="H27" s="907">
        <v>2.085885471189617E-2</v>
      </c>
      <c r="I27" s="907">
        <v>-3.861804138894006E-3</v>
      </c>
      <c r="J27" s="908">
        <v>-1.6810311784740198E-2</v>
      </c>
      <c r="K27"/>
      <c r="L27" s="160"/>
      <c r="M27" s="160"/>
      <c r="N27" s="160"/>
      <c r="O27" s="160"/>
    </row>
    <row r="28" spans="1:15" s="891" customFormat="1">
      <c r="A28" s="901"/>
      <c r="B28" s="902" t="s">
        <v>710</v>
      </c>
      <c r="C28" s="909"/>
      <c r="D28" s="910">
        <v>1.6785824774687586E-2</v>
      </c>
      <c r="E28" s="910">
        <v>5.0684672726269399E-2</v>
      </c>
      <c r="F28" s="910">
        <v>-1.7604182743636992E-2</v>
      </c>
      <c r="G28" s="910">
        <v>4.3781977671709355E-2</v>
      </c>
      <c r="H28" s="910">
        <v>2.0026223708405354E-2</v>
      </c>
      <c r="I28" s="910">
        <v>2.0109194187059958E-2</v>
      </c>
      <c r="J28" s="911">
        <v>-9.4992394643441086E-4</v>
      </c>
      <c r="K28"/>
      <c r="L28" s="160"/>
      <c r="M28" s="160"/>
      <c r="N28" s="160"/>
      <c r="O28" s="160"/>
    </row>
    <row r="29" spans="1:15" s="891" customFormat="1">
      <c r="A29" s="901"/>
      <c r="B29" s="902" t="s">
        <v>711</v>
      </c>
      <c r="C29" s="909"/>
      <c r="D29" s="910">
        <v>-1.594150785089174E-2</v>
      </c>
      <c r="E29" s="910">
        <v>-0.16012623186801095</v>
      </c>
      <c r="F29" s="910">
        <v>0.24386610238763839</v>
      </c>
      <c r="G29" s="910">
        <v>1.247535666588938E-2</v>
      </c>
      <c r="H29" s="910">
        <v>4.0827863446581722E-4</v>
      </c>
      <c r="I29" s="910">
        <v>4.0287980578051904E-3</v>
      </c>
      <c r="J29" s="911">
        <v>-8.7861006597391832E-3</v>
      </c>
      <c r="K29"/>
      <c r="L29" s="160"/>
      <c r="M29" s="160"/>
      <c r="N29" s="160"/>
      <c r="O29" s="160"/>
    </row>
    <row r="30" spans="1:15" s="891" customFormat="1">
      <c r="A30" s="901"/>
      <c r="B30" s="902" t="s">
        <v>712</v>
      </c>
      <c r="C30" s="909"/>
      <c r="D30" s="910">
        <v>-0.11248628634119498</v>
      </c>
      <c r="E30" s="910">
        <v>-8.2113287235550392E-2</v>
      </c>
      <c r="F30" s="910">
        <v>6.5961506088323463E-2</v>
      </c>
      <c r="G30" s="910">
        <v>-2.2056694654278571E-2</v>
      </c>
      <c r="H30" s="910">
        <v>1.836899475171638E-2</v>
      </c>
      <c r="I30" s="910">
        <v>-7.9550710274201662E-3</v>
      </c>
      <c r="J30" s="911">
        <v>-6.9399118191626877E-2</v>
      </c>
      <c r="K30"/>
      <c r="L30" s="160"/>
      <c r="M30" s="160"/>
      <c r="N30" s="160"/>
      <c r="O30" s="160"/>
    </row>
    <row r="31" spans="1:15" s="891" customFormat="1">
      <c r="A31" s="901"/>
      <c r="B31" s="902" t="s">
        <v>713</v>
      </c>
      <c r="C31" s="909"/>
      <c r="D31" s="910">
        <v>8.3714335572812298E-2</v>
      </c>
      <c r="E31" s="910">
        <v>0.1567978615911671</v>
      </c>
      <c r="F31" s="910">
        <v>0.22614917228971412</v>
      </c>
      <c r="G31" s="910">
        <v>9.1018745831502063E-3</v>
      </c>
      <c r="H31" s="910">
        <v>5.2133021330213421E-2</v>
      </c>
      <c r="I31" s="910">
        <v>6.4225529821859362E-2</v>
      </c>
      <c r="J31" s="911">
        <v>-2.192839237002813E-3</v>
      </c>
      <c r="K31"/>
      <c r="L31" s="160"/>
      <c r="M31" s="160"/>
      <c r="N31" s="160"/>
      <c r="O31" s="160"/>
    </row>
    <row r="32" spans="1:15" s="891" customFormat="1">
      <c r="A32" s="892" t="s">
        <v>716</v>
      </c>
      <c r="B32" s="893"/>
      <c r="C32" s="898">
        <v>11090.430000000015</v>
      </c>
      <c r="D32" s="899">
        <v>11103.880000000019</v>
      </c>
      <c r="E32" s="899">
        <v>11451.000000000018</v>
      </c>
      <c r="F32" s="899">
        <v>12310.260000000017</v>
      </c>
      <c r="G32" s="899">
        <v>12596.340000000018</v>
      </c>
      <c r="H32" s="899">
        <v>12943.530000000021</v>
      </c>
      <c r="I32" s="899">
        <v>13310.270000000019</v>
      </c>
      <c r="J32" s="900">
        <v>13219.290000000017</v>
      </c>
      <c r="K32"/>
      <c r="L32" s="160"/>
      <c r="M32" s="160"/>
      <c r="N32" s="160"/>
      <c r="O32" s="160"/>
    </row>
    <row r="33" spans="1:15" s="891" customFormat="1">
      <c r="A33" s="892" t="s">
        <v>717</v>
      </c>
      <c r="B33" s="893"/>
      <c r="C33" s="906">
        <v>1</v>
      </c>
      <c r="D33" s="907">
        <v>1</v>
      </c>
      <c r="E33" s="907">
        <v>1</v>
      </c>
      <c r="F33" s="907">
        <v>1</v>
      </c>
      <c r="G33" s="907">
        <v>1</v>
      </c>
      <c r="H33" s="907">
        <v>1</v>
      </c>
      <c r="I33" s="907">
        <v>1</v>
      </c>
      <c r="J33" s="908">
        <v>1</v>
      </c>
      <c r="K33"/>
      <c r="L33" s="160"/>
      <c r="M33" s="160"/>
      <c r="N33" s="160"/>
      <c r="O33" s="160"/>
    </row>
    <row r="34" spans="1:15" s="891" customFormat="1">
      <c r="A34" s="912" t="s">
        <v>718</v>
      </c>
      <c r="B34" s="913"/>
      <c r="C34" s="914"/>
      <c r="D34" s="915">
        <v>1.2127573051725089E-3</v>
      </c>
      <c r="E34" s="915">
        <v>3.1261144753005107E-2</v>
      </c>
      <c r="F34" s="915">
        <v>7.503798794865052E-2</v>
      </c>
      <c r="G34" s="915">
        <v>2.3239151731970029E-2</v>
      </c>
      <c r="H34" s="915">
        <v>2.7562768232677257E-2</v>
      </c>
      <c r="I34" s="915">
        <v>2.8333847103533379E-2</v>
      </c>
      <c r="J34" s="916">
        <v>-6.8353234006523723E-3</v>
      </c>
      <c r="K34"/>
      <c r="L34" s="160"/>
      <c r="M34" s="160"/>
      <c r="N34" s="160"/>
      <c r="O34" s="160"/>
    </row>
    <row r="35" spans="1:15">
      <c r="A35" s="917" t="str">
        <f>"Source: Gartner ("&amp;UpdatePeriodMOYR&amp;")"</f>
        <v>Source: Gartner (December 2017)</v>
      </c>
    </row>
    <row r="36" spans="1:15">
      <c r="B36" s="918"/>
    </row>
    <row r="38" spans="1:15">
      <c r="A38" s="883" t="s">
        <v>368</v>
      </c>
      <c r="B38" s="884" t="s">
        <v>318</v>
      </c>
      <c r="C38" s="884" t="s">
        <v>297</v>
      </c>
      <c r="D38" s="885"/>
      <c r="E38" s="878"/>
      <c r="F38" s="878"/>
      <c r="G38" s="878"/>
    </row>
    <row r="39" spans="1:15">
      <c r="A39" s="886" t="str">
        <f>B5</f>
        <v>Worldwide Server Form Factor Vendor Revenue Forecast by Region,  2015-2021  (Millions of Dollars)</v>
      </c>
      <c r="B39" s="887"/>
      <c r="C39" s="888"/>
      <c r="D39" s="885"/>
      <c r="E39" s="878"/>
      <c r="F39" s="878"/>
      <c r="G39" s="878"/>
    </row>
    <row r="41" spans="1:15" s="891" customFormat="1" ht="12">
      <c r="A41" s="919" t="s">
        <v>708</v>
      </c>
      <c r="B41" s="889" t="s">
        <v>618</v>
      </c>
    </row>
    <row r="42" spans="1:15" s="891" customFormat="1" ht="12">
      <c r="A42" s="919" t="s">
        <v>273</v>
      </c>
      <c r="B42" s="889" t="s">
        <v>618</v>
      </c>
    </row>
    <row r="43" spans="1:15" s="891" customFormat="1" ht="12"/>
    <row r="44" spans="1:15" s="891" customFormat="1">
      <c r="A44" s="892"/>
      <c r="B44" s="893"/>
      <c r="C44" s="920" t="s">
        <v>272</v>
      </c>
      <c r="D44" s="893"/>
      <c r="E44" s="893"/>
      <c r="F44" s="893"/>
      <c r="G44" s="893"/>
      <c r="H44" s="893"/>
      <c r="I44" s="893"/>
      <c r="J44" s="894"/>
      <c r="K44"/>
      <c r="L44" s="160"/>
      <c r="M44" s="160"/>
      <c r="N44" s="160"/>
      <c r="O44" s="160"/>
    </row>
    <row r="45" spans="1:15" s="891" customFormat="1">
      <c r="A45" s="920" t="s">
        <v>349</v>
      </c>
      <c r="B45" s="920" t="s">
        <v>301</v>
      </c>
      <c r="C45" s="895" t="s">
        <v>287</v>
      </c>
      <c r="D45" s="896" t="s">
        <v>20</v>
      </c>
      <c r="E45" s="896" t="s">
        <v>21</v>
      </c>
      <c r="F45" s="896" t="s">
        <v>22</v>
      </c>
      <c r="G45" s="896" t="s">
        <v>23</v>
      </c>
      <c r="H45" s="896" t="s">
        <v>24</v>
      </c>
      <c r="I45" s="896" t="s">
        <v>25</v>
      </c>
      <c r="J45" s="897" t="s">
        <v>619</v>
      </c>
      <c r="K45"/>
      <c r="L45" s="160"/>
      <c r="M45" s="160"/>
      <c r="N45" s="160"/>
      <c r="O45" s="160"/>
    </row>
    <row r="46" spans="1:15" s="891" customFormat="1">
      <c r="A46" s="892" t="s">
        <v>719</v>
      </c>
      <c r="B46" s="892" t="s">
        <v>709</v>
      </c>
      <c r="C46" s="898">
        <v>8756.369999999999</v>
      </c>
      <c r="D46" s="899">
        <v>8081.5400000000063</v>
      </c>
      <c r="E46" s="899">
        <v>7669.8200000000079</v>
      </c>
      <c r="F46" s="899">
        <v>7808.4700000000084</v>
      </c>
      <c r="G46" s="899">
        <v>7392.4100000000017</v>
      </c>
      <c r="H46" s="899">
        <v>7388.8700000000063</v>
      </c>
      <c r="I46" s="899">
        <v>6837.1300000000056</v>
      </c>
      <c r="J46" s="900">
        <v>6496.060000000014</v>
      </c>
      <c r="K46"/>
      <c r="L46" s="160"/>
      <c r="M46" s="160"/>
      <c r="N46" s="160"/>
      <c r="O46" s="160"/>
    </row>
    <row r="47" spans="1:15" s="891" customFormat="1">
      <c r="A47" s="901"/>
      <c r="B47" s="902" t="s">
        <v>710</v>
      </c>
      <c r="C47" s="903">
        <v>29820.339999999982</v>
      </c>
      <c r="D47" s="904">
        <v>30267.010000000002</v>
      </c>
      <c r="E47" s="904">
        <v>34998.490000000005</v>
      </c>
      <c r="F47" s="904">
        <v>32065.069999999996</v>
      </c>
      <c r="G47" s="904">
        <v>32303.389999999996</v>
      </c>
      <c r="H47" s="904">
        <v>31512.640000000018</v>
      </c>
      <c r="I47" s="904">
        <v>29050.040000000005</v>
      </c>
      <c r="J47" s="905">
        <v>28651.810000000027</v>
      </c>
      <c r="K47"/>
      <c r="L47" s="160"/>
      <c r="M47" s="160"/>
      <c r="N47" s="160"/>
      <c r="O47" s="160"/>
    </row>
    <row r="48" spans="1:15" s="891" customFormat="1">
      <c r="A48" s="901"/>
      <c r="B48" s="902" t="s">
        <v>711</v>
      </c>
      <c r="C48" s="903">
        <v>7710.5399999999972</v>
      </c>
      <c r="D48" s="904">
        <v>5909.2300000000005</v>
      </c>
      <c r="E48" s="904">
        <v>6122.6699999999983</v>
      </c>
      <c r="F48" s="904">
        <v>6000.5300000000125</v>
      </c>
      <c r="G48" s="904">
        <v>6086.430000000003</v>
      </c>
      <c r="H48" s="904">
        <v>5922.7499999999982</v>
      </c>
      <c r="I48" s="904">
        <v>5185.3100000000013</v>
      </c>
      <c r="J48" s="905">
        <v>4793.8600000000006</v>
      </c>
      <c r="K48"/>
      <c r="L48" s="160"/>
      <c r="M48" s="160"/>
      <c r="N48" s="160"/>
      <c r="O48" s="160"/>
    </row>
    <row r="49" spans="1:15" s="891" customFormat="1">
      <c r="A49" s="901"/>
      <c r="B49" s="902" t="s">
        <v>712</v>
      </c>
      <c r="C49" s="903">
        <v>2996.2599999999989</v>
      </c>
      <c r="D49" s="904">
        <v>2515.1200000000008</v>
      </c>
      <c r="E49" s="904">
        <v>2167.7299999999996</v>
      </c>
      <c r="F49" s="904">
        <v>2780.1100000000006</v>
      </c>
      <c r="G49" s="904">
        <v>2665.6600000000008</v>
      </c>
      <c r="H49" s="904">
        <v>2557.5999999999995</v>
      </c>
      <c r="I49" s="904">
        <v>2369.52</v>
      </c>
      <c r="J49" s="905">
        <v>2145.4499999999998</v>
      </c>
      <c r="K49"/>
      <c r="L49" s="160"/>
      <c r="M49" s="160"/>
      <c r="N49" s="160"/>
      <c r="O49" s="160"/>
    </row>
    <row r="50" spans="1:15" s="891" customFormat="1">
      <c r="A50" s="901"/>
      <c r="B50" s="902" t="s">
        <v>713</v>
      </c>
      <c r="C50" s="903">
        <v>6399.0999999999995</v>
      </c>
      <c r="D50" s="904">
        <v>7363.5599999999995</v>
      </c>
      <c r="E50" s="904">
        <v>8799.9800000000014</v>
      </c>
      <c r="F50" s="904">
        <v>11459.549999999997</v>
      </c>
      <c r="G50" s="904">
        <v>11244.480000000016</v>
      </c>
      <c r="H50" s="904">
        <v>11095.710000000006</v>
      </c>
      <c r="I50" s="904">
        <v>11978.060000000014</v>
      </c>
      <c r="J50" s="905">
        <v>11964.060000000001</v>
      </c>
      <c r="K50"/>
      <c r="L50" s="160"/>
      <c r="M50" s="160"/>
      <c r="N50" s="160"/>
      <c r="O50" s="160"/>
    </row>
    <row r="51" spans="1:15" s="891" customFormat="1">
      <c r="A51" s="892" t="s">
        <v>720</v>
      </c>
      <c r="B51" s="892" t="s">
        <v>709</v>
      </c>
      <c r="C51" s="906">
        <v>0.15725502091227411</v>
      </c>
      <c r="D51" s="907">
        <v>0.14928090976026145</v>
      </c>
      <c r="E51" s="907">
        <v>0.12834652165233218</v>
      </c>
      <c r="F51" s="907">
        <v>0.12989495078744917</v>
      </c>
      <c r="G51" s="907">
        <v>0.12384179083524409</v>
      </c>
      <c r="H51" s="907">
        <v>0.12635391655296216</v>
      </c>
      <c r="I51" s="907">
        <v>0.12336922767676547</v>
      </c>
      <c r="J51" s="908">
        <v>0.12018336674607298</v>
      </c>
      <c r="K51"/>
      <c r="L51" s="160"/>
      <c r="M51" s="160"/>
      <c r="N51" s="160"/>
      <c r="O51" s="160"/>
    </row>
    <row r="52" spans="1:15" s="891" customFormat="1">
      <c r="A52" s="901"/>
      <c r="B52" s="902" t="s">
        <v>710</v>
      </c>
      <c r="C52" s="909">
        <v>0.53554134764875416</v>
      </c>
      <c r="D52" s="910">
        <v>0.55908735074291882</v>
      </c>
      <c r="E52" s="910">
        <v>0.58566360808779439</v>
      </c>
      <c r="F52" s="910">
        <v>0.53340676081820215</v>
      </c>
      <c r="G52" s="910">
        <v>0.54116447378450527</v>
      </c>
      <c r="H52" s="910">
        <v>0.53888422518240753</v>
      </c>
      <c r="I52" s="910">
        <v>0.52417915101499335</v>
      </c>
      <c r="J52" s="911">
        <v>0.53008608128139167</v>
      </c>
      <c r="K52"/>
      <c r="L52" s="160"/>
      <c r="M52" s="160"/>
      <c r="N52" s="160"/>
      <c r="O52" s="160"/>
    </row>
    <row r="53" spans="1:15" s="891" customFormat="1">
      <c r="A53" s="901"/>
      <c r="B53" s="902" t="s">
        <v>711</v>
      </c>
      <c r="C53" s="909">
        <v>0.13847303493855626</v>
      </c>
      <c r="D53" s="910">
        <v>0.10915434810477077</v>
      </c>
      <c r="E53" s="910">
        <v>0.10245656322118167</v>
      </c>
      <c r="F53" s="910">
        <v>9.9819625233703024E-2</v>
      </c>
      <c r="G53" s="910">
        <v>0.10196328274451159</v>
      </c>
      <c r="H53" s="910">
        <v>0.10128242332914988</v>
      </c>
      <c r="I53" s="910">
        <v>9.3563774561052429E-2</v>
      </c>
      <c r="J53" s="911">
        <v>8.8691027254878846E-2</v>
      </c>
      <c r="K53"/>
      <c r="L53" s="160"/>
      <c r="M53" s="160"/>
      <c r="N53" s="160"/>
      <c r="O53" s="160"/>
    </row>
    <row r="54" spans="1:15" s="891" customFormat="1">
      <c r="A54" s="901"/>
      <c r="B54" s="902" t="s">
        <v>712</v>
      </c>
      <c r="C54" s="909">
        <v>5.3809618478731516E-2</v>
      </c>
      <c r="D54" s="910">
        <v>4.645889295310407E-2</v>
      </c>
      <c r="E54" s="910">
        <v>3.6274724228392542E-2</v>
      </c>
      <c r="F54" s="910">
        <v>4.6247504521845506E-2</v>
      </c>
      <c r="G54" s="910">
        <v>4.4656628644498451E-2</v>
      </c>
      <c r="H54" s="910">
        <v>4.3736427488351486E-2</v>
      </c>
      <c r="I54" s="910">
        <v>4.2755637579605633E-2</v>
      </c>
      <c r="J54" s="911">
        <v>3.9692891411926876E-2</v>
      </c>
      <c r="K54"/>
      <c r="L54" s="160"/>
      <c r="M54" s="160"/>
      <c r="N54" s="160"/>
      <c r="O54" s="160"/>
    </row>
    <row r="55" spans="1:15" s="891" customFormat="1">
      <c r="A55" s="901"/>
      <c r="B55" s="902" t="s">
        <v>713</v>
      </c>
      <c r="C55" s="909">
        <v>0.11492097802168402</v>
      </c>
      <c r="D55" s="910">
        <v>0.13601849843894481</v>
      </c>
      <c r="E55" s="910">
        <v>0.14725858281029922</v>
      </c>
      <c r="F55" s="910">
        <v>0.19063115863880006</v>
      </c>
      <c r="G55" s="910">
        <v>0.18837382399124064</v>
      </c>
      <c r="H55" s="910">
        <v>0.18974300744712888</v>
      </c>
      <c r="I55" s="910">
        <v>0.21613220916758319</v>
      </c>
      <c r="J55" s="911">
        <v>0.22134663330572979</v>
      </c>
      <c r="K55"/>
      <c r="L55" s="160"/>
      <c r="M55" s="160"/>
      <c r="N55" s="160"/>
      <c r="O55" s="160"/>
    </row>
    <row r="56" spans="1:15" s="891" customFormat="1">
      <c r="A56" s="892" t="s">
        <v>721</v>
      </c>
      <c r="B56" s="892" t="s">
        <v>709</v>
      </c>
      <c r="C56" s="906"/>
      <c r="D56" s="907">
        <v>-7.7067323559876152E-2</v>
      </c>
      <c r="E56" s="907">
        <v>-5.0945735589998702E-2</v>
      </c>
      <c r="F56" s="907">
        <v>1.8077347317147E-2</v>
      </c>
      <c r="G56" s="907">
        <v>-5.3283165588137796E-2</v>
      </c>
      <c r="H56" s="907">
        <v>-4.7886954322006158E-4</v>
      </c>
      <c r="I56" s="907">
        <v>-7.4671769837607135E-2</v>
      </c>
      <c r="J56" s="908">
        <v>-4.9884966352839753E-2</v>
      </c>
      <c r="K56"/>
      <c r="L56" s="160"/>
      <c r="M56" s="160"/>
      <c r="N56" s="160"/>
      <c r="O56" s="160"/>
    </row>
    <row r="57" spans="1:15" s="891" customFormat="1">
      <c r="A57" s="901"/>
      <c r="B57" s="902" t="s">
        <v>710</v>
      </c>
      <c r="C57" s="909"/>
      <c r="D57" s="910">
        <v>1.4978702456109499E-2</v>
      </c>
      <c r="E57" s="910">
        <v>0.15632465843173815</v>
      </c>
      <c r="F57" s="910">
        <v>-8.381561604514963E-2</v>
      </c>
      <c r="G57" s="910">
        <v>7.43238670615719E-3</v>
      </c>
      <c r="H57" s="910">
        <v>-2.4478855005619481E-2</v>
      </c>
      <c r="I57" s="910">
        <v>-7.8146419976238474E-2</v>
      </c>
      <c r="J57" s="911">
        <v>-1.3708414859324726E-2</v>
      </c>
      <c r="K57"/>
      <c r="L57" s="160"/>
      <c r="M57" s="160"/>
      <c r="N57" s="160"/>
      <c r="O57" s="160"/>
    </row>
    <row r="58" spans="1:15" s="891" customFormat="1">
      <c r="A58" s="901"/>
      <c r="B58" s="902" t="s">
        <v>711</v>
      </c>
      <c r="C58" s="909"/>
      <c r="D58" s="910">
        <v>-0.23361658197739685</v>
      </c>
      <c r="E58" s="910">
        <v>3.611976518091152E-2</v>
      </c>
      <c r="F58" s="910">
        <v>-1.9948813181175175E-2</v>
      </c>
      <c r="G58" s="910">
        <v>1.4315402139476073E-2</v>
      </c>
      <c r="H58" s="910">
        <v>-2.6892611925218027E-2</v>
      </c>
      <c r="I58" s="910">
        <v>-0.12450972943311757</v>
      </c>
      <c r="J58" s="911">
        <v>-7.5492111368462178E-2</v>
      </c>
      <c r="K58"/>
      <c r="L58" s="160"/>
      <c r="M58" s="160"/>
      <c r="N58" s="160"/>
      <c r="O58" s="160"/>
    </row>
    <row r="59" spans="1:15" s="891" customFormat="1">
      <c r="A59" s="901"/>
      <c r="B59" s="902" t="s">
        <v>712</v>
      </c>
      <c r="C59" s="909"/>
      <c r="D59" s="910">
        <v>-0.16058018997016221</v>
      </c>
      <c r="E59" s="910">
        <v>-0.13812064633099061</v>
      </c>
      <c r="F59" s="910">
        <v>0.28249828161256296</v>
      </c>
      <c r="G59" s="910">
        <v>-4.116743582088471E-2</v>
      </c>
      <c r="H59" s="910">
        <v>-4.0537803020640771E-2</v>
      </c>
      <c r="I59" s="910">
        <v>-7.3537691585861556E-2</v>
      </c>
      <c r="J59" s="911">
        <v>-9.456345588980053E-2</v>
      </c>
      <c r="K59"/>
      <c r="L59" s="160"/>
      <c r="M59" s="160"/>
      <c r="N59" s="160"/>
      <c r="O59" s="160"/>
    </row>
    <row r="60" spans="1:15" s="891" customFormat="1">
      <c r="A60" s="901"/>
      <c r="B60" s="902" t="s">
        <v>713</v>
      </c>
      <c r="C60" s="909"/>
      <c r="D60" s="910">
        <v>0.15071806972855559</v>
      </c>
      <c r="E60" s="910">
        <v>0.19507140567877521</v>
      </c>
      <c r="F60" s="910">
        <v>0.30222455051034158</v>
      </c>
      <c r="G60" s="910">
        <v>-1.8767752660443175E-2</v>
      </c>
      <c r="H60" s="910">
        <v>-1.3230491761291702E-2</v>
      </c>
      <c r="I60" s="910">
        <v>7.9521725063110615E-2</v>
      </c>
      <c r="J60" s="911">
        <v>-1.1688036293033026E-3</v>
      </c>
      <c r="K60"/>
      <c r="L60" s="160"/>
      <c r="M60" s="160"/>
      <c r="N60" s="160"/>
      <c r="O60" s="160"/>
    </row>
    <row r="61" spans="1:15" s="891" customFormat="1">
      <c r="A61" s="892" t="s">
        <v>722</v>
      </c>
      <c r="B61" s="893"/>
      <c r="C61" s="898">
        <v>55682.609999999971</v>
      </c>
      <c r="D61" s="899">
        <v>54136.460000000014</v>
      </c>
      <c r="E61" s="899">
        <v>59758.69000000001</v>
      </c>
      <c r="F61" s="899">
        <v>60113.730000000018</v>
      </c>
      <c r="G61" s="899">
        <v>59692.370000000017</v>
      </c>
      <c r="H61" s="899">
        <v>58477.570000000029</v>
      </c>
      <c r="I61" s="899">
        <v>55420.060000000019</v>
      </c>
      <c r="J61" s="900">
        <v>54051.240000000034</v>
      </c>
      <c r="K61"/>
      <c r="L61" s="160"/>
      <c r="M61" s="160"/>
      <c r="N61" s="160"/>
      <c r="O61" s="160"/>
    </row>
    <row r="62" spans="1:15" s="891" customFormat="1">
      <c r="A62" s="892" t="s">
        <v>723</v>
      </c>
      <c r="B62" s="893"/>
      <c r="C62" s="906">
        <v>1</v>
      </c>
      <c r="D62" s="907">
        <v>1</v>
      </c>
      <c r="E62" s="907">
        <v>1</v>
      </c>
      <c r="F62" s="907">
        <v>1</v>
      </c>
      <c r="G62" s="907">
        <v>1</v>
      </c>
      <c r="H62" s="907">
        <v>1</v>
      </c>
      <c r="I62" s="907">
        <v>1</v>
      </c>
      <c r="J62" s="908">
        <v>1</v>
      </c>
      <c r="K62"/>
      <c r="L62" s="160"/>
      <c r="M62" s="160"/>
      <c r="N62" s="160"/>
      <c r="O62" s="160"/>
    </row>
    <row r="63" spans="1:15" s="891" customFormat="1">
      <c r="A63" s="912" t="s">
        <v>724</v>
      </c>
      <c r="B63" s="913"/>
      <c r="C63" s="914"/>
      <c r="D63" s="915">
        <v>-2.7767196975859405E-2</v>
      </c>
      <c r="E63" s="915">
        <v>0.1038529301694273</v>
      </c>
      <c r="F63" s="915">
        <v>5.9412279619919395E-3</v>
      </c>
      <c r="G63" s="915">
        <v>-7.0093803861447368E-3</v>
      </c>
      <c r="H63" s="915">
        <v>-2.0351009685157215E-2</v>
      </c>
      <c r="I63" s="915">
        <v>-5.2285175324487794E-2</v>
      </c>
      <c r="J63" s="916">
        <v>-2.4698998882353874E-2</v>
      </c>
      <c r="K63"/>
      <c r="L63" s="160"/>
      <c r="M63" s="160"/>
      <c r="N63" s="160"/>
      <c r="O63" s="160"/>
    </row>
    <row r="64" spans="1:15">
      <c r="A64" s="917" t="str">
        <f>"Source: Gartner ("&amp;UpdatePeriodMOYR&amp;")"</f>
        <v>Source: Gartner (December 2017)</v>
      </c>
    </row>
    <row r="68" spans="1:11">
      <c r="A68" s="918"/>
    </row>
    <row r="71" spans="1:11" ht="20.25">
      <c r="A71" s="310" t="str">
        <f>"Forecast: Server Shipments, "&amp;StartYear&amp;"-"&amp;EndYear</f>
        <v>Forecast: Server Shipments, 2015-2021</v>
      </c>
      <c r="B71" s="311"/>
      <c r="C71" s="312"/>
      <c r="D71" s="312"/>
      <c r="E71" s="312"/>
      <c r="F71" s="312"/>
      <c r="G71" s="312"/>
      <c r="H71" s="312"/>
      <c r="I71" s="312"/>
      <c r="J71" s="312"/>
      <c r="K71" s="312"/>
    </row>
    <row r="72" spans="1:11">
      <c r="A72" s="313"/>
      <c r="B72" s="311"/>
      <c r="C72" s="312"/>
      <c r="D72" s="312"/>
      <c r="E72" s="312"/>
      <c r="F72" s="312"/>
      <c r="G72" s="312"/>
      <c r="H72" s="312"/>
      <c r="I72" s="312"/>
      <c r="J72" s="312"/>
      <c r="K72" s="312"/>
    </row>
    <row r="73" spans="1:11">
      <c r="A73" s="313"/>
      <c r="B73" s="314" t="s">
        <v>296</v>
      </c>
      <c r="C73" s="312"/>
      <c r="D73" s="312"/>
      <c r="E73" s="312"/>
      <c r="F73" s="312"/>
      <c r="G73" s="312"/>
      <c r="H73" s="312"/>
      <c r="I73" s="312"/>
      <c r="J73" s="312"/>
      <c r="K73" s="312"/>
    </row>
    <row r="74" spans="1:11">
      <c r="A74" s="315" t="s">
        <v>313</v>
      </c>
      <c r="B74" s="975" t="str">
        <f>"Forecast: Server Shipments by Region, "&amp;StartYear&amp;"-"&amp;EndYear</f>
        <v>Forecast: Server Shipments by Region, 2015-2021</v>
      </c>
      <c r="C74" s="975"/>
      <c r="D74" s="975"/>
      <c r="E74" s="975"/>
      <c r="F74" s="975"/>
      <c r="G74" s="975"/>
      <c r="H74" s="975"/>
      <c r="I74" s="975"/>
      <c r="J74" s="975"/>
      <c r="K74" s="975"/>
    </row>
    <row r="75" spans="1:11">
      <c r="A75" s="315" t="s">
        <v>314</v>
      </c>
      <c r="B75" s="975" t="str">
        <f>"Forecast: Server Shipment Growth Rates by Region, "&amp;StartYear&amp;"-"&amp;EndYear</f>
        <v>Forecast: Server Shipment Growth Rates by Region, 2015-2021</v>
      </c>
      <c r="C75" s="975"/>
      <c r="D75" s="975"/>
      <c r="E75" s="975"/>
      <c r="F75" s="975"/>
      <c r="G75" s="975"/>
      <c r="H75" s="975"/>
      <c r="I75" s="975"/>
      <c r="J75" s="975"/>
      <c r="K75" s="975"/>
    </row>
    <row r="76" spans="1:11">
      <c r="A76" s="315" t="s">
        <v>315</v>
      </c>
      <c r="B76" s="974" t="str">
        <f>"Forecast: Server Shipments by CPU and OS, "&amp;StartYear&amp;"-"&amp;EndYear</f>
        <v>Forecast: Server Shipments by CPU and OS, 2015-2021</v>
      </c>
      <c r="C76" s="974"/>
      <c r="D76" s="974"/>
      <c r="E76" s="974"/>
      <c r="F76" s="974"/>
      <c r="G76" s="974"/>
      <c r="H76" s="974"/>
      <c r="I76" s="974"/>
      <c r="J76" s="975"/>
      <c r="K76" s="975"/>
    </row>
    <row r="77" spans="1:11">
      <c r="A77" s="315" t="s">
        <v>316</v>
      </c>
      <c r="B77" s="974" t="str">
        <f>"Forecast: Server Shipment Growth Rates by CPU and OS, "&amp;StartYear&amp;"-"&amp;EndYear</f>
        <v>Forecast: Server Shipment Growth Rates by CPU and OS, 2015-2021</v>
      </c>
      <c r="C77" s="974"/>
      <c r="D77" s="974"/>
      <c r="E77" s="974"/>
      <c r="F77" s="974"/>
      <c r="G77" s="974"/>
      <c r="H77" s="974"/>
      <c r="I77" s="974"/>
      <c r="J77" s="974"/>
      <c r="K77" s="974"/>
    </row>
    <row r="78" spans="1:11">
      <c r="A78" s="316"/>
      <c r="B78" s="317"/>
      <c r="C78" s="312"/>
      <c r="D78" s="312"/>
      <c r="E78" s="312"/>
      <c r="F78" s="312"/>
      <c r="G78" s="312"/>
      <c r="H78" s="312"/>
      <c r="I78" s="312"/>
      <c r="J78" s="312"/>
      <c r="K78" s="312"/>
    </row>
    <row r="79" spans="1:11">
      <c r="A79" s="304"/>
      <c r="B79" s="312"/>
      <c r="C79" s="312"/>
      <c r="D79" s="312"/>
      <c r="E79" s="312"/>
      <c r="F79" s="312"/>
      <c r="G79" s="312"/>
      <c r="H79" s="312"/>
      <c r="I79" s="312"/>
      <c r="J79" s="312"/>
      <c r="K79" s="312"/>
    </row>
    <row r="80" spans="1:11">
      <c r="A80" s="318"/>
      <c r="B80" s="312"/>
      <c r="C80" s="312"/>
      <c r="D80" s="312"/>
      <c r="E80" s="312"/>
      <c r="F80" s="312"/>
      <c r="G80" s="312"/>
      <c r="H80" s="312"/>
      <c r="I80" s="312"/>
      <c r="J80" s="312"/>
      <c r="K80" s="312"/>
    </row>
    <row r="81" spans="1:11">
      <c r="A81" s="316" t="s">
        <v>317</v>
      </c>
      <c r="B81" s="319" t="s">
        <v>318</v>
      </c>
      <c r="C81" s="320" t="s">
        <v>297</v>
      </c>
      <c r="D81" s="312"/>
      <c r="E81" s="312"/>
      <c r="F81" s="312"/>
      <c r="G81" s="312"/>
      <c r="H81" s="312"/>
      <c r="I81" s="312"/>
      <c r="J81" s="312"/>
      <c r="K81" s="312"/>
    </row>
    <row r="82" spans="1:11">
      <c r="A82" s="304" t="str">
        <f>"Forecast: Server Shipments by Region, "&amp;StartYear&amp;"-"&amp;EndYear</f>
        <v>Forecast: Server Shipments by Region, 2015-2021</v>
      </c>
      <c r="B82" s="312"/>
      <c r="C82" s="312"/>
      <c r="D82" s="312"/>
      <c r="E82" s="312"/>
      <c r="F82" s="312"/>
      <c r="G82" s="312"/>
      <c r="H82" s="312"/>
      <c r="I82" s="312"/>
      <c r="J82" s="312"/>
      <c r="K82" s="312"/>
    </row>
    <row r="83" spans="1:11">
      <c r="A83" s="304" t="s">
        <v>332</v>
      </c>
      <c r="B83" s="312"/>
      <c r="C83" s="312"/>
      <c r="D83" s="312"/>
      <c r="E83" s="312"/>
      <c r="F83" s="312"/>
      <c r="G83" s="312"/>
      <c r="H83" s="312"/>
      <c r="I83" s="312"/>
      <c r="J83" s="312"/>
      <c r="K83" s="312"/>
    </row>
    <row r="84" spans="1:11">
      <c r="A84" s="390" t="s">
        <v>333</v>
      </c>
      <c r="B84" s="389" t="s">
        <v>334</v>
      </c>
      <c r="C84" s="322"/>
      <c r="D84" s="322"/>
      <c r="E84" s="322"/>
      <c r="F84" s="322"/>
      <c r="G84" s="322"/>
      <c r="H84" s="322"/>
      <c r="I84" s="323"/>
      <c r="J84"/>
      <c r="K84"/>
    </row>
    <row r="85" spans="1:11">
      <c r="A85" s="388" t="s">
        <v>273</v>
      </c>
      <c r="B85" s="324" t="s">
        <v>287</v>
      </c>
      <c r="C85" s="325" t="s">
        <v>20</v>
      </c>
      <c r="D85" s="325" t="s">
        <v>21</v>
      </c>
      <c r="E85" s="325" t="s">
        <v>22</v>
      </c>
      <c r="F85" s="325" t="s">
        <v>23</v>
      </c>
      <c r="G85" s="325" t="s">
        <v>24</v>
      </c>
      <c r="H85" s="325" t="s">
        <v>25</v>
      </c>
      <c r="I85" s="326" t="s">
        <v>619</v>
      </c>
      <c r="J85"/>
      <c r="K85"/>
    </row>
    <row r="86" spans="1:11">
      <c r="A86" s="321" t="s">
        <v>284</v>
      </c>
      <c r="B86" s="327">
        <v>4870.5593199480008</v>
      </c>
      <c r="C86" s="328">
        <v>4902.6499056649991</v>
      </c>
      <c r="D86" s="328">
        <v>5064.3912522359997</v>
      </c>
      <c r="E86" s="328">
        <v>5403.891322679</v>
      </c>
      <c r="F86" s="328">
        <v>5433.6106169940003</v>
      </c>
      <c r="G86" s="328">
        <v>5609.8731638480003</v>
      </c>
      <c r="H86" s="328">
        <v>5973.2757626079992</v>
      </c>
      <c r="I86" s="329">
        <v>5763.0019398589993</v>
      </c>
      <c r="J86"/>
      <c r="K86"/>
    </row>
    <row r="87" spans="1:11">
      <c r="A87" s="330" t="s">
        <v>281</v>
      </c>
      <c r="B87" s="331">
        <v>317.41040247399985</v>
      </c>
      <c r="C87" s="332">
        <v>298.38542960000018</v>
      </c>
      <c r="D87" s="332">
        <v>279.26003304400007</v>
      </c>
      <c r="E87" s="332">
        <v>283.6014002938</v>
      </c>
      <c r="F87" s="332">
        <v>299.00455051489996</v>
      </c>
      <c r="G87" s="332">
        <v>316.74635010550014</v>
      </c>
      <c r="H87" s="332">
        <v>324.97963951630004</v>
      </c>
      <c r="I87" s="333">
        <v>325.6808642597</v>
      </c>
      <c r="J87"/>
      <c r="K87"/>
    </row>
    <row r="88" spans="1:11">
      <c r="A88" s="330" t="s">
        <v>286</v>
      </c>
      <c r="B88" s="331">
        <v>1586.7524994675996</v>
      </c>
      <c r="C88" s="332">
        <v>1531.1553357779994</v>
      </c>
      <c r="D88" s="332">
        <v>1440.5498706350004</v>
      </c>
      <c r="E88" s="332">
        <v>1513.5311915045011</v>
      </c>
      <c r="F88" s="332">
        <v>1486.0758723346996</v>
      </c>
      <c r="G88" s="332">
        <v>1473.8257243296994</v>
      </c>
      <c r="H88" s="332">
        <v>1457.0223752303</v>
      </c>
      <c r="I88" s="333">
        <v>1417.3772366722997</v>
      </c>
      <c r="J88"/>
      <c r="K88"/>
    </row>
    <row r="89" spans="1:11">
      <c r="A89" s="330" t="s">
        <v>278</v>
      </c>
      <c r="B89" s="331">
        <v>211.31058263899999</v>
      </c>
      <c r="C89" s="332">
        <v>210.19434658200004</v>
      </c>
      <c r="D89" s="332">
        <v>211.162662224</v>
      </c>
      <c r="E89" s="332">
        <v>220.55312700599998</v>
      </c>
      <c r="F89" s="332">
        <v>232.473561394</v>
      </c>
      <c r="G89" s="332">
        <v>229.1944725214</v>
      </c>
      <c r="H89" s="332">
        <v>219.04874969709996</v>
      </c>
      <c r="I89" s="333">
        <v>215.73715709879994</v>
      </c>
      <c r="J89"/>
      <c r="K89"/>
    </row>
    <row r="90" spans="1:11">
      <c r="A90" s="330" t="s">
        <v>294</v>
      </c>
      <c r="B90" s="331">
        <v>2483.7569865089999</v>
      </c>
      <c r="C90" s="332">
        <v>2682.0681200609993</v>
      </c>
      <c r="D90" s="332">
        <v>2997.5765376170002</v>
      </c>
      <c r="E90" s="332">
        <v>3344.3226809970006</v>
      </c>
      <c r="F90" s="332">
        <v>3523.5859817959995</v>
      </c>
      <c r="G90" s="332">
        <v>3658.8801639990011</v>
      </c>
      <c r="H90" s="332">
        <v>3712.8312963989997</v>
      </c>
      <c r="I90" s="333">
        <v>3891.3831749011993</v>
      </c>
      <c r="J90"/>
      <c r="K90"/>
    </row>
    <row r="91" spans="1:11">
      <c r="A91" s="330" t="s">
        <v>331</v>
      </c>
      <c r="B91" s="331">
        <v>524.92299999700003</v>
      </c>
      <c r="C91" s="332">
        <v>487.56180000000001</v>
      </c>
      <c r="D91" s="332">
        <v>450.69785156600005</v>
      </c>
      <c r="E91" s="332">
        <v>476.20932199500004</v>
      </c>
      <c r="F91" s="332">
        <v>504.26105682400004</v>
      </c>
      <c r="G91" s="332">
        <v>511.61030982500006</v>
      </c>
      <c r="H91" s="332">
        <v>493.92430526700002</v>
      </c>
      <c r="I91" s="333">
        <v>481.29718198700004</v>
      </c>
      <c r="J91"/>
      <c r="K91"/>
    </row>
    <row r="92" spans="1:11">
      <c r="A92" s="330" t="s">
        <v>282</v>
      </c>
      <c r="B92" s="331">
        <v>314.65839578700002</v>
      </c>
      <c r="C92" s="332">
        <v>287.55826597199996</v>
      </c>
      <c r="D92" s="332">
        <v>286.449329498</v>
      </c>
      <c r="E92" s="332">
        <v>302.89152073999998</v>
      </c>
      <c r="F92" s="332">
        <v>307.54898404400001</v>
      </c>
      <c r="G92" s="332">
        <v>315.73022128649995</v>
      </c>
      <c r="H92" s="332">
        <v>328.86309295950014</v>
      </c>
      <c r="I92" s="333">
        <v>315.72896566679998</v>
      </c>
      <c r="J92"/>
      <c r="K92"/>
    </row>
    <row r="93" spans="1:11">
      <c r="A93" s="330" t="s">
        <v>280</v>
      </c>
      <c r="B93" s="331">
        <v>352.05556714000005</v>
      </c>
      <c r="C93" s="332">
        <v>311.57007427900004</v>
      </c>
      <c r="D93" s="332">
        <v>322.58814264399984</v>
      </c>
      <c r="E93" s="332">
        <v>349.71400287299997</v>
      </c>
      <c r="F93" s="332">
        <v>367.60150096899997</v>
      </c>
      <c r="G93" s="332">
        <v>373.57301803199994</v>
      </c>
      <c r="H93" s="332">
        <v>363.45303865500011</v>
      </c>
      <c r="I93" s="333">
        <v>361.255366348</v>
      </c>
      <c r="J93"/>
      <c r="K93"/>
    </row>
    <row r="94" spans="1:11">
      <c r="A94" s="330" t="s">
        <v>283</v>
      </c>
      <c r="B94" s="331">
        <v>218.47510143999997</v>
      </c>
      <c r="C94" s="332">
        <v>194.63768443500001</v>
      </c>
      <c r="D94" s="332">
        <v>188.14669783199997</v>
      </c>
      <c r="E94" s="332">
        <v>188.01891059900001</v>
      </c>
      <c r="F94" s="332">
        <v>195.98234990569998</v>
      </c>
      <c r="G94" s="332">
        <v>205.93447089069997</v>
      </c>
      <c r="H94" s="332">
        <v>200.68407769450002</v>
      </c>
      <c r="I94" s="333">
        <v>210.14596608929998</v>
      </c>
      <c r="J94"/>
      <c r="K94"/>
    </row>
    <row r="95" spans="1:11">
      <c r="A95" s="330" t="s">
        <v>293</v>
      </c>
      <c r="B95" s="331">
        <v>131.70751644399999</v>
      </c>
      <c r="C95" s="332">
        <v>130.355728231</v>
      </c>
      <c r="D95" s="332">
        <v>144.70579891200001</v>
      </c>
      <c r="E95" s="332">
        <v>154.91523558579999</v>
      </c>
      <c r="F95" s="332">
        <v>172.06544018629998</v>
      </c>
      <c r="G95" s="332">
        <v>169.94190295309991</v>
      </c>
      <c r="H95" s="332">
        <v>160.7702108261</v>
      </c>
      <c r="I95" s="333">
        <v>158.36514930289999</v>
      </c>
      <c r="J95"/>
      <c r="K95"/>
    </row>
    <row r="96" spans="1:11">
      <c r="A96" s="330" t="s">
        <v>285</v>
      </c>
      <c r="B96" s="331">
        <v>79.25233801200001</v>
      </c>
      <c r="C96" s="332">
        <v>67.660308113999989</v>
      </c>
      <c r="D96" s="332">
        <v>65.707052021999985</v>
      </c>
      <c r="E96" s="332">
        <v>73.002327602999998</v>
      </c>
      <c r="F96" s="332">
        <v>74.674459408000004</v>
      </c>
      <c r="G96" s="332">
        <v>78.587184503999993</v>
      </c>
      <c r="H96" s="332">
        <v>76.089051705000017</v>
      </c>
      <c r="I96" s="333">
        <v>79.779228092999986</v>
      </c>
      <c r="J96"/>
      <c r="K96"/>
    </row>
    <row r="97" spans="1:11">
      <c r="A97" s="334" t="s">
        <v>307</v>
      </c>
      <c r="B97" s="335">
        <v>11090.861709857601</v>
      </c>
      <c r="C97" s="336">
        <v>11103.796998716996</v>
      </c>
      <c r="D97" s="336">
        <v>11451.23522823</v>
      </c>
      <c r="E97" s="336">
        <v>12310.651041876103</v>
      </c>
      <c r="F97" s="336">
        <v>12596.884374370598</v>
      </c>
      <c r="G97" s="336">
        <v>12943.8969822949</v>
      </c>
      <c r="H97" s="336">
        <v>13310.941600557799</v>
      </c>
      <c r="I97" s="337">
        <v>13219.752230277996</v>
      </c>
      <c r="J97"/>
      <c r="K97"/>
    </row>
    <row r="98" spans="1:11">
      <c r="A98" s="338" t="str">
        <f>"Source: Gartner ("&amp;UpdatePeriodMOYR&amp;")"</f>
        <v>Source: Gartner (December 2017)</v>
      </c>
      <c r="B98"/>
      <c r="C98"/>
      <c r="D98"/>
      <c r="E98"/>
      <c r="F98"/>
      <c r="G98"/>
      <c r="H98" s="312"/>
      <c r="I98" s="312"/>
      <c r="J98" s="312"/>
      <c r="K98" s="312"/>
    </row>
    <row r="99" spans="1:11">
      <c r="A99" s="338"/>
      <c r="B99"/>
      <c r="C99"/>
      <c r="D99"/>
      <c r="E99"/>
      <c r="F99"/>
      <c r="G99"/>
      <c r="H99" s="312"/>
      <c r="I99" s="312"/>
      <c r="J99" s="312"/>
      <c r="K99" s="312"/>
    </row>
    <row r="100" spans="1:11">
      <c r="A100"/>
      <c r="B100"/>
      <c r="C100"/>
      <c r="D100"/>
      <c r="E100"/>
      <c r="F100"/>
      <c r="G100"/>
      <c r="H100" s="312"/>
      <c r="I100" s="312"/>
      <c r="J100" s="312"/>
      <c r="K100" s="312"/>
    </row>
    <row r="101" spans="1:11">
      <c r="A101" s="316" t="s">
        <v>320</v>
      </c>
      <c r="B101" s="319" t="s">
        <v>318</v>
      </c>
      <c r="C101" s="320" t="s">
        <v>297</v>
      </c>
      <c r="D101"/>
      <c r="E101"/>
      <c r="F101"/>
      <c r="G101"/>
      <c r="H101" s="312"/>
      <c r="I101" s="312"/>
      <c r="J101" s="312"/>
      <c r="K101" s="312"/>
    </row>
    <row r="102" spans="1:11">
      <c r="A102" s="304" t="str">
        <f>"Forecast: Server Shipment Growth Rates by Region, "&amp;StartYear&amp;"-"&amp;EndYear</f>
        <v>Forecast: Server Shipment Growth Rates by Region, 2015-2021</v>
      </c>
      <c r="B102" s="312"/>
      <c r="C102" s="312"/>
      <c r="D102" s="312"/>
      <c r="E102" s="312"/>
      <c r="F102" s="312"/>
      <c r="G102" s="312"/>
      <c r="H102" s="312"/>
      <c r="I102" s="312"/>
      <c r="J102" s="312"/>
      <c r="K102" s="312"/>
    </row>
    <row r="103" spans="1:11" ht="24.75">
      <c r="A103" s="339"/>
      <c r="B103" s="340" t="str">
        <f t="shared" ref="B103:I103" si="0">B85</f>
        <v>2015 YR</v>
      </c>
      <c r="C103" s="341" t="str">
        <f t="shared" si="0"/>
        <v>2016 YR</v>
      </c>
      <c r="D103" s="342" t="str">
        <f t="shared" si="0"/>
        <v>2017 YR</v>
      </c>
      <c r="E103" s="342" t="str">
        <f t="shared" si="0"/>
        <v>2018 YR</v>
      </c>
      <c r="F103" s="342" t="str">
        <f t="shared" si="0"/>
        <v>2019 YR</v>
      </c>
      <c r="G103" s="342" t="str">
        <f t="shared" si="0"/>
        <v>2020 YR</v>
      </c>
      <c r="H103" s="342" t="str">
        <f t="shared" si="0"/>
        <v>2021 YR</v>
      </c>
      <c r="I103" s="342" t="str">
        <f t="shared" si="0"/>
        <v>2022 YR</v>
      </c>
      <c r="J103" s="343" t="str">
        <f>"CAGR "&amp;D85&amp;" to "&amp;I85</f>
        <v>CAGR 2017 YR to 2022 YR</v>
      </c>
      <c r="K103"/>
    </row>
    <row r="104" spans="1:11">
      <c r="A104" s="344" t="str">
        <f t="shared" ref="A104:A115" si="1">A86</f>
        <v>North America</v>
      </c>
      <c r="B104" s="345"/>
      <c r="C104" s="346">
        <f t="shared" ref="C104:I115" si="2">IF(B86&gt;0,C86/B86-1,0)</f>
        <v>6.5886859411745657E-3</v>
      </c>
      <c r="D104" s="346">
        <f t="shared" si="2"/>
        <v>3.2990596857448207E-2</v>
      </c>
      <c r="E104" s="346">
        <f t="shared" si="2"/>
        <v>6.7036698693669461E-2</v>
      </c>
      <c r="F104" s="346">
        <f t="shared" si="2"/>
        <v>5.4996099181852109E-3</v>
      </c>
      <c r="G104" s="346">
        <f t="shared" si="2"/>
        <v>3.2439304042642725E-2</v>
      </c>
      <c r="H104" s="346">
        <f t="shared" si="2"/>
        <v>6.4779111424816849E-2</v>
      </c>
      <c r="I104" s="346">
        <f t="shared" si="2"/>
        <v>-3.5202430141479391E-2</v>
      </c>
      <c r="J104" s="347">
        <f t="shared" ref="J104:J115" si="3">IF(D86&gt;0,(I86/D86)^(1/5)-1,0)</f>
        <v>2.6181788821148189E-2</v>
      </c>
      <c r="K104"/>
    </row>
    <row r="105" spans="1:11">
      <c r="A105" s="344" t="str">
        <f t="shared" si="1"/>
        <v>Latin America</v>
      </c>
      <c r="B105" s="345"/>
      <c r="C105" s="346">
        <f t="shared" si="2"/>
        <v>-5.9938088751070651E-2</v>
      </c>
      <c r="D105" s="346">
        <f t="shared" si="2"/>
        <v>-6.409628171737014E-2</v>
      </c>
      <c r="E105" s="346">
        <f t="shared" si="2"/>
        <v>1.5545966970203384E-2</v>
      </c>
      <c r="F105" s="346">
        <f t="shared" si="2"/>
        <v>5.4312673368829945E-2</v>
      </c>
      <c r="G105" s="346">
        <f t="shared" si="2"/>
        <v>5.9336219331939777E-2</v>
      </c>
      <c r="H105" s="346">
        <f t="shared" si="2"/>
        <v>2.5993320548311383E-2</v>
      </c>
      <c r="I105" s="346">
        <f t="shared" si="2"/>
        <v>2.1577497730125295E-3</v>
      </c>
      <c r="J105" s="347">
        <f t="shared" si="3"/>
        <v>3.1232736756449997E-2</v>
      </c>
      <c r="K105"/>
    </row>
    <row r="106" spans="1:11">
      <c r="A106" s="344" t="str">
        <f t="shared" si="1"/>
        <v>Western Europe</v>
      </c>
      <c r="B106" s="345"/>
      <c r="C106" s="346">
        <f t="shared" si="2"/>
        <v>-3.5038333771810426E-2</v>
      </c>
      <c r="D106" s="346">
        <f t="shared" si="2"/>
        <v>-5.9174574274635128E-2</v>
      </c>
      <c r="E106" s="346">
        <f t="shared" si="2"/>
        <v>5.0662127259315293E-2</v>
      </c>
      <c r="F106" s="346">
        <f t="shared" si="2"/>
        <v>-1.8139909718351999E-2</v>
      </c>
      <c r="G106" s="346">
        <f t="shared" si="2"/>
        <v>-8.2432857117548108E-3</v>
      </c>
      <c r="H106" s="346">
        <f t="shared" si="2"/>
        <v>-1.14011777797145E-2</v>
      </c>
      <c r="I106" s="346">
        <f t="shared" si="2"/>
        <v>-2.7209697827553225E-2</v>
      </c>
      <c r="J106" s="347">
        <f t="shared" si="3"/>
        <v>-3.2380956155123597E-3</v>
      </c>
      <c r="K106"/>
    </row>
    <row r="107" spans="1:11">
      <c r="A107" s="344" t="str">
        <f t="shared" si="1"/>
        <v>Eastern Europe</v>
      </c>
      <c r="B107" s="345"/>
      <c r="C107" s="346">
        <f t="shared" si="2"/>
        <v>-5.2824427582357503E-3</v>
      </c>
      <c r="D107" s="346">
        <f t="shared" si="2"/>
        <v>4.6067634917204003E-3</v>
      </c>
      <c r="E107" s="346">
        <f t="shared" si="2"/>
        <v>4.4470289790335293E-2</v>
      </c>
      <c r="F107" s="346">
        <f t="shared" si="2"/>
        <v>5.4047904692259063E-2</v>
      </c>
      <c r="G107" s="346">
        <f t="shared" si="2"/>
        <v>-1.4105212020400604E-2</v>
      </c>
      <c r="H107" s="346">
        <f t="shared" si="2"/>
        <v>-4.4266873946328333E-2</v>
      </c>
      <c r="I107" s="346">
        <f t="shared" si="2"/>
        <v>-1.5118062088367523E-2</v>
      </c>
      <c r="J107" s="347">
        <f t="shared" si="3"/>
        <v>4.2956105843354742E-3</v>
      </c>
      <c r="K107"/>
    </row>
    <row r="108" spans="1:11">
      <c r="A108" s="344" t="str">
        <f t="shared" si="1"/>
        <v>Greater China</v>
      </c>
      <c r="B108" s="345"/>
      <c r="C108" s="346">
        <f t="shared" si="2"/>
        <v>7.984321116323545E-2</v>
      </c>
      <c r="D108" s="346">
        <f t="shared" si="2"/>
        <v>0.11763624316478039</v>
      </c>
      <c r="E108" s="346">
        <f t="shared" si="2"/>
        <v>0.11567549286186196</v>
      </c>
      <c r="F108" s="346">
        <f t="shared" si="2"/>
        <v>5.3602274032228614E-2</v>
      </c>
      <c r="G108" s="346">
        <f t="shared" si="2"/>
        <v>3.8396730745886565E-2</v>
      </c>
      <c r="H108" s="346">
        <f t="shared" si="2"/>
        <v>1.4745258106795278E-2</v>
      </c>
      <c r="I108" s="346">
        <f t="shared" si="2"/>
        <v>4.8090490584738799E-2</v>
      </c>
      <c r="J108" s="347">
        <f t="shared" si="3"/>
        <v>5.3578120692985287E-2</v>
      </c>
      <c r="K108"/>
    </row>
    <row r="109" spans="1:11">
      <c r="A109" s="344" t="str">
        <f t="shared" si="1"/>
        <v>Japan</v>
      </c>
      <c r="B109" s="345"/>
      <c r="C109" s="346">
        <f t="shared" si="2"/>
        <v>-7.1174629416530744E-2</v>
      </c>
      <c r="D109" s="346">
        <f t="shared" si="2"/>
        <v>-7.5608770896325228E-2</v>
      </c>
      <c r="E109" s="346">
        <f t="shared" si="2"/>
        <v>5.6604375504248683E-2</v>
      </c>
      <c r="F109" s="346">
        <f t="shared" si="2"/>
        <v>5.8906311853539339E-2</v>
      </c>
      <c r="G109" s="346">
        <f t="shared" si="2"/>
        <v>1.4574302142798867E-2</v>
      </c>
      <c r="H109" s="346">
        <f t="shared" si="2"/>
        <v>-3.4569288808995347E-2</v>
      </c>
      <c r="I109" s="346">
        <f t="shared" si="2"/>
        <v>-2.5564895562639189E-2</v>
      </c>
      <c r="J109" s="347">
        <f t="shared" si="3"/>
        <v>1.3224228487221268E-2</v>
      </c>
      <c r="K109"/>
    </row>
    <row r="110" spans="1:11">
      <c r="A110" s="344" t="str">
        <f t="shared" si="1"/>
        <v>Mature Asia/Pacific</v>
      </c>
      <c r="B110" s="345"/>
      <c r="C110" s="346">
        <f t="shared" si="2"/>
        <v>-8.6125557677300346E-2</v>
      </c>
      <c r="D110" s="346">
        <f t="shared" si="2"/>
        <v>-3.8563887922037354E-3</v>
      </c>
      <c r="E110" s="346">
        <f t="shared" si="2"/>
        <v>5.7399999053287187E-2</v>
      </c>
      <c r="F110" s="346">
        <f t="shared" si="2"/>
        <v>1.5376671135003406E-2</v>
      </c>
      <c r="G110" s="346">
        <f t="shared" si="2"/>
        <v>2.6601412025244908E-2</v>
      </c>
      <c r="H110" s="346">
        <f t="shared" si="2"/>
        <v>4.1595231585648929E-2</v>
      </c>
      <c r="I110" s="346">
        <f t="shared" si="2"/>
        <v>-3.993797897630802E-2</v>
      </c>
      <c r="J110" s="347">
        <f t="shared" si="3"/>
        <v>1.9655164756360088E-2</v>
      </c>
      <c r="K110"/>
    </row>
    <row r="111" spans="1:11">
      <c r="A111" s="344" t="str">
        <f t="shared" si="1"/>
        <v>Emerging Asia/Pacific</v>
      </c>
      <c r="B111" s="345"/>
      <c r="C111" s="346">
        <f t="shared" si="2"/>
        <v>-0.11499745108390902</v>
      </c>
      <c r="D111" s="346">
        <f t="shared" si="2"/>
        <v>3.5363050801642482E-2</v>
      </c>
      <c r="E111" s="346">
        <f t="shared" si="2"/>
        <v>8.4088212315154953E-2</v>
      </c>
      <c r="F111" s="346">
        <f t="shared" si="2"/>
        <v>5.1148932982520323E-2</v>
      </c>
      <c r="G111" s="346">
        <f t="shared" si="2"/>
        <v>1.6244539391865986E-2</v>
      </c>
      <c r="H111" s="346">
        <f t="shared" si="2"/>
        <v>-2.708969569138675E-2</v>
      </c>
      <c r="I111" s="346">
        <f t="shared" si="2"/>
        <v>-6.0466472233465796E-3</v>
      </c>
      <c r="J111" s="347">
        <f t="shared" si="3"/>
        <v>2.2900006636044301E-2</v>
      </c>
      <c r="K111"/>
    </row>
    <row r="112" spans="1:11">
      <c r="A112" s="344" t="str">
        <f t="shared" si="1"/>
        <v>Middle East and North Africa</v>
      </c>
      <c r="B112" s="345"/>
      <c r="C112" s="346">
        <f t="shared" si="2"/>
        <v>-0.10910816311737226</v>
      </c>
      <c r="D112" s="346">
        <f t="shared" si="2"/>
        <v>-3.3349074316426752E-2</v>
      </c>
      <c r="E112" s="346">
        <f t="shared" si="2"/>
        <v>-6.7918934784638729E-4</v>
      </c>
      <c r="F112" s="346">
        <f t="shared" si="2"/>
        <v>4.2354459353740825E-2</v>
      </c>
      <c r="G112" s="346">
        <f t="shared" si="2"/>
        <v>5.0780700352805352E-2</v>
      </c>
      <c r="H112" s="346">
        <f t="shared" si="2"/>
        <v>-2.549545578013801E-2</v>
      </c>
      <c r="I112" s="346">
        <f t="shared" si="2"/>
        <v>4.7148176893254679E-2</v>
      </c>
      <c r="J112" s="347">
        <f t="shared" si="3"/>
        <v>2.2362453357883227E-2</v>
      </c>
      <c r="K112"/>
    </row>
    <row r="113" spans="1:11">
      <c r="A113" s="344" t="str">
        <f t="shared" si="1"/>
        <v>Eurasia</v>
      </c>
      <c r="B113" s="345"/>
      <c r="C113" s="346">
        <f t="shared" si="2"/>
        <v>-1.0263561636398744E-2</v>
      </c>
      <c r="D113" s="346">
        <f t="shared" si="2"/>
        <v>0.11008392861394345</v>
      </c>
      <c r="E113" s="346">
        <f t="shared" si="2"/>
        <v>7.0553058347085695E-2</v>
      </c>
      <c r="F113" s="346">
        <f t="shared" si="2"/>
        <v>0.11070702333213278</v>
      </c>
      <c r="G113" s="346">
        <f t="shared" si="2"/>
        <v>-1.2341451199618381E-2</v>
      </c>
      <c r="H113" s="346">
        <f t="shared" si="2"/>
        <v>-5.3969574116932706E-2</v>
      </c>
      <c r="I113" s="346">
        <f t="shared" si="2"/>
        <v>-1.4959621629167863E-2</v>
      </c>
      <c r="J113" s="347">
        <f t="shared" si="3"/>
        <v>1.8203852360828332E-2</v>
      </c>
      <c r="K113"/>
    </row>
    <row r="114" spans="1:11">
      <c r="A114" s="344" t="str">
        <f t="shared" si="1"/>
        <v>Sub-Saharan Africa</v>
      </c>
      <c r="B114" s="345"/>
      <c r="C114" s="346">
        <f t="shared" si="2"/>
        <v>-0.14626735549738368</v>
      </c>
      <c r="D114" s="346">
        <f t="shared" si="2"/>
        <v>-2.8868566319694922E-2</v>
      </c>
      <c r="E114" s="346">
        <f t="shared" si="2"/>
        <v>0.11102728484238522</v>
      </c>
      <c r="F114" s="346">
        <f t="shared" si="2"/>
        <v>2.2905184805796397E-2</v>
      </c>
      <c r="G114" s="346">
        <f t="shared" si="2"/>
        <v>5.2397099718150875E-2</v>
      </c>
      <c r="H114" s="346">
        <f t="shared" si="2"/>
        <v>-3.1788042983940001E-2</v>
      </c>
      <c r="I114" s="346">
        <f t="shared" si="2"/>
        <v>4.8498125621369459E-2</v>
      </c>
      <c r="J114" s="347">
        <f t="shared" si="3"/>
        <v>3.9574383660244239E-2</v>
      </c>
      <c r="K114"/>
    </row>
    <row r="115" spans="1:11">
      <c r="A115" s="348" t="str">
        <f t="shared" si="1"/>
        <v>Grand Total</v>
      </c>
      <c r="B115" s="349"/>
      <c r="C115" s="350">
        <f t="shared" si="2"/>
        <v>1.1663015190153114E-3</v>
      </c>
      <c r="D115" s="350">
        <f t="shared" si="2"/>
        <v>3.1290037953066729E-2</v>
      </c>
      <c r="E115" s="350">
        <f t="shared" si="2"/>
        <v>7.5050053249053894E-2</v>
      </c>
      <c r="F115" s="350">
        <f t="shared" si="2"/>
        <v>2.3250868822521253E-2</v>
      </c>
      <c r="G115" s="350">
        <f t="shared" si="2"/>
        <v>2.7547494889317736E-2</v>
      </c>
      <c r="H115" s="350">
        <f t="shared" si="2"/>
        <v>2.835657752568288E-2</v>
      </c>
      <c r="I115" s="350">
        <f t="shared" si="2"/>
        <v>-6.8507077122162974E-3</v>
      </c>
      <c r="J115" s="351">
        <f t="shared" si="3"/>
        <v>2.9139377934353394E-2</v>
      </c>
      <c r="K115"/>
    </row>
    <row r="116" spans="1:11">
      <c r="A116" s="338" t="str">
        <f>"Source: Gartner ("&amp;UpdatePeriodMOYR&amp;")"</f>
        <v>Source: Gartner (December 2017)</v>
      </c>
      <c r="B116" s="312"/>
      <c r="C116" s="312"/>
      <c r="D116" s="312"/>
      <c r="E116" s="312"/>
      <c r="F116" s="312"/>
      <c r="G116" s="312"/>
      <c r="H116" s="312"/>
      <c r="I116" s="312"/>
      <c r="J116" s="312"/>
      <c r="K116" s="312"/>
    </row>
    <row r="117" spans="1:11">
      <c r="A117" s="312"/>
      <c r="B117" s="312"/>
      <c r="C117" s="312"/>
      <c r="D117" s="312"/>
      <c r="E117" s="312"/>
      <c r="F117" s="312"/>
      <c r="G117" s="312"/>
      <c r="H117" s="312"/>
      <c r="I117" s="312"/>
      <c r="J117" s="312"/>
      <c r="K117" s="312"/>
    </row>
    <row r="118" spans="1:11">
      <c r="A118" s="312"/>
      <c r="B118" s="312"/>
      <c r="C118" s="312"/>
      <c r="D118" s="312"/>
      <c r="E118" s="312"/>
      <c r="F118" s="312"/>
      <c r="G118" s="312"/>
      <c r="H118" s="312"/>
      <c r="I118" s="312"/>
      <c r="J118" s="312"/>
      <c r="K118" s="312"/>
    </row>
    <row r="119" spans="1:11">
      <c r="A119" s="316" t="s">
        <v>321</v>
      </c>
      <c r="B119" s="319" t="s">
        <v>318</v>
      </c>
      <c r="C119" s="320" t="s">
        <v>297</v>
      </c>
      <c r="D119" s="312"/>
      <c r="E119" s="312"/>
      <c r="F119" s="312"/>
      <c r="G119" s="312"/>
      <c r="H119" s="312"/>
      <c r="I119" s="312"/>
      <c r="J119" s="312"/>
      <c r="K119" s="312"/>
    </row>
    <row r="120" spans="1:11">
      <c r="A120" s="304" t="str">
        <f>"Forecast: Server Shipments by CPU and OS, "&amp;StartYear&amp;"-"&amp;EndYear</f>
        <v>Forecast: Server Shipments by CPU and OS, 2015-2021</v>
      </c>
      <c r="B120" s="312"/>
      <c r="C120" s="312"/>
      <c r="D120" s="312"/>
      <c r="E120" s="312"/>
      <c r="F120" s="312"/>
      <c r="G120" s="312"/>
      <c r="H120" s="312"/>
      <c r="I120" s="312"/>
      <c r="J120" s="312"/>
      <c r="K120" s="312"/>
    </row>
    <row r="121" spans="1:11">
      <c r="A121" s="304" t="s">
        <v>332</v>
      </c>
      <c r="B121" s="312"/>
      <c r="C121" s="312"/>
      <c r="D121" s="312"/>
      <c r="E121" s="312"/>
      <c r="F121" s="312"/>
      <c r="G121" s="312"/>
      <c r="H121" s="312"/>
      <c r="I121" s="312"/>
      <c r="J121" s="312"/>
      <c r="K121" s="312"/>
    </row>
    <row r="122" spans="1:11">
      <c r="A122" s="304"/>
      <c r="B122" s="312"/>
      <c r="C122" s="312"/>
      <c r="D122" s="312"/>
      <c r="E122" s="312"/>
      <c r="F122" s="312"/>
      <c r="G122" s="312"/>
      <c r="H122" s="312"/>
      <c r="I122" s="312"/>
      <c r="J122" s="312"/>
      <c r="K122" s="312"/>
    </row>
    <row r="123" spans="1:11">
      <c r="A123" s="390" t="s">
        <v>333</v>
      </c>
      <c r="B123" s="352"/>
      <c r="C123" s="389" t="s">
        <v>334</v>
      </c>
      <c r="D123" s="322"/>
      <c r="E123" s="322"/>
      <c r="F123" s="322"/>
      <c r="G123" s="322"/>
      <c r="H123" s="322"/>
      <c r="I123" s="322"/>
      <c r="J123" s="323"/>
      <c r="K123"/>
    </row>
    <row r="124" spans="1:11">
      <c r="A124" s="388" t="s">
        <v>335</v>
      </c>
      <c r="B124" s="388" t="s">
        <v>336</v>
      </c>
      <c r="C124" s="324" t="s">
        <v>287</v>
      </c>
      <c r="D124" s="325" t="s">
        <v>20</v>
      </c>
      <c r="E124" s="325" t="s">
        <v>21</v>
      </c>
      <c r="F124" s="325" t="s">
        <v>22</v>
      </c>
      <c r="G124" s="325" t="s">
        <v>23</v>
      </c>
      <c r="H124" s="325" t="s">
        <v>24</v>
      </c>
      <c r="I124" s="325" t="s">
        <v>25</v>
      </c>
      <c r="J124" s="326" t="s">
        <v>619</v>
      </c>
      <c r="K124"/>
    </row>
    <row r="125" spans="1:11">
      <c r="A125" s="321" t="s">
        <v>337</v>
      </c>
      <c r="B125" s="321" t="s">
        <v>338</v>
      </c>
      <c r="C125" s="353">
        <v>0.25753999999999999</v>
      </c>
      <c r="D125" s="354">
        <v>0.11877731299999998</v>
      </c>
      <c r="E125" s="354">
        <v>0.12958945299999999</v>
      </c>
      <c r="F125" s="354"/>
      <c r="G125" s="354"/>
      <c r="H125" s="354"/>
      <c r="I125" s="354"/>
      <c r="J125" s="355"/>
      <c r="K125"/>
    </row>
    <row r="126" spans="1:11">
      <c r="A126" s="356"/>
      <c r="B126" s="330" t="s">
        <v>339</v>
      </c>
      <c r="C126" s="357">
        <v>0.45731374999999996</v>
      </c>
      <c r="D126" s="358">
        <v>0.57194935899999999</v>
      </c>
      <c r="E126" s="358">
        <v>0.54463945400000013</v>
      </c>
      <c r="F126" s="358">
        <v>5.7082537999999981E-2</v>
      </c>
      <c r="G126" s="358">
        <v>4.9211355000000005E-2</v>
      </c>
      <c r="H126" s="358">
        <v>3.6568165999999999E-2</v>
      </c>
      <c r="I126" s="358">
        <v>2.4937617000000006E-2</v>
      </c>
      <c r="J126" s="359">
        <v>1.8986473699999999E-2</v>
      </c>
      <c r="K126"/>
    </row>
    <row r="127" spans="1:11">
      <c r="A127" s="356"/>
      <c r="B127" s="330" t="s">
        <v>340</v>
      </c>
      <c r="C127" s="357">
        <v>11.28708625</v>
      </c>
      <c r="D127" s="358">
        <v>8.588558836999999</v>
      </c>
      <c r="E127" s="358">
        <v>5.5277671770000003</v>
      </c>
      <c r="F127" s="358">
        <v>6.4944728619999994</v>
      </c>
      <c r="G127" s="358">
        <v>5.7825860450000004</v>
      </c>
      <c r="H127" s="358">
        <v>4.5461435340000023</v>
      </c>
      <c r="I127" s="358">
        <v>3.5207042829999993</v>
      </c>
      <c r="J127" s="359">
        <v>2.8175465260000001</v>
      </c>
      <c r="K127"/>
    </row>
    <row r="128" spans="1:11">
      <c r="A128" s="356"/>
      <c r="B128" s="330" t="s">
        <v>289</v>
      </c>
      <c r="C128" s="357">
        <v>0.32166000000000006</v>
      </c>
      <c r="D128" s="358">
        <v>0.19090142999999998</v>
      </c>
      <c r="E128" s="358">
        <v>0.13125746900000002</v>
      </c>
      <c r="F128" s="358"/>
      <c r="G128" s="358"/>
      <c r="H128" s="358"/>
      <c r="I128" s="358"/>
      <c r="J128" s="359"/>
      <c r="K128"/>
    </row>
    <row r="129" spans="1:11">
      <c r="A129" s="321" t="s">
        <v>341</v>
      </c>
      <c r="B129" s="352"/>
      <c r="C129" s="353">
        <v>12.323599999999999</v>
      </c>
      <c r="D129" s="354">
        <v>9.4701869389999995</v>
      </c>
      <c r="E129" s="354">
        <v>6.3332535530000005</v>
      </c>
      <c r="F129" s="354">
        <v>6.5515553999999998</v>
      </c>
      <c r="G129" s="354">
        <v>5.8317974000000001</v>
      </c>
      <c r="H129" s="354">
        <v>4.5827117000000026</v>
      </c>
      <c r="I129" s="354">
        <v>3.5456418999999992</v>
      </c>
      <c r="J129" s="355">
        <v>2.8365329997000002</v>
      </c>
      <c r="K129"/>
    </row>
    <row r="130" spans="1:11">
      <c r="A130" s="321" t="s">
        <v>339</v>
      </c>
      <c r="B130" s="321" t="s">
        <v>338</v>
      </c>
      <c r="C130" s="353">
        <v>0.23341776910000001</v>
      </c>
      <c r="D130" s="354">
        <v>0.18794840300000001</v>
      </c>
      <c r="E130" s="354">
        <v>0.16240776400000001</v>
      </c>
      <c r="F130" s="354">
        <v>0.14308679280000003</v>
      </c>
      <c r="G130" s="354">
        <v>0.1429821043</v>
      </c>
      <c r="H130" s="354">
        <v>0.14118626080000002</v>
      </c>
      <c r="I130" s="354">
        <v>0.12986830769999996</v>
      </c>
      <c r="J130" s="355">
        <v>0.11913868349999998</v>
      </c>
      <c r="K130"/>
    </row>
    <row r="131" spans="1:11">
      <c r="A131" s="356"/>
      <c r="B131" s="330" t="s">
        <v>339</v>
      </c>
      <c r="C131" s="357">
        <v>1.9534564405000001</v>
      </c>
      <c r="D131" s="358">
        <v>1.819127594</v>
      </c>
      <c r="E131" s="358">
        <v>2.0583803510000003</v>
      </c>
      <c r="F131" s="358">
        <v>1.1276326320000001</v>
      </c>
      <c r="G131" s="358">
        <v>1.1494145659999999</v>
      </c>
      <c r="H131" s="358">
        <v>1.135865812</v>
      </c>
      <c r="I131" s="358">
        <v>1.0460650220000001</v>
      </c>
      <c r="J131" s="359">
        <v>0.96027264299999959</v>
      </c>
      <c r="K131"/>
    </row>
    <row r="132" spans="1:11">
      <c r="A132" s="356"/>
      <c r="B132" s="330" t="s">
        <v>340</v>
      </c>
      <c r="C132" s="357">
        <v>6.0000000000000001E-3</v>
      </c>
      <c r="D132" s="358"/>
      <c r="E132" s="358"/>
      <c r="F132" s="358">
        <v>0.17010087500000001</v>
      </c>
      <c r="G132" s="358">
        <v>0.15026903</v>
      </c>
      <c r="H132" s="358">
        <v>0.13151352799999999</v>
      </c>
      <c r="I132" s="358">
        <v>0.114328071</v>
      </c>
      <c r="J132" s="359">
        <v>9.8374372000000002E-2</v>
      </c>
      <c r="K132"/>
    </row>
    <row r="133" spans="1:11">
      <c r="A133" s="356"/>
      <c r="B133" s="360" t="s">
        <v>289</v>
      </c>
      <c r="C133" s="357">
        <v>1.12E-2</v>
      </c>
      <c r="D133" s="358">
        <v>8.3999999999999995E-3</v>
      </c>
      <c r="E133" s="358">
        <v>6.3E-3</v>
      </c>
      <c r="F133" s="358"/>
      <c r="G133" s="358"/>
      <c r="H133" s="358"/>
      <c r="I133" s="358"/>
      <c r="J133" s="359"/>
      <c r="K133"/>
    </row>
    <row r="134" spans="1:11">
      <c r="A134" s="321" t="s">
        <v>342</v>
      </c>
      <c r="B134" s="352"/>
      <c r="C134" s="353">
        <v>2.2040742095999999</v>
      </c>
      <c r="D134" s="354">
        <v>2.0154759969999998</v>
      </c>
      <c r="E134" s="354">
        <v>2.2270881150000004</v>
      </c>
      <c r="F134" s="354">
        <v>1.4408202998000001</v>
      </c>
      <c r="G134" s="354">
        <v>1.4426657002999999</v>
      </c>
      <c r="H134" s="354">
        <v>1.4085656008</v>
      </c>
      <c r="I134" s="354">
        <v>1.2902614007000002</v>
      </c>
      <c r="J134" s="355">
        <v>1.1777856984999997</v>
      </c>
      <c r="K134"/>
    </row>
    <row r="135" spans="1:11">
      <c r="A135" s="321" t="s">
        <v>343</v>
      </c>
      <c r="B135" s="321" t="s">
        <v>338</v>
      </c>
      <c r="C135" s="353">
        <v>3.4340689699999998</v>
      </c>
      <c r="D135" s="354">
        <v>7.8597506380000013</v>
      </c>
      <c r="E135" s="354">
        <v>7.1384372770000013</v>
      </c>
      <c r="F135" s="354">
        <v>4.9463411897</v>
      </c>
      <c r="G135" s="354">
        <v>4.2561800376000001</v>
      </c>
      <c r="H135" s="354">
        <v>3.1258865004</v>
      </c>
      <c r="I135" s="354">
        <v>2.3291470068999995</v>
      </c>
      <c r="J135" s="355">
        <v>1.7202489969999994</v>
      </c>
      <c r="K135"/>
    </row>
    <row r="136" spans="1:11">
      <c r="A136" s="356"/>
      <c r="B136" s="330" t="s">
        <v>339</v>
      </c>
      <c r="C136" s="357">
        <v>0.71151514000000016</v>
      </c>
      <c r="D136" s="358">
        <v>0.8754024859999997</v>
      </c>
      <c r="E136" s="358">
        <v>1.4439428880000003</v>
      </c>
      <c r="F136" s="358">
        <v>0.56755894959999997</v>
      </c>
      <c r="G136" s="358">
        <v>0.4604376327000001</v>
      </c>
      <c r="H136" s="358">
        <v>0.34745741769999999</v>
      </c>
      <c r="I136" s="358">
        <v>0.24059535919999997</v>
      </c>
      <c r="J136" s="359">
        <v>0.18687979780000002</v>
      </c>
      <c r="K136"/>
    </row>
    <row r="137" spans="1:11">
      <c r="A137" s="356"/>
      <c r="B137" s="330" t="s">
        <v>340</v>
      </c>
      <c r="C137" s="357">
        <v>76.96317128199999</v>
      </c>
      <c r="D137" s="358">
        <v>55.808652359000007</v>
      </c>
      <c r="E137" s="358">
        <v>41.97335080300001</v>
      </c>
      <c r="F137" s="358">
        <v>39.907143859999991</v>
      </c>
      <c r="G137" s="358">
        <v>35.365514226000002</v>
      </c>
      <c r="H137" s="358">
        <v>27.750198883999992</v>
      </c>
      <c r="I137" s="358">
        <v>21.752481835000005</v>
      </c>
      <c r="J137" s="359">
        <v>17.284322108999994</v>
      </c>
      <c r="K137"/>
    </row>
    <row r="138" spans="1:11">
      <c r="A138" s="321" t="s">
        <v>344</v>
      </c>
      <c r="B138" s="352"/>
      <c r="C138" s="353">
        <v>81.108755391999992</v>
      </c>
      <c r="D138" s="354">
        <v>64.543805483000014</v>
      </c>
      <c r="E138" s="354">
        <v>50.555730968000013</v>
      </c>
      <c r="F138" s="354">
        <v>45.421043999299989</v>
      </c>
      <c r="G138" s="354">
        <v>40.082131896299998</v>
      </c>
      <c r="H138" s="354">
        <v>31.223542802099992</v>
      </c>
      <c r="I138" s="354">
        <v>24.322224201100003</v>
      </c>
      <c r="J138" s="355">
        <v>19.191450903799993</v>
      </c>
      <c r="K138"/>
    </row>
    <row r="139" spans="1:11">
      <c r="A139" s="321" t="s">
        <v>345</v>
      </c>
      <c r="B139" s="321" t="s">
        <v>338</v>
      </c>
      <c r="C139" s="353">
        <v>4214.6568343670006</v>
      </c>
      <c r="D139" s="354">
        <v>4344.6502642240002</v>
      </c>
      <c r="E139" s="354">
        <v>4825.6495406899994</v>
      </c>
      <c r="F139" s="354">
        <v>5028.2408701190006</v>
      </c>
      <c r="G139" s="354">
        <v>5234.6247839979997</v>
      </c>
      <c r="H139" s="354">
        <v>5454.5402766140014</v>
      </c>
      <c r="I139" s="354">
        <v>5625.7165605789996</v>
      </c>
      <c r="J139" s="355">
        <v>5581.8918426130003</v>
      </c>
      <c r="K139"/>
    </row>
    <row r="140" spans="1:11">
      <c r="A140" s="356"/>
      <c r="B140" s="330" t="s">
        <v>339</v>
      </c>
      <c r="C140" s="357">
        <v>60.639598903999996</v>
      </c>
      <c r="D140" s="358">
        <v>58.232305349000001</v>
      </c>
      <c r="E140" s="358">
        <v>54.976756401000003</v>
      </c>
      <c r="F140" s="358">
        <v>52.941945190000006</v>
      </c>
      <c r="G140" s="358">
        <v>53.177709737000001</v>
      </c>
      <c r="H140" s="358">
        <v>53.252162207999994</v>
      </c>
      <c r="I140" s="358">
        <v>55.129342454000003</v>
      </c>
      <c r="J140" s="359">
        <v>53.545127855000004</v>
      </c>
      <c r="K140"/>
    </row>
    <row r="141" spans="1:11">
      <c r="A141" s="356"/>
      <c r="B141" s="330" t="s">
        <v>340</v>
      </c>
      <c r="C141" s="357">
        <v>107.766127102</v>
      </c>
      <c r="D141" s="358">
        <v>105.24502952600002</v>
      </c>
      <c r="E141" s="358">
        <v>109.90379976700001</v>
      </c>
      <c r="F141" s="358">
        <v>83.028303125999997</v>
      </c>
      <c r="G141" s="358">
        <v>83.957056840999996</v>
      </c>
      <c r="H141" s="358">
        <v>84.560355727999976</v>
      </c>
      <c r="I141" s="358">
        <v>87.716146857000012</v>
      </c>
      <c r="J141" s="359">
        <v>85.304086238999986</v>
      </c>
      <c r="K141"/>
    </row>
    <row r="142" spans="1:11">
      <c r="A142" s="356"/>
      <c r="B142" s="330" t="s">
        <v>289</v>
      </c>
      <c r="C142" s="357">
        <v>6612.1627198829992</v>
      </c>
      <c r="D142" s="358">
        <v>6519.639931198999</v>
      </c>
      <c r="E142" s="358">
        <v>6401.5890587360009</v>
      </c>
      <c r="F142" s="358">
        <v>7093.0265037419995</v>
      </c>
      <c r="G142" s="358">
        <v>7177.7682287979987</v>
      </c>
      <c r="H142" s="358">
        <v>7314.3293676420008</v>
      </c>
      <c r="I142" s="358">
        <v>7513.2214231659991</v>
      </c>
      <c r="J142" s="359">
        <v>7475.8054039689996</v>
      </c>
      <c r="K142"/>
    </row>
    <row r="143" spans="1:11">
      <c r="A143" s="321" t="s">
        <v>346</v>
      </c>
      <c r="B143" s="352"/>
      <c r="C143" s="353">
        <v>10995.225280256</v>
      </c>
      <c r="D143" s="354">
        <v>11027.767530297999</v>
      </c>
      <c r="E143" s="354">
        <v>11392.119155594</v>
      </c>
      <c r="F143" s="354">
        <v>12257.237622176999</v>
      </c>
      <c r="G143" s="354">
        <v>12549.527779373999</v>
      </c>
      <c r="H143" s="354">
        <v>12906.682162192003</v>
      </c>
      <c r="I143" s="354">
        <v>13281.783473055999</v>
      </c>
      <c r="J143" s="355">
        <v>13196.546460676</v>
      </c>
      <c r="K143"/>
    </row>
    <row r="144" spans="1:11">
      <c r="A144" s="334" t="s">
        <v>307</v>
      </c>
      <c r="B144" s="361"/>
      <c r="C144" s="362">
        <v>11090.8617098576</v>
      </c>
      <c r="D144" s="363">
        <v>11103.796998717</v>
      </c>
      <c r="E144" s="363">
        <v>11451.235228230002</v>
      </c>
      <c r="F144" s="363">
        <v>12310.651041876099</v>
      </c>
      <c r="G144" s="363">
        <v>12596.884374370598</v>
      </c>
      <c r="H144" s="363">
        <v>12943.896982294904</v>
      </c>
      <c r="I144" s="363">
        <v>13310.941600557799</v>
      </c>
      <c r="J144" s="364">
        <v>13219.752230278</v>
      </c>
      <c r="K144"/>
    </row>
    <row r="145" spans="1:11">
      <c r="A145" s="338" t="str">
        <f>"Source: Gartner ("&amp;UpdatePeriodMOYR&amp;")"</f>
        <v>Source: Gartner (December 2017)</v>
      </c>
      <c r="B145" s="312"/>
      <c r="C145" s="312"/>
      <c r="D145" s="312"/>
      <c r="E145" s="312"/>
      <c r="F145" s="312"/>
      <c r="G145" s="312"/>
      <c r="H145" s="312"/>
      <c r="I145" s="312"/>
      <c r="J145" s="312"/>
      <c r="K145" s="312"/>
    </row>
    <row r="146" spans="1:11">
      <c r="A146" s="338"/>
      <c r="B146" s="312"/>
      <c r="C146" s="312"/>
      <c r="D146" s="312"/>
      <c r="E146" s="312"/>
      <c r="F146" s="312"/>
      <c r="G146" s="312"/>
      <c r="H146" s="312"/>
      <c r="I146" s="312"/>
      <c r="J146" s="312"/>
      <c r="K146" s="312"/>
    </row>
    <row r="147" spans="1:11">
      <c r="A147" s="316" t="s">
        <v>322</v>
      </c>
      <c r="B147" s="319" t="s">
        <v>318</v>
      </c>
      <c r="C147" s="320" t="s">
        <v>297</v>
      </c>
      <c r="D147" s="312"/>
      <c r="E147" s="312"/>
      <c r="F147" s="312"/>
      <c r="G147" s="312"/>
      <c r="H147" s="312"/>
      <c r="I147" s="312"/>
      <c r="J147" s="312"/>
      <c r="K147" s="312"/>
    </row>
    <row r="148" spans="1:11">
      <c r="A148" s="304" t="str">
        <f>"Forecast: Server Shipment Growth Rates by CPU and OS, "&amp;StartYear&amp;"-"&amp;EndYear</f>
        <v>Forecast: Server Shipment Growth Rates by CPU and OS, 2015-2021</v>
      </c>
      <c r="B148" s="312"/>
      <c r="C148" s="312"/>
      <c r="D148" s="180"/>
      <c r="E148" s="180"/>
      <c r="F148" s="180"/>
      <c r="G148" s="180"/>
      <c r="H148" s="365"/>
      <c r="I148" s="365"/>
      <c r="J148" s="365"/>
      <c r="K148" s="284"/>
    </row>
    <row r="149" spans="1:11">
      <c r="A149" s="304"/>
      <c r="B149" s="312"/>
      <c r="C149" s="312"/>
      <c r="D149" s="180"/>
      <c r="E149" s="180"/>
      <c r="F149" s="180"/>
      <c r="G149" s="180"/>
      <c r="H149" s="365"/>
      <c r="I149" s="365"/>
      <c r="J149" s="365"/>
      <c r="K149" s="284"/>
    </row>
    <row r="150" spans="1:11">
      <c r="A150" s="366" t="str">
        <f>A124</f>
        <v xml:space="preserve">CPU Family </v>
      </c>
      <c r="B150" s="366" t="str">
        <f>B124</f>
        <v xml:space="preserve">OS </v>
      </c>
      <c r="C150" s="367" t="str">
        <f>C124</f>
        <v>2015 YR</v>
      </c>
      <c r="D150" s="368" t="str">
        <f t="shared" ref="D150:J150" si="4">D124</f>
        <v>2016 YR</v>
      </c>
      <c r="E150" s="368" t="str">
        <f t="shared" si="4"/>
        <v>2017 YR</v>
      </c>
      <c r="F150" s="368" t="str">
        <f t="shared" si="4"/>
        <v>2018 YR</v>
      </c>
      <c r="G150" s="368" t="str">
        <f t="shared" si="4"/>
        <v>2019 YR</v>
      </c>
      <c r="H150" s="368" t="str">
        <f t="shared" si="4"/>
        <v>2020 YR</v>
      </c>
      <c r="I150" s="368" t="str">
        <f t="shared" si="4"/>
        <v>2021 YR</v>
      </c>
      <c r="J150" s="368" t="str">
        <f t="shared" si="4"/>
        <v>2022 YR</v>
      </c>
      <c r="K150" s="369" t="str">
        <f>"CAGR "&amp;E124&amp;" to "&amp;J124</f>
        <v>CAGR 2017 YR to 2022 YR</v>
      </c>
    </row>
    <row r="151" spans="1:11">
      <c r="A151" s="370" t="str">
        <f t="shared" ref="A151:B166" si="5">IF(A125="","",A125)</f>
        <v>IA64</v>
      </c>
      <c r="B151" s="370" t="str">
        <f t="shared" si="5"/>
        <v>Linux</v>
      </c>
      <c r="C151" s="371"/>
      <c r="D151" s="372">
        <f t="shared" ref="D151:J166" si="6">IF(C125&gt;0,D125/C125-1,0)</f>
        <v>-0.53880052419041702</v>
      </c>
      <c r="E151" s="372">
        <f t="shared" si="6"/>
        <v>9.1028663024225853E-2</v>
      </c>
      <c r="F151" s="372">
        <f t="shared" si="6"/>
        <v>-1</v>
      </c>
      <c r="G151" s="372">
        <f t="shared" si="6"/>
        <v>0</v>
      </c>
      <c r="H151" s="372">
        <f t="shared" si="6"/>
        <v>0</v>
      </c>
      <c r="I151" s="372">
        <f t="shared" si="6"/>
        <v>0</v>
      </c>
      <c r="J151" s="372">
        <f t="shared" si="6"/>
        <v>0</v>
      </c>
      <c r="K151" s="373">
        <f>IF(E125&gt;0,(J125/E125)^(1/5)-1,0)</f>
        <v>-1</v>
      </c>
    </row>
    <row r="152" spans="1:11">
      <c r="A152" s="374" t="str">
        <f t="shared" si="5"/>
        <v/>
      </c>
      <c r="B152" s="375" t="str">
        <f t="shared" si="5"/>
        <v>Other</v>
      </c>
      <c r="C152" s="376"/>
      <c r="D152" s="346">
        <f t="shared" si="6"/>
        <v>0.25067168656092242</v>
      </c>
      <c r="E152" s="346">
        <f t="shared" si="6"/>
        <v>-4.7748816517162784E-2</v>
      </c>
      <c r="F152" s="346">
        <f t="shared" si="6"/>
        <v>-0.8951920622335231</v>
      </c>
      <c r="G152" s="346">
        <f t="shared" si="6"/>
        <v>-0.13789125844404426</v>
      </c>
      <c r="H152" s="346">
        <f t="shared" si="6"/>
        <v>-0.25691609182474262</v>
      </c>
      <c r="I152" s="346">
        <f t="shared" si="6"/>
        <v>-0.31805119786428426</v>
      </c>
      <c r="J152" s="346">
        <f t="shared" si="6"/>
        <v>-0.23864121820461048</v>
      </c>
      <c r="K152" s="347">
        <f t="shared" ref="K152:K160" si="7">IF(E126&gt;0,(J126/E126)^(1/5)-1,0)</f>
        <v>-0.48894570484184896</v>
      </c>
    </row>
    <row r="153" spans="1:11">
      <c r="A153" s="374" t="str">
        <f t="shared" si="5"/>
        <v/>
      </c>
      <c r="B153" s="375" t="str">
        <f t="shared" si="5"/>
        <v>Unix</v>
      </c>
      <c r="C153" s="376"/>
      <c r="D153" s="346">
        <f t="shared" si="6"/>
        <v>-0.23908095971181231</v>
      </c>
      <c r="E153" s="346">
        <f t="shared" si="6"/>
        <v>-0.3563801236144456</v>
      </c>
      <c r="F153" s="346">
        <f t="shared" si="6"/>
        <v>0.17488176582803261</v>
      </c>
      <c r="G153" s="346">
        <f t="shared" si="6"/>
        <v>-0.10961425694229021</v>
      </c>
      <c r="H153" s="346">
        <f t="shared" si="6"/>
        <v>-0.21382172290702128</v>
      </c>
      <c r="I153" s="346">
        <f t="shared" si="6"/>
        <v>-0.22556244503299983</v>
      </c>
      <c r="J153" s="346">
        <f t="shared" si="6"/>
        <v>-0.19972076621011658</v>
      </c>
      <c r="K153" s="347">
        <f t="shared" si="7"/>
        <v>-0.12609490633286935</v>
      </c>
    </row>
    <row r="154" spans="1:11">
      <c r="A154" s="374" t="str">
        <f t="shared" si="5"/>
        <v/>
      </c>
      <c r="B154" s="375" t="str">
        <f t="shared" si="5"/>
        <v>Windows</v>
      </c>
      <c r="C154" s="376"/>
      <c r="D154" s="346">
        <f t="shared" si="6"/>
        <v>-0.40651175153889219</v>
      </c>
      <c r="E154" s="346">
        <f t="shared" si="6"/>
        <v>-0.31243328559665573</v>
      </c>
      <c r="F154" s="346">
        <f t="shared" si="6"/>
        <v>-1</v>
      </c>
      <c r="G154" s="346">
        <f t="shared" si="6"/>
        <v>0</v>
      </c>
      <c r="H154" s="346">
        <f t="shared" si="6"/>
        <v>0</v>
      </c>
      <c r="I154" s="346">
        <f t="shared" si="6"/>
        <v>0</v>
      </c>
      <c r="J154" s="346">
        <f t="shared" si="6"/>
        <v>0</v>
      </c>
      <c r="K154" s="347">
        <f t="shared" si="7"/>
        <v>-1</v>
      </c>
    </row>
    <row r="155" spans="1:11">
      <c r="A155" s="370" t="str">
        <f t="shared" si="5"/>
        <v>IA64 Total</v>
      </c>
      <c r="B155" s="377" t="str">
        <f t="shared" si="5"/>
        <v/>
      </c>
      <c r="C155" s="371"/>
      <c r="D155" s="372">
        <f>IF(C129&gt;0,D129/C129-1,0)</f>
        <v>-0.23154054505177057</v>
      </c>
      <c r="E155" s="372">
        <f t="shared" si="6"/>
        <v>-0.33124302679617879</v>
      </c>
      <c r="F155" s="372">
        <f t="shared" si="6"/>
        <v>3.4469146888425506E-2</v>
      </c>
      <c r="G155" s="372">
        <f t="shared" si="6"/>
        <v>-0.10986062943160024</v>
      </c>
      <c r="H155" s="372">
        <f t="shared" si="6"/>
        <v>-0.2141853727634635</v>
      </c>
      <c r="I155" s="372">
        <f t="shared" si="6"/>
        <v>-0.22630046747213073</v>
      </c>
      <c r="J155" s="372">
        <f t="shared" si="6"/>
        <v>-0.19999450601596269</v>
      </c>
      <c r="K155" s="373">
        <f t="shared" si="7"/>
        <v>-0.14840678416655584</v>
      </c>
    </row>
    <row r="156" spans="1:11">
      <c r="A156" s="370" t="str">
        <f t="shared" si="5"/>
        <v>Other</v>
      </c>
      <c r="B156" s="370" t="str">
        <f t="shared" si="5"/>
        <v>Linux</v>
      </c>
      <c r="C156" s="371"/>
      <c r="D156" s="372">
        <f t="shared" si="6"/>
        <v>-0.19479822069810016</v>
      </c>
      <c r="E156" s="372">
        <f t="shared" si="6"/>
        <v>-0.13589175854822244</v>
      </c>
      <c r="F156" s="372">
        <f t="shared" si="6"/>
        <v>-0.11896581003356455</v>
      </c>
      <c r="G156" s="372">
        <f t="shared" si="6"/>
        <v>-7.3164334703035294E-4</v>
      </c>
      <c r="H156" s="372">
        <f t="shared" si="6"/>
        <v>-1.2559917961705191E-2</v>
      </c>
      <c r="I156" s="372">
        <f t="shared" si="6"/>
        <v>-8.0163275348956953E-2</v>
      </c>
      <c r="J156" s="372">
        <f t="shared" si="6"/>
        <v>-8.2619265546955201E-2</v>
      </c>
      <c r="K156" s="373">
        <f t="shared" si="7"/>
        <v>-6.0083655104571587E-2</v>
      </c>
    </row>
    <row r="157" spans="1:11">
      <c r="A157" s="374" t="str">
        <f t="shared" si="5"/>
        <v/>
      </c>
      <c r="B157" s="375" t="str">
        <f t="shared" si="5"/>
        <v>Other</v>
      </c>
      <c r="C157" s="376"/>
      <c r="D157" s="346">
        <f t="shared" si="6"/>
        <v>-6.8764700207811003E-2</v>
      </c>
      <c r="E157" s="346">
        <f t="shared" si="6"/>
        <v>0.1315206023970632</v>
      </c>
      <c r="F157" s="346">
        <f t="shared" si="6"/>
        <v>-0.45217479779566749</v>
      </c>
      <c r="G157" s="346">
        <f t="shared" si="6"/>
        <v>1.9316516196739464E-2</v>
      </c>
      <c r="H157" s="346">
        <f t="shared" si="6"/>
        <v>-1.1787525929091047E-2</v>
      </c>
      <c r="I157" s="346">
        <f t="shared" si="6"/>
        <v>-7.9059329941343459E-2</v>
      </c>
      <c r="J157" s="346">
        <f t="shared" si="6"/>
        <v>-8.2014384570446408E-2</v>
      </c>
      <c r="K157" s="347">
        <f t="shared" si="7"/>
        <v>-0.14143380274873329</v>
      </c>
    </row>
    <row r="158" spans="1:11">
      <c r="A158" s="374" t="str">
        <f t="shared" si="5"/>
        <v/>
      </c>
      <c r="B158" s="375" t="str">
        <f t="shared" si="5"/>
        <v>Unix</v>
      </c>
      <c r="C158" s="376"/>
      <c r="D158" s="346">
        <f t="shared" si="6"/>
        <v>-1</v>
      </c>
      <c r="E158" s="346">
        <f t="shared" si="6"/>
        <v>0</v>
      </c>
      <c r="F158" s="346">
        <f t="shared" si="6"/>
        <v>0</v>
      </c>
      <c r="G158" s="346">
        <f t="shared" si="6"/>
        <v>-0.11658873006973081</v>
      </c>
      <c r="H158" s="346">
        <f t="shared" si="6"/>
        <v>-0.12481282403965743</v>
      </c>
      <c r="I158" s="346">
        <f t="shared" si="6"/>
        <v>-0.13067444286035723</v>
      </c>
      <c r="J158" s="346">
        <f t="shared" si="6"/>
        <v>-0.13954314859383921</v>
      </c>
      <c r="K158" s="347">
        <f t="shared" si="7"/>
        <v>0</v>
      </c>
    </row>
    <row r="159" spans="1:11">
      <c r="A159" s="374" t="str">
        <f t="shared" si="5"/>
        <v/>
      </c>
      <c r="B159" s="375" t="str">
        <f t="shared" si="5"/>
        <v>Windows</v>
      </c>
      <c r="C159" s="376"/>
      <c r="D159" s="346">
        <f t="shared" si="6"/>
        <v>-0.25</v>
      </c>
      <c r="E159" s="346">
        <f t="shared" si="6"/>
        <v>-0.25</v>
      </c>
      <c r="F159" s="346">
        <f t="shared" si="6"/>
        <v>-1</v>
      </c>
      <c r="G159" s="346">
        <f t="shared" si="6"/>
        <v>0</v>
      </c>
      <c r="H159" s="346">
        <f t="shared" si="6"/>
        <v>0</v>
      </c>
      <c r="I159" s="346">
        <f t="shared" si="6"/>
        <v>0</v>
      </c>
      <c r="J159" s="346">
        <f t="shared" si="6"/>
        <v>0</v>
      </c>
      <c r="K159" s="347">
        <f t="shared" si="7"/>
        <v>-1</v>
      </c>
    </row>
    <row r="160" spans="1:11">
      <c r="A160" s="378" t="str">
        <f t="shared" si="5"/>
        <v>Other Total</v>
      </c>
      <c r="B160" s="379" t="str">
        <f t="shared" si="5"/>
        <v/>
      </c>
      <c r="C160" s="380"/>
      <c r="D160" s="381">
        <f t="shared" si="6"/>
        <v>-8.5567995750119197E-2</v>
      </c>
      <c r="E160" s="381">
        <f t="shared" si="6"/>
        <v>0.10499361853724953</v>
      </c>
      <c r="F160" s="381">
        <f t="shared" si="6"/>
        <v>-0.35304746583859348</v>
      </c>
      <c r="G160" s="381">
        <f t="shared" si="6"/>
        <v>1.280798514746051E-3</v>
      </c>
      <c r="H160" s="381">
        <f t="shared" si="6"/>
        <v>-2.3636868536424438E-2</v>
      </c>
      <c r="I160" s="381">
        <f t="shared" si="6"/>
        <v>-8.3989130525982336E-2</v>
      </c>
      <c r="J160" s="381">
        <f t="shared" si="6"/>
        <v>-8.7172802456137566E-2</v>
      </c>
      <c r="K160" s="382">
        <f t="shared" si="7"/>
        <v>-0.11962890457606623</v>
      </c>
    </row>
    <row r="161" spans="1:11">
      <c r="A161" s="374" t="str">
        <f t="shared" si="5"/>
        <v>RISC</v>
      </c>
      <c r="B161" s="370" t="str">
        <f t="shared" si="5"/>
        <v>Linux</v>
      </c>
      <c r="C161" s="371"/>
      <c r="D161" s="372">
        <f t="shared" si="6"/>
        <v>1.2887573623776118</v>
      </c>
      <c r="E161" s="372">
        <f t="shared" si="6"/>
        <v>-9.1773059251094247E-2</v>
      </c>
      <c r="F161" s="372">
        <f t="shared" si="6"/>
        <v>-0.30708346970602662</v>
      </c>
      <c r="G161" s="372">
        <f t="shared" si="6"/>
        <v>-0.13952962920090417</v>
      </c>
      <c r="H161" s="372">
        <f t="shared" si="6"/>
        <v>-0.2655652550443699</v>
      </c>
      <c r="I161" s="372">
        <f t="shared" si="6"/>
        <v>-0.25488433229998808</v>
      </c>
      <c r="J161" s="372">
        <f t="shared" si="6"/>
        <v>-0.26142532356101422</v>
      </c>
      <c r="K161" s="373">
        <f>IF(E135&gt;0,(J135/E135)^(1/5)-1,0)</f>
        <v>-0.24768861693832722</v>
      </c>
    </row>
    <row r="162" spans="1:11">
      <c r="A162" s="374" t="str">
        <f t="shared" si="5"/>
        <v/>
      </c>
      <c r="B162" s="375" t="str">
        <f t="shared" si="5"/>
        <v>Other</v>
      </c>
      <c r="C162" s="376"/>
      <c r="D162" s="346">
        <f t="shared" si="6"/>
        <v>0.23033571147902698</v>
      </c>
      <c r="E162" s="346">
        <f t="shared" si="6"/>
        <v>0.64946171742994196</v>
      </c>
      <c r="F162" s="346">
        <f t="shared" si="6"/>
        <v>-0.60693808992257048</v>
      </c>
      <c r="G162" s="346">
        <f t="shared" si="6"/>
        <v>-0.18874042418940984</v>
      </c>
      <c r="H162" s="346">
        <f t="shared" si="6"/>
        <v>-0.24537571861249841</v>
      </c>
      <c r="I162" s="346">
        <f t="shared" si="6"/>
        <v>-0.30755440251463084</v>
      </c>
      <c r="J162" s="346">
        <f t="shared" si="6"/>
        <v>-0.22326100378082414</v>
      </c>
      <c r="K162" s="347">
        <f t="shared" ref="K162:K164" si="8">IF(E136&gt;0,(J136/E136)^(1/5)-1,0)</f>
        <v>-0.33564154277577551</v>
      </c>
    </row>
    <row r="163" spans="1:11">
      <c r="A163" s="374" t="str">
        <f t="shared" si="5"/>
        <v/>
      </c>
      <c r="B163" s="375" t="str">
        <f t="shared" si="5"/>
        <v>Unix</v>
      </c>
      <c r="C163" s="376"/>
      <c r="D163" s="346">
        <f t="shared" si="6"/>
        <v>-0.27486547878189582</v>
      </c>
      <c r="E163" s="346">
        <f t="shared" si="6"/>
        <v>-0.24790603197156114</v>
      </c>
      <c r="F163" s="346">
        <f t="shared" si="6"/>
        <v>-4.9226637937429985E-2</v>
      </c>
      <c r="G163" s="346">
        <f t="shared" si="6"/>
        <v>-0.11380492800819519</v>
      </c>
      <c r="H163" s="346">
        <f t="shared" si="6"/>
        <v>-0.21533167292111322</v>
      </c>
      <c r="I163" s="346">
        <f t="shared" si="6"/>
        <v>-0.21613239869275702</v>
      </c>
      <c r="J163" s="346">
        <f t="shared" si="6"/>
        <v>-0.20540919238055344</v>
      </c>
      <c r="K163" s="347">
        <f t="shared" si="8"/>
        <v>-0.16259462907920275</v>
      </c>
    </row>
    <row r="164" spans="1:11">
      <c r="A164" s="383" t="str">
        <f t="shared" si="5"/>
        <v>RISC Total</v>
      </c>
      <c r="B164" s="384" t="str">
        <f t="shared" si="5"/>
        <v/>
      </c>
      <c r="C164" s="371"/>
      <c r="D164" s="372">
        <f>IF(C138&gt;0,D138/C138-1,0)</f>
        <v>-0.20423134135077392</v>
      </c>
      <c r="E164" s="372">
        <f t="shared" si="6"/>
        <v>-0.2167221844191427</v>
      </c>
      <c r="F164" s="372">
        <f t="shared" si="6"/>
        <v>-0.10156488434417255</v>
      </c>
      <c r="G164" s="372">
        <f t="shared" si="6"/>
        <v>-0.11754269899833814</v>
      </c>
      <c r="H164" s="372">
        <f t="shared" si="6"/>
        <v>-0.22101092619321849</v>
      </c>
      <c r="I164" s="372">
        <f t="shared" si="6"/>
        <v>-0.22102932536329056</v>
      </c>
      <c r="J164" s="372">
        <f t="shared" si="6"/>
        <v>-0.21095000419690091</v>
      </c>
      <c r="K164" s="373">
        <f t="shared" si="8"/>
        <v>-0.17611331717401113</v>
      </c>
    </row>
    <row r="165" spans="1:11">
      <c r="A165" s="374" t="str">
        <f t="shared" si="5"/>
        <v>x86</v>
      </c>
      <c r="B165" s="370" t="str">
        <f t="shared" si="5"/>
        <v>Linux</v>
      </c>
      <c r="C165" s="371"/>
      <c r="D165" s="372">
        <f t="shared" ref="D165:J170" si="9">IF(C139&gt;0,D139/C139-1,0)</f>
        <v>3.0843182485703613E-2</v>
      </c>
      <c r="E165" s="372">
        <f t="shared" si="6"/>
        <v>0.11071070102622182</v>
      </c>
      <c r="F165" s="372">
        <f t="shared" si="6"/>
        <v>4.1982188660976361E-2</v>
      </c>
      <c r="G165" s="372">
        <f t="shared" si="6"/>
        <v>4.1044953734309608E-2</v>
      </c>
      <c r="H165" s="372">
        <f t="shared" si="6"/>
        <v>4.2011701256654099E-2</v>
      </c>
      <c r="I165" s="372">
        <f t="shared" si="6"/>
        <v>3.1382348517785319E-2</v>
      </c>
      <c r="J165" s="372">
        <f t="shared" si="6"/>
        <v>-7.7900686062094548E-3</v>
      </c>
      <c r="K165" s="373">
        <f>IF(E139&gt;0,(J139/E139)^(1/5)-1,0)</f>
        <v>2.9544511566819365E-2</v>
      </c>
    </row>
    <row r="166" spans="1:11">
      <c r="A166" s="374" t="str">
        <f t="shared" si="5"/>
        <v/>
      </c>
      <c r="B166" s="375" t="str">
        <f t="shared" si="5"/>
        <v>Other</v>
      </c>
      <c r="C166" s="376"/>
      <c r="D166" s="346">
        <f t="shared" si="9"/>
        <v>-3.9698375294517363E-2</v>
      </c>
      <c r="E166" s="346">
        <f t="shared" si="6"/>
        <v>-5.5906235009737681E-2</v>
      </c>
      <c r="F166" s="346">
        <f t="shared" si="6"/>
        <v>-3.701220923544668E-2</v>
      </c>
      <c r="G166" s="346">
        <f t="shared" si="6"/>
        <v>4.4532656696665285E-3</v>
      </c>
      <c r="H166" s="346">
        <f t="shared" si="6"/>
        <v>1.4000691524365116E-3</v>
      </c>
      <c r="I166" s="346">
        <f t="shared" si="6"/>
        <v>3.525077984003433E-2</v>
      </c>
      <c r="J166" s="346">
        <f t="shared" si="6"/>
        <v>-2.8736323135395092E-2</v>
      </c>
      <c r="K166" s="347">
        <f t="shared" ref="K166:K170" si="10">IF(E140&gt;0,(J140/E140)^(1/5)-1,0)</f>
        <v>-5.2632354558684868E-3</v>
      </c>
    </row>
    <row r="167" spans="1:11">
      <c r="A167" s="374" t="str">
        <f t="shared" ref="A167:B170" si="11">IF(A141="","",A141)</f>
        <v/>
      </c>
      <c r="B167" s="375" t="str">
        <f t="shared" si="11"/>
        <v>Unix</v>
      </c>
      <c r="C167" s="376"/>
      <c r="D167" s="346">
        <f t="shared" si="9"/>
        <v>-2.3394155879924772E-2</v>
      </c>
      <c r="E167" s="346">
        <f t="shared" si="9"/>
        <v>4.4265940747815202E-2</v>
      </c>
      <c r="F167" s="346">
        <f t="shared" si="9"/>
        <v>-0.24453655558749587</v>
      </c>
      <c r="G167" s="346">
        <f t="shared" si="9"/>
        <v>1.1185989355829262E-2</v>
      </c>
      <c r="H167" s="346">
        <f t="shared" si="9"/>
        <v>7.1858031915355003E-3</v>
      </c>
      <c r="I167" s="346">
        <f t="shared" si="9"/>
        <v>3.7319984073282297E-2</v>
      </c>
      <c r="J167" s="346">
        <f t="shared" si="9"/>
        <v>-2.7498478950885863E-2</v>
      </c>
      <c r="K167" s="347">
        <f t="shared" si="10"/>
        <v>-4.9413974457333087E-2</v>
      </c>
    </row>
    <row r="168" spans="1:11">
      <c r="A168" s="374" t="str">
        <f t="shared" si="11"/>
        <v/>
      </c>
      <c r="B168" s="375" t="str">
        <f t="shared" si="11"/>
        <v>Windows</v>
      </c>
      <c r="C168" s="376"/>
      <c r="D168" s="346">
        <f t="shared" si="9"/>
        <v>-1.3992817872703123E-2</v>
      </c>
      <c r="E168" s="346">
        <f t="shared" si="9"/>
        <v>-1.8106961996180004E-2</v>
      </c>
      <c r="F168" s="346">
        <f t="shared" si="9"/>
        <v>0.10801028286288084</v>
      </c>
      <c r="G168" s="346">
        <f t="shared" si="9"/>
        <v>1.1947188553615762E-2</v>
      </c>
      <c r="H168" s="346">
        <f t="shared" si="9"/>
        <v>1.9025570970110595E-2</v>
      </c>
      <c r="I168" s="346">
        <f t="shared" si="9"/>
        <v>2.7192110927336755E-2</v>
      </c>
      <c r="J168" s="346">
        <f t="shared" si="9"/>
        <v>-4.98002349320259E-3</v>
      </c>
      <c r="K168" s="347">
        <f t="shared" si="10"/>
        <v>3.151141715964112E-2</v>
      </c>
    </row>
    <row r="169" spans="1:11">
      <c r="A169" s="383" t="str">
        <f t="shared" si="11"/>
        <v>x86 Total</v>
      </c>
      <c r="B169" s="378" t="str">
        <f t="shared" si="11"/>
        <v/>
      </c>
      <c r="C169" s="380"/>
      <c r="D169" s="381">
        <f>IF(C143&gt;0,D143/C143-1,0)</f>
        <v>2.9596710583488228E-3</v>
      </c>
      <c r="E169" s="381">
        <f t="shared" si="9"/>
        <v>3.3039472794014868E-2</v>
      </c>
      <c r="F169" s="381">
        <f t="shared" si="9"/>
        <v>7.5940082329475134E-2</v>
      </c>
      <c r="G169" s="381">
        <f t="shared" si="9"/>
        <v>2.3846331955591715E-2</v>
      </c>
      <c r="H169" s="381">
        <f t="shared" si="9"/>
        <v>2.8459587412126508E-2</v>
      </c>
      <c r="I169" s="381">
        <f t="shared" si="9"/>
        <v>2.9062566672850565E-2</v>
      </c>
      <c r="J169" s="381">
        <f t="shared" si="9"/>
        <v>-6.417587860313656E-3</v>
      </c>
      <c r="K169" s="382">
        <f t="shared" si="10"/>
        <v>2.9843315585004415E-2</v>
      </c>
    </row>
    <row r="170" spans="1:11">
      <c r="A170" s="385" t="str">
        <f t="shared" si="11"/>
        <v>Grand Total</v>
      </c>
      <c r="B170" s="386" t="str">
        <f t="shared" ref="B170" si="12">IF(B143="","",B143)</f>
        <v/>
      </c>
      <c r="C170" s="387"/>
      <c r="D170" s="350">
        <f>IF(C144&gt;0,D144/C144-1,0)</f>
        <v>1.1663015190157555E-3</v>
      </c>
      <c r="E170" s="350">
        <f t="shared" si="9"/>
        <v>3.1290037953066507E-2</v>
      </c>
      <c r="F170" s="350">
        <f t="shared" si="9"/>
        <v>7.505005324905345E-2</v>
      </c>
      <c r="G170" s="350">
        <f t="shared" si="9"/>
        <v>2.3250868822521475E-2</v>
      </c>
      <c r="H170" s="350">
        <f t="shared" si="9"/>
        <v>2.754749488931818E-2</v>
      </c>
      <c r="I170" s="350">
        <f t="shared" si="9"/>
        <v>2.8356577525682658E-2</v>
      </c>
      <c r="J170" s="350">
        <f t="shared" si="9"/>
        <v>-6.8507077122160753E-3</v>
      </c>
      <c r="K170" s="351">
        <f t="shared" si="10"/>
        <v>2.9139377934353394E-2</v>
      </c>
    </row>
    <row r="171" spans="1:11">
      <c r="A171" s="338" t="str">
        <f>"Source: Gartner ("&amp;UpdatePeriodMOYR&amp;")"</f>
        <v>Source: Gartner (December 2017)</v>
      </c>
      <c r="B171" s="312"/>
      <c r="C171" s="312"/>
      <c r="D171" s="312"/>
      <c r="E171" s="312"/>
      <c r="F171" s="312"/>
      <c r="G171" s="312"/>
      <c r="H171" s="312"/>
      <c r="I171" s="312"/>
      <c r="J171" s="312"/>
      <c r="K171" s="312"/>
    </row>
  </sheetData>
  <mergeCells count="10">
    <mergeCell ref="B4:K4"/>
    <mergeCell ref="B5:K5"/>
    <mergeCell ref="B6:F6"/>
    <mergeCell ref="B77:K77"/>
    <mergeCell ref="B74:I74"/>
    <mergeCell ref="J74:K74"/>
    <mergeCell ref="B75:I75"/>
    <mergeCell ref="J75:K75"/>
    <mergeCell ref="B76:I76"/>
    <mergeCell ref="J76:K76"/>
  </mergeCells>
  <phoneticPr fontId="49" type="noConversion"/>
  <hyperlinks>
    <hyperlink ref="B4" location="Shipments!A19" display="Shipments!A19"/>
    <hyperlink ref="B4:F4" location="'End User Spending'!A14" display="'End User Spending'!A14"/>
    <hyperlink ref="B5:F5" location="'End User Spending'!A30" display="'End User Spending'!A30"/>
    <hyperlink ref="B8" location="'Form Factor Summary'!A1" display="(Top)"/>
    <hyperlink ref="C8" location="'Contents'!$A$1" display="'Contents'!$A$1"/>
    <hyperlink ref="B38" location="'Form Factor Summary'!A1" display="(Top)"/>
    <hyperlink ref="C38" location="'Contents'!$A$1" display="'Contents'!$A$1"/>
    <hyperlink ref="B4:J4" location="'Form Factor Summary'!A11" display="'Form Factor Summary'!A11"/>
    <hyperlink ref="B5:J5" location="'Form Factor Summary'!A41" display="'Form Factor Summary'!A41"/>
    <hyperlink ref="B4:K4" location="'Form Factor Summary'!A8" display="'Form Factor Summary'!A8"/>
    <hyperlink ref="B5:K5" location="'Form Factor Summary'!A38" display="'Form Factor Summary'!A38"/>
    <hyperlink ref="B74" location="Shipments!A19" display="Shipments!A19"/>
    <hyperlink ref="B81" location="Shipments!A1" display="(Top)"/>
    <hyperlink ref="C81" location="'Contents'!$A$1" display="'Contents'!$A$1"/>
    <hyperlink ref="C101" location="'Contents'!$A$1" display="'Contents'!$A$1"/>
    <hyperlink ref="C119" location="'Contents'!$A$1" display="'Contents'!$A$1"/>
    <hyperlink ref="C147" location="'Contents'!$A$1" display="'Contents'!$A$1"/>
    <hyperlink ref="B75" location="Shipments!A19" display="Shipments!A19"/>
    <hyperlink ref="B76" location="Shipments!A19" display="Shipments!A19"/>
    <hyperlink ref="B77" location="Shipments!A19" display="Shipments!A19"/>
    <hyperlink ref="B75:F75" location="Shipments!A44" display="Shipments!A44"/>
    <hyperlink ref="B76:F76" location="Shipments!A47" display="Shipments!A47"/>
    <hyperlink ref="B77:F77" location="Shipments!A100" display="Shipments!A100"/>
    <hyperlink ref="B101" location="Shipments!A1" display="(Top)"/>
    <hyperlink ref="B119" location="Shipments!A1" display="(Top)"/>
    <hyperlink ref="B147" location="Shipments!A1" display="(Top)"/>
    <hyperlink ref="B74:F74" location="Shipments!A14" display="Shipments!A14"/>
    <hyperlink ref="B75:I75" location="Shipments!A31" display="Shipments!A31"/>
    <hyperlink ref="B77:I77" location="Shipments!A77" display="Shipments!A77"/>
    <hyperlink ref="B74:K74" location="Shipments!A11" display="Shipments!A11"/>
    <hyperlink ref="B75:K75" location="Shipments!A31" display="Shipments!A31"/>
    <hyperlink ref="B76:K76" location="Shipments!A50" display="Shipments!A50"/>
    <hyperlink ref="B77:K77" location="Shipments!A77" display="Shipments!A77"/>
    <hyperlink ref="B76:I76" location="Shipments!A49" display="Shipments!A49"/>
  </hyperlinks>
  <pageMargins left="0.7" right="0.7" top="0.75" bottom="0.75" header="0.3" footer="0.3"/>
  <drawing r:id="rId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I1:N21"/>
  <sheetViews>
    <sheetView zoomScale="80" zoomScaleNormal="80" workbookViewId="0">
      <selection activeCell="I1" sqref="I1:N4"/>
    </sheetView>
  </sheetViews>
  <sheetFormatPr defaultRowHeight="15.75"/>
  <cols>
    <col min="9" max="9" width="20.25" bestFit="1" customWidth="1"/>
    <col min="10" max="12" width="7.625" bestFit="1" customWidth="1"/>
    <col min="13" max="14" width="6.5" bestFit="1" customWidth="1"/>
  </cols>
  <sheetData>
    <row r="1" spans="9:14">
      <c r="I1" s="934" t="s">
        <v>748</v>
      </c>
    </row>
    <row r="2" spans="9:14">
      <c r="I2" t="s">
        <v>468</v>
      </c>
      <c r="J2">
        <v>2017</v>
      </c>
      <c r="K2">
        <v>2018</v>
      </c>
      <c r="L2">
        <v>2019</v>
      </c>
      <c r="M2">
        <v>2020</v>
      </c>
      <c r="N2">
        <v>2021</v>
      </c>
    </row>
    <row r="3" spans="9:14">
      <c r="I3" t="s">
        <v>469</v>
      </c>
      <c r="J3">
        <v>231.22</v>
      </c>
      <c r="K3">
        <v>237.85</v>
      </c>
      <c r="L3">
        <v>245.97</v>
      </c>
      <c r="M3">
        <v>254.3</v>
      </c>
      <c r="N3">
        <v>266.3</v>
      </c>
    </row>
    <row r="4" spans="9:14">
      <c r="I4" t="s">
        <v>16</v>
      </c>
      <c r="K4" s="265">
        <f>K3/J3-1</f>
        <v>2.8673990139261196E-2</v>
      </c>
      <c r="L4" s="265">
        <f t="shared" ref="L4:N4" si="0">L3/K3-1</f>
        <v>3.413916333823841E-2</v>
      </c>
      <c r="M4" s="265">
        <f t="shared" si="0"/>
        <v>3.3865918607960399E-2</v>
      </c>
      <c r="N4" s="265">
        <f t="shared" si="0"/>
        <v>4.7188360204482915E-2</v>
      </c>
    </row>
    <row r="7" spans="9:14">
      <c r="I7" s="934" t="s">
        <v>746</v>
      </c>
    </row>
    <row r="8" spans="9:14">
      <c r="I8" t="s">
        <v>468</v>
      </c>
      <c r="J8">
        <v>2017</v>
      </c>
      <c r="K8">
        <v>2018</v>
      </c>
      <c r="L8">
        <v>2019</v>
      </c>
      <c r="M8">
        <v>2020</v>
      </c>
    </row>
    <row r="9" spans="9:14">
      <c r="I9" t="s">
        <v>469</v>
      </c>
      <c r="J9">
        <v>215</v>
      </c>
      <c r="K9">
        <v>219</v>
      </c>
      <c r="L9">
        <v>225</v>
      </c>
      <c r="M9">
        <v>232</v>
      </c>
    </row>
    <row r="10" spans="9:14">
      <c r="I10" t="s">
        <v>16</v>
      </c>
      <c r="K10" s="265">
        <f>K9/J9-1</f>
        <v>1.8604651162790642E-2</v>
      </c>
      <c r="L10" s="265">
        <f t="shared" ref="L10" si="1">L9/K9-1</f>
        <v>2.7397260273972712E-2</v>
      </c>
      <c r="M10" s="265">
        <f t="shared" ref="M10" si="2">M9/L9-1</f>
        <v>3.1111111111111089E-2</v>
      </c>
    </row>
    <row r="13" spans="9:14">
      <c r="I13" s="934" t="s">
        <v>747</v>
      </c>
    </row>
    <row r="14" spans="9:14">
      <c r="J14">
        <v>2017</v>
      </c>
      <c r="K14">
        <v>2018</v>
      </c>
      <c r="L14">
        <v>2019</v>
      </c>
    </row>
    <row r="15" spans="9:14">
      <c r="I15" t="s">
        <v>743</v>
      </c>
      <c r="J15">
        <v>213.5</v>
      </c>
      <c r="K15">
        <v>219.61</v>
      </c>
      <c r="L15">
        <v>223.64</v>
      </c>
    </row>
    <row r="16" spans="9:14">
      <c r="I16" t="s">
        <v>744</v>
      </c>
      <c r="J16">
        <v>1.59</v>
      </c>
      <c r="K16">
        <v>2.65</v>
      </c>
      <c r="L16">
        <v>4.66</v>
      </c>
      <c r="M16" s="265"/>
    </row>
    <row r="17" spans="9:14">
      <c r="I17" t="s">
        <v>745</v>
      </c>
      <c r="J17">
        <f>SUM(J15:J16)</f>
        <v>215.09</v>
      </c>
      <c r="K17">
        <f t="shared" ref="K17:L17" si="3">SUM(K15:K16)</f>
        <v>222.26000000000002</v>
      </c>
      <c r="L17">
        <f t="shared" si="3"/>
        <v>228.29999999999998</v>
      </c>
    </row>
    <row r="18" spans="9:14">
      <c r="I18" t="s">
        <v>16</v>
      </c>
      <c r="K18" s="265">
        <f>K17/J17-1</f>
        <v>3.3334883072202448E-2</v>
      </c>
      <c r="L18" s="265">
        <f>L17/K17-1</f>
        <v>2.7175380185368248E-2</v>
      </c>
    </row>
    <row r="20" spans="9:14">
      <c r="J20">
        <v>2017</v>
      </c>
      <c r="K20">
        <v>2018</v>
      </c>
      <c r="L20">
        <v>2019</v>
      </c>
      <c r="M20">
        <v>2020</v>
      </c>
      <c r="N20">
        <v>2021</v>
      </c>
    </row>
    <row r="21" spans="9:14">
      <c r="I21" t="s">
        <v>749</v>
      </c>
      <c r="K21" s="188">
        <f>AVERAGE(K4,K10,K18)</f>
        <v>2.6871174791418095E-2</v>
      </c>
      <c r="L21" s="188">
        <f>AVERAGE(L4,L10,L18)</f>
        <v>2.9570601265859791E-2</v>
      </c>
      <c r="M21" s="188">
        <f>AVERAGE(M4,M10)</f>
        <v>3.2488514859535744E-2</v>
      </c>
      <c r="N21" s="188">
        <f>N4</f>
        <v>4.7188360204482915E-2</v>
      </c>
    </row>
  </sheetData>
  <phoneticPr fontId="49" type="noConversion"/>
  <pageMargins left="0.7" right="0.7" top="0.75" bottom="0.75" header="0.3" footer="0.3"/>
  <pageSetup paperSize="9" orientation="portrait" horizontalDpi="4294967293" verticalDpi="4294967293"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221"/>
  <sheetViews>
    <sheetView workbookViewId="0">
      <selection activeCell="A8" sqref="A8"/>
    </sheetView>
  </sheetViews>
  <sheetFormatPr defaultRowHeight="15.75"/>
  <cols>
    <col min="1" max="1" width="36.875" bestFit="1" customWidth="1"/>
  </cols>
  <sheetData>
    <row r="2" spans="1:17">
      <c r="A2" t="s">
        <v>372</v>
      </c>
      <c r="B2" t="s">
        <v>373</v>
      </c>
      <c r="C2" t="s">
        <v>374</v>
      </c>
      <c r="D2" t="s">
        <v>375</v>
      </c>
      <c r="E2" t="s">
        <v>376</v>
      </c>
      <c r="F2" t="s">
        <v>326</v>
      </c>
      <c r="G2" t="s">
        <v>325</v>
      </c>
      <c r="H2" t="s">
        <v>324</v>
      </c>
      <c r="I2" t="s">
        <v>323</v>
      </c>
      <c r="J2" t="s">
        <v>377</v>
      </c>
      <c r="K2" t="s">
        <v>378</v>
      </c>
      <c r="L2" t="s">
        <v>379</v>
      </c>
      <c r="M2" t="s">
        <v>380</v>
      </c>
      <c r="N2" t="s">
        <v>381</v>
      </c>
      <c r="O2" t="s">
        <v>382</v>
      </c>
      <c r="P2" t="s">
        <v>383</v>
      </c>
      <c r="Q2" t="s">
        <v>384</v>
      </c>
    </row>
    <row r="3" spans="1:17">
      <c r="A3" t="s">
        <v>385</v>
      </c>
      <c r="B3" t="s">
        <v>386</v>
      </c>
      <c r="C3" t="s">
        <v>350</v>
      </c>
      <c r="D3" t="s">
        <v>350</v>
      </c>
      <c r="E3" t="s">
        <v>387</v>
      </c>
      <c r="F3">
        <v>90.050719047619026</v>
      </c>
      <c r="G3">
        <v>88.111417241379314</v>
      </c>
      <c r="H3">
        <v>88.446972413793091</v>
      </c>
      <c r="I3">
        <v>88.271237931034506</v>
      </c>
      <c r="J3">
        <v>88.825093103448282</v>
      </c>
      <c r="K3">
        <v>89.536827586206869</v>
      </c>
      <c r="L3">
        <v>89.16124827586205</v>
      </c>
      <c r="M3">
        <v>88.810117241379317</v>
      </c>
      <c r="N3">
        <v>88.533296551724135</v>
      </c>
      <c r="O3">
        <v>88.619975862068969</v>
      </c>
      <c r="P3">
        <v>87.842678571428564</v>
      </c>
      <c r="Q3">
        <v>88.246637037037019</v>
      </c>
    </row>
    <row r="4" spans="1:17">
      <c r="A4" t="s">
        <v>388</v>
      </c>
      <c r="B4" t="s">
        <v>389</v>
      </c>
      <c r="C4" t="s">
        <v>390</v>
      </c>
      <c r="D4" t="s">
        <v>391</v>
      </c>
      <c r="E4" t="s">
        <v>392</v>
      </c>
      <c r="F4">
        <v>81.844099999999997</v>
      </c>
      <c r="G4">
        <v>80.6511</v>
      </c>
      <c r="H4">
        <v>82.303299999999993</v>
      </c>
      <c r="I4">
        <v>79.115200000000002</v>
      </c>
      <c r="J4">
        <v>80.527000000000001</v>
      </c>
      <c r="K4">
        <v>81.121099999999998</v>
      </c>
      <c r="L4">
        <v>81.111800000000002</v>
      </c>
      <c r="M4">
        <v>78.518600000000006</v>
      </c>
      <c r="N4">
        <v>78.616600000000005</v>
      </c>
      <c r="O4">
        <v>76.946700000000007</v>
      </c>
      <c r="P4">
        <v>71.873199999999997</v>
      </c>
      <c r="Q4">
        <v>72.480099999999993</v>
      </c>
    </row>
    <row r="5" spans="1:17">
      <c r="A5" t="s">
        <v>393</v>
      </c>
      <c r="B5" t="s">
        <v>394</v>
      </c>
      <c r="C5" t="s">
        <v>390</v>
      </c>
      <c r="D5" t="s">
        <v>391</v>
      </c>
      <c r="E5" t="s">
        <v>392</v>
      </c>
      <c r="F5">
        <v>96.603700000000003</v>
      </c>
      <c r="G5">
        <v>97.456800000000001</v>
      </c>
      <c r="H5">
        <v>93.7577</v>
      </c>
      <c r="I5">
        <v>92.423699999999997</v>
      </c>
      <c r="J5">
        <v>93.772400000000005</v>
      </c>
      <c r="K5">
        <v>94.676699999999997</v>
      </c>
      <c r="L5">
        <v>92.911699999999996</v>
      </c>
      <c r="M5">
        <v>93.0745</v>
      </c>
      <c r="N5">
        <v>92.819599999999994</v>
      </c>
      <c r="O5">
        <v>94.3095</v>
      </c>
      <c r="P5">
        <v>93.618499999999997</v>
      </c>
      <c r="Q5">
        <v>91.891000000000005</v>
      </c>
    </row>
    <row r="6" spans="1:17">
      <c r="A6" t="s">
        <v>395</v>
      </c>
      <c r="B6" t="s">
        <v>396</v>
      </c>
      <c r="C6" t="s">
        <v>390</v>
      </c>
      <c r="D6" t="s">
        <v>391</v>
      </c>
      <c r="E6" t="s">
        <v>392</v>
      </c>
      <c r="F6">
        <v>89.003200000000007</v>
      </c>
      <c r="G6">
        <v>92.377300000000005</v>
      </c>
      <c r="H6">
        <v>93.500100000000003</v>
      </c>
      <c r="I6">
        <v>89.385099999999994</v>
      </c>
      <c r="J6">
        <v>89.546899999999994</v>
      </c>
      <c r="K6">
        <v>91.554100000000005</v>
      </c>
      <c r="L6">
        <v>89.095399999999998</v>
      </c>
      <c r="M6">
        <v>87.5655</v>
      </c>
      <c r="N6">
        <v>86.053899999999999</v>
      </c>
      <c r="O6">
        <v>80.017200000000003</v>
      </c>
      <c r="P6">
        <v>73.506900000000002</v>
      </c>
      <c r="Q6">
        <v>68.708699999999993</v>
      </c>
    </row>
    <row r="7" spans="1:17">
      <c r="A7" t="s">
        <v>397</v>
      </c>
      <c r="B7" t="s">
        <v>398</v>
      </c>
      <c r="C7" t="s">
        <v>390</v>
      </c>
      <c r="D7" t="s">
        <v>391</v>
      </c>
      <c r="E7" t="s">
        <v>392</v>
      </c>
      <c r="F7">
        <v>93.162599999999998</v>
      </c>
      <c r="G7">
        <v>92.892899999999997</v>
      </c>
      <c r="H7">
        <v>93.064599999999999</v>
      </c>
      <c r="I7">
        <v>92.801000000000002</v>
      </c>
      <c r="J7">
        <v>93.28</v>
      </c>
      <c r="K7">
        <v>93.262799999999999</v>
      </c>
      <c r="L7">
        <v>93.187299999999993</v>
      </c>
      <c r="M7">
        <v>93.194999999999993</v>
      </c>
      <c r="N7">
        <v>92.945099999999996</v>
      </c>
      <c r="O7">
        <v>93.082999999999998</v>
      </c>
      <c r="P7">
        <v>94.766099999999994</v>
      </c>
      <c r="Q7">
        <v>94.872699999999995</v>
      </c>
    </row>
    <row r="8" spans="1:17">
      <c r="A8" t="s">
        <v>399</v>
      </c>
      <c r="B8" t="s">
        <v>400</v>
      </c>
      <c r="C8" t="s">
        <v>390</v>
      </c>
      <c r="D8" t="s">
        <v>391</v>
      </c>
      <c r="E8" t="s">
        <v>392</v>
      </c>
      <c r="F8" t="s">
        <v>350</v>
      </c>
      <c r="G8">
        <v>69.188699999999997</v>
      </c>
      <c r="H8">
        <v>65.418899999999994</v>
      </c>
      <c r="I8">
        <v>64.428600000000003</v>
      </c>
      <c r="J8">
        <v>62.306399999999996</v>
      </c>
      <c r="K8">
        <v>67.743499999999997</v>
      </c>
      <c r="L8">
        <v>67.777900000000002</v>
      </c>
      <c r="M8">
        <v>73.640199999999993</v>
      </c>
      <c r="N8">
        <v>79.912599999999998</v>
      </c>
      <c r="O8">
        <v>81.044600000000003</v>
      </c>
      <c r="P8">
        <v>82.8202</v>
      </c>
      <c r="Q8">
        <v>87.561000000000007</v>
      </c>
    </row>
    <row r="9" spans="1:17" s="449" customFormat="1">
      <c r="A9" s="449" t="s">
        <v>401</v>
      </c>
      <c r="B9" s="449" t="s">
        <v>402</v>
      </c>
      <c r="C9" s="449" t="s">
        <v>390</v>
      </c>
      <c r="D9" s="449" t="s">
        <v>391</v>
      </c>
      <c r="E9" s="449" t="s">
        <v>392</v>
      </c>
      <c r="F9" s="449">
        <v>96.399000000000001</v>
      </c>
      <c r="G9" s="449">
        <v>95.717699999999994</v>
      </c>
      <c r="H9" s="449">
        <v>96.060599999999994</v>
      </c>
      <c r="I9" s="449">
        <v>96.173000000000002</v>
      </c>
      <c r="J9" s="449">
        <v>95.9422</v>
      </c>
      <c r="K9" s="449">
        <v>95.796300000000002</v>
      </c>
      <c r="L9" s="449">
        <v>95.154200000000003</v>
      </c>
      <c r="M9" s="449">
        <v>94.915899999999993</v>
      </c>
      <c r="N9" s="449">
        <v>93.853399999999993</v>
      </c>
      <c r="O9" s="449">
        <v>93.120099999999994</v>
      </c>
      <c r="P9" s="449">
        <v>93.693100000000001</v>
      </c>
      <c r="Q9" s="449">
        <v>93.406700000000001</v>
      </c>
    </row>
    <row r="10" spans="1:17">
      <c r="A10" t="s">
        <v>403</v>
      </c>
      <c r="B10" t="s">
        <v>404</v>
      </c>
      <c r="C10" t="s">
        <v>390</v>
      </c>
      <c r="D10" t="s">
        <v>391</v>
      </c>
      <c r="E10" t="s">
        <v>392</v>
      </c>
      <c r="F10">
        <v>66.800600000000003</v>
      </c>
      <c r="G10">
        <v>64.599099999999993</v>
      </c>
      <c r="H10">
        <v>66.752399999999994</v>
      </c>
      <c r="I10">
        <v>67.832599999999999</v>
      </c>
      <c r="J10">
        <v>70.362700000000004</v>
      </c>
      <c r="K10">
        <v>69.943600000000004</v>
      </c>
      <c r="L10">
        <v>81.334299999999999</v>
      </c>
      <c r="M10">
        <v>78.302400000000006</v>
      </c>
      <c r="N10">
        <v>80.191699999999997</v>
      </c>
      <c r="O10">
        <v>80.183400000000006</v>
      </c>
      <c r="P10">
        <v>80.655600000000007</v>
      </c>
      <c r="Q10">
        <v>81.569900000000004</v>
      </c>
    </row>
    <row r="11" spans="1:17">
      <c r="A11" t="s">
        <v>405</v>
      </c>
      <c r="B11" t="s">
        <v>406</v>
      </c>
      <c r="C11" t="s">
        <v>390</v>
      </c>
      <c r="D11" t="s">
        <v>391</v>
      </c>
      <c r="E11" t="s">
        <v>392</v>
      </c>
      <c r="F11" t="s">
        <v>350</v>
      </c>
      <c r="G11">
        <v>91.865499999999997</v>
      </c>
      <c r="H11">
        <v>90.746600000000001</v>
      </c>
      <c r="I11">
        <v>92.581299999999999</v>
      </c>
      <c r="J11">
        <v>93.681600000000003</v>
      </c>
      <c r="K11">
        <v>93.621899999999997</v>
      </c>
      <c r="L11">
        <v>88.5505</v>
      </c>
      <c r="M11">
        <v>90.765600000000006</v>
      </c>
      <c r="N11">
        <v>88.624499999999998</v>
      </c>
      <c r="O11">
        <v>88.970200000000006</v>
      </c>
      <c r="P11">
        <v>86.701099999999997</v>
      </c>
      <c r="Q11">
        <v>87.838700000000003</v>
      </c>
    </row>
    <row r="12" spans="1:17">
      <c r="A12" t="s">
        <v>407</v>
      </c>
      <c r="B12" t="s">
        <v>408</v>
      </c>
      <c r="C12" t="s">
        <v>390</v>
      </c>
      <c r="D12" t="s">
        <v>391</v>
      </c>
      <c r="E12" t="s">
        <v>392</v>
      </c>
      <c r="F12" t="s">
        <v>350</v>
      </c>
      <c r="G12">
        <v>87.929500000000004</v>
      </c>
      <c r="H12">
        <v>87.763199999999998</v>
      </c>
      <c r="I12">
        <v>88.653800000000004</v>
      </c>
      <c r="J12">
        <v>89.0488</v>
      </c>
      <c r="K12">
        <v>89.179500000000004</v>
      </c>
      <c r="L12">
        <v>89.036600000000007</v>
      </c>
      <c r="M12">
        <v>87.257800000000003</v>
      </c>
      <c r="N12">
        <v>87.276899999999998</v>
      </c>
      <c r="O12">
        <v>86.841700000000003</v>
      </c>
      <c r="P12">
        <v>86.633899999999997</v>
      </c>
      <c r="Q12" t="s">
        <v>350</v>
      </c>
    </row>
    <row r="13" spans="1:17">
      <c r="A13" t="s">
        <v>409</v>
      </c>
      <c r="B13" t="s">
        <v>410</v>
      </c>
      <c r="C13" t="s">
        <v>390</v>
      </c>
      <c r="D13" t="s">
        <v>391</v>
      </c>
      <c r="E13" t="s">
        <v>392</v>
      </c>
      <c r="F13">
        <v>98.921099999999996</v>
      </c>
      <c r="G13">
        <v>94.520399999999995</v>
      </c>
      <c r="H13">
        <v>94.819000000000003</v>
      </c>
      <c r="I13">
        <v>93.804900000000004</v>
      </c>
      <c r="J13">
        <v>95.519499999999994</v>
      </c>
      <c r="K13">
        <v>100.0119</v>
      </c>
      <c r="L13">
        <v>94.6691</v>
      </c>
      <c r="M13">
        <v>95.737399999999994</v>
      </c>
      <c r="N13">
        <v>94.061800000000005</v>
      </c>
      <c r="O13">
        <v>93.069900000000004</v>
      </c>
      <c r="P13">
        <v>90.830600000000004</v>
      </c>
      <c r="Q13">
        <v>90.633200000000002</v>
      </c>
    </row>
    <row r="14" spans="1:17" s="449" customFormat="1">
      <c r="A14" s="449" t="s">
        <v>411</v>
      </c>
      <c r="B14" s="449" t="s">
        <v>412</v>
      </c>
      <c r="C14" s="449" t="s">
        <v>390</v>
      </c>
      <c r="D14" s="449" t="s">
        <v>391</v>
      </c>
      <c r="E14" s="449" t="s">
        <v>392</v>
      </c>
      <c r="F14" s="449" t="s">
        <v>350</v>
      </c>
      <c r="G14" s="449">
        <v>93.626300000000001</v>
      </c>
      <c r="H14" s="449">
        <v>93.414699999999996</v>
      </c>
      <c r="I14" s="449">
        <v>94.09</v>
      </c>
      <c r="J14" s="449">
        <v>94.259100000000004</v>
      </c>
      <c r="K14" s="449">
        <v>94.136099999999999</v>
      </c>
      <c r="L14" s="449">
        <v>94.826899999999995</v>
      </c>
      <c r="M14" s="449">
        <v>94.433099999999996</v>
      </c>
      <c r="N14" s="449">
        <v>94.566699999999997</v>
      </c>
      <c r="O14" s="449">
        <v>95.361500000000007</v>
      </c>
      <c r="P14" s="449">
        <v>94.247299999999996</v>
      </c>
      <c r="Q14" s="449">
        <v>94.293800000000005</v>
      </c>
    </row>
    <row r="15" spans="1:17">
      <c r="A15" t="s">
        <v>413</v>
      </c>
      <c r="B15" t="s">
        <v>414</v>
      </c>
      <c r="C15" t="s">
        <v>390</v>
      </c>
      <c r="D15" t="s">
        <v>391</v>
      </c>
      <c r="E15" t="s">
        <v>392</v>
      </c>
      <c r="F15">
        <v>90.353300000000004</v>
      </c>
      <c r="G15">
        <v>81.7714</v>
      </c>
      <c r="H15">
        <v>83.5869</v>
      </c>
      <c r="I15">
        <v>81.805700000000002</v>
      </c>
      <c r="J15">
        <v>87.264200000000002</v>
      </c>
      <c r="K15">
        <v>89.527299999999997</v>
      </c>
      <c r="L15">
        <v>91.022900000000007</v>
      </c>
      <c r="M15">
        <v>89.154899999999998</v>
      </c>
      <c r="N15">
        <v>91.732200000000006</v>
      </c>
      <c r="O15">
        <v>91.6661</v>
      </c>
      <c r="P15">
        <v>89.906000000000006</v>
      </c>
      <c r="Q15">
        <v>87.907200000000003</v>
      </c>
    </row>
    <row r="16" spans="1:17">
      <c r="A16" t="s">
        <v>415</v>
      </c>
      <c r="B16" t="s">
        <v>416</v>
      </c>
      <c r="C16" t="s">
        <v>390</v>
      </c>
      <c r="D16" t="s">
        <v>391</v>
      </c>
      <c r="E16" t="s">
        <v>392</v>
      </c>
      <c r="F16">
        <v>71.795500000000004</v>
      </c>
      <c r="G16">
        <v>72.36</v>
      </c>
      <c r="H16">
        <v>74.9572</v>
      </c>
      <c r="I16">
        <v>78.003900000000002</v>
      </c>
      <c r="J16">
        <v>80.654899999999998</v>
      </c>
      <c r="K16">
        <v>82.648899999999998</v>
      </c>
      <c r="L16">
        <v>83.287400000000005</v>
      </c>
      <c r="M16">
        <v>83.068100000000001</v>
      </c>
      <c r="N16">
        <v>80.540300000000002</v>
      </c>
      <c r="O16">
        <v>82.976100000000002</v>
      </c>
      <c r="P16">
        <v>84.1601</v>
      </c>
      <c r="Q16">
        <v>92.461200000000005</v>
      </c>
    </row>
    <row r="17" spans="1:17" s="449" customFormat="1">
      <c r="A17" s="449" t="s">
        <v>417</v>
      </c>
      <c r="B17" s="449" t="s">
        <v>418</v>
      </c>
      <c r="C17" s="449" t="s">
        <v>390</v>
      </c>
      <c r="D17" s="449" t="s">
        <v>391</v>
      </c>
      <c r="E17" s="449" t="s">
        <v>392</v>
      </c>
      <c r="F17" s="449">
        <v>93.562299999999993</v>
      </c>
      <c r="G17" s="449">
        <v>92.622100000000003</v>
      </c>
      <c r="H17" s="449">
        <v>92.847399999999993</v>
      </c>
      <c r="I17" s="449">
        <v>93.070700000000002</v>
      </c>
      <c r="J17" s="449">
        <v>93.555800000000005</v>
      </c>
      <c r="K17" s="449">
        <v>93.592200000000005</v>
      </c>
      <c r="L17" s="449">
        <v>92.284800000000004</v>
      </c>
      <c r="M17" s="449">
        <v>91.8523</v>
      </c>
      <c r="N17" s="449">
        <v>90.477999999999994</v>
      </c>
      <c r="O17" s="449">
        <v>91.350499999999997</v>
      </c>
      <c r="P17" s="449">
        <v>90.2911</v>
      </c>
      <c r="Q17" s="449">
        <v>90.3309</v>
      </c>
    </row>
    <row r="18" spans="1:17">
      <c r="A18" t="s">
        <v>419</v>
      </c>
      <c r="B18" t="s">
        <v>420</v>
      </c>
      <c r="C18" t="s">
        <v>390</v>
      </c>
      <c r="D18" t="s">
        <v>391</v>
      </c>
      <c r="E18" t="s">
        <v>392</v>
      </c>
      <c r="F18">
        <v>94.644199999999998</v>
      </c>
      <c r="G18">
        <v>94.408500000000004</v>
      </c>
      <c r="H18">
        <v>94.511499999999998</v>
      </c>
      <c r="I18">
        <v>94.64</v>
      </c>
      <c r="J18">
        <v>95.053399999999996</v>
      </c>
      <c r="K18">
        <v>95.340500000000006</v>
      </c>
      <c r="L18">
        <v>96.8917</v>
      </c>
      <c r="M18">
        <v>95.358800000000002</v>
      </c>
      <c r="N18">
        <v>96.144900000000007</v>
      </c>
      <c r="O18">
        <v>96.402900000000002</v>
      </c>
      <c r="P18">
        <v>95.204700000000003</v>
      </c>
      <c r="Q18">
        <v>94.429199999999994</v>
      </c>
    </row>
    <row r="19" spans="1:17">
      <c r="A19" t="s">
        <v>421</v>
      </c>
      <c r="B19" t="s">
        <v>422</v>
      </c>
      <c r="C19" t="s">
        <v>390</v>
      </c>
      <c r="D19" t="s">
        <v>391</v>
      </c>
      <c r="E19" t="s">
        <v>392</v>
      </c>
      <c r="F19">
        <v>91.891999999999996</v>
      </c>
      <c r="G19">
        <v>91.676000000000002</v>
      </c>
      <c r="H19">
        <v>91.601799999999997</v>
      </c>
      <c r="I19">
        <v>93.493300000000005</v>
      </c>
      <c r="J19">
        <v>92.9726</v>
      </c>
      <c r="K19">
        <v>92.807299999999998</v>
      </c>
      <c r="L19">
        <v>92.405199999999994</v>
      </c>
      <c r="M19">
        <v>92.511600000000001</v>
      </c>
      <c r="N19">
        <v>93.848200000000006</v>
      </c>
      <c r="O19">
        <v>93.209500000000006</v>
      </c>
      <c r="P19">
        <v>93.393100000000004</v>
      </c>
      <c r="Q19">
        <v>92.5488</v>
      </c>
    </row>
    <row r="20" spans="1:17">
      <c r="A20" t="s">
        <v>423</v>
      </c>
      <c r="B20" t="s">
        <v>424</v>
      </c>
      <c r="C20" t="s">
        <v>390</v>
      </c>
      <c r="D20" t="s">
        <v>391</v>
      </c>
      <c r="E20" t="s">
        <v>392</v>
      </c>
      <c r="F20">
        <v>87.085499999999996</v>
      </c>
      <c r="G20">
        <v>86.384100000000004</v>
      </c>
      <c r="H20">
        <v>87.0274</v>
      </c>
      <c r="I20">
        <v>87.751900000000006</v>
      </c>
      <c r="J20">
        <v>85.694900000000004</v>
      </c>
      <c r="K20">
        <v>85.855900000000005</v>
      </c>
      <c r="L20">
        <v>85.230099999999993</v>
      </c>
      <c r="M20">
        <v>84.241100000000003</v>
      </c>
      <c r="N20">
        <v>83.691199999999995</v>
      </c>
      <c r="O20">
        <v>86.536199999999994</v>
      </c>
      <c r="P20">
        <v>87.638300000000001</v>
      </c>
      <c r="Q20">
        <v>87.812700000000007</v>
      </c>
    </row>
    <row r="21" spans="1:17" s="449" customFormat="1">
      <c r="A21" s="449" t="s">
        <v>425</v>
      </c>
      <c r="B21" s="449" t="s">
        <v>426</v>
      </c>
      <c r="C21" s="449" t="s">
        <v>390</v>
      </c>
      <c r="D21" s="449" t="s">
        <v>391</v>
      </c>
      <c r="E21" s="449" t="s">
        <v>392</v>
      </c>
      <c r="F21" s="449">
        <v>96.090699999999998</v>
      </c>
      <c r="G21" s="449">
        <v>94.552400000000006</v>
      </c>
      <c r="H21" s="449">
        <v>93.798000000000002</v>
      </c>
      <c r="I21" s="449">
        <v>94.169499999999999</v>
      </c>
      <c r="J21" s="449">
        <v>95.207499999999996</v>
      </c>
      <c r="K21" s="449">
        <v>95.797499999999999</v>
      </c>
      <c r="L21" s="449">
        <v>95.500100000000003</v>
      </c>
      <c r="M21" s="449">
        <v>94.314099999999996</v>
      </c>
      <c r="N21" s="449">
        <v>93.984899999999996</v>
      </c>
      <c r="O21" s="449">
        <v>94.738200000000006</v>
      </c>
      <c r="P21" s="449" t="s">
        <v>350</v>
      </c>
      <c r="Q21" s="449" t="s">
        <v>350</v>
      </c>
    </row>
    <row r="22" spans="1:17">
      <c r="A22" t="s">
        <v>427</v>
      </c>
      <c r="B22" t="s">
        <v>428</v>
      </c>
      <c r="C22" t="s">
        <v>390</v>
      </c>
      <c r="D22" t="s">
        <v>391</v>
      </c>
      <c r="E22" t="s">
        <v>392</v>
      </c>
      <c r="F22">
        <v>89.879400000000004</v>
      </c>
      <c r="G22">
        <v>91.104900000000001</v>
      </c>
      <c r="H22">
        <v>90.974999999999994</v>
      </c>
      <c r="I22">
        <v>90.515299999999996</v>
      </c>
      <c r="J22">
        <v>90.431700000000006</v>
      </c>
      <c r="K22">
        <v>90.466499999999996</v>
      </c>
      <c r="L22">
        <v>90.375600000000006</v>
      </c>
      <c r="M22">
        <v>89.722700000000003</v>
      </c>
      <c r="N22">
        <v>90.426000000000002</v>
      </c>
      <c r="O22">
        <v>88.827200000000005</v>
      </c>
      <c r="P22">
        <v>89.423599999999993</v>
      </c>
      <c r="Q22">
        <v>89.134299999999996</v>
      </c>
    </row>
    <row r="23" spans="1:17">
      <c r="A23" t="s">
        <v>429</v>
      </c>
      <c r="B23" t="s">
        <v>430</v>
      </c>
      <c r="C23" t="s">
        <v>390</v>
      </c>
      <c r="D23" t="s">
        <v>391</v>
      </c>
      <c r="E23" t="s">
        <v>392</v>
      </c>
      <c r="F23" t="s">
        <v>350</v>
      </c>
      <c r="G23">
        <v>87.493300000000005</v>
      </c>
      <c r="H23">
        <v>89.001000000000005</v>
      </c>
      <c r="I23">
        <v>88.721800000000002</v>
      </c>
      <c r="J23">
        <v>89.435400000000001</v>
      </c>
      <c r="K23">
        <v>91.278199999999998</v>
      </c>
      <c r="L23">
        <v>89.650300000000001</v>
      </c>
      <c r="M23">
        <v>88.592799999999997</v>
      </c>
      <c r="N23">
        <v>89.3245</v>
      </c>
      <c r="O23">
        <v>92.399000000000001</v>
      </c>
      <c r="P23">
        <v>90.748400000000004</v>
      </c>
      <c r="Q23">
        <v>91.843599999999995</v>
      </c>
    </row>
    <row r="24" spans="1:17" s="449" customFormat="1">
      <c r="A24" s="449" t="s">
        <v>431</v>
      </c>
      <c r="B24" s="449" t="s">
        <v>432</v>
      </c>
      <c r="C24" s="449" t="s">
        <v>390</v>
      </c>
      <c r="D24" s="449" t="s">
        <v>391</v>
      </c>
      <c r="E24" s="449" t="s">
        <v>392</v>
      </c>
      <c r="F24" s="449">
        <v>95.529399999999995</v>
      </c>
      <c r="G24" s="449">
        <v>94.787999999999997</v>
      </c>
      <c r="H24" s="449">
        <v>95.390699999999995</v>
      </c>
      <c r="I24" s="449">
        <v>95.4863</v>
      </c>
      <c r="J24" s="449">
        <v>95.762799999999999</v>
      </c>
      <c r="K24" s="449">
        <v>95.672200000000004</v>
      </c>
      <c r="L24" s="449">
        <v>96.168199999999999</v>
      </c>
      <c r="M24" s="449">
        <v>96.549400000000006</v>
      </c>
      <c r="N24" s="449">
        <v>94.5578</v>
      </c>
      <c r="O24" s="449">
        <v>94.865600000000001</v>
      </c>
      <c r="P24" s="449">
        <v>94.942400000000006</v>
      </c>
      <c r="Q24" s="449">
        <v>94.8446</v>
      </c>
    </row>
    <row r="25" spans="1:17">
      <c r="A25" t="s">
        <v>433</v>
      </c>
      <c r="B25" t="s">
        <v>434</v>
      </c>
      <c r="C25" t="s">
        <v>390</v>
      </c>
      <c r="D25" t="s">
        <v>391</v>
      </c>
      <c r="E25" t="s">
        <v>392</v>
      </c>
      <c r="F25">
        <v>92.430599999999998</v>
      </c>
      <c r="G25">
        <v>92.064999999999998</v>
      </c>
      <c r="H25">
        <v>92.409599999999998</v>
      </c>
      <c r="I25">
        <v>92.143600000000006</v>
      </c>
      <c r="J25">
        <v>92.786699999999996</v>
      </c>
      <c r="K25">
        <v>92.848200000000006</v>
      </c>
      <c r="L25">
        <v>92.270200000000003</v>
      </c>
      <c r="M25">
        <v>92.356200000000001</v>
      </c>
      <c r="N25">
        <v>93.771500000000003</v>
      </c>
      <c r="O25">
        <v>92.723200000000006</v>
      </c>
      <c r="P25">
        <v>93.632300000000001</v>
      </c>
      <c r="Q25">
        <v>94.3249</v>
      </c>
    </row>
    <row r="26" spans="1:17">
      <c r="A26" t="s">
        <v>435</v>
      </c>
      <c r="B26" t="s">
        <v>436</v>
      </c>
      <c r="C26" t="s">
        <v>390</v>
      </c>
      <c r="D26" t="s">
        <v>391</v>
      </c>
      <c r="E26" t="s">
        <v>392</v>
      </c>
      <c r="F26" t="s">
        <v>350</v>
      </c>
      <c r="G26">
        <v>94.649199999999993</v>
      </c>
      <c r="H26">
        <v>95.793599999999998</v>
      </c>
      <c r="I26">
        <v>96.908600000000007</v>
      </c>
      <c r="J26">
        <v>97.753100000000003</v>
      </c>
      <c r="K26">
        <v>97.542400000000001</v>
      </c>
      <c r="L26">
        <v>97.327500000000001</v>
      </c>
      <c r="M26">
        <v>97.596900000000005</v>
      </c>
      <c r="N26">
        <v>96.382199999999997</v>
      </c>
      <c r="O26">
        <v>96.057299999999998</v>
      </c>
      <c r="P26">
        <v>97.897800000000004</v>
      </c>
      <c r="Q26">
        <v>96.113799999999998</v>
      </c>
    </row>
    <row r="27" spans="1:17">
      <c r="A27" t="s">
        <v>437</v>
      </c>
      <c r="B27" t="s">
        <v>438</v>
      </c>
      <c r="C27" t="s">
        <v>390</v>
      </c>
      <c r="D27" t="s">
        <v>391</v>
      </c>
      <c r="E27" t="s">
        <v>392</v>
      </c>
      <c r="F27" t="s">
        <v>350</v>
      </c>
      <c r="G27">
        <v>90.615700000000004</v>
      </c>
      <c r="H27">
        <v>94.672600000000003</v>
      </c>
      <c r="I27">
        <v>92.6571</v>
      </c>
      <c r="J27">
        <v>89.500299999999996</v>
      </c>
      <c r="K27">
        <v>87.783000000000001</v>
      </c>
      <c r="L27">
        <v>86.920599999999993</v>
      </c>
      <c r="M27">
        <v>86.616299999999995</v>
      </c>
      <c r="N27">
        <v>84.273200000000003</v>
      </c>
      <c r="O27">
        <v>84.875</v>
      </c>
      <c r="P27">
        <v>81.601799999999997</v>
      </c>
      <c r="Q27">
        <v>85.292599999999993</v>
      </c>
    </row>
    <row r="28" spans="1:17">
      <c r="A28" t="s">
        <v>439</v>
      </c>
      <c r="B28" t="s">
        <v>440</v>
      </c>
      <c r="C28" t="s">
        <v>390</v>
      </c>
      <c r="D28" t="s">
        <v>391</v>
      </c>
      <c r="E28" t="s">
        <v>392</v>
      </c>
      <c r="F28">
        <v>90.294799999999995</v>
      </c>
      <c r="G28">
        <v>90.505600000000001</v>
      </c>
      <c r="H28">
        <v>91.611500000000007</v>
      </c>
      <c r="I28">
        <v>92.789900000000003</v>
      </c>
      <c r="J28">
        <v>93.6798</v>
      </c>
      <c r="K28">
        <v>94.064300000000003</v>
      </c>
      <c r="L28">
        <v>93.957800000000006</v>
      </c>
      <c r="M28">
        <v>93.225499999999997</v>
      </c>
      <c r="N28">
        <v>93.3459</v>
      </c>
      <c r="O28">
        <v>92.420699999999997</v>
      </c>
      <c r="P28">
        <v>92.921599999999998</v>
      </c>
      <c r="Q28">
        <v>93.224100000000007</v>
      </c>
    </row>
    <row r="29" spans="1:17">
      <c r="A29" t="s">
        <v>441</v>
      </c>
      <c r="B29" t="s">
        <v>442</v>
      </c>
      <c r="C29" t="s">
        <v>390</v>
      </c>
      <c r="D29" t="s">
        <v>391</v>
      </c>
      <c r="E29" t="s">
        <v>392</v>
      </c>
      <c r="F29">
        <v>91.960499999999996</v>
      </c>
      <c r="G29">
        <v>91.221000000000004</v>
      </c>
      <c r="H29">
        <v>88.597700000000003</v>
      </c>
      <c r="I29">
        <v>87.59</v>
      </c>
      <c r="J29">
        <v>90.334100000000007</v>
      </c>
      <c r="K29">
        <v>90.519499999999994</v>
      </c>
      <c r="L29">
        <v>87.180599999999998</v>
      </c>
      <c r="M29">
        <v>88.970799999999997</v>
      </c>
      <c r="N29">
        <v>87.345600000000005</v>
      </c>
      <c r="O29">
        <v>86.701099999999997</v>
      </c>
      <c r="P29">
        <v>89.097300000000004</v>
      </c>
      <c r="Q29">
        <v>90.338499999999996</v>
      </c>
    </row>
    <row r="30" spans="1:17">
      <c r="A30" t="s">
        <v>443</v>
      </c>
      <c r="B30" t="s">
        <v>444</v>
      </c>
      <c r="C30" t="s">
        <v>390</v>
      </c>
      <c r="D30" t="s">
        <v>391</v>
      </c>
      <c r="E30" t="s">
        <v>392</v>
      </c>
      <c r="F30" t="s">
        <v>350</v>
      </c>
      <c r="G30" t="s">
        <v>350</v>
      </c>
      <c r="H30" t="s">
        <v>350</v>
      </c>
      <c r="I30" t="s">
        <v>350</v>
      </c>
      <c r="J30" t="s">
        <v>350</v>
      </c>
      <c r="K30" t="s">
        <v>350</v>
      </c>
      <c r="L30" t="s">
        <v>350</v>
      </c>
      <c r="M30" t="s">
        <v>350</v>
      </c>
      <c r="N30" t="s">
        <v>350</v>
      </c>
      <c r="O30" t="s">
        <v>350</v>
      </c>
      <c r="P30" t="s">
        <v>350</v>
      </c>
      <c r="Q30" t="s">
        <v>350</v>
      </c>
    </row>
    <row r="31" spans="1:17">
      <c r="A31" t="s">
        <v>445</v>
      </c>
      <c r="B31" t="s">
        <v>446</v>
      </c>
      <c r="C31" t="s">
        <v>390</v>
      </c>
      <c r="D31" t="s">
        <v>391</v>
      </c>
      <c r="E31" t="s">
        <v>392</v>
      </c>
      <c r="F31" t="s">
        <v>350</v>
      </c>
      <c r="G31">
        <v>66.8446</v>
      </c>
      <c r="H31">
        <v>68.580699999999993</v>
      </c>
      <c r="I31">
        <v>67.523099999999999</v>
      </c>
      <c r="J31">
        <v>66.596500000000006</v>
      </c>
      <c r="K31">
        <v>67.825599999999994</v>
      </c>
      <c r="L31">
        <v>68.013400000000004</v>
      </c>
      <c r="M31">
        <v>66.902100000000004</v>
      </c>
      <c r="N31">
        <v>63.492800000000003</v>
      </c>
      <c r="O31">
        <v>63.575499999999998</v>
      </c>
      <c r="P31">
        <v>62.435600000000001</v>
      </c>
      <c r="Q31">
        <v>63.109699999999997</v>
      </c>
    </row>
    <row r="32" spans="1:17">
      <c r="A32" t="s">
        <v>447</v>
      </c>
      <c r="B32" t="s">
        <v>448</v>
      </c>
      <c r="C32" t="s">
        <v>390</v>
      </c>
      <c r="D32" t="s">
        <v>391</v>
      </c>
      <c r="E32" t="s">
        <v>392</v>
      </c>
      <c r="F32">
        <v>96.215699999999998</v>
      </c>
      <c r="G32">
        <v>95.204700000000003</v>
      </c>
      <c r="H32">
        <v>95.2804</v>
      </c>
      <c r="I32">
        <v>94.746799999999993</v>
      </c>
      <c r="J32">
        <v>95.159800000000004</v>
      </c>
      <c r="K32">
        <v>95.470100000000002</v>
      </c>
      <c r="L32">
        <v>95.0899</v>
      </c>
      <c r="M32">
        <v>94.388099999999994</v>
      </c>
      <c r="N32">
        <v>94.5214</v>
      </c>
      <c r="O32">
        <v>94.413700000000006</v>
      </c>
      <c r="P32">
        <v>93.596999999999994</v>
      </c>
      <c r="Q32">
        <v>93.329800000000006</v>
      </c>
    </row>
    <row r="33" spans="1:17">
      <c r="A33" t="s">
        <v>449</v>
      </c>
      <c r="B33" t="s">
        <v>450</v>
      </c>
      <c r="C33" t="s">
        <v>390</v>
      </c>
      <c r="D33" t="s">
        <v>391</v>
      </c>
      <c r="E33" t="s">
        <v>392</v>
      </c>
      <c r="F33">
        <v>86.596900000000005</v>
      </c>
      <c r="G33">
        <v>86.139300000000006</v>
      </c>
      <c r="H33">
        <v>86.718100000000007</v>
      </c>
      <c r="I33">
        <v>86.559200000000004</v>
      </c>
      <c r="J33">
        <v>85.837599999999995</v>
      </c>
      <c r="K33">
        <v>86.480900000000005</v>
      </c>
      <c r="L33">
        <v>84.444199999999995</v>
      </c>
      <c r="M33">
        <v>82.665700000000001</v>
      </c>
      <c r="N33">
        <v>80.682199999999995</v>
      </c>
      <c r="O33">
        <v>83.293700000000001</v>
      </c>
      <c r="P33">
        <v>83.357399999999998</v>
      </c>
      <c r="Q33">
        <v>82.357500000000002</v>
      </c>
    </row>
    <row r="34" spans="1:17">
      <c r="A34" t="s">
        <v>451</v>
      </c>
      <c r="B34" t="s">
        <v>386</v>
      </c>
      <c r="C34" t="s">
        <v>350</v>
      </c>
      <c r="D34" t="s">
        <v>350</v>
      </c>
      <c r="E34" t="s">
        <v>387</v>
      </c>
      <c r="F34">
        <v>10.447440909090909</v>
      </c>
      <c r="G34">
        <v>10.229610000000001</v>
      </c>
      <c r="H34">
        <v>10.397673333333334</v>
      </c>
      <c r="I34">
        <v>11.006303333333333</v>
      </c>
      <c r="J34">
        <v>10.062389999999999</v>
      </c>
      <c r="K34">
        <v>10.089140000000002</v>
      </c>
      <c r="L34">
        <v>10.493976666666663</v>
      </c>
      <c r="M34">
        <v>9.8258633333333343</v>
      </c>
      <c r="N34">
        <v>10.740203333333334</v>
      </c>
      <c r="O34">
        <v>10.742340000000002</v>
      </c>
      <c r="P34">
        <v>9.7308517241379313</v>
      </c>
      <c r="Q34">
        <v>10.027807142857144</v>
      </c>
    </row>
    <row r="35" spans="1:17">
      <c r="A35" t="s">
        <v>388</v>
      </c>
      <c r="B35" t="s">
        <v>389</v>
      </c>
      <c r="C35" t="s">
        <v>452</v>
      </c>
      <c r="D35" t="s">
        <v>453</v>
      </c>
      <c r="E35" t="s">
        <v>392</v>
      </c>
      <c r="F35">
        <v>9.4731000000000005</v>
      </c>
      <c r="G35">
        <v>9.6501999999999999</v>
      </c>
      <c r="H35">
        <v>8.9129000000000005</v>
      </c>
      <c r="I35">
        <v>9.3309999999999995</v>
      </c>
      <c r="J35">
        <v>9.4466000000000001</v>
      </c>
      <c r="K35">
        <v>9.7605000000000004</v>
      </c>
      <c r="L35">
        <v>9.8126999999999995</v>
      </c>
      <c r="M35">
        <v>8.7132000000000005</v>
      </c>
      <c r="N35">
        <v>10.6462</v>
      </c>
      <c r="O35">
        <v>11.1447</v>
      </c>
      <c r="P35">
        <v>9.6785999999999994</v>
      </c>
      <c r="Q35">
        <v>8.2988</v>
      </c>
    </row>
    <row r="36" spans="1:17">
      <c r="A36" t="s">
        <v>393</v>
      </c>
      <c r="B36" t="s">
        <v>394</v>
      </c>
      <c r="C36" t="s">
        <v>452</v>
      </c>
      <c r="D36" t="s">
        <v>453</v>
      </c>
      <c r="E36" t="s">
        <v>392</v>
      </c>
      <c r="F36">
        <v>8.1250999999999998</v>
      </c>
      <c r="G36">
        <v>7.0106999999999999</v>
      </c>
      <c r="H36">
        <v>6.8804999999999996</v>
      </c>
      <c r="I36">
        <v>6.0106000000000002</v>
      </c>
      <c r="J36">
        <v>5.0031999999999996</v>
      </c>
      <c r="K36">
        <v>6.9904999999999999</v>
      </c>
      <c r="L36">
        <v>5.7819000000000003</v>
      </c>
      <c r="M36">
        <v>6.6203000000000003</v>
      </c>
      <c r="N36">
        <v>8.0410000000000004</v>
      </c>
      <c r="O36">
        <v>9.7485999999999997</v>
      </c>
      <c r="P36">
        <v>9.8839000000000006</v>
      </c>
      <c r="Q36">
        <v>6.8615000000000004</v>
      </c>
    </row>
    <row r="37" spans="1:17">
      <c r="A37" t="s">
        <v>395</v>
      </c>
      <c r="B37" t="s">
        <v>396</v>
      </c>
      <c r="C37" t="s">
        <v>452</v>
      </c>
      <c r="D37" t="s">
        <v>453</v>
      </c>
      <c r="E37" t="s">
        <v>392</v>
      </c>
      <c r="F37">
        <v>4.9398999999999997</v>
      </c>
      <c r="G37">
        <v>5.0079000000000002</v>
      </c>
      <c r="H37">
        <v>4.6551999999999998</v>
      </c>
      <c r="I37">
        <v>6.9348999999999998</v>
      </c>
      <c r="J37">
        <v>6.6353</v>
      </c>
      <c r="K37">
        <v>7.1485000000000003</v>
      </c>
      <c r="L37">
        <v>8.2872000000000003</v>
      </c>
      <c r="M37">
        <v>6.35</v>
      </c>
      <c r="N37">
        <v>8.0090000000000003</v>
      </c>
      <c r="O37">
        <v>8.4779</v>
      </c>
      <c r="P37">
        <v>6.4062999999999999</v>
      </c>
      <c r="Q37">
        <v>6.7195999999999998</v>
      </c>
    </row>
    <row r="38" spans="1:17">
      <c r="A38" t="s">
        <v>397</v>
      </c>
      <c r="B38" t="s">
        <v>398</v>
      </c>
      <c r="C38" t="s">
        <v>452</v>
      </c>
      <c r="D38" t="s">
        <v>453</v>
      </c>
      <c r="E38" t="s">
        <v>392</v>
      </c>
      <c r="F38">
        <v>4.5053999999999998</v>
      </c>
      <c r="G38">
        <v>4.5026000000000002</v>
      </c>
      <c r="H38">
        <v>4.8890000000000002</v>
      </c>
      <c r="I38">
        <v>4.9314</v>
      </c>
      <c r="J38">
        <v>4.415</v>
      </c>
      <c r="K38">
        <v>4.9637000000000002</v>
      </c>
      <c r="L38">
        <v>3.9817</v>
      </c>
      <c r="M38">
        <v>4.8696999999999999</v>
      </c>
      <c r="N38">
        <v>5.4889999999999999</v>
      </c>
      <c r="O38">
        <v>4.1532999999999998</v>
      </c>
      <c r="P38">
        <v>3.9205000000000001</v>
      </c>
      <c r="Q38">
        <v>3.5476000000000001</v>
      </c>
    </row>
    <row r="39" spans="1:17">
      <c r="A39" t="s">
        <v>399</v>
      </c>
      <c r="B39" t="s">
        <v>400</v>
      </c>
      <c r="C39" t="s">
        <v>452</v>
      </c>
      <c r="D39" t="s">
        <v>453</v>
      </c>
      <c r="E39" t="s">
        <v>392</v>
      </c>
      <c r="F39" t="s">
        <v>350</v>
      </c>
      <c r="G39">
        <v>20.195599999999999</v>
      </c>
      <c r="H39">
        <v>21.621099999999998</v>
      </c>
      <c r="I39">
        <v>21.915900000000001</v>
      </c>
      <c r="J39">
        <v>21.920400000000001</v>
      </c>
      <c r="K39">
        <v>20.1965</v>
      </c>
      <c r="L39">
        <v>22.067699999999999</v>
      </c>
      <c r="M39">
        <v>20.421500000000002</v>
      </c>
      <c r="N39">
        <v>16.325500000000002</v>
      </c>
      <c r="O39">
        <v>13.9697</v>
      </c>
      <c r="P39">
        <v>12.9794</v>
      </c>
      <c r="Q39">
        <v>19.0091</v>
      </c>
    </row>
    <row r="40" spans="1:17">
      <c r="A40" t="s">
        <v>401</v>
      </c>
      <c r="B40" t="s">
        <v>402</v>
      </c>
      <c r="C40" t="s">
        <v>452</v>
      </c>
      <c r="D40" t="s">
        <v>453</v>
      </c>
      <c r="E40" t="s">
        <v>392</v>
      </c>
      <c r="F40">
        <v>2.5636000000000001</v>
      </c>
      <c r="G40">
        <v>2.8395000000000001</v>
      </c>
      <c r="H40">
        <v>2.6042000000000001</v>
      </c>
      <c r="I40">
        <v>2.4476</v>
      </c>
      <c r="J40">
        <v>2.7248000000000001</v>
      </c>
      <c r="K40">
        <v>2.7335000000000003</v>
      </c>
      <c r="L40">
        <v>2.9036</v>
      </c>
      <c r="M40">
        <v>2.3641999999999999</v>
      </c>
      <c r="N40">
        <v>2.8075999999999999</v>
      </c>
      <c r="O40">
        <v>3.2648000000000001</v>
      </c>
      <c r="P40">
        <v>2.2791000000000001</v>
      </c>
      <c r="Q40">
        <v>2.4762</v>
      </c>
    </row>
    <row r="41" spans="1:17">
      <c r="A41" t="s">
        <v>403</v>
      </c>
      <c r="B41" t="s">
        <v>404</v>
      </c>
      <c r="C41" t="s">
        <v>452</v>
      </c>
      <c r="D41" t="s">
        <v>453</v>
      </c>
      <c r="E41" t="s">
        <v>392</v>
      </c>
      <c r="F41">
        <v>24.098700000000001</v>
      </c>
      <c r="G41">
        <v>19.4772</v>
      </c>
      <c r="H41">
        <v>28.509799999999998</v>
      </c>
      <c r="I41">
        <v>21.6919</v>
      </c>
      <c r="J41">
        <v>25.317699999999999</v>
      </c>
      <c r="K41">
        <v>25.1099</v>
      </c>
      <c r="L41">
        <v>14.376899999999999</v>
      </c>
      <c r="M41">
        <v>16.659500000000001</v>
      </c>
      <c r="N41">
        <v>23.381399999999999</v>
      </c>
      <c r="O41">
        <v>14.5547</v>
      </c>
      <c r="P41">
        <v>14.283099999999999</v>
      </c>
      <c r="Q41">
        <v>13.237399999999999</v>
      </c>
    </row>
    <row r="42" spans="1:17">
      <c r="A42" t="s">
        <v>405</v>
      </c>
      <c r="B42" t="s">
        <v>406</v>
      </c>
      <c r="C42" t="s">
        <v>452</v>
      </c>
      <c r="D42" t="s">
        <v>453</v>
      </c>
      <c r="E42" t="s">
        <v>392</v>
      </c>
      <c r="F42" t="s">
        <v>350</v>
      </c>
      <c r="G42">
        <v>6.0713999999999997</v>
      </c>
      <c r="H42">
        <v>4.7161999999999997</v>
      </c>
      <c r="I42">
        <v>4.6205999999999996</v>
      </c>
      <c r="J42">
        <v>5.3006000000000002</v>
      </c>
      <c r="K42">
        <v>6.1410999999999998</v>
      </c>
      <c r="L42">
        <v>5.8548</v>
      </c>
      <c r="M42">
        <v>6.0271999999999997</v>
      </c>
      <c r="N42">
        <v>6.8886000000000003</v>
      </c>
      <c r="O42">
        <v>8.0747999999999998</v>
      </c>
      <c r="P42">
        <v>6.3123000000000005</v>
      </c>
      <c r="Q42">
        <v>7.8045</v>
      </c>
    </row>
    <row r="43" spans="1:17">
      <c r="A43" t="s">
        <v>407</v>
      </c>
      <c r="B43" t="s">
        <v>408</v>
      </c>
      <c r="C43" t="s">
        <v>452</v>
      </c>
      <c r="D43" t="s">
        <v>453</v>
      </c>
      <c r="E43" t="s">
        <v>392</v>
      </c>
      <c r="F43" t="s">
        <v>350</v>
      </c>
      <c r="G43">
        <v>4.62</v>
      </c>
      <c r="H43">
        <v>5.0900999999999996</v>
      </c>
      <c r="I43">
        <v>5.25</v>
      </c>
      <c r="J43">
        <v>-2.5202999999999998</v>
      </c>
      <c r="K43">
        <v>-0.21390000000000001</v>
      </c>
      <c r="L43">
        <v>21.732399999999998</v>
      </c>
      <c r="M43">
        <v>3.3361000000000001</v>
      </c>
      <c r="N43">
        <v>3.2018</v>
      </c>
      <c r="O43">
        <v>5.5201000000000002</v>
      </c>
      <c r="P43">
        <v>4.2538</v>
      </c>
      <c r="Q43" t="s">
        <v>350</v>
      </c>
    </row>
    <row r="44" spans="1:17">
      <c r="A44" t="s">
        <v>409</v>
      </c>
      <c r="B44" t="s">
        <v>410</v>
      </c>
      <c r="C44" t="s">
        <v>452</v>
      </c>
      <c r="D44" t="s">
        <v>453</v>
      </c>
      <c r="E44" t="s">
        <v>392</v>
      </c>
      <c r="F44">
        <v>6.8876999999999997</v>
      </c>
      <c r="G44">
        <v>5.4931999999999999</v>
      </c>
      <c r="H44">
        <v>4.3120000000000003</v>
      </c>
      <c r="I44">
        <v>5.7358000000000002</v>
      </c>
      <c r="J44">
        <v>7.8756000000000004</v>
      </c>
      <c r="K44">
        <v>10.1302</v>
      </c>
      <c r="L44">
        <v>7.5724</v>
      </c>
      <c r="M44">
        <v>9.5363000000000007</v>
      </c>
      <c r="N44">
        <v>7.3245000000000005</v>
      </c>
      <c r="O44">
        <v>6.1149000000000004</v>
      </c>
      <c r="P44">
        <v>3.2517</v>
      </c>
      <c r="Q44">
        <v>2.1513</v>
      </c>
    </row>
    <row r="45" spans="1:17">
      <c r="A45" t="s">
        <v>411</v>
      </c>
      <c r="B45" t="s">
        <v>412</v>
      </c>
      <c r="C45" t="s">
        <v>452</v>
      </c>
      <c r="D45" t="s">
        <v>453</v>
      </c>
      <c r="E45" t="s">
        <v>392</v>
      </c>
      <c r="F45" t="s">
        <v>350</v>
      </c>
      <c r="G45">
        <v>4.4024999999999999</v>
      </c>
      <c r="H45">
        <v>4.3761000000000001</v>
      </c>
      <c r="I45">
        <v>3.3521000000000001</v>
      </c>
      <c r="J45">
        <v>3.7496999999999998</v>
      </c>
      <c r="K45">
        <v>4.5067000000000004</v>
      </c>
      <c r="L45">
        <v>3.1596000000000002</v>
      </c>
      <c r="M45">
        <v>3.0741999999999998</v>
      </c>
      <c r="N45">
        <v>3.9994000000000001</v>
      </c>
      <c r="O45">
        <v>23.408799999999999</v>
      </c>
      <c r="P45">
        <v>3.3359999999999999</v>
      </c>
      <c r="Q45">
        <v>3.1009000000000002</v>
      </c>
    </row>
    <row r="46" spans="1:17">
      <c r="A46" t="s">
        <v>413</v>
      </c>
      <c r="B46" t="s">
        <v>414</v>
      </c>
      <c r="C46" t="s">
        <v>452</v>
      </c>
      <c r="D46" t="s">
        <v>453</v>
      </c>
      <c r="E46" t="s">
        <v>392</v>
      </c>
      <c r="F46">
        <v>2.5255999999999998</v>
      </c>
      <c r="G46">
        <v>4.0929000000000002</v>
      </c>
      <c r="H46">
        <v>4.1778000000000004</v>
      </c>
      <c r="I46">
        <v>6.6212</v>
      </c>
      <c r="J46">
        <v>5.3631000000000002</v>
      </c>
      <c r="K46">
        <v>3.6515</v>
      </c>
      <c r="L46">
        <v>3.6076000000000001</v>
      </c>
      <c r="M46">
        <v>3.9203000000000001</v>
      </c>
      <c r="N46">
        <v>3.1352000000000002</v>
      </c>
      <c r="O46">
        <v>3.1583999999999999</v>
      </c>
      <c r="P46">
        <v>2.3654999999999999</v>
      </c>
      <c r="Q46">
        <v>3.3774999999999999</v>
      </c>
    </row>
    <row r="47" spans="1:17">
      <c r="A47" t="s">
        <v>415</v>
      </c>
      <c r="B47" t="s">
        <v>416</v>
      </c>
      <c r="C47" t="s">
        <v>452</v>
      </c>
      <c r="D47" t="s">
        <v>453</v>
      </c>
      <c r="E47" t="s">
        <v>392</v>
      </c>
      <c r="F47">
        <v>17.201799999999999</v>
      </c>
      <c r="G47">
        <v>17.192499999999999</v>
      </c>
      <c r="H47">
        <v>17.5444</v>
      </c>
      <c r="I47">
        <v>17.418299999999999</v>
      </c>
      <c r="J47">
        <v>15.6403</v>
      </c>
      <c r="K47">
        <v>13.607200000000001</v>
      </c>
      <c r="L47">
        <v>14.9046</v>
      </c>
      <c r="M47">
        <v>13.4617</v>
      </c>
      <c r="N47">
        <v>10.2265</v>
      </c>
      <c r="O47">
        <v>10.3827</v>
      </c>
      <c r="P47">
        <v>10.012499999999999</v>
      </c>
      <c r="Q47">
        <v>6.9680999999999997</v>
      </c>
    </row>
    <row r="48" spans="1:17">
      <c r="A48" t="s">
        <v>417</v>
      </c>
      <c r="B48" t="s">
        <v>418</v>
      </c>
      <c r="C48" t="s">
        <v>452</v>
      </c>
      <c r="D48" t="s">
        <v>453</v>
      </c>
      <c r="E48" t="s">
        <v>392</v>
      </c>
      <c r="F48">
        <v>4.0460000000000003</v>
      </c>
      <c r="G48">
        <v>3.3643999999999998</v>
      </c>
      <c r="H48">
        <v>3.4877000000000002</v>
      </c>
      <c r="I48">
        <v>3.5306999999999999</v>
      </c>
      <c r="J48">
        <v>3.6783999999999999</v>
      </c>
      <c r="K48">
        <v>3.645</v>
      </c>
      <c r="L48">
        <v>5.3158000000000003</v>
      </c>
      <c r="M48">
        <v>5.2735000000000003</v>
      </c>
      <c r="N48">
        <v>5.2606000000000002</v>
      </c>
      <c r="O48">
        <v>4.9985999999999997</v>
      </c>
      <c r="P48">
        <v>4.3495999999999997</v>
      </c>
      <c r="Q48">
        <v>4.0579999999999998</v>
      </c>
    </row>
    <row r="49" spans="1:17">
      <c r="A49" t="s">
        <v>419</v>
      </c>
      <c r="B49" t="s">
        <v>420</v>
      </c>
      <c r="C49" t="s">
        <v>452</v>
      </c>
      <c r="D49" t="s">
        <v>453</v>
      </c>
      <c r="E49" t="s">
        <v>392</v>
      </c>
      <c r="F49">
        <v>3.4885999999999999</v>
      </c>
      <c r="G49">
        <v>3.6813000000000002</v>
      </c>
      <c r="H49">
        <v>4.1212</v>
      </c>
      <c r="I49">
        <v>3.7279999999999998</v>
      </c>
      <c r="J49">
        <v>3.3174999999999999</v>
      </c>
      <c r="K49">
        <v>3.7147999999999999</v>
      </c>
      <c r="L49">
        <v>3.5047000000000001</v>
      </c>
      <c r="M49">
        <v>3.4598</v>
      </c>
      <c r="N49">
        <v>2.5653999999999999</v>
      </c>
      <c r="O49">
        <v>2.9108000000000001</v>
      </c>
      <c r="P49">
        <v>3.5724</v>
      </c>
      <c r="Q49">
        <v>3.7968999999999999</v>
      </c>
    </row>
    <row r="50" spans="1:17">
      <c r="A50" t="s">
        <v>421</v>
      </c>
      <c r="B50" t="s">
        <v>422</v>
      </c>
      <c r="C50" t="s">
        <v>452</v>
      </c>
      <c r="D50" t="s">
        <v>453</v>
      </c>
      <c r="E50" t="s">
        <v>392</v>
      </c>
      <c r="F50">
        <v>5.9561000000000002</v>
      </c>
      <c r="G50">
        <v>5.4752000000000001</v>
      </c>
      <c r="H50">
        <v>5.2952000000000004</v>
      </c>
      <c r="I50">
        <v>5.2119999999999997</v>
      </c>
      <c r="J50">
        <v>4.4046000000000003</v>
      </c>
      <c r="K50">
        <v>3.7877999999999998</v>
      </c>
      <c r="L50">
        <v>4.0913000000000004</v>
      </c>
      <c r="M50">
        <v>5.0454999999999997</v>
      </c>
      <c r="N50">
        <v>13.941599999999999</v>
      </c>
      <c r="O50">
        <v>4.3944000000000001</v>
      </c>
      <c r="P50">
        <v>4.5376000000000003</v>
      </c>
      <c r="Q50">
        <v>4.3009000000000004</v>
      </c>
    </row>
    <row r="51" spans="1:17">
      <c r="A51" t="s">
        <v>423</v>
      </c>
      <c r="B51" t="s">
        <v>424</v>
      </c>
      <c r="C51" t="s">
        <v>452</v>
      </c>
      <c r="D51" t="s">
        <v>453</v>
      </c>
      <c r="E51" t="s">
        <v>392</v>
      </c>
      <c r="F51">
        <v>9.0257000000000005</v>
      </c>
      <c r="G51">
        <v>8.0798000000000005</v>
      </c>
      <c r="H51">
        <v>8.9838000000000005</v>
      </c>
      <c r="I51">
        <v>9.1583000000000006</v>
      </c>
      <c r="J51">
        <v>9.5952000000000002</v>
      </c>
      <c r="K51">
        <v>9.109</v>
      </c>
      <c r="L51">
        <v>9.4687999999999999</v>
      </c>
      <c r="M51">
        <v>9.6839999999999993</v>
      </c>
      <c r="N51">
        <v>10.906499999999999</v>
      </c>
      <c r="O51">
        <v>10.8385</v>
      </c>
      <c r="P51">
        <v>8.4571000000000005</v>
      </c>
      <c r="Q51">
        <v>8.1980000000000004</v>
      </c>
    </row>
    <row r="52" spans="1:17">
      <c r="A52" t="s">
        <v>425</v>
      </c>
      <c r="B52" t="s">
        <v>426</v>
      </c>
      <c r="C52" t="s">
        <v>452</v>
      </c>
      <c r="D52" t="s">
        <v>453</v>
      </c>
      <c r="E52" t="s">
        <v>392</v>
      </c>
      <c r="F52">
        <v>2.3012000000000001</v>
      </c>
      <c r="G52">
        <v>2.6476999999999999</v>
      </c>
      <c r="H52">
        <v>2.9332000000000003</v>
      </c>
      <c r="I52">
        <v>3.0527000000000002</v>
      </c>
      <c r="J52">
        <v>3.1564999999999999</v>
      </c>
      <c r="K52">
        <v>2.8216999999999999</v>
      </c>
      <c r="L52">
        <v>4.3513000000000002</v>
      </c>
      <c r="M52">
        <v>4.0471000000000004</v>
      </c>
      <c r="N52">
        <v>4.0498000000000003</v>
      </c>
      <c r="O52">
        <v>3.7433999999999998</v>
      </c>
      <c r="P52" t="s">
        <v>350</v>
      </c>
      <c r="Q52" t="s">
        <v>350</v>
      </c>
    </row>
    <row r="53" spans="1:17">
      <c r="A53" t="s">
        <v>427</v>
      </c>
      <c r="B53" t="s">
        <v>428</v>
      </c>
      <c r="C53" t="s">
        <v>452</v>
      </c>
      <c r="D53" t="s">
        <v>453</v>
      </c>
      <c r="E53" t="s">
        <v>392</v>
      </c>
      <c r="F53">
        <v>4.9820000000000002</v>
      </c>
      <c r="G53">
        <v>5.0046999999999997</v>
      </c>
      <c r="H53">
        <v>4.6760000000000002</v>
      </c>
      <c r="I53">
        <v>5.2544000000000004</v>
      </c>
      <c r="J53">
        <v>5.2316000000000003</v>
      </c>
      <c r="K53">
        <v>5.0180999999999996</v>
      </c>
      <c r="L53">
        <v>5.0896999999999997</v>
      </c>
      <c r="M53">
        <v>5.3277999999999999</v>
      </c>
      <c r="N53">
        <v>6.2915000000000001</v>
      </c>
      <c r="O53">
        <v>5.4743000000000004</v>
      </c>
      <c r="P53">
        <v>5.3201000000000001</v>
      </c>
      <c r="Q53">
        <v>5.3704000000000001</v>
      </c>
    </row>
    <row r="54" spans="1:17">
      <c r="A54" t="s">
        <v>429</v>
      </c>
      <c r="B54" t="s">
        <v>430</v>
      </c>
      <c r="C54" t="s">
        <v>452</v>
      </c>
      <c r="D54" t="s">
        <v>453</v>
      </c>
      <c r="E54" t="s">
        <v>392</v>
      </c>
      <c r="F54" t="s">
        <v>350</v>
      </c>
      <c r="G54">
        <v>9.0431000000000008</v>
      </c>
      <c r="H54">
        <v>9.0473999999999997</v>
      </c>
      <c r="I54">
        <v>9.0848999999999993</v>
      </c>
      <c r="J54">
        <v>9.2553000000000001</v>
      </c>
      <c r="K54">
        <v>9.3207000000000004</v>
      </c>
      <c r="L54">
        <v>10.0913</v>
      </c>
      <c r="M54">
        <v>9.8766999999999996</v>
      </c>
      <c r="N54">
        <v>9.6944999999999997</v>
      </c>
      <c r="O54">
        <v>9.4306999999999999</v>
      </c>
      <c r="P54">
        <v>11.5327</v>
      </c>
      <c r="Q54">
        <v>20.400400000000001</v>
      </c>
    </row>
    <row r="55" spans="1:17">
      <c r="A55" t="s">
        <v>431</v>
      </c>
      <c r="B55" t="s">
        <v>432</v>
      </c>
      <c r="C55" t="s">
        <v>452</v>
      </c>
      <c r="D55" t="s">
        <v>453</v>
      </c>
      <c r="E55" t="s">
        <v>392</v>
      </c>
      <c r="F55">
        <v>2.7465000000000002</v>
      </c>
      <c r="G55">
        <v>3.0749</v>
      </c>
      <c r="H55">
        <v>2.7944</v>
      </c>
      <c r="I55">
        <v>3.0019999999999998</v>
      </c>
      <c r="J55">
        <v>2.7538</v>
      </c>
      <c r="K55">
        <v>2.3342999999999998</v>
      </c>
      <c r="L55">
        <v>2.4003999999999999</v>
      </c>
      <c r="M55">
        <v>2.0301999999999998</v>
      </c>
      <c r="N55">
        <v>2.8195999999999999</v>
      </c>
      <c r="O55">
        <v>2.8780000000000001</v>
      </c>
      <c r="P55">
        <v>2.6404000000000001</v>
      </c>
      <c r="Q55">
        <v>3.6951000000000001</v>
      </c>
    </row>
    <row r="56" spans="1:17">
      <c r="A56" t="s">
        <v>433</v>
      </c>
      <c r="B56" t="s">
        <v>434</v>
      </c>
      <c r="C56" t="s">
        <v>452</v>
      </c>
      <c r="D56" t="s">
        <v>453</v>
      </c>
      <c r="E56" t="s">
        <v>392</v>
      </c>
      <c r="F56">
        <v>4.2721999999999998</v>
      </c>
      <c r="G56">
        <v>4.4667000000000003</v>
      </c>
      <c r="H56">
        <v>4.4043000000000001</v>
      </c>
      <c r="I56">
        <v>4.6434999999999995</v>
      </c>
      <c r="J56">
        <v>4.5492999999999997</v>
      </c>
      <c r="K56">
        <v>4.8954000000000004</v>
      </c>
      <c r="L56">
        <v>4.5189000000000004</v>
      </c>
      <c r="M56">
        <v>4.4027000000000003</v>
      </c>
      <c r="N56">
        <v>6.3184000000000005</v>
      </c>
      <c r="O56">
        <v>4.7649999999999997</v>
      </c>
      <c r="P56">
        <v>5.4981999999999998</v>
      </c>
      <c r="Q56">
        <v>3.7810999999999999</v>
      </c>
    </row>
    <row r="57" spans="1:17">
      <c r="A57" t="s">
        <v>435</v>
      </c>
      <c r="B57" t="s">
        <v>436</v>
      </c>
      <c r="C57" t="s">
        <v>452</v>
      </c>
      <c r="D57" t="s">
        <v>453</v>
      </c>
      <c r="E57" t="s">
        <v>392</v>
      </c>
      <c r="F57" t="s">
        <v>350</v>
      </c>
      <c r="G57">
        <v>3.0137</v>
      </c>
      <c r="H57">
        <v>3.7336</v>
      </c>
      <c r="I57">
        <v>3.2743000000000002</v>
      </c>
      <c r="J57">
        <v>2.8990999999999998</v>
      </c>
      <c r="K57">
        <v>2.7326000000000001</v>
      </c>
      <c r="L57">
        <v>2.0095000000000001</v>
      </c>
      <c r="M57">
        <v>1.5098</v>
      </c>
      <c r="N57">
        <v>1.6842000000000001</v>
      </c>
      <c r="O57">
        <v>1.6104000000000001</v>
      </c>
      <c r="P57">
        <v>1.2466999999999999</v>
      </c>
      <c r="Q57">
        <v>1.1800999999999999</v>
      </c>
    </row>
    <row r="58" spans="1:17">
      <c r="A58" t="s">
        <v>437</v>
      </c>
      <c r="B58" t="s">
        <v>438</v>
      </c>
      <c r="C58" t="s">
        <v>452</v>
      </c>
      <c r="D58" t="s">
        <v>453</v>
      </c>
      <c r="E58" t="s">
        <v>392</v>
      </c>
      <c r="F58" t="s">
        <v>350</v>
      </c>
      <c r="G58">
        <v>8.8773</v>
      </c>
      <c r="H58">
        <v>6.0957999999999997</v>
      </c>
      <c r="I58">
        <v>5.3139000000000003</v>
      </c>
      <c r="J58">
        <v>4.8829000000000002</v>
      </c>
      <c r="K58">
        <v>5.6205999999999996</v>
      </c>
      <c r="L58">
        <v>4.4957000000000003</v>
      </c>
      <c r="M58">
        <v>4.5419999999999998</v>
      </c>
      <c r="N58">
        <v>5.9024000000000001</v>
      </c>
      <c r="O58">
        <v>5.8512000000000004</v>
      </c>
      <c r="P58">
        <v>6.7706999999999997</v>
      </c>
      <c r="Q58">
        <v>5.0279999999999996</v>
      </c>
    </row>
    <row r="59" spans="1:17">
      <c r="A59" t="s">
        <v>439</v>
      </c>
      <c r="B59" t="s">
        <v>440</v>
      </c>
      <c r="C59" t="s">
        <v>452</v>
      </c>
      <c r="D59" t="s">
        <v>453</v>
      </c>
      <c r="E59" t="s">
        <v>392</v>
      </c>
      <c r="F59">
        <v>5.5427</v>
      </c>
      <c r="G59">
        <v>5.2013999999999996</v>
      </c>
      <c r="H59">
        <v>4.5963000000000003</v>
      </c>
      <c r="I59">
        <v>4.2381000000000002</v>
      </c>
      <c r="J59">
        <v>3.8994999999999997</v>
      </c>
      <c r="K59">
        <v>3.4986999999999999</v>
      </c>
      <c r="L59">
        <v>3.6427</v>
      </c>
      <c r="M59">
        <v>3.5723000000000003</v>
      </c>
      <c r="N59">
        <v>4.5179999999999998</v>
      </c>
      <c r="O59">
        <v>4.3674999999999997</v>
      </c>
      <c r="P59">
        <v>3.7191999999999998</v>
      </c>
      <c r="Q59">
        <v>4.3810000000000002</v>
      </c>
    </row>
    <row r="60" spans="1:17">
      <c r="A60" t="s">
        <v>441</v>
      </c>
      <c r="B60" t="s">
        <v>442</v>
      </c>
      <c r="C60" t="s">
        <v>452</v>
      </c>
      <c r="D60" t="s">
        <v>453</v>
      </c>
      <c r="E60" t="s">
        <v>392</v>
      </c>
      <c r="F60">
        <v>5.7103000000000002</v>
      </c>
      <c r="G60">
        <v>5.2233999999999998</v>
      </c>
      <c r="H60">
        <v>6.1349</v>
      </c>
      <c r="I60">
        <v>25.7776</v>
      </c>
      <c r="J60">
        <v>4.3337000000000003</v>
      </c>
      <c r="K60">
        <v>4.0446</v>
      </c>
      <c r="L60">
        <v>4.8575999999999997</v>
      </c>
      <c r="M60">
        <v>3.8348</v>
      </c>
      <c r="N60">
        <v>4.3939000000000004</v>
      </c>
      <c r="O60">
        <v>4.1411999999999995</v>
      </c>
      <c r="P60">
        <v>5.3062000000000005</v>
      </c>
      <c r="Q60">
        <v>4.6604000000000001</v>
      </c>
    </row>
    <row r="61" spans="1:17">
      <c r="A61" t="s">
        <v>443</v>
      </c>
      <c r="B61" t="s">
        <v>444</v>
      </c>
      <c r="C61" t="s">
        <v>452</v>
      </c>
      <c r="D61" t="s">
        <v>453</v>
      </c>
      <c r="E61" t="s">
        <v>392</v>
      </c>
      <c r="F61">
        <v>89.473699999999994</v>
      </c>
      <c r="G61">
        <v>92.988500000000002</v>
      </c>
      <c r="H61">
        <v>93.711699999999993</v>
      </c>
      <c r="I61">
        <v>94.084000000000003</v>
      </c>
      <c r="J61">
        <v>94.430499999999995</v>
      </c>
      <c r="K61">
        <v>94.771100000000004</v>
      </c>
      <c r="L61">
        <v>93.898899999999998</v>
      </c>
      <c r="M61">
        <v>92.847499999999997</v>
      </c>
      <c r="N61">
        <v>96.358599999999996</v>
      </c>
      <c r="O61">
        <v>95.683300000000003</v>
      </c>
      <c r="P61">
        <v>93.364599999999996</v>
      </c>
      <c r="Q61">
        <v>90.540999999999997</v>
      </c>
    </row>
    <row r="62" spans="1:17">
      <c r="A62" t="s">
        <v>445</v>
      </c>
      <c r="B62" t="s">
        <v>446</v>
      </c>
      <c r="C62" t="s">
        <v>452</v>
      </c>
      <c r="D62" t="s">
        <v>453</v>
      </c>
      <c r="E62" t="s">
        <v>392</v>
      </c>
      <c r="F62" t="s">
        <v>350</v>
      </c>
      <c r="G62">
        <v>23.517499999999998</v>
      </c>
      <c r="H62">
        <v>20.5063</v>
      </c>
      <c r="I62">
        <v>20.752199999999998</v>
      </c>
      <c r="J62">
        <v>21.449300000000001</v>
      </c>
      <c r="K62">
        <v>20.145299999999999</v>
      </c>
      <c r="L62">
        <v>20.319400000000002</v>
      </c>
      <c r="M62">
        <v>20.4285</v>
      </c>
      <c r="N62">
        <v>21.882100000000001</v>
      </c>
      <c r="O62">
        <v>23.822700000000001</v>
      </c>
      <c r="P62">
        <v>23.472899999999999</v>
      </c>
      <c r="Q62">
        <v>23.760100000000001</v>
      </c>
    </row>
    <row r="63" spans="1:17">
      <c r="A63" t="s">
        <v>447</v>
      </c>
      <c r="B63" t="s">
        <v>448</v>
      </c>
      <c r="C63" t="s">
        <v>452</v>
      </c>
      <c r="D63" t="s">
        <v>453</v>
      </c>
      <c r="E63" t="s">
        <v>392</v>
      </c>
      <c r="F63">
        <v>3.0769000000000002</v>
      </c>
      <c r="G63">
        <v>3.8841999999999999</v>
      </c>
      <c r="H63">
        <v>4.3361999999999998</v>
      </c>
      <c r="I63">
        <v>4.6173999999999999</v>
      </c>
      <c r="J63">
        <v>3.8649</v>
      </c>
      <c r="K63">
        <v>3.2782999999999998</v>
      </c>
      <c r="L63">
        <v>3.3028</v>
      </c>
      <c r="M63">
        <v>3.3754</v>
      </c>
      <c r="N63">
        <v>3.5122999999999998</v>
      </c>
      <c r="O63">
        <v>3.6513999999999998</v>
      </c>
      <c r="P63">
        <v>3.6073</v>
      </c>
      <c r="Q63">
        <v>3.5219</v>
      </c>
    </row>
    <row r="64" spans="1:17">
      <c r="A64" t="s">
        <v>449</v>
      </c>
      <c r="B64" t="s">
        <v>450</v>
      </c>
      <c r="C64" t="s">
        <v>452</v>
      </c>
      <c r="D64" t="s">
        <v>453</v>
      </c>
      <c r="E64" t="s">
        <v>392</v>
      </c>
      <c r="F64">
        <v>8.9009</v>
      </c>
      <c r="G64">
        <v>8.7882999999999996</v>
      </c>
      <c r="H64">
        <v>8.7828999999999997</v>
      </c>
      <c r="I64">
        <v>9.2037999999999993</v>
      </c>
      <c r="J64">
        <v>9.2975999999999992</v>
      </c>
      <c r="K64">
        <v>9.2103000000000002</v>
      </c>
      <c r="L64">
        <v>9.4174000000000007</v>
      </c>
      <c r="M64">
        <v>10.164099999999999</v>
      </c>
      <c r="N64">
        <v>12.631</v>
      </c>
      <c r="O64">
        <v>11.7354</v>
      </c>
      <c r="P64">
        <v>9.8362999999999996</v>
      </c>
      <c r="Q64">
        <v>10.5528</v>
      </c>
    </row>
    <row r="65" spans="1:17">
      <c r="A65" t="s">
        <v>454</v>
      </c>
      <c r="B65" t="s">
        <v>386</v>
      </c>
      <c r="C65" t="s">
        <v>350</v>
      </c>
      <c r="D65" t="s">
        <v>350</v>
      </c>
      <c r="E65" t="s">
        <v>387</v>
      </c>
      <c r="F65">
        <v>1.8991227272727274</v>
      </c>
      <c r="G65">
        <v>1.9493333333333338</v>
      </c>
      <c r="H65">
        <v>1.868516666666667</v>
      </c>
      <c r="I65">
        <v>1.916433333333333</v>
      </c>
      <c r="J65">
        <v>1.8900866666666671</v>
      </c>
      <c r="K65">
        <v>1.9050366666666667</v>
      </c>
      <c r="L65">
        <v>1.7350099999999999</v>
      </c>
      <c r="M65">
        <v>1.7269379310344826</v>
      </c>
      <c r="N65">
        <v>1.8014142857142856</v>
      </c>
      <c r="O65">
        <v>2.045438461538462</v>
      </c>
      <c r="P65">
        <v>1.842044</v>
      </c>
      <c r="Q65">
        <v>1.8059399999999994</v>
      </c>
    </row>
    <row r="66" spans="1:17">
      <c r="A66" t="s">
        <v>388</v>
      </c>
      <c r="B66" t="s">
        <v>389</v>
      </c>
      <c r="C66" t="s">
        <v>455</v>
      </c>
      <c r="D66" t="s">
        <v>456</v>
      </c>
      <c r="E66" t="s">
        <v>392</v>
      </c>
      <c r="F66">
        <v>4.0444000000000004</v>
      </c>
      <c r="G66">
        <v>4.1440000000000001</v>
      </c>
      <c r="H66">
        <v>3.8607</v>
      </c>
      <c r="I66">
        <v>4.0101000000000004</v>
      </c>
      <c r="J66">
        <v>4.1249000000000002</v>
      </c>
      <c r="K66">
        <v>4.0610999999999997</v>
      </c>
      <c r="L66">
        <v>3.8403</v>
      </c>
      <c r="M66">
        <v>3.2648999999999999</v>
      </c>
      <c r="N66">
        <v>4.2108999999999996</v>
      </c>
      <c r="O66">
        <v>3.8877000000000002</v>
      </c>
      <c r="P66">
        <v>3.2463000000000002</v>
      </c>
      <c r="Q66">
        <v>2.6208999999999998</v>
      </c>
    </row>
    <row r="67" spans="1:17">
      <c r="A67" t="s">
        <v>393</v>
      </c>
      <c r="B67" t="s">
        <v>394</v>
      </c>
      <c r="C67" t="s">
        <v>455</v>
      </c>
      <c r="D67" t="s">
        <v>456</v>
      </c>
      <c r="E67" t="s">
        <v>392</v>
      </c>
      <c r="F67">
        <v>4.2519</v>
      </c>
      <c r="G67">
        <v>3.8519000000000001</v>
      </c>
      <c r="H67">
        <v>4.1757999999999997</v>
      </c>
      <c r="I67">
        <v>3.1874000000000002</v>
      </c>
      <c r="J67">
        <v>2.8237999999999999</v>
      </c>
      <c r="K67">
        <v>3.8468999999999998</v>
      </c>
      <c r="L67">
        <v>2.7115</v>
      </c>
      <c r="M67">
        <v>3.5421</v>
      </c>
      <c r="N67">
        <v>3.1551</v>
      </c>
      <c r="O67">
        <v>6.3789999999999996</v>
      </c>
      <c r="P67">
        <v>6.5559000000000003</v>
      </c>
      <c r="Q67">
        <v>3.7917000000000001</v>
      </c>
    </row>
    <row r="68" spans="1:17">
      <c r="A68" t="s">
        <v>395</v>
      </c>
      <c r="B68" t="s">
        <v>396</v>
      </c>
      <c r="C68" t="s">
        <v>455</v>
      </c>
      <c r="D68" t="s">
        <v>456</v>
      </c>
      <c r="E68" t="s">
        <v>392</v>
      </c>
      <c r="F68">
        <v>3.0964999999999998</v>
      </c>
      <c r="G68">
        <v>2.6644999999999999</v>
      </c>
      <c r="H68">
        <v>2.4662999999999999</v>
      </c>
      <c r="I68">
        <v>3.5754000000000001</v>
      </c>
      <c r="J68">
        <v>3.4849999999999999</v>
      </c>
      <c r="K68">
        <v>3.7585999999999999</v>
      </c>
      <c r="L68">
        <v>3.8723999999999998</v>
      </c>
      <c r="M68">
        <v>3.4718999999999998</v>
      </c>
      <c r="N68">
        <v>3.7791000000000001</v>
      </c>
      <c r="O68">
        <v>4.1580000000000004</v>
      </c>
      <c r="P68">
        <v>3.0438000000000001</v>
      </c>
      <c r="Q68">
        <v>1.8355000000000001</v>
      </c>
    </row>
    <row r="69" spans="1:17">
      <c r="A69" t="s">
        <v>397</v>
      </c>
      <c r="B69" t="s">
        <v>398</v>
      </c>
      <c r="C69" t="s">
        <v>455</v>
      </c>
      <c r="D69" t="s">
        <v>456</v>
      </c>
      <c r="E69" t="s">
        <v>392</v>
      </c>
      <c r="F69">
        <v>0.42880000000000001</v>
      </c>
      <c r="G69">
        <v>0.41389999999999999</v>
      </c>
      <c r="H69">
        <v>0.41139999999999999</v>
      </c>
      <c r="I69">
        <v>0.3498</v>
      </c>
      <c r="J69">
        <v>0.30020000000000002</v>
      </c>
      <c r="K69">
        <v>0.2336</v>
      </c>
      <c r="L69">
        <v>0.1913</v>
      </c>
      <c r="M69">
        <v>4.5999999999999999E-2</v>
      </c>
      <c r="N69">
        <v>0.1149</v>
      </c>
      <c r="O69">
        <v>9.9000000000000005E-2</v>
      </c>
      <c r="P69">
        <v>3.1E-2</v>
      </c>
      <c r="Q69">
        <v>5.33E-2</v>
      </c>
    </row>
    <row r="70" spans="1:17">
      <c r="A70" t="s">
        <v>399</v>
      </c>
      <c r="B70" t="s">
        <v>400</v>
      </c>
      <c r="C70" t="s">
        <v>455</v>
      </c>
      <c r="D70" t="s">
        <v>456</v>
      </c>
      <c r="E70" t="s">
        <v>392</v>
      </c>
      <c r="F70" t="s">
        <v>350</v>
      </c>
      <c r="G70">
        <v>2.1951999999999998</v>
      </c>
      <c r="H70">
        <v>2.5030999999999999</v>
      </c>
      <c r="I70">
        <v>2.6364999999999998</v>
      </c>
      <c r="J70">
        <v>2.7162999999999999</v>
      </c>
      <c r="K70">
        <v>2.2404000000000002</v>
      </c>
      <c r="L70">
        <v>2.6957</v>
      </c>
      <c r="M70">
        <v>2.6823999999999999</v>
      </c>
      <c r="N70">
        <v>2.2984999999999998</v>
      </c>
      <c r="O70">
        <v>2.1364000000000001</v>
      </c>
      <c r="P70">
        <v>2.121</v>
      </c>
      <c r="Q70">
        <v>3.0687000000000002</v>
      </c>
    </row>
    <row r="71" spans="1:17">
      <c r="A71" t="s">
        <v>401</v>
      </c>
      <c r="B71" t="s">
        <v>402</v>
      </c>
      <c r="C71" t="s">
        <v>455</v>
      </c>
      <c r="D71" t="s">
        <v>456</v>
      </c>
      <c r="E71" t="s">
        <v>392</v>
      </c>
      <c r="F71">
        <v>1.2999000000000001</v>
      </c>
      <c r="G71">
        <v>1.5598999999999998</v>
      </c>
      <c r="H71">
        <v>1.4457</v>
      </c>
      <c r="I71">
        <v>1.4320999999999999</v>
      </c>
      <c r="J71">
        <v>1.6327</v>
      </c>
      <c r="K71">
        <v>1.6168</v>
      </c>
      <c r="L71">
        <v>1.528</v>
      </c>
      <c r="M71">
        <v>1.1113999999999999</v>
      </c>
      <c r="N71">
        <v>1.3209</v>
      </c>
      <c r="O71">
        <v>1.5716999999999999</v>
      </c>
      <c r="P71">
        <v>1.0652999999999999</v>
      </c>
      <c r="Q71">
        <v>1.2757000000000001</v>
      </c>
    </row>
    <row r="72" spans="1:17">
      <c r="A72" t="s">
        <v>403</v>
      </c>
      <c r="B72" t="s">
        <v>404</v>
      </c>
      <c r="C72" t="s">
        <v>455</v>
      </c>
      <c r="D72" t="s">
        <v>456</v>
      </c>
      <c r="E72" t="s">
        <v>392</v>
      </c>
      <c r="F72">
        <v>5.9447999999999999</v>
      </c>
      <c r="G72">
        <v>6.0602999999999998</v>
      </c>
      <c r="H72">
        <v>5.8750999999999998</v>
      </c>
      <c r="I72">
        <v>5.5846</v>
      </c>
      <c r="J72">
        <v>5.6714000000000002</v>
      </c>
      <c r="K72">
        <v>6.8700999999999999</v>
      </c>
      <c r="L72">
        <v>3.3967000000000001</v>
      </c>
      <c r="M72">
        <v>3.3136999999999999</v>
      </c>
      <c r="N72">
        <v>2.8365999999999998</v>
      </c>
      <c r="O72">
        <v>2.6456</v>
      </c>
      <c r="P72">
        <v>2.3174000000000001</v>
      </c>
      <c r="Q72">
        <v>2.4211</v>
      </c>
    </row>
    <row r="73" spans="1:17">
      <c r="A73" t="s">
        <v>405</v>
      </c>
      <c r="B73" t="s">
        <v>406</v>
      </c>
      <c r="C73" t="s">
        <v>455</v>
      </c>
      <c r="D73" t="s">
        <v>456</v>
      </c>
      <c r="E73" t="s">
        <v>392</v>
      </c>
      <c r="F73" t="s">
        <v>350</v>
      </c>
      <c r="G73">
        <v>3.6516999999999999</v>
      </c>
      <c r="H73">
        <v>2.8921999999999999</v>
      </c>
      <c r="I73">
        <v>2.5567000000000002</v>
      </c>
      <c r="J73">
        <v>3.1145999999999998</v>
      </c>
      <c r="K73">
        <v>4.0449999999999999</v>
      </c>
      <c r="L73">
        <v>3.2484000000000002</v>
      </c>
      <c r="M73">
        <v>3.5785</v>
      </c>
      <c r="N73">
        <v>3.7593999999999999</v>
      </c>
      <c r="O73">
        <v>4.6815999999999995</v>
      </c>
      <c r="P73">
        <v>3.4935</v>
      </c>
      <c r="Q73">
        <v>3.8363</v>
      </c>
    </row>
    <row r="74" spans="1:17">
      <c r="A74" t="s">
        <v>407</v>
      </c>
      <c r="B74" t="s">
        <v>408</v>
      </c>
      <c r="C74" t="s">
        <v>455</v>
      </c>
      <c r="D74" t="s">
        <v>456</v>
      </c>
      <c r="E74" t="s">
        <v>392</v>
      </c>
      <c r="F74" t="s">
        <v>350</v>
      </c>
      <c r="G74">
        <v>0</v>
      </c>
      <c r="H74">
        <v>0</v>
      </c>
      <c r="I74">
        <v>0</v>
      </c>
      <c r="J74">
        <v>0</v>
      </c>
      <c r="K74">
        <v>0</v>
      </c>
      <c r="L74">
        <v>0</v>
      </c>
      <c r="M74">
        <v>0</v>
      </c>
      <c r="N74">
        <v>0</v>
      </c>
      <c r="O74">
        <v>0</v>
      </c>
      <c r="P74" t="s">
        <v>350</v>
      </c>
      <c r="Q74" t="s">
        <v>350</v>
      </c>
    </row>
    <row r="75" spans="1:17">
      <c r="A75" t="s">
        <v>409</v>
      </c>
      <c r="B75" t="s">
        <v>410</v>
      </c>
      <c r="C75" t="s">
        <v>455</v>
      </c>
      <c r="D75" t="s">
        <v>456</v>
      </c>
      <c r="E75" t="s">
        <v>392</v>
      </c>
      <c r="F75">
        <v>1.3313999999999999</v>
      </c>
      <c r="G75">
        <v>1.8812</v>
      </c>
      <c r="H75">
        <v>1.5385</v>
      </c>
      <c r="I75">
        <v>2.0926</v>
      </c>
      <c r="J75">
        <v>3.1168</v>
      </c>
      <c r="K75">
        <v>3.3089</v>
      </c>
      <c r="L75">
        <v>3.0512999999999999</v>
      </c>
      <c r="M75">
        <v>3.3166000000000002</v>
      </c>
      <c r="N75">
        <v>2.7240000000000002</v>
      </c>
      <c r="O75">
        <v>2.4944999999999999</v>
      </c>
      <c r="P75">
        <v>0.93989999999999996</v>
      </c>
      <c r="Q75">
        <v>0.5978</v>
      </c>
    </row>
    <row r="76" spans="1:17">
      <c r="A76" t="s">
        <v>411</v>
      </c>
      <c r="B76" t="s">
        <v>412</v>
      </c>
      <c r="C76" t="s">
        <v>455</v>
      </c>
      <c r="D76" t="s">
        <v>456</v>
      </c>
      <c r="E76" t="s">
        <v>392</v>
      </c>
      <c r="F76" t="s">
        <v>350</v>
      </c>
      <c r="G76">
        <v>0</v>
      </c>
      <c r="H76">
        <v>0</v>
      </c>
      <c r="I76">
        <v>0</v>
      </c>
      <c r="J76">
        <v>0</v>
      </c>
      <c r="K76">
        <v>0</v>
      </c>
      <c r="L76">
        <v>0</v>
      </c>
      <c r="M76">
        <v>0</v>
      </c>
      <c r="N76">
        <v>0</v>
      </c>
      <c r="O76">
        <v>0</v>
      </c>
      <c r="P76">
        <v>0</v>
      </c>
      <c r="Q76">
        <v>0</v>
      </c>
    </row>
    <row r="77" spans="1:17">
      <c r="A77" t="s">
        <v>413</v>
      </c>
      <c r="B77" t="s">
        <v>414</v>
      </c>
      <c r="C77" t="s">
        <v>455</v>
      </c>
      <c r="D77" t="s">
        <v>456</v>
      </c>
      <c r="E77" t="s">
        <v>392</v>
      </c>
      <c r="F77">
        <v>0.99680000000000002</v>
      </c>
      <c r="G77">
        <v>1.2178</v>
      </c>
      <c r="H77">
        <v>1.2977000000000001</v>
      </c>
      <c r="I77">
        <v>1.9864999999999999</v>
      </c>
      <c r="J77">
        <v>1.3288</v>
      </c>
      <c r="K77">
        <v>0.83919999999999995</v>
      </c>
      <c r="L77">
        <v>0.86099999999999999</v>
      </c>
      <c r="M77">
        <v>0.94350000000000001</v>
      </c>
      <c r="N77">
        <v>0.66930000000000001</v>
      </c>
      <c r="O77">
        <v>0.71750000000000003</v>
      </c>
      <c r="P77">
        <v>0.54620000000000002</v>
      </c>
      <c r="Q77">
        <v>0.78869999999999996</v>
      </c>
    </row>
    <row r="78" spans="1:17">
      <c r="A78" t="s">
        <v>415</v>
      </c>
      <c r="B78" t="s">
        <v>416</v>
      </c>
      <c r="C78" t="s">
        <v>455</v>
      </c>
      <c r="D78" t="s">
        <v>456</v>
      </c>
      <c r="E78" t="s">
        <v>392</v>
      </c>
      <c r="F78">
        <v>4.0349000000000004</v>
      </c>
      <c r="G78">
        <v>3.7861000000000002</v>
      </c>
      <c r="H78">
        <v>4.0050999999999997</v>
      </c>
      <c r="I78">
        <v>3.9998</v>
      </c>
      <c r="J78">
        <v>3.8056999999999999</v>
      </c>
      <c r="K78">
        <v>3.5680000000000001</v>
      </c>
      <c r="L78">
        <v>3.6968000000000001</v>
      </c>
      <c r="M78">
        <v>4.0056000000000003</v>
      </c>
      <c r="N78">
        <v>3.6611000000000002</v>
      </c>
      <c r="O78">
        <v>4.2853000000000003</v>
      </c>
      <c r="P78">
        <v>4.4437999999999995</v>
      </c>
      <c r="Q78">
        <v>2.9712000000000001</v>
      </c>
    </row>
    <row r="79" spans="1:17">
      <c r="A79" t="s">
        <v>417</v>
      </c>
      <c r="B79" t="s">
        <v>418</v>
      </c>
      <c r="C79" t="s">
        <v>455</v>
      </c>
      <c r="D79" t="s">
        <v>456</v>
      </c>
      <c r="E79" t="s">
        <v>392</v>
      </c>
      <c r="F79">
        <v>1.7375</v>
      </c>
      <c r="G79">
        <v>1.1733</v>
      </c>
      <c r="H79">
        <v>1.1711</v>
      </c>
      <c r="I79">
        <v>1.1595</v>
      </c>
      <c r="J79">
        <v>1.1785000000000001</v>
      </c>
      <c r="K79">
        <v>1.1693</v>
      </c>
      <c r="L79">
        <v>1.1830000000000001</v>
      </c>
      <c r="M79">
        <v>1.2942</v>
      </c>
      <c r="N79">
        <v>1.3312999999999999</v>
      </c>
      <c r="O79">
        <v>1.2130000000000001</v>
      </c>
      <c r="P79">
        <v>0.90100000000000002</v>
      </c>
      <c r="Q79">
        <v>0.80700000000000005</v>
      </c>
    </row>
    <row r="80" spans="1:17">
      <c r="A80" t="s">
        <v>419</v>
      </c>
      <c r="B80" t="s">
        <v>420</v>
      </c>
      <c r="C80" t="s">
        <v>455</v>
      </c>
      <c r="D80" t="s">
        <v>456</v>
      </c>
      <c r="E80" t="s">
        <v>392</v>
      </c>
      <c r="F80">
        <v>1.8883999999999999</v>
      </c>
      <c r="G80">
        <v>2.0297999999999998</v>
      </c>
      <c r="H80">
        <v>2.2294999999999998</v>
      </c>
      <c r="I80">
        <v>1.9540999999999999</v>
      </c>
      <c r="J80">
        <v>1.7690000000000001</v>
      </c>
      <c r="K80">
        <v>1.73</v>
      </c>
      <c r="L80">
        <v>1.7692999999999999</v>
      </c>
      <c r="M80">
        <v>1.4619</v>
      </c>
      <c r="N80">
        <v>1.1913</v>
      </c>
      <c r="O80">
        <v>1.3785000000000001</v>
      </c>
      <c r="P80">
        <v>1.5808</v>
      </c>
      <c r="Q80">
        <v>1.3378999999999999</v>
      </c>
    </row>
    <row r="81" spans="1:17">
      <c r="A81" t="s">
        <v>421</v>
      </c>
      <c r="B81" t="s">
        <v>422</v>
      </c>
      <c r="C81" t="s">
        <v>455</v>
      </c>
      <c r="D81" t="s">
        <v>456</v>
      </c>
      <c r="E81" t="s">
        <v>392</v>
      </c>
      <c r="F81">
        <v>0.15570000000000001</v>
      </c>
      <c r="G81">
        <v>0.1741</v>
      </c>
      <c r="H81">
        <v>0.15440000000000001</v>
      </c>
      <c r="I81">
        <v>0.18149999999999999</v>
      </c>
      <c r="J81">
        <v>0.16470000000000001</v>
      </c>
      <c r="K81">
        <v>0.16009999999999999</v>
      </c>
      <c r="L81">
        <v>0.1515</v>
      </c>
      <c r="M81">
        <v>0.2094</v>
      </c>
      <c r="N81">
        <v>0.23380000000000001</v>
      </c>
      <c r="O81">
        <v>0.2581</v>
      </c>
      <c r="P81">
        <v>0.29599999999999999</v>
      </c>
      <c r="Q81">
        <v>0.3407</v>
      </c>
    </row>
    <row r="82" spans="1:17">
      <c r="A82" t="s">
        <v>423</v>
      </c>
      <c r="B82" t="s">
        <v>424</v>
      </c>
      <c r="C82" t="s">
        <v>455</v>
      </c>
      <c r="D82" t="s">
        <v>456</v>
      </c>
      <c r="E82" t="s">
        <v>392</v>
      </c>
      <c r="F82">
        <v>2.9901999999999997</v>
      </c>
      <c r="G82">
        <v>2.6587000000000001</v>
      </c>
      <c r="H82">
        <v>2.7597</v>
      </c>
      <c r="I82">
        <v>2.7629999999999999</v>
      </c>
      <c r="J82">
        <v>2.9218999999999999</v>
      </c>
      <c r="K82">
        <v>2.6503999999999999</v>
      </c>
      <c r="L82">
        <v>2.1688000000000001</v>
      </c>
      <c r="M82">
        <v>1.9815</v>
      </c>
      <c r="N82">
        <v>2.2081</v>
      </c>
      <c r="O82">
        <v>2.1598000000000002</v>
      </c>
      <c r="P82">
        <v>1.7614999999999998</v>
      </c>
      <c r="Q82">
        <v>1.6913</v>
      </c>
    </row>
    <row r="83" spans="1:17">
      <c r="A83" t="s">
        <v>425</v>
      </c>
      <c r="B83" t="s">
        <v>426</v>
      </c>
      <c r="C83" t="s">
        <v>455</v>
      </c>
      <c r="D83" t="s">
        <v>456</v>
      </c>
      <c r="E83" t="s">
        <v>392</v>
      </c>
      <c r="F83">
        <v>1.1175999999999999</v>
      </c>
      <c r="G83">
        <v>1.2166999999999999</v>
      </c>
      <c r="H83">
        <v>1.2090000000000001</v>
      </c>
      <c r="I83">
        <v>1.2096</v>
      </c>
      <c r="J83">
        <v>1.2575000000000001</v>
      </c>
      <c r="K83">
        <v>1.3681000000000001</v>
      </c>
      <c r="L83">
        <v>1.6516</v>
      </c>
      <c r="M83">
        <v>1.5424</v>
      </c>
      <c r="N83">
        <v>1.6657999999999999</v>
      </c>
      <c r="O83">
        <v>1.2625</v>
      </c>
      <c r="P83" t="s">
        <v>350</v>
      </c>
      <c r="Q83" t="s">
        <v>350</v>
      </c>
    </row>
    <row r="84" spans="1:17">
      <c r="A84" t="s">
        <v>427</v>
      </c>
      <c r="B84" t="s">
        <v>428</v>
      </c>
      <c r="C84" t="s">
        <v>455</v>
      </c>
      <c r="D84" t="s">
        <v>456</v>
      </c>
      <c r="E84" t="s">
        <v>392</v>
      </c>
      <c r="F84">
        <v>0</v>
      </c>
      <c r="G84">
        <v>0</v>
      </c>
      <c r="H84">
        <v>0</v>
      </c>
      <c r="I84">
        <v>0</v>
      </c>
      <c r="J84">
        <v>0</v>
      </c>
      <c r="K84">
        <v>0</v>
      </c>
      <c r="L84">
        <v>0</v>
      </c>
      <c r="M84">
        <v>0</v>
      </c>
      <c r="N84">
        <v>0</v>
      </c>
      <c r="O84" t="s">
        <v>350</v>
      </c>
      <c r="P84" t="s">
        <v>350</v>
      </c>
      <c r="Q84" t="s">
        <v>350</v>
      </c>
    </row>
    <row r="85" spans="1:17">
      <c r="A85" t="s">
        <v>429</v>
      </c>
      <c r="B85" t="s">
        <v>430</v>
      </c>
      <c r="C85" t="s">
        <v>455</v>
      </c>
      <c r="D85" t="s">
        <v>456</v>
      </c>
      <c r="E85" t="s">
        <v>392</v>
      </c>
      <c r="F85" t="s">
        <v>350</v>
      </c>
      <c r="G85">
        <v>2.5508999999999999</v>
      </c>
      <c r="H85">
        <v>2.6059999999999999</v>
      </c>
      <c r="I85">
        <v>2.4032</v>
      </c>
      <c r="J85">
        <v>2.4344999999999999</v>
      </c>
      <c r="K85">
        <v>2.5922999999999998</v>
      </c>
      <c r="L85">
        <v>2.5779000000000001</v>
      </c>
      <c r="M85">
        <v>2.6173000000000002</v>
      </c>
      <c r="N85">
        <v>2.3172999999999999</v>
      </c>
      <c r="O85">
        <v>2.1583000000000001</v>
      </c>
      <c r="P85">
        <v>2.4741</v>
      </c>
      <c r="Q85">
        <v>6.6096000000000004</v>
      </c>
    </row>
    <row r="86" spans="1:17">
      <c r="A86" t="s">
        <v>431</v>
      </c>
      <c r="B86" t="s">
        <v>432</v>
      </c>
      <c r="C86" t="s">
        <v>455</v>
      </c>
      <c r="D86" t="s">
        <v>456</v>
      </c>
      <c r="E86" t="s">
        <v>392</v>
      </c>
      <c r="F86">
        <v>1.2466999999999999</v>
      </c>
      <c r="G86">
        <v>1.2534000000000001</v>
      </c>
      <c r="H86">
        <v>1.0848</v>
      </c>
      <c r="I86">
        <v>1.1176999999999999</v>
      </c>
      <c r="J86">
        <v>1.194</v>
      </c>
      <c r="K86">
        <v>0.96050000000000002</v>
      </c>
      <c r="L86">
        <v>0.82640000000000002</v>
      </c>
      <c r="M86">
        <v>0.8075</v>
      </c>
      <c r="N86">
        <v>1.0216000000000001</v>
      </c>
      <c r="O86">
        <v>0.89329999999999998</v>
      </c>
      <c r="P86">
        <v>0.68569999999999998</v>
      </c>
      <c r="Q86">
        <v>0.92910000000000004</v>
      </c>
    </row>
    <row r="87" spans="1:17">
      <c r="A87" t="s">
        <v>433</v>
      </c>
      <c r="B87" t="s">
        <v>434</v>
      </c>
      <c r="C87" t="s">
        <v>455</v>
      </c>
      <c r="D87" t="s">
        <v>456</v>
      </c>
      <c r="E87" t="s">
        <v>392</v>
      </c>
      <c r="F87">
        <v>0.4909</v>
      </c>
      <c r="G87">
        <v>0.58240000000000003</v>
      </c>
      <c r="H87">
        <v>0.51900000000000002</v>
      </c>
      <c r="I87">
        <v>0.52280000000000004</v>
      </c>
      <c r="J87">
        <v>0.43219999999999997</v>
      </c>
      <c r="K87">
        <v>0.3594</v>
      </c>
      <c r="L87">
        <v>0.31509999999999999</v>
      </c>
      <c r="M87">
        <v>0.20580000000000001</v>
      </c>
      <c r="N87">
        <v>0.32229999999999998</v>
      </c>
      <c r="O87">
        <v>0.2707</v>
      </c>
      <c r="P87">
        <v>0.4214</v>
      </c>
      <c r="Q87">
        <v>0.36680000000000001</v>
      </c>
    </row>
    <row r="88" spans="1:17">
      <c r="A88" t="s">
        <v>435</v>
      </c>
      <c r="B88" t="s">
        <v>436</v>
      </c>
      <c r="C88" t="s">
        <v>455</v>
      </c>
      <c r="D88" t="s">
        <v>456</v>
      </c>
      <c r="E88" t="s">
        <v>392</v>
      </c>
      <c r="F88" t="s">
        <v>350</v>
      </c>
      <c r="G88">
        <v>1.111</v>
      </c>
      <c r="H88">
        <v>1.0961000000000001</v>
      </c>
      <c r="I88">
        <v>0.91590000000000005</v>
      </c>
      <c r="J88">
        <v>0.99250000000000005</v>
      </c>
      <c r="K88">
        <v>0.46750000000000003</v>
      </c>
      <c r="L88">
        <v>0.4219</v>
      </c>
      <c r="M88">
        <v>0.2407</v>
      </c>
      <c r="N88">
        <v>0</v>
      </c>
      <c r="O88" t="s">
        <v>350</v>
      </c>
      <c r="P88" t="s">
        <v>350</v>
      </c>
      <c r="Q88" t="s">
        <v>350</v>
      </c>
    </row>
    <row r="89" spans="1:17">
      <c r="A89" t="s">
        <v>437</v>
      </c>
      <c r="B89" t="s">
        <v>438</v>
      </c>
      <c r="C89" t="s">
        <v>455</v>
      </c>
      <c r="D89" t="s">
        <v>456</v>
      </c>
      <c r="E89" t="s">
        <v>392</v>
      </c>
      <c r="F89" t="s">
        <v>350</v>
      </c>
      <c r="G89">
        <v>3.4194</v>
      </c>
      <c r="H89">
        <v>2.0571999999999999</v>
      </c>
      <c r="I89">
        <v>3.2625000000000002</v>
      </c>
      <c r="J89">
        <v>1.6680000000000001</v>
      </c>
      <c r="K89">
        <v>1.3491</v>
      </c>
      <c r="L89">
        <v>1.4693000000000001</v>
      </c>
      <c r="M89">
        <v>0.13550000000000001</v>
      </c>
      <c r="N89" t="s">
        <v>350</v>
      </c>
      <c r="O89" t="s">
        <v>350</v>
      </c>
      <c r="P89" t="s">
        <v>350</v>
      </c>
      <c r="Q89" t="s">
        <v>350</v>
      </c>
    </row>
    <row r="90" spans="1:17">
      <c r="A90" t="s">
        <v>439</v>
      </c>
      <c r="B90" t="s">
        <v>440</v>
      </c>
      <c r="C90" t="s">
        <v>455</v>
      </c>
      <c r="D90" t="s">
        <v>456</v>
      </c>
      <c r="E90" t="s">
        <v>392</v>
      </c>
      <c r="F90">
        <v>0</v>
      </c>
      <c r="G90">
        <v>0</v>
      </c>
      <c r="H90">
        <v>0</v>
      </c>
      <c r="I90">
        <v>0</v>
      </c>
      <c r="J90">
        <v>0</v>
      </c>
      <c r="K90">
        <v>0</v>
      </c>
      <c r="L90">
        <v>0</v>
      </c>
      <c r="M90">
        <v>0</v>
      </c>
      <c r="N90">
        <v>0</v>
      </c>
      <c r="O90">
        <v>0</v>
      </c>
      <c r="P90">
        <v>0</v>
      </c>
      <c r="Q90">
        <v>0</v>
      </c>
    </row>
    <row r="91" spans="1:17">
      <c r="A91" t="s">
        <v>441</v>
      </c>
      <c r="B91" t="s">
        <v>442</v>
      </c>
      <c r="C91" t="s">
        <v>455</v>
      </c>
      <c r="D91" t="s">
        <v>456</v>
      </c>
      <c r="E91" t="s">
        <v>392</v>
      </c>
      <c r="F91">
        <v>0</v>
      </c>
      <c r="G91">
        <v>0</v>
      </c>
      <c r="H91">
        <v>0</v>
      </c>
      <c r="I91">
        <v>0</v>
      </c>
      <c r="J91">
        <v>0</v>
      </c>
      <c r="K91">
        <v>0</v>
      </c>
      <c r="L91">
        <v>0</v>
      </c>
      <c r="M91" t="s">
        <v>350</v>
      </c>
      <c r="N91" t="s">
        <v>350</v>
      </c>
      <c r="O91" t="s">
        <v>350</v>
      </c>
      <c r="P91">
        <v>0</v>
      </c>
      <c r="Q91">
        <v>0</v>
      </c>
    </row>
    <row r="92" spans="1:17">
      <c r="A92" t="s">
        <v>443</v>
      </c>
      <c r="B92" t="s">
        <v>444</v>
      </c>
      <c r="C92" t="s">
        <v>455</v>
      </c>
      <c r="D92" t="s">
        <v>456</v>
      </c>
      <c r="E92" t="s">
        <v>392</v>
      </c>
      <c r="F92">
        <v>1.2464</v>
      </c>
      <c r="G92">
        <v>1.2843</v>
      </c>
      <c r="H92">
        <v>1.5987</v>
      </c>
      <c r="I92">
        <v>1.2572000000000001</v>
      </c>
      <c r="J92">
        <v>1.2096</v>
      </c>
      <c r="K92">
        <v>1.0168999999999999</v>
      </c>
      <c r="L92">
        <v>1.2154</v>
      </c>
      <c r="M92">
        <v>0.84899999999999998</v>
      </c>
      <c r="N92">
        <v>0.39279999999999998</v>
      </c>
      <c r="O92">
        <v>0.55400000000000005</v>
      </c>
      <c r="P92">
        <v>0.76480000000000004</v>
      </c>
      <c r="Q92">
        <v>1.4224999999999999</v>
      </c>
    </row>
    <row r="93" spans="1:17">
      <c r="A93" t="s">
        <v>445</v>
      </c>
      <c r="B93" t="s">
        <v>446</v>
      </c>
      <c r="C93" t="s">
        <v>455</v>
      </c>
      <c r="D93" t="s">
        <v>456</v>
      </c>
      <c r="E93" t="s">
        <v>392</v>
      </c>
      <c r="F93" t="s">
        <v>350</v>
      </c>
      <c r="G93">
        <v>3.7128000000000001</v>
      </c>
      <c r="H93">
        <v>3.0326</v>
      </c>
      <c r="I93">
        <v>2.9843999999999999</v>
      </c>
      <c r="J93">
        <v>3.0543999999999998</v>
      </c>
      <c r="K93">
        <v>3.0731999999999999</v>
      </c>
      <c r="L93">
        <v>3.2054</v>
      </c>
      <c r="M93">
        <v>3.3161999999999998</v>
      </c>
      <c r="N93">
        <v>3.7067999999999999</v>
      </c>
      <c r="O93">
        <v>3.9290000000000003</v>
      </c>
      <c r="P93">
        <v>3.3054000000000001</v>
      </c>
      <c r="Q93">
        <v>3.0878999999999999</v>
      </c>
    </row>
    <row r="94" spans="1:17">
      <c r="A94" t="s">
        <v>447</v>
      </c>
      <c r="B94" t="s">
        <v>448</v>
      </c>
      <c r="C94" t="s">
        <v>455</v>
      </c>
      <c r="D94" t="s">
        <v>456</v>
      </c>
      <c r="E94" t="s">
        <v>392</v>
      </c>
      <c r="F94">
        <v>1.7583</v>
      </c>
      <c r="G94">
        <v>2.0903999999999998</v>
      </c>
      <c r="H94">
        <v>2.1471999999999998</v>
      </c>
      <c r="I94">
        <v>2.2662</v>
      </c>
      <c r="J94">
        <v>2.0781000000000001</v>
      </c>
      <c r="K94">
        <v>1.8178999999999998</v>
      </c>
      <c r="L94">
        <v>1.7221</v>
      </c>
      <c r="M94">
        <v>1.6065</v>
      </c>
      <c r="N94">
        <v>1.5158</v>
      </c>
      <c r="O94">
        <v>1.4441999999999999</v>
      </c>
      <c r="P94">
        <v>1.5369999999999999</v>
      </c>
      <c r="Q94">
        <v>1.3531</v>
      </c>
    </row>
    <row r="95" spans="1:17">
      <c r="A95" t="s">
        <v>449</v>
      </c>
      <c r="B95" t="s">
        <v>450</v>
      </c>
      <c r="C95" t="s">
        <v>455</v>
      </c>
      <c r="D95" t="s">
        <v>456</v>
      </c>
      <c r="E95" t="s">
        <v>392</v>
      </c>
      <c r="F95">
        <v>3.7195999999999998</v>
      </c>
      <c r="G95">
        <v>3.7963</v>
      </c>
      <c r="H95">
        <v>3.9186000000000001</v>
      </c>
      <c r="I95">
        <v>4.0838999999999999</v>
      </c>
      <c r="J95">
        <v>4.2275</v>
      </c>
      <c r="K95">
        <v>4.0477999999999996</v>
      </c>
      <c r="L95">
        <v>4.2792000000000003</v>
      </c>
      <c r="M95">
        <v>4.5366999999999997</v>
      </c>
      <c r="N95">
        <v>6.0029000000000003</v>
      </c>
      <c r="O95">
        <v>4.6036999999999999</v>
      </c>
      <c r="P95">
        <v>4.5193000000000003</v>
      </c>
      <c r="Q95">
        <v>3.9417</v>
      </c>
    </row>
    <row r="96" spans="1:17">
      <c r="A96" t="s">
        <v>460</v>
      </c>
      <c r="B96" t="s">
        <v>350</v>
      </c>
      <c r="C96" t="s">
        <v>350</v>
      </c>
      <c r="D96" t="s">
        <v>350</v>
      </c>
      <c r="E96" t="s">
        <v>387</v>
      </c>
      <c r="F96">
        <v>0.98342999999999992</v>
      </c>
      <c r="G96">
        <v>1.2094862068965517</v>
      </c>
      <c r="H96">
        <v>1.7352758620689654</v>
      </c>
      <c r="I96">
        <v>1.2194464285714286</v>
      </c>
      <c r="J96">
        <v>1.1970214285714285</v>
      </c>
      <c r="K96">
        <v>1.4653555555555555</v>
      </c>
      <c r="L96">
        <v>2.0572928571428575</v>
      </c>
      <c r="M96">
        <v>2.1639925925925927</v>
      </c>
      <c r="N96">
        <v>1.1663592592592591</v>
      </c>
      <c r="O96">
        <v>2.029153571428572</v>
      </c>
      <c r="P96">
        <v>2.9673814814814818</v>
      </c>
      <c r="Q96">
        <v>2.5257679999999998</v>
      </c>
    </row>
    <row r="97" spans="1:17">
      <c r="A97" t="s">
        <v>388</v>
      </c>
      <c r="B97" t="s">
        <v>389</v>
      </c>
      <c r="C97" t="s">
        <v>461</v>
      </c>
      <c r="D97" t="s">
        <v>462</v>
      </c>
      <c r="E97" t="s">
        <v>392</v>
      </c>
      <c r="F97">
        <v>0.86570000000000003</v>
      </c>
      <c r="G97">
        <v>0.9224</v>
      </c>
      <c r="H97">
        <v>1.0464</v>
      </c>
      <c r="I97">
        <v>1.5345</v>
      </c>
      <c r="J97">
        <v>1.18</v>
      </c>
      <c r="K97">
        <v>1.7366999999999999</v>
      </c>
      <c r="L97">
        <v>1.3799000000000001</v>
      </c>
      <c r="M97">
        <v>1.8464</v>
      </c>
      <c r="N97">
        <v>0.68230000000000002</v>
      </c>
      <c r="O97">
        <v>1.1379999999999999</v>
      </c>
      <c r="P97">
        <v>1.1049</v>
      </c>
      <c r="Q97">
        <v>1.3169999999999999</v>
      </c>
    </row>
    <row r="98" spans="1:17">
      <c r="A98" t="s">
        <v>393</v>
      </c>
      <c r="B98" t="s">
        <v>394</v>
      </c>
      <c r="C98" t="s">
        <v>461</v>
      </c>
      <c r="D98" t="s">
        <v>462</v>
      </c>
      <c r="E98" t="s">
        <v>392</v>
      </c>
      <c r="F98">
        <v>0.42449999999999999</v>
      </c>
      <c r="G98">
        <v>1.2915000000000001</v>
      </c>
      <c r="H98">
        <v>2.4834999999999998</v>
      </c>
      <c r="I98">
        <v>1.1102000000000001</v>
      </c>
      <c r="J98">
        <v>0.5746</v>
      </c>
      <c r="K98">
        <v>1.1567000000000001</v>
      </c>
      <c r="L98">
        <v>3.4403000000000001</v>
      </c>
      <c r="M98">
        <v>0.98619999999999997</v>
      </c>
      <c r="N98">
        <v>0.40010000000000001</v>
      </c>
      <c r="O98">
        <v>2.0063</v>
      </c>
      <c r="P98">
        <v>1.1905000000000001</v>
      </c>
      <c r="Q98">
        <v>1.1309</v>
      </c>
    </row>
    <row r="99" spans="1:17">
      <c r="A99" t="s">
        <v>395</v>
      </c>
      <c r="B99" t="s">
        <v>396</v>
      </c>
      <c r="C99" t="s">
        <v>461</v>
      </c>
      <c r="D99" t="s">
        <v>462</v>
      </c>
      <c r="E99" t="s">
        <v>392</v>
      </c>
      <c r="F99" t="s">
        <v>350</v>
      </c>
      <c r="G99">
        <v>1.0753999999999999</v>
      </c>
      <c r="H99">
        <v>2.4064000000000001</v>
      </c>
      <c r="I99">
        <v>2.1579999999999999</v>
      </c>
      <c r="J99">
        <v>1.8109</v>
      </c>
      <c r="K99">
        <v>1.109</v>
      </c>
      <c r="L99">
        <v>1.8982999999999999</v>
      </c>
      <c r="M99">
        <v>1.0566</v>
      </c>
      <c r="N99">
        <v>1.4112</v>
      </c>
      <c r="O99">
        <v>4.7789999999999999</v>
      </c>
      <c r="P99">
        <v>6.2153999999999998</v>
      </c>
      <c r="Q99">
        <v>12.2376</v>
      </c>
    </row>
    <row r="100" spans="1:17">
      <c r="A100" t="s">
        <v>397</v>
      </c>
      <c r="B100" t="s">
        <v>398</v>
      </c>
      <c r="C100" t="s">
        <v>461</v>
      </c>
      <c r="D100" t="s">
        <v>462</v>
      </c>
      <c r="E100" t="s">
        <v>392</v>
      </c>
      <c r="F100">
        <v>1.5178</v>
      </c>
      <c r="G100">
        <v>0.96830000000000005</v>
      </c>
      <c r="H100">
        <v>1.0626</v>
      </c>
      <c r="I100">
        <v>1.0550999999999999</v>
      </c>
      <c r="J100">
        <v>0.88739999999999997</v>
      </c>
      <c r="K100" t="s">
        <v>350</v>
      </c>
      <c r="L100">
        <v>0.88370000000000004</v>
      </c>
      <c r="M100">
        <v>0.95450000000000002</v>
      </c>
      <c r="N100">
        <v>1.0251999999999999</v>
      </c>
      <c r="O100">
        <v>0.9748</v>
      </c>
      <c r="P100">
        <v>0.60040000000000004</v>
      </c>
      <c r="Q100">
        <v>1.8324</v>
      </c>
    </row>
    <row r="101" spans="1:17">
      <c r="A101" t="s">
        <v>399</v>
      </c>
      <c r="B101" t="s">
        <v>400</v>
      </c>
      <c r="C101" t="s">
        <v>461</v>
      </c>
      <c r="D101" t="s">
        <v>462</v>
      </c>
      <c r="E101" t="s">
        <v>392</v>
      </c>
      <c r="F101" t="s">
        <v>350</v>
      </c>
      <c r="G101">
        <v>1.4722999999999999</v>
      </c>
      <c r="H101">
        <v>4.4809999999999999</v>
      </c>
      <c r="I101">
        <v>0.53810000000000002</v>
      </c>
      <c r="J101">
        <v>0.63070000000000004</v>
      </c>
      <c r="K101">
        <v>0.11700000000000001</v>
      </c>
      <c r="L101">
        <v>9.4459999999999997</v>
      </c>
      <c r="M101">
        <v>2.9558999999999997</v>
      </c>
      <c r="N101">
        <v>4.6228999999999996</v>
      </c>
      <c r="O101">
        <v>8.6760000000000002</v>
      </c>
      <c r="P101">
        <v>8.8282000000000007</v>
      </c>
      <c r="Q101">
        <v>4.5050999999999997</v>
      </c>
    </row>
    <row r="102" spans="1:17" s="449" customFormat="1">
      <c r="A102" s="449" t="s">
        <v>401</v>
      </c>
      <c r="B102" s="449" t="s">
        <v>402</v>
      </c>
      <c r="C102" s="449" t="s">
        <v>461</v>
      </c>
      <c r="D102" s="449" t="s">
        <v>462</v>
      </c>
      <c r="E102" s="449" t="s">
        <v>392</v>
      </c>
      <c r="F102" s="449">
        <v>0.7036</v>
      </c>
      <c r="G102" s="449">
        <v>0.69110000000000005</v>
      </c>
      <c r="H102" s="449">
        <v>1.0261</v>
      </c>
      <c r="I102" s="449">
        <v>1.23</v>
      </c>
      <c r="J102" s="449">
        <v>1.1464000000000001</v>
      </c>
      <c r="K102" s="449">
        <v>1.6917</v>
      </c>
      <c r="L102" s="449">
        <v>1.4549000000000001</v>
      </c>
      <c r="M102" s="449">
        <v>1.4859</v>
      </c>
      <c r="N102" s="449">
        <v>0.73350000000000004</v>
      </c>
      <c r="O102" s="449">
        <v>1.7292000000000001</v>
      </c>
      <c r="P102" s="449">
        <v>1.1117999999999999</v>
      </c>
      <c r="Q102" s="449">
        <v>1.579</v>
      </c>
    </row>
    <row r="103" spans="1:17">
      <c r="A103" t="s">
        <v>403</v>
      </c>
      <c r="B103" t="s">
        <v>404</v>
      </c>
      <c r="C103" t="s">
        <v>461</v>
      </c>
      <c r="D103" t="s">
        <v>462</v>
      </c>
      <c r="E103" t="s">
        <v>392</v>
      </c>
      <c r="F103">
        <v>1.2859</v>
      </c>
      <c r="G103">
        <v>1.5556999999999999</v>
      </c>
      <c r="H103">
        <v>0.79569999999999996</v>
      </c>
      <c r="I103" t="s">
        <v>350</v>
      </c>
      <c r="J103" t="s">
        <v>350</v>
      </c>
      <c r="K103" t="s">
        <v>350</v>
      </c>
      <c r="L103" t="s">
        <v>350</v>
      </c>
      <c r="M103" t="s">
        <v>350</v>
      </c>
      <c r="N103">
        <v>0.3352</v>
      </c>
      <c r="O103">
        <v>0.72919999999999996</v>
      </c>
      <c r="P103">
        <v>0.75309999999999999</v>
      </c>
      <c r="Q103">
        <v>0.61260000000000003</v>
      </c>
    </row>
    <row r="104" spans="1:17">
      <c r="A104" t="s">
        <v>405</v>
      </c>
      <c r="B104" t="s">
        <v>406</v>
      </c>
      <c r="C104" t="s">
        <v>461</v>
      </c>
      <c r="D104" t="s">
        <v>462</v>
      </c>
      <c r="E104" t="s">
        <v>392</v>
      </c>
      <c r="F104" t="s">
        <v>350</v>
      </c>
      <c r="G104">
        <v>0.36720000000000003</v>
      </c>
      <c r="H104">
        <v>6.9435000000000002</v>
      </c>
      <c r="I104">
        <v>0.54510000000000003</v>
      </c>
      <c r="J104">
        <v>1.5617999999999999</v>
      </c>
      <c r="K104">
        <v>0.98499999999999999</v>
      </c>
      <c r="L104">
        <v>0.41820000000000002</v>
      </c>
      <c r="M104">
        <v>0.79779999999999995</v>
      </c>
      <c r="N104">
        <v>0.4536</v>
      </c>
      <c r="O104">
        <v>0.62390000000000001</v>
      </c>
      <c r="P104">
        <v>1.0270999999999999</v>
      </c>
      <c r="Q104">
        <v>0.87370000000000003</v>
      </c>
    </row>
    <row r="105" spans="1:17">
      <c r="A105" t="s">
        <v>407</v>
      </c>
      <c r="B105" t="s">
        <v>408</v>
      </c>
      <c r="C105" t="s">
        <v>461</v>
      </c>
      <c r="D105" t="s">
        <v>462</v>
      </c>
      <c r="E105" t="s">
        <v>392</v>
      </c>
      <c r="F105" t="s">
        <v>350</v>
      </c>
      <c r="G105">
        <v>3.0339</v>
      </c>
      <c r="H105">
        <v>2.3477000000000001</v>
      </c>
      <c r="I105">
        <v>3.9910999999999999</v>
      </c>
      <c r="J105">
        <v>1.0222</v>
      </c>
      <c r="K105">
        <v>1.0792999999999999</v>
      </c>
      <c r="L105">
        <v>3.8050000000000002</v>
      </c>
      <c r="M105">
        <v>2.5653999999999999</v>
      </c>
      <c r="N105">
        <v>1.0673999999999999</v>
      </c>
      <c r="O105">
        <v>0.86419999999999997</v>
      </c>
      <c r="P105">
        <v>4.0275999999999996</v>
      </c>
      <c r="Q105" t="s">
        <v>350</v>
      </c>
    </row>
    <row r="106" spans="1:17">
      <c r="A106" t="s">
        <v>409</v>
      </c>
      <c r="B106" t="s">
        <v>410</v>
      </c>
      <c r="C106" t="s">
        <v>461</v>
      </c>
      <c r="D106" t="s">
        <v>462</v>
      </c>
      <c r="E106" t="s">
        <v>392</v>
      </c>
      <c r="F106">
        <v>1.3620000000000001</v>
      </c>
      <c r="G106">
        <v>0.78420000000000001</v>
      </c>
      <c r="H106">
        <v>1.2306999999999999</v>
      </c>
      <c r="I106">
        <v>0.96919999999999995</v>
      </c>
      <c r="J106">
        <v>1.1687000000000001</v>
      </c>
      <c r="K106">
        <v>0.19639999999999999</v>
      </c>
      <c r="L106">
        <v>0.72170000000000001</v>
      </c>
      <c r="M106">
        <v>0.89</v>
      </c>
      <c r="N106">
        <v>0.49099999999999999</v>
      </c>
      <c r="O106">
        <v>2.8635000000000002</v>
      </c>
      <c r="P106">
        <v>4.9580000000000002</v>
      </c>
      <c r="Q106">
        <v>4.4158999999999997</v>
      </c>
    </row>
    <row r="107" spans="1:17" s="449" customFormat="1">
      <c r="A107" s="449" t="s">
        <v>411</v>
      </c>
      <c r="B107" s="449" t="s">
        <v>412</v>
      </c>
      <c r="C107" s="449" t="s">
        <v>461</v>
      </c>
      <c r="D107" s="449" t="s">
        <v>462</v>
      </c>
      <c r="E107" s="449" t="s">
        <v>392</v>
      </c>
      <c r="F107" s="449" t="s">
        <v>350</v>
      </c>
      <c r="G107" s="449">
        <v>1.2149000000000001</v>
      </c>
      <c r="H107" s="449">
        <v>1.1994</v>
      </c>
      <c r="I107" s="449">
        <v>0.69930000000000003</v>
      </c>
      <c r="J107" s="449">
        <v>1.4351</v>
      </c>
      <c r="K107" s="449">
        <v>1.1859999999999999</v>
      </c>
      <c r="L107" s="449">
        <v>1.0729</v>
      </c>
      <c r="M107" s="449">
        <v>1.2088000000000001</v>
      </c>
      <c r="N107" s="449">
        <v>0.46939999999999998</v>
      </c>
      <c r="O107" s="449">
        <v>1.1985999999999999</v>
      </c>
      <c r="P107" s="449">
        <v>0.96789999999999998</v>
      </c>
      <c r="Q107" s="449">
        <v>2.0286</v>
      </c>
    </row>
    <row r="108" spans="1:17">
      <c r="A108" t="s">
        <v>413</v>
      </c>
      <c r="B108" t="s">
        <v>414</v>
      </c>
      <c r="C108" t="s">
        <v>461</v>
      </c>
      <c r="D108" t="s">
        <v>462</v>
      </c>
      <c r="E108" t="s">
        <v>392</v>
      </c>
      <c r="F108">
        <v>0.64559999999999995</v>
      </c>
      <c r="G108">
        <v>0.52680000000000005</v>
      </c>
      <c r="H108">
        <v>0.31609999999999999</v>
      </c>
      <c r="I108">
        <v>0.28120000000000001</v>
      </c>
      <c r="J108">
        <v>0.40720000000000001</v>
      </c>
      <c r="K108">
        <v>0.47039999999999998</v>
      </c>
      <c r="L108">
        <v>0.80089999999999995</v>
      </c>
      <c r="M108">
        <v>0.93500000000000005</v>
      </c>
      <c r="N108">
        <v>0.52310000000000001</v>
      </c>
      <c r="O108">
        <v>1.4662999999999999</v>
      </c>
      <c r="P108">
        <v>4.6680999999999999</v>
      </c>
      <c r="Q108">
        <v>6.7588999999999997</v>
      </c>
    </row>
    <row r="109" spans="1:17">
      <c r="A109" t="s">
        <v>415</v>
      </c>
      <c r="B109" t="s">
        <v>416</v>
      </c>
      <c r="C109" t="s">
        <v>461</v>
      </c>
      <c r="D109" t="s">
        <v>462</v>
      </c>
      <c r="E109" t="s">
        <v>392</v>
      </c>
      <c r="F109">
        <v>1.014</v>
      </c>
      <c r="G109">
        <v>2.6522000000000001</v>
      </c>
      <c r="H109">
        <v>0.53920000000000001</v>
      </c>
      <c r="I109">
        <v>0.68659999999999999</v>
      </c>
      <c r="J109">
        <v>0.65239999999999998</v>
      </c>
      <c r="K109">
        <v>0.7863</v>
      </c>
      <c r="L109">
        <v>0.83399999999999996</v>
      </c>
      <c r="M109">
        <v>0.94159999999999999</v>
      </c>
      <c r="N109">
        <v>1.0544</v>
      </c>
      <c r="O109">
        <v>1.4182999999999999</v>
      </c>
      <c r="P109">
        <v>1.8326</v>
      </c>
      <c r="Q109">
        <v>2.2509000000000001</v>
      </c>
    </row>
    <row r="110" spans="1:17" s="449" customFormat="1">
      <c r="A110" s="449" t="s">
        <v>417</v>
      </c>
      <c r="B110" s="449" t="s">
        <v>418</v>
      </c>
      <c r="C110" s="449" t="s">
        <v>461</v>
      </c>
      <c r="D110" s="449" t="s">
        <v>462</v>
      </c>
      <c r="E110" s="449" t="s">
        <v>392</v>
      </c>
      <c r="F110" s="449">
        <v>1.0108999999999999</v>
      </c>
      <c r="G110" s="449">
        <v>0.85250000000000004</v>
      </c>
      <c r="H110" s="449">
        <v>1.0088999999999999</v>
      </c>
      <c r="I110" s="449">
        <v>0.39929999999999999</v>
      </c>
      <c r="J110" s="449">
        <v>0.61850000000000005</v>
      </c>
      <c r="K110" s="449">
        <v>1.1997</v>
      </c>
      <c r="L110" s="449">
        <v>2.0632999999999999</v>
      </c>
      <c r="M110" s="449">
        <v>1.9988000000000001</v>
      </c>
      <c r="N110" s="449">
        <v>0.87060000000000004</v>
      </c>
      <c r="O110" s="449">
        <v>2.4942000000000002</v>
      </c>
      <c r="P110" s="449">
        <v>3.9842</v>
      </c>
      <c r="Q110" s="449">
        <v>3.5358999999999998</v>
      </c>
    </row>
    <row r="111" spans="1:17">
      <c r="A111" t="s">
        <v>419</v>
      </c>
      <c r="B111" t="s">
        <v>420</v>
      </c>
      <c r="C111" t="s">
        <v>461</v>
      </c>
      <c r="D111" t="s">
        <v>462</v>
      </c>
      <c r="E111" t="s">
        <v>392</v>
      </c>
      <c r="F111">
        <v>0.67859999999999998</v>
      </c>
      <c r="G111">
        <v>2.7058999999999997</v>
      </c>
      <c r="H111">
        <v>0.95309999999999995</v>
      </c>
      <c r="I111">
        <v>1.2631999999999999</v>
      </c>
      <c r="J111">
        <v>0.76590000000000003</v>
      </c>
      <c r="K111">
        <v>0.77829999999999999</v>
      </c>
      <c r="L111">
        <v>1.6661000000000001</v>
      </c>
      <c r="M111">
        <v>1.4076</v>
      </c>
      <c r="N111">
        <v>1.3902999999999999</v>
      </c>
      <c r="O111">
        <v>2.2351000000000001</v>
      </c>
      <c r="P111">
        <v>2.4744999999999999</v>
      </c>
      <c r="Q111">
        <v>0.8498</v>
      </c>
    </row>
    <row r="112" spans="1:17">
      <c r="A112" t="s">
        <v>421</v>
      </c>
      <c r="B112" t="s">
        <v>422</v>
      </c>
      <c r="C112" t="s">
        <v>461</v>
      </c>
      <c r="D112" t="s">
        <v>462</v>
      </c>
      <c r="E112" t="s">
        <v>392</v>
      </c>
      <c r="F112">
        <v>0.98850000000000005</v>
      </c>
      <c r="G112">
        <v>1.4014</v>
      </c>
      <c r="H112">
        <v>1.9083999999999999</v>
      </c>
      <c r="I112">
        <v>1.3528</v>
      </c>
      <c r="J112">
        <v>1.9258999999999999</v>
      </c>
      <c r="K112">
        <v>1.5592000000000001</v>
      </c>
      <c r="L112">
        <v>1.5449000000000002</v>
      </c>
      <c r="M112">
        <v>1.5479000000000001</v>
      </c>
      <c r="N112">
        <v>1.1196999999999999</v>
      </c>
      <c r="O112">
        <v>1.4121000000000001</v>
      </c>
      <c r="P112">
        <v>1.4363000000000001</v>
      </c>
      <c r="Q112">
        <v>1.6047</v>
      </c>
    </row>
    <row r="113" spans="1:17">
      <c r="A113" t="s">
        <v>423</v>
      </c>
      <c r="B113" t="s">
        <v>424</v>
      </c>
      <c r="C113" t="s">
        <v>461</v>
      </c>
      <c r="D113" t="s">
        <v>462</v>
      </c>
      <c r="E113" t="s">
        <v>392</v>
      </c>
      <c r="F113">
        <v>0.74370000000000003</v>
      </c>
      <c r="G113">
        <v>0.5968</v>
      </c>
      <c r="H113">
        <v>0.76719999999999999</v>
      </c>
      <c r="I113">
        <v>1.2161999999999999</v>
      </c>
      <c r="J113">
        <v>0.95209999999999995</v>
      </c>
      <c r="K113">
        <v>1.2273000000000001</v>
      </c>
      <c r="L113">
        <v>1.5822000000000001</v>
      </c>
      <c r="M113">
        <v>1.1031</v>
      </c>
      <c r="N113">
        <v>0.86419999999999997</v>
      </c>
      <c r="O113">
        <v>2.4394999999999998</v>
      </c>
      <c r="P113">
        <v>2.3997000000000002</v>
      </c>
      <c r="Q113">
        <v>2.1621000000000001</v>
      </c>
    </row>
    <row r="114" spans="1:17" s="449" customFormat="1">
      <c r="A114" s="449" t="s">
        <v>425</v>
      </c>
      <c r="B114" s="449" t="s">
        <v>426</v>
      </c>
      <c r="C114" s="449" t="s">
        <v>461</v>
      </c>
      <c r="D114" s="449" t="s">
        <v>462</v>
      </c>
      <c r="E114" s="449" t="s">
        <v>392</v>
      </c>
      <c r="F114" s="449">
        <v>1.5815000000000001</v>
      </c>
      <c r="G114" s="449">
        <v>0.9758</v>
      </c>
      <c r="H114" s="449">
        <v>0.8508</v>
      </c>
      <c r="I114" s="449">
        <v>0.55820000000000003</v>
      </c>
      <c r="J114" s="449">
        <v>0.83440000000000003</v>
      </c>
      <c r="K114" s="449">
        <v>1.2717000000000001</v>
      </c>
      <c r="L114" s="449">
        <v>1.8894</v>
      </c>
      <c r="M114" s="449">
        <v>1.3807</v>
      </c>
      <c r="N114" s="449">
        <v>0.73180000000000001</v>
      </c>
      <c r="O114" s="449">
        <v>1.4862</v>
      </c>
      <c r="P114" s="449" t="s">
        <v>350</v>
      </c>
      <c r="Q114" s="449" t="s">
        <v>350</v>
      </c>
    </row>
    <row r="115" spans="1:17">
      <c r="A115" t="s">
        <v>427</v>
      </c>
      <c r="B115" t="s">
        <v>428</v>
      </c>
      <c r="C115" t="s">
        <v>461</v>
      </c>
      <c r="D115" t="s">
        <v>462</v>
      </c>
      <c r="E115" t="s">
        <v>392</v>
      </c>
      <c r="F115">
        <v>0.85019999999999996</v>
      </c>
      <c r="G115">
        <v>0.65639999999999998</v>
      </c>
      <c r="H115">
        <v>0.72499999999999998</v>
      </c>
      <c r="I115">
        <v>1.3814</v>
      </c>
      <c r="J115">
        <v>2.2806000000000002</v>
      </c>
      <c r="K115">
        <v>1.3292999999999999</v>
      </c>
      <c r="L115">
        <v>1.5185999999999999</v>
      </c>
      <c r="M115" t="s">
        <v>350</v>
      </c>
      <c r="N115" t="s">
        <v>350</v>
      </c>
      <c r="O115" t="s">
        <v>350</v>
      </c>
      <c r="P115" t="s">
        <v>350</v>
      </c>
      <c r="Q115" t="s">
        <v>350</v>
      </c>
    </row>
    <row r="116" spans="1:17">
      <c r="A116" t="s">
        <v>429</v>
      </c>
      <c r="B116" t="s">
        <v>430</v>
      </c>
      <c r="C116" t="s">
        <v>461</v>
      </c>
      <c r="D116" t="s">
        <v>462</v>
      </c>
      <c r="E116" t="s">
        <v>392</v>
      </c>
      <c r="F116" t="s">
        <v>350</v>
      </c>
      <c r="G116">
        <v>1.0603</v>
      </c>
      <c r="H116">
        <v>0.84260000000000002</v>
      </c>
      <c r="I116">
        <v>0.73470000000000002</v>
      </c>
      <c r="J116">
        <v>0.85580000000000001</v>
      </c>
      <c r="K116">
        <v>1.2543</v>
      </c>
      <c r="L116">
        <v>1.4339</v>
      </c>
      <c r="M116">
        <v>1.3214000000000001</v>
      </c>
      <c r="N116">
        <v>0.8921</v>
      </c>
      <c r="O116">
        <v>2.0777999999999999</v>
      </c>
      <c r="P116">
        <v>1.5066999999999999</v>
      </c>
      <c r="Q116">
        <v>2.3525</v>
      </c>
    </row>
    <row r="117" spans="1:17" s="449" customFormat="1">
      <c r="A117" s="449" t="s">
        <v>431</v>
      </c>
      <c r="B117" s="449" t="s">
        <v>432</v>
      </c>
      <c r="C117" s="449" t="s">
        <v>461</v>
      </c>
      <c r="D117" s="449" t="s">
        <v>462</v>
      </c>
      <c r="E117" s="449" t="s">
        <v>392</v>
      </c>
      <c r="F117" s="449">
        <v>0.96340000000000003</v>
      </c>
      <c r="G117" s="449">
        <v>0.77700000000000002</v>
      </c>
      <c r="H117" s="449">
        <v>0.77680000000000005</v>
      </c>
      <c r="I117" s="449">
        <v>1.3204</v>
      </c>
      <c r="J117" s="449">
        <v>0.36859999999999998</v>
      </c>
      <c r="K117" s="449">
        <v>0.89770000000000005</v>
      </c>
      <c r="L117" s="449">
        <v>1.2227000000000001</v>
      </c>
      <c r="M117" s="449">
        <v>2.1139999999999999</v>
      </c>
      <c r="N117" s="449">
        <v>1.3062</v>
      </c>
      <c r="O117" s="449">
        <v>2.0585</v>
      </c>
      <c r="P117" s="449">
        <v>3.7481999999999998</v>
      </c>
      <c r="Q117" s="449">
        <v>1.4781</v>
      </c>
    </row>
    <row r="118" spans="1:17">
      <c r="A118" t="s">
        <v>433</v>
      </c>
      <c r="B118" t="s">
        <v>434</v>
      </c>
      <c r="C118" t="s">
        <v>461</v>
      </c>
      <c r="D118" t="s">
        <v>462</v>
      </c>
      <c r="E118" t="s">
        <v>392</v>
      </c>
      <c r="F118">
        <v>1.0029999999999999</v>
      </c>
      <c r="G118">
        <v>1.1522000000000001</v>
      </c>
      <c r="H118">
        <v>1.2393000000000001</v>
      </c>
      <c r="I118">
        <v>0.74099999999999999</v>
      </c>
      <c r="J118">
        <v>0.80710000000000004</v>
      </c>
      <c r="K118">
        <v>0.8165</v>
      </c>
      <c r="L118">
        <v>1.0747</v>
      </c>
      <c r="M118">
        <v>0.94889999999999997</v>
      </c>
      <c r="N118">
        <v>0.78769999999999996</v>
      </c>
      <c r="O118">
        <v>1.3603000000000001</v>
      </c>
      <c r="P118">
        <v>0.80620000000000003</v>
      </c>
      <c r="Q118">
        <v>1.0849</v>
      </c>
    </row>
    <row r="119" spans="1:17">
      <c r="A119" t="s">
        <v>435</v>
      </c>
      <c r="B119" t="s">
        <v>436</v>
      </c>
      <c r="C119" t="s">
        <v>461</v>
      </c>
      <c r="D119" t="s">
        <v>462</v>
      </c>
      <c r="E119" t="s">
        <v>392</v>
      </c>
      <c r="F119" t="s">
        <v>350</v>
      </c>
      <c r="G119">
        <v>2.5291999999999999</v>
      </c>
      <c r="H119">
        <v>2.5154999999999998</v>
      </c>
      <c r="I119">
        <v>2.1493000000000002</v>
      </c>
      <c r="J119">
        <v>1.1402000000000001</v>
      </c>
      <c r="K119">
        <v>0.97650000000000003</v>
      </c>
      <c r="L119">
        <v>0.93049999999999999</v>
      </c>
      <c r="M119">
        <v>1.464</v>
      </c>
      <c r="N119">
        <v>0.85160000000000002</v>
      </c>
      <c r="O119">
        <v>1.6400999999999999</v>
      </c>
      <c r="P119">
        <v>3.0333999999999999</v>
      </c>
      <c r="Q119">
        <v>2.8338999999999999</v>
      </c>
    </row>
    <row r="120" spans="1:17">
      <c r="A120" t="s">
        <v>437</v>
      </c>
      <c r="B120" t="s">
        <v>438</v>
      </c>
      <c r="C120" t="s">
        <v>461</v>
      </c>
      <c r="D120" t="s">
        <v>462</v>
      </c>
      <c r="E120" t="s">
        <v>392</v>
      </c>
      <c r="F120" t="s">
        <v>350</v>
      </c>
      <c r="G120">
        <v>0.41249999999999998</v>
      </c>
      <c r="H120">
        <v>1.0058</v>
      </c>
      <c r="I120">
        <v>2.3439999999999999</v>
      </c>
      <c r="J120">
        <v>6.3855000000000004</v>
      </c>
      <c r="K120">
        <v>9.6183999999999994</v>
      </c>
      <c r="L120">
        <v>7.4497999999999998</v>
      </c>
      <c r="M120">
        <v>18.4939</v>
      </c>
      <c r="N120">
        <v>4.5649999999999995</v>
      </c>
      <c r="O120">
        <v>1.0242</v>
      </c>
      <c r="P120">
        <v>15.4589</v>
      </c>
      <c r="Q120" t="s">
        <v>350</v>
      </c>
    </row>
    <row r="121" spans="1:17">
      <c r="A121" t="s">
        <v>439</v>
      </c>
      <c r="B121" t="s">
        <v>440</v>
      </c>
      <c r="C121" t="s">
        <v>461</v>
      </c>
      <c r="D121" t="s">
        <v>462</v>
      </c>
      <c r="E121" t="s">
        <v>392</v>
      </c>
      <c r="F121" t="s">
        <v>350</v>
      </c>
      <c r="G121" t="s">
        <v>350</v>
      </c>
      <c r="H121" t="s">
        <v>350</v>
      </c>
      <c r="I121" t="s">
        <v>350</v>
      </c>
      <c r="J121" t="s">
        <v>350</v>
      </c>
      <c r="K121" t="s">
        <v>350</v>
      </c>
      <c r="L121" t="s">
        <v>350</v>
      </c>
      <c r="M121" t="s">
        <v>350</v>
      </c>
      <c r="N121" t="s">
        <v>350</v>
      </c>
      <c r="O121" t="s">
        <v>350</v>
      </c>
      <c r="P121" t="s">
        <v>350</v>
      </c>
      <c r="Q121" t="s">
        <v>350</v>
      </c>
    </row>
    <row r="122" spans="1:17">
      <c r="A122" t="s">
        <v>441</v>
      </c>
      <c r="B122" t="s">
        <v>442</v>
      </c>
      <c r="C122" t="s">
        <v>461</v>
      </c>
      <c r="D122" t="s">
        <v>462</v>
      </c>
      <c r="E122" t="s">
        <v>392</v>
      </c>
      <c r="F122">
        <v>1.2469999999999999</v>
      </c>
      <c r="G122">
        <v>0.91039999999999999</v>
      </c>
      <c r="H122">
        <v>7.6965000000000003</v>
      </c>
      <c r="I122">
        <v>0.61140000000000005</v>
      </c>
      <c r="J122">
        <v>0.34660000000000002</v>
      </c>
      <c r="K122">
        <v>3.7488999999999999</v>
      </c>
      <c r="L122">
        <v>2.6869000000000001</v>
      </c>
      <c r="M122">
        <v>2.2669000000000001</v>
      </c>
      <c r="N122" t="s">
        <v>350</v>
      </c>
      <c r="O122">
        <v>3.4565999999999999</v>
      </c>
      <c r="P122">
        <v>1.1168</v>
      </c>
      <c r="Q122">
        <v>1.6095000000000002</v>
      </c>
    </row>
    <row r="123" spans="1:17">
      <c r="A123" t="s">
        <v>443</v>
      </c>
      <c r="B123" t="s">
        <v>444</v>
      </c>
      <c r="C123" t="s">
        <v>461</v>
      </c>
      <c r="D123" t="s">
        <v>462</v>
      </c>
      <c r="E123" t="s">
        <v>392</v>
      </c>
      <c r="F123">
        <v>1.2326999999999999</v>
      </c>
      <c r="G123">
        <v>1.2777000000000001</v>
      </c>
      <c r="H123">
        <v>0.57240000000000002</v>
      </c>
      <c r="I123">
        <v>2.3651</v>
      </c>
      <c r="J123">
        <v>1.4163999999999999</v>
      </c>
      <c r="K123">
        <v>1.0939000000000001</v>
      </c>
      <c r="L123">
        <v>0.99409999999999998</v>
      </c>
      <c r="M123">
        <v>0.7601</v>
      </c>
      <c r="N123">
        <v>0.39629999999999999</v>
      </c>
      <c r="O123">
        <v>0.7903</v>
      </c>
      <c r="P123">
        <v>0.89780000000000004</v>
      </c>
      <c r="Q123">
        <v>0.99119999999999997</v>
      </c>
    </row>
    <row r="124" spans="1:17">
      <c r="A124" t="s">
        <v>445</v>
      </c>
      <c r="B124" t="s">
        <v>446</v>
      </c>
      <c r="C124" t="s">
        <v>461</v>
      </c>
      <c r="D124" t="s">
        <v>462</v>
      </c>
      <c r="E124" t="s">
        <v>392</v>
      </c>
      <c r="F124" t="s">
        <v>350</v>
      </c>
      <c r="G124">
        <v>1.0439000000000001</v>
      </c>
      <c r="H124">
        <v>1.0911999999999999</v>
      </c>
      <c r="I124">
        <v>0.9778</v>
      </c>
      <c r="J124">
        <v>0.97729999999999995</v>
      </c>
      <c r="K124">
        <v>1.0205</v>
      </c>
      <c r="L124">
        <v>1.08</v>
      </c>
      <c r="M124">
        <v>0.78010000000000002</v>
      </c>
      <c r="N124">
        <v>0.55310000000000004</v>
      </c>
      <c r="O124">
        <v>0.85219999999999996</v>
      </c>
      <c r="P124">
        <v>1.6186</v>
      </c>
      <c r="Q124">
        <v>1.5308999999999999</v>
      </c>
    </row>
    <row r="125" spans="1:17">
      <c r="A125" t="s">
        <v>447</v>
      </c>
      <c r="B125" t="s">
        <v>448</v>
      </c>
      <c r="C125" t="s">
        <v>461</v>
      </c>
      <c r="D125" t="s">
        <v>462</v>
      </c>
      <c r="E125" t="s">
        <v>392</v>
      </c>
      <c r="F125">
        <v>0.97619999999999996</v>
      </c>
      <c r="G125">
        <v>0.84789999999999999</v>
      </c>
      <c r="H125">
        <v>0.48259999999999997</v>
      </c>
      <c r="I125">
        <v>0.73509999999999998</v>
      </c>
      <c r="J125">
        <v>0.64029999999999998</v>
      </c>
      <c r="K125">
        <v>1.2403</v>
      </c>
      <c r="L125">
        <v>2.7389000000000001</v>
      </c>
      <c r="M125">
        <v>3.2721</v>
      </c>
      <c r="N125">
        <v>1.5981000000000001</v>
      </c>
      <c r="O125">
        <v>2.4805999999999999</v>
      </c>
      <c r="P125">
        <v>2.1480000000000001</v>
      </c>
      <c r="Q125">
        <v>1.7812999999999999</v>
      </c>
    </row>
    <row r="126" spans="1:17">
      <c r="A126" t="s">
        <v>449</v>
      </c>
      <c r="B126" t="s">
        <v>450</v>
      </c>
      <c r="C126" t="s">
        <v>461</v>
      </c>
      <c r="D126" t="s">
        <v>462</v>
      </c>
      <c r="E126" t="s">
        <v>392</v>
      </c>
      <c r="F126">
        <v>0.57379999999999998</v>
      </c>
      <c r="G126">
        <v>1.3192999999999999</v>
      </c>
      <c r="H126">
        <v>2.0085999999999999</v>
      </c>
      <c r="I126">
        <v>1.1961999999999999</v>
      </c>
      <c r="J126">
        <v>0.72399999999999998</v>
      </c>
      <c r="K126">
        <v>1.0176000000000001</v>
      </c>
      <c r="L126">
        <v>1.5724</v>
      </c>
      <c r="M126">
        <v>2.9441999999999999</v>
      </c>
      <c r="N126">
        <v>2.2957000000000001</v>
      </c>
      <c r="O126">
        <v>2.5413000000000001</v>
      </c>
      <c r="P126">
        <v>2.2044000000000001</v>
      </c>
      <c r="Q126">
        <v>1.7867999999999999</v>
      </c>
    </row>
    <row r="127" spans="1:17">
      <c r="A127" t="s">
        <v>457</v>
      </c>
      <c r="B127" t="s">
        <v>350</v>
      </c>
      <c r="C127" t="s">
        <v>350</v>
      </c>
      <c r="D127" t="s">
        <v>350</v>
      </c>
      <c r="E127" t="s">
        <v>387</v>
      </c>
      <c r="F127">
        <v>2.0317476190476187</v>
      </c>
      <c r="G127">
        <v>2.6608966666666669</v>
      </c>
      <c r="H127">
        <v>3.2587033333333326</v>
      </c>
      <c r="I127">
        <v>2.767983333333333</v>
      </c>
      <c r="J127">
        <v>2.9725100000000007</v>
      </c>
      <c r="K127">
        <v>3.7434900000000009</v>
      </c>
      <c r="L127">
        <v>5.070713333333333</v>
      </c>
      <c r="M127">
        <v>3.9653100000000001</v>
      </c>
      <c r="N127">
        <v>2.7542066666666662</v>
      </c>
      <c r="O127">
        <v>4.7001533333333327</v>
      </c>
      <c r="P127">
        <v>4.8941551724137922</v>
      </c>
      <c r="Q127">
        <v>4.4384214285714298</v>
      </c>
    </row>
    <row r="128" spans="1:17">
      <c r="A128" t="s">
        <v>388</v>
      </c>
      <c r="B128" t="s">
        <v>389</v>
      </c>
      <c r="C128" t="s">
        <v>458</v>
      </c>
      <c r="D128" t="s">
        <v>459</v>
      </c>
      <c r="E128" t="s">
        <v>392</v>
      </c>
      <c r="F128">
        <v>8.5683000000000007</v>
      </c>
      <c r="G128">
        <v>9.7182999999999993</v>
      </c>
      <c r="H128">
        <v>10.6883</v>
      </c>
      <c r="I128">
        <v>15.432700000000001</v>
      </c>
      <c r="J128">
        <v>13.255000000000001</v>
      </c>
      <c r="K128">
        <v>20.121200000000002</v>
      </c>
      <c r="L128">
        <v>15.8718</v>
      </c>
      <c r="M128">
        <v>18.0717</v>
      </c>
      <c r="N128">
        <v>13.3437</v>
      </c>
      <c r="O128">
        <v>19.683900000000001</v>
      </c>
      <c r="P128">
        <v>16.992799999999999</v>
      </c>
      <c r="Q128">
        <v>17.689299999999999</v>
      </c>
    </row>
    <row r="129" spans="1:17">
      <c r="A129" t="s">
        <v>393</v>
      </c>
      <c r="B129" t="s">
        <v>394</v>
      </c>
      <c r="C129" t="s">
        <v>458</v>
      </c>
      <c r="D129" t="s">
        <v>459</v>
      </c>
      <c r="E129" t="s">
        <v>392</v>
      </c>
      <c r="F129">
        <v>0.4783</v>
      </c>
      <c r="G129">
        <v>1.3907</v>
      </c>
      <c r="H129">
        <v>3.0550999999999999</v>
      </c>
      <c r="I129">
        <v>1.0630999999999999</v>
      </c>
      <c r="J129">
        <v>0.60040000000000004</v>
      </c>
      <c r="K129">
        <v>1.9287000000000001</v>
      </c>
      <c r="L129">
        <v>3.9314999999999998</v>
      </c>
      <c r="M129">
        <v>1.4916</v>
      </c>
      <c r="N129">
        <v>0.97770000000000001</v>
      </c>
      <c r="O129">
        <v>4.2877999999999998</v>
      </c>
      <c r="P129">
        <v>3.2305000000000001</v>
      </c>
      <c r="Q129">
        <v>2.6699000000000002</v>
      </c>
    </row>
    <row r="130" spans="1:17">
      <c r="A130" t="s">
        <v>395</v>
      </c>
      <c r="B130" t="s">
        <v>396</v>
      </c>
      <c r="C130" t="s">
        <v>458</v>
      </c>
      <c r="D130" t="s">
        <v>459</v>
      </c>
      <c r="E130" t="s">
        <v>392</v>
      </c>
      <c r="F130" t="s">
        <v>350</v>
      </c>
      <c r="G130">
        <v>5.0694999999999997</v>
      </c>
      <c r="H130">
        <v>10.6547</v>
      </c>
      <c r="I130">
        <v>9.8838000000000008</v>
      </c>
      <c r="J130">
        <v>7.1437999999999997</v>
      </c>
      <c r="K130">
        <v>5.4622999999999999</v>
      </c>
      <c r="L130">
        <v>8.1684000000000001</v>
      </c>
      <c r="M130">
        <v>3.6938</v>
      </c>
      <c r="N130">
        <v>6.1585999999999999</v>
      </c>
      <c r="O130">
        <v>20.509699999999999</v>
      </c>
      <c r="P130">
        <v>18.52</v>
      </c>
      <c r="Q130">
        <v>24.427700000000002</v>
      </c>
    </row>
    <row r="131" spans="1:17">
      <c r="A131" t="s">
        <v>397</v>
      </c>
      <c r="B131" t="s">
        <v>398</v>
      </c>
      <c r="C131" t="s">
        <v>458</v>
      </c>
      <c r="D131" t="s">
        <v>459</v>
      </c>
      <c r="E131" t="s">
        <v>392</v>
      </c>
      <c r="F131">
        <v>1.6791</v>
      </c>
      <c r="G131">
        <v>1.0653999999999999</v>
      </c>
      <c r="H131">
        <v>1.1135999999999999</v>
      </c>
      <c r="I131">
        <v>1.0886</v>
      </c>
      <c r="J131">
        <v>0.91100000000000003</v>
      </c>
      <c r="K131">
        <v>1.6274</v>
      </c>
      <c r="L131">
        <v>0.86370000000000002</v>
      </c>
      <c r="M131">
        <v>0.93159999999999998</v>
      </c>
      <c r="N131">
        <v>1.2687999999999999</v>
      </c>
      <c r="O131">
        <v>1.1565000000000001</v>
      </c>
      <c r="P131">
        <v>0.7893</v>
      </c>
      <c r="Q131">
        <v>2.1459999999999999</v>
      </c>
    </row>
    <row r="132" spans="1:17">
      <c r="A132" t="s">
        <v>399</v>
      </c>
      <c r="B132" t="s">
        <v>400</v>
      </c>
      <c r="C132" t="s">
        <v>458</v>
      </c>
      <c r="D132" t="s">
        <v>459</v>
      </c>
      <c r="E132" t="s">
        <v>392</v>
      </c>
      <c r="F132" t="s">
        <v>350</v>
      </c>
      <c r="G132">
        <v>0.81489999999999996</v>
      </c>
      <c r="H132">
        <v>2.6791</v>
      </c>
      <c r="I132">
        <v>0.36730000000000002</v>
      </c>
      <c r="J132">
        <v>0.56210000000000004</v>
      </c>
      <c r="K132">
        <v>0.59140000000000004</v>
      </c>
      <c r="L132">
        <v>42.158299999999997</v>
      </c>
      <c r="M132">
        <v>12.7095</v>
      </c>
      <c r="N132">
        <v>12.4717</v>
      </c>
      <c r="O132">
        <v>19.652200000000001</v>
      </c>
      <c r="P132">
        <v>18.940999999999999</v>
      </c>
      <c r="Q132">
        <v>13.6412</v>
      </c>
    </row>
    <row r="133" spans="1:17" s="449" customFormat="1">
      <c r="A133" s="449" t="s">
        <v>401</v>
      </c>
      <c r="B133" s="449" t="s">
        <v>402</v>
      </c>
      <c r="C133" s="449" t="s">
        <v>458</v>
      </c>
      <c r="D133" s="449" t="s">
        <v>459</v>
      </c>
      <c r="E133" s="449" t="s">
        <v>392</v>
      </c>
      <c r="F133" s="449">
        <v>0.38059999999999999</v>
      </c>
      <c r="G133" s="449">
        <v>0.46889999999999998</v>
      </c>
      <c r="H133" s="449">
        <v>0.64829999999999999</v>
      </c>
      <c r="I133" s="449">
        <v>0.77639999999999998</v>
      </c>
      <c r="J133" s="449">
        <v>0.81950000000000001</v>
      </c>
      <c r="K133" s="449">
        <v>1.1869000000000001</v>
      </c>
      <c r="L133" s="449">
        <v>0.93769999999999998</v>
      </c>
      <c r="M133" s="449">
        <v>0.7681</v>
      </c>
      <c r="N133" s="449">
        <v>0.50149999999999995</v>
      </c>
      <c r="O133" s="449">
        <v>1.4576</v>
      </c>
      <c r="P133" s="449">
        <v>0.75549999999999995</v>
      </c>
      <c r="Q133" s="449">
        <v>1.0761000000000001</v>
      </c>
    </row>
    <row r="134" spans="1:17">
      <c r="A134" t="s">
        <v>403</v>
      </c>
      <c r="B134" t="s">
        <v>404</v>
      </c>
      <c r="C134" t="s">
        <v>458</v>
      </c>
      <c r="D134" t="s">
        <v>459</v>
      </c>
      <c r="E134" t="s">
        <v>392</v>
      </c>
      <c r="F134">
        <v>4.2775999999999996</v>
      </c>
      <c r="G134">
        <v>5.1679000000000004</v>
      </c>
      <c r="H134">
        <v>2.5432000000000001</v>
      </c>
      <c r="I134">
        <v>3.2050000000000001</v>
      </c>
      <c r="J134">
        <v>3.4146999999999998</v>
      </c>
      <c r="K134">
        <v>4.4219999999999997</v>
      </c>
      <c r="L134">
        <v>3.4506000000000001</v>
      </c>
      <c r="M134">
        <v>2.4013999999999998</v>
      </c>
      <c r="N134">
        <v>1.3101</v>
      </c>
      <c r="O134">
        <v>2.5512000000000001</v>
      </c>
      <c r="P134">
        <v>2.3410000000000002</v>
      </c>
      <c r="Q134">
        <v>2.4079999999999999</v>
      </c>
    </row>
    <row r="135" spans="1:17">
      <c r="A135" t="s">
        <v>405</v>
      </c>
      <c r="B135" t="s">
        <v>406</v>
      </c>
      <c r="C135" t="s">
        <v>458</v>
      </c>
      <c r="D135" t="s">
        <v>459</v>
      </c>
      <c r="E135" t="s">
        <v>392</v>
      </c>
      <c r="F135" t="s">
        <v>350</v>
      </c>
      <c r="G135">
        <v>0.34760000000000002</v>
      </c>
      <c r="H135">
        <v>4.6756000000000002</v>
      </c>
      <c r="I135">
        <v>0.36409999999999998</v>
      </c>
      <c r="J135">
        <v>1.0634999999999999</v>
      </c>
      <c r="K135">
        <v>0.73419999999999996</v>
      </c>
      <c r="L135">
        <v>0.25159999999999999</v>
      </c>
      <c r="M135">
        <v>0.57340000000000002</v>
      </c>
      <c r="N135">
        <v>0.3538</v>
      </c>
      <c r="O135">
        <v>0.56689999999999996</v>
      </c>
      <c r="P135">
        <v>0.96730000000000005</v>
      </c>
      <c r="Q135">
        <v>1.5312000000000001</v>
      </c>
    </row>
    <row r="136" spans="1:17">
      <c r="A136" t="s">
        <v>407</v>
      </c>
      <c r="B136" t="s">
        <v>408</v>
      </c>
      <c r="C136" t="s">
        <v>458</v>
      </c>
      <c r="D136" t="s">
        <v>459</v>
      </c>
      <c r="E136" t="s">
        <v>392</v>
      </c>
      <c r="F136" t="s">
        <v>350</v>
      </c>
      <c r="G136">
        <v>4.8055000000000003</v>
      </c>
      <c r="H136">
        <v>4.1582999999999997</v>
      </c>
      <c r="I136">
        <v>6.6440999999999999</v>
      </c>
      <c r="J136">
        <v>1.5984</v>
      </c>
      <c r="K136">
        <v>1.6823999999999999</v>
      </c>
      <c r="L136">
        <v>6.2923999999999998</v>
      </c>
      <c r="M136">
        <v>3.0003000000000002</v>
      </c>
      <c r="N136">
        <v>1.6261999999999999</v>
      </c>
      <c r="O136">
        <v>1.6089</v>
      </c>
      <c r="P136">
        <v>5.6833</v>
      </c>
      <c r="Q136" t="s">
        <v>350</v>
      </c>
    </row>
    <row r="137" spans="1:17">
      <c r="A137" t="s">
        <v>409</v>
      </c>
      <c r="B137" t="s">
        <v>410</v>
      </c>
      <c r="C137" t="s">
        <v>458</v>
      </c>
      <c r="D137" t="s">
        <v>459</v>
      </c>
      <c r="E137" t="s">
        <v>392</v>
      </c>
      <c r="F137">
        <v>1.8174000000000001</v>
      </c>
      <c r="G137">
        <v>1.7707000000000002</v>
      </c>
      <c r="H137">
        <v>2.3111999999999999</v>
      </c>
      <c r="I137">
        <v>2.0403000000000002</v>
      </c>
      <c r="J137">
        <v>3.6215000000000002</v>
      </c>
      <c r="K137">
        <v>0.80830000000000002</v>
      </c>
      <c r="L137">
        <v>2.7964000000000002</v>
      </c>
      <c r="M137">
        <v>3.8304</v>
      </c>
      <c r="N137">
        <v>1.7074</v>
      </c>
      <c r="O137">
        <v>7.2629000000000001</v>
      </c>
      <c r="P137">
        <v>8.2234999999999996</v>
      </c>
      <c r="Q137">
        <v>5.7412000000000001</v>
      </c>
    </row>
    <row r="138" spans="1:17" s="449" customFormat="1">
      <c r="A138" s="449" t="s">
        <v>411</v>
      </c>
      <c r="B138" s="449" t="s">
        <v>412</v>
      </c>
      <c r="C138" s="449" t="s">
        <v>458</v>
      </c>
      <c r="D138" s="449" t="s">
        <v>459</v>
      </c>
      <c r="E138" s="449" t="s">
        <v>392</v>
      </c>
      <c r="F138" s="449" t="s">
        <v>350</v>
      </c>
      <c r="G138" s="449">
        <v>2.2004999999999999</v>
      </c>
      <c r="H138" s="449">
        <v>2.0911</v>
      </c>
      <c r="I138" s="449">
        <v>1.3286</v>
      </c>
      <c r="J138" s="449">
        <v>2.335</v>
      </c>
      <c r="K138" s="449">
        <v>2.0747</v>
      </c>
      <c r="L138" s="449">
        <v>1.4899</v>
      </c>
      <c r="M138" s="449">
        <v>1.6522000000000001</v>
      </c>
      <c r="N138" s="449">
        <v>0.7319</v>
      </c>
      <c r="O138" s="449">
        <v>1.4931000000000001</v>
      </c>
      <c r="P138" s="449">
        <v>1.1886000000000001</v>
      </c>
      <c r="Q138" s="449">
        <v>3.0202</v>
      </c>
    </row>
    <row r="139" spans="1:17">
      <c r="A139" t="s">
        <v>413</v>
      </c>
      <c r="B139" t="s">
        <v>414</v>
      </c>
      <c r="C139" t="s">
        <v>458</v>
      </c>
      <c r="D139" t="s">
        <v>459</v>
      </c>
      <c r="E139" t="s">
        <v>392</v>
      </c>
      <c r="F139">
        <v>0.97560000000000002</v>
      </c>
      <c r="G139">
        <v>1.7711000000000001</v>
      </c>
      <c r="H139">
        <v>1.0524</v>
      </c>
      <c r="I139">
        <v>1.3435000000000001</v>
      </c>
      <c r="J139">
        <v>1.8086</v>
      </c>
      <c r="K139">
        <v>1.5089000000000001</v>
      </c>
      <c r="L139">
        <v>2.9289000000000001</v>
      </c>
      <c r="M139">
        <v>2.6783999999999999</v>
      </c>
      <c r="N139">
        <v>1.1917</v>
      </c>
      <c r="O139">
        <v>3.0084</v>
      </c>
      <c r="P139">
        <v>7.8380000000000001</v>
      </c>
      <c r="Q139">
        <v>10.0326</v>
      </c>
    </row>
    <row r="140" spans="1:17">
      <c r="A140" t="s">
        <v>415</v>
      </c>
      <c r="B140" t="s">
        <v>416</v>
      </c>
      <c r="C140" t="s">
        <v>458</v>
      </c>
      <c r="D140" t="s">
        <v>459</v>
      </c>
      <c r="E140" t="s">
        <v>392</v>
      </c>
      <c r="F140">
        <v>3.4483000000000001</v>
      </c>
      <c r="G140">
        <v>9.2561999999999998</v>
      </c>
      <c r="H140">
        <v>2.7726999999999999</v>
      </c>
      <c r="I140">
        <v>4.3411</v>
      </c>
      <c r="J140">
        <v>4.9028999999999998</v>
      </c>
      <c r="K140">
        <v>6.0778999999999996</v>
      </c>
      <c r="L140">
        <v>5.1192000000000002</v>
      </c>
      <c r="M140">
        <v>5.3433999999999999</v>
      </c>
      <c r="N140">
        <v>5.9780999999999995</v>
      </c>
      <c r="O140">
        <v>7.1696999999999997</v>
      </c>
      <c r="P140">
        <v>4.8106999999999998</v>
      </c>
      <c r="Q140">
        <v>1.6404000000000001</v>
      </c>
    </row>
    <row r="141" spans="1:17" s="449" customFormat="1">
      <c r="A141" s="449" t="s">
        <v>417</v>
      </c>
      <c r="B141" s="449" t="s">
        <v>418</v>
      </c>
      <c r="C141" s="449" t="s">
        <v>458</v>
      </c>
      <c r="D141" s="449" t="s">
        <v>459</v>
      </c>
      <c r="E141" s="449" t="s">
        <v>392</v>
      </c>
      <c r="F141" s="449">
        <v>1.2828999999999999</v>
      </c>
      <c r="G141" s="449">
        <v>1.2205999999999999</v>
      </c>
      <c r="H141" s="449">
        <v>1.5832000000000002</v>
      </c>
      <c r="I141" s="449">
        <v>0.65780000000000005</v>
      </c>
      <c r="J141" s="449">
        <v>1.1375</v>
      </c>
      <c r="K141" s="449">
        <v>2.0733000000000001</v>
      </c>
      <c r="L141" s="449">
        <v>2.7286999999999999</v>
      </c>
      <c r="M141" s="449">
        <v>2.4584000000000001</v>
      </c>
      <c r="N141" s="449">
        <v>1.4633</v>
      </c>
      <c r="O141" s="449">
        <v>3.5819999999999999</v>
      </c>
      <c r="P141" s="449">
        <v>5.1468999999999996</v>
      </c>
      <c r="Q141" s="449">
        <v>4.0242000000000004</v>
      </c>
    </row>
    <row r="142" spans="1:17">
      <c r="A142" t="s">
        <v>419</v>
      </c>
      <c r="B142" t="s">
        <v>420</v>
      </c>
      <c r="C142" t="s">
        <v>458</v>
      </c>
      <c r="D142" t="s">
        <v>459</v>
      </c>
      <c r="E142" t="s">
        <v>392</v>
      </c>
      <c r="F142">
        <v>0.56769999999999998</v>
      </c>
      <c r="G142">
        <v>2.4956</v>
      </c>
      <c r="H142">
        <v>0.95150000000000001</v>
      </c>
      <c r="I142">
        <v>1.0976999999999999</v>
      </c>
      <c r="J142">
        <v>0.65349999999999997</v>
      </c>
      <c r="K142">
        <v>0.97670000000000001</v>
      </c>
      <c r="L142">
        <v>1.4553</v>
      </c>
      <c r="M142">
        <v>0.90069999999999995</v>
      </c>
      <c r="N142">
        <v>0.82650000000000001</v>
      </c>
      <c r="O142">
        <v>1.5209000000000001</v>
      </c>
      <c r="P142">
        <v>2.0501999999999998</v>
      </c>
      <c r="Q142">
        <v>0.65039999999999998</v>
      </c>
    </row>
    <row r="143" spans="1:17">
      <c r="A143" t="s">
        <v>421</v>
      </c>
      <c r="B143" t="s">
        <v>422</v>
      </c>
      <c r="C143" t="s">
        <v>458</v>
      </c>
      <c r="D143" t="s">
        <v>459</v>
      </c>
      <c r="E143" t="s">
        <v>392</v>
      </c>
      <c r="F143">
        <v>3.7584999999999997</v>
      </c>
      <c r="G143">
        <v>5.0358999999999998</v>
      </c>
      <c r="H143">
        <v>5.3809000000000005</v>
      </c>
      <c r="I143">
        <v>3.9592000000000001</v>
      </c>
      <c r="J143">
        <v>4.2717999999999998</v>
      </c>
      <c r="K143">
        <v>3.0834999999999999</v>
      </c>
      <c r="L143">
        <v>2.7786</v>
      </c>
      <c r="M143">
        <v>2.9712000000000001</v>
      </c>
      <c r="N143">
        <v>2.5011000000000001</v>
      </c>
      <c r="O143">
        <v>2.6409000000000002</v>
      </c>
      <c r="P143">
        <v>2.4586999999999999</v>
      </c>
      <c r="Q143">
        <v>2.7262</v>
      </c>
    </row>
    <row r="144" spans="1:17">
      <c r="A144" t="s">
        <v>423</v>
      </c>
      <c r="B144" t="s">
        <v>424</v>
      </c>
      <c r="C144" t="s">
        <v>458</v>
      </c>
      <c r="D144" t="s">
        <v>459</v>
      </c>
      <c r="E144" t="s">
        <v>392</v>
      </c>
      <c r="F144">
        <v>1.9597</v>
      </c>
      <c r="G144">
        <v>1.6400000000000001</v>
      </c>
      <c r="H144">
        <v>2.3742999999999999</v>
      </c>
      <c r="I144">
        <v>3.7484999999999999</v>
      </c>
      <c r="J144">
        <v>2.9070999999999998</v>
      </c>
      <c r="K144">
        <v>3.6863000000000001</v>
      </c>
      <c r="L144">
        <v>3.9045000000000001</v>
      </c>
      <c r="M144">
        <v>3.1753</v>
      </c>
      <c r="N144">
        <v>2.7010999999999998</v>
      </c>
      <c r="O144">
        <v>6.5881999999999996</v>
      </c>
      <c r="P144">
        <v>3.145</v>
      </c>
      <c r="Q144">
        <v>2.6465000000000001</v>
      </c>
    </row>
    <row r="145" spans="1:17" s="449" customFormat="1">
      <c r="A145" s="449" t="s">
        <v>425</v>
      </c>
      <c r="B145" s="449" t="s">
        <v>426</v>
      </c>
      <c r="C145" s="449" t="s">
        <v>458</v>
      </c>
      <c r="D145" s="449" t="s">
        <v>459</v>
      </c>
      <c r="E145" s="449" t="s">
        <v>392</v>
      </c>
      <c r="F145" s="449">
        <v>1.7052</v>
      </c>
      <c r="G145" s="449">
        <v>1.0757000000000001</v>
      </c>
      <c r="H145" s="449">
        <v>0.94440000000000002</v>
      </c>
      <c r="I145" s="449">
        <v>0.74239999999999995</v>
      </c>
      <c r="J145" s="449">
        <v>1.1705000000000001</v>
      </c>
      <c r="K145" s="449">
        <v>1.7873000000000001</v>
      </c>
      <c r="L145" s="449">
        <v>2.6539000000000001</v>
      </c>
      <c r="M145" s="449">
        <v>2.0224000000000002</v>
      </c>
      <c r="N145" s="449">
        <v>1.1154999999999999</v>
      </c>
      <c r="O145" s="449">
        <v>1.9723000000000002</v>
      </c>
      <c r="P145" s="449" t="s">
        <v>350</v>
      </c>
      <c r="Q145" s="449" t="s">
        <v>350</v>
      </c>
    </row>
    <row r="146" spans="1:17">
      <c r="A146" t="s">
        <v>427</v>
      </c>
      <c r="B146" t="s">
        <v>428</v>
      </c>
      <c r="C146" t="s">
        <v>458</v>
      </c>
      <c r="D146" t="s">
        <v>459</v>
      </c>
      <c r="E146" t="s">
        <v>392</v>
      </c>
      <c r="F146">
        <v>1.5244</v>
      </c>
      <c r="G146">
        <v>1.2176</v>
      </c>
      <c r="H146">
        <v>1.3214999999999999</v>
      </c>
      <c r="I146">
        <v>2.7450000000000001</v>
      </c>
      <c r="J146">
        <v>4.8528000000000002</v>
      </c>
      <c r="K146">
        <v>2.7614000000000001</v>
      </c>
      <c r="L146">
        <v>3.1739999999999999</v>
      </c>
      <c r="M146">
        <v>3.7088999999999999</v>
      </c>
      <c r="N146">
        <v>3.5522999999999998</v>
      </c>
      <c r="O146">
        <v>2.9500999999999999</v>
      </c>
      <c r="P146">
        <v>3.0937000000000001</v>
      </c>
      <c r="Q146">
        <v>2.3871000000000002</v>
      </c>
    </row>
    <row r="147" spans="1:17">
      <c r="A147" t="s">
        <v>429</v>
      </c>
      <c r="B147" t="s">
        <v>430</v>
      </c>
      <c r="C147" t="s">
        <v>458</v>
      </c>
      <c r="D147" t="s">
        <v>459</v>
      </c>
      <c r="E147" t="s">
        <v>392</v>
      </c>
      <c r="F147" t="s">
        <v>350</v>
      </c>
      <c r="G147">
        <v>1.3389</v>
      </c>
      <c r="H147">
        <v>1.198</v>
      </c>
      <c r="I147">
        <v>1.0586</v>
      </c>
      <c r="J147">
        <v>1.6351</v>
      </c>
      <c r="K147">
        <v>2.3485</v>
      </c>
      <c r="L147">
        <v>2.6920999999999999</v>
      </c>
      <c r="M147">
        <v>2.3292000000000002</v>
      </c>
      <c r="N147">
        <v>2.2181000000000002</v>
      </c>
      <c r="O147">
        <v>4.3929</v>
      </c>
      <c r="P147">
        <v>2.7665999999999999</v>
      </c>
      <c r="Q147">
        <v>3.6922000000000001</v>
      </c>
    </row>
    <row r="148" spans="1:17" s="449" customFormat="1">
      <c r="A148" s="449" t="s">
        <v>431</v>
      </c>
      <c r="B148" s="449" t="s">
        <v>432</v>
      </c>
      <c r="C148" s="449" t="s">
        <v>458</v>
      </c>
      <c r="D148" s="449" t="s">
        <v>459</v>
      </c>
      <c r="E148" s="449" t="s">
        <v>392</v>
      </c>
      <c r="F148" s="449">
        <v>0.55020000000000002</v>
      </c>
      <c r="G148" s="449">
        <v>0.53610000000000002</v>
      </c>
      <c r="H148" s="449">
        <v>0.49270000000000003</v>
      </c>
      <c r="I148" s="449">
        <v>0.78920000000000001</v>
      </c>
      <c r="J148" s="449">
        <v>0.25040000000000001</v>
      </c>
      <c r="K148" s="449">
        <v>0.55469999999999997</v>
      </c>
      <c r="L148" s="449">
        <v>0.64570000000000005</v>
      </c>
      <c r="M148" s="449">
        <v>0.93920000000000003</v>
      </c>
      <c r="N148" s="449">
        <v>0.65069999999999995</v>
      </c>
      <c r="O148" s="449">
        <v>1.0408999999999999</v>
      </c>
      <c r="P148" s="449">
        <v>1.3898999999999999</v>
      </c>
      <c r="Q148" s="449">
        <v>2.6642999999999999</v>
      </c>
    </row>
    <row r="149" spans="1:17">
      <c r="A149" t="s">
        <v>433</v>
      </c>
      <c r="B149" t="s">
        <v>434</v>
      </c>
      <c r="C149" t="s">
        <v>458</v>
      </c>
      <c r="D149" t="s">
        <v>459</v>
      </c>
      <c r="E149" t="s">
        <v>392</v>
      </c>
      <c r="F149">
        <v>1.6282000000000001</v>
      </c>
      <c r="G149">
        <v>1.8576999999999999</v>
      </c>
      <c r="H149">
        <v>1.8683000000000001</v>
      </c>
      <c r="I149">
        <v>1.1184000000000001</v>
      </c>
      <c r="J149">
        <v>1.2836000000000001</v>
      </c>
      <c r="K149">
        <v>1.2904</v>
      </c>
      <c r="L149">
        <v>1.6293</v>
      </c>
      <c r="M149">
        <v>1.2885</v>
      </c>
      <c r="N149">
        <v>1.2734000000000001</v>
      </c>
      <c r="O149">
        <v>1.6865999999999999</v>
      </c>
      <c r="P149">
        <v>1.2379</v>
      </c>
      <c r="Q149">
        <v>1.2706</v>
      </c>
    </row>
    <row r="150" spans="1:17">
      <c r="A150" t="s">
        <v>435</v>
      </c>
      <c r="B150" t="s">
        <v>436</v>
      </c>
      <c r="C150" t="s">
        <v>458</v>
      </c>
      <c r="D150" t="s">
        <v>459</v>
      </c>
      <c r="E150" t="s">
        <v>392</v>
      </c>
      <c r="F150" t="s">
        <v>350</v>
      </c>
      <c r="G150">
        <v>6.7995000000000001</v>
      </c>
      <c r="H150">
        <v>4.9546000000000001</v>
      </c>
      <c r="I150">
        <v>3.1423000000000001</v>
      </c>
      <c r="J150">
        <v>1.7046000000000001</v>
      </c>
      <c r="K150">
        <v>1.776</v>
      </c>
      <c r="L150">
        <v>1.42</v>
      </c>
      <c r="M150">
        <v>1.9298999999999999</v>
      </c>
      <c r="N150">
        <v>1.4493</v>
      </c>
      <c r="O150">
        <v>2.0941000000000001</v>
      </c>
      <c r="P150">
        <v>1.7844</v>
      </c>
      <c r="Q150">
        <v>1.5495000000000001</v>
      </c>
    </row>
    <row r="151" spans="1:17">
      <c r="A151" t="s">
        <v>437</v>
      </c>
      <c r="B151" t="s">
        <v>438</v>
      </c>
      <c r="C151" t="s">
        <v>458</v>
      </c>
      <c r="D151" t="s">
        <v>459</v>
      </c>
      <c r="E151" t="s">
        <v>392</v>
      </c>
      <c r="F151" t="s">
        <v>350</v>
      </c>
      <c r="G151">
        <v>1.7133</v>
      </c>
      <c r="H151">
        <v>2.8429000000000002</v>
      </c>
      <c r="I151">
        <v>6.0370999999999997</v>
      </c>
      <c r="J151">
        <v>20.255500000000001</v>
      </c>
      <c r="K151">
        <v>27.1083</v>
      </c>
      <c r="L151">
        <v>18.262599999999999</v>
      </c>
      <c r="M151">
        <v>24.040099999999999</v>
      </c>
      <c r="N151">
        <v>6.8406000000000002</v>
      </c>
      <c r="O151">
        <v>2.0474999999999999</v>
      </c>
      <c r="P151">
        <v>14.1286</v>
      </c>
      <c r="Q151">
        <v>3.3498999999999999</v>
      </c>
    </row>
    <row r="152" spans="1:17">
      <c r="A152" t="s">
        <v>439</v>
      </c>
      <c r="B152" t="s">
        <v>440</v>
      </c>
      <c r="C152" t="s">
        <v>458</v>
      </c>
      <c r="D152" t="s">
        <v>459</v>
      </c>
      <c r="E152" t="s">
        <v>392</v>
      </c>
      <c r="F152">
        <v>2.2921</v>
      </c>
      <c r="G152">
        <v>1.7332999999999998</v>
      </c>
      <c r="H152">
        <v>1.5392999999999999</v>
      </c>
      <c r="I152">
        <v>1.1581999999999999</v>
      </c>
      <c r="J152">
        <v>0.59279999999999999</v>
      </c>
      <c r="K152">
        <v>2.1482999999999999</v>
      </c>
      <c r="L152">
        <v>2.2267000000000001</v>
      </c>
      <c r="M152">
        <v>1.4399</v>
      </c>
      <c r="N152">
        <v>0.36959999999999998</v>
      </c>
      <c r="O152">
        <v>2.8889</v>
      </c>
      <c r="P152">
        <v>1.4278999999999999</v>
      </c>
      <c r="Q152">
        <v>2.0499999999999998</v>
      </c>
    </row>
    <row r="153" spans="1:17">
      <c r="A153" t="s">
        <v>441</v>
      </c>
      <c r="B153" t="s">
        <v>442</v>
      </c>
      <c r="C153" t="s">
        <v>458</v>
      </c>
      <c r="D153" t="s">
        <v>459</v>
      </c>
      <c r="E153" t="s">
        <v>392</v>
      </c>
      <c r="F153">
        <v>2.7873999999999999</v>
      </c>
      <c r="G153">
        <v>2.2505000000000002</v>
      </c>
      <c r="H153">
        <v>16.398800000000001</v>
      </c>
      <c r="I153">
        <v>1.2709999999999999</v>
      </c>
      <c r="J153">
        <v>0.79039999999999999</v>
      </c>
      <c r="K153">
        <v>7.7686000000000002</v>
      </c>
      <c r="L153">
        <v>6.19</v>
      </c>
      <c r="M153">
        <v>4.1692</v>
      </c>
      <c r="N153">
        <v>0.6048</v>
      </c>
      <c r="O153">
        <v>7.3466000000000005</v>
      </c>
      <c r="P153">
        <v>1.9182000000000001</v>
      </c>
      <c r="Q153">
        <v>2.4272999999999998</v>
      </c>
    </row>
    <row r="154" spans="1:17">
      <c r="A154" t="s">
        <v>443</v>
      </c>
      <c r="B154" t="s">
        <v>444</v>
      </c>
      <c r="C154" t="s">
        <v>458</v>
      </c>
      <c r="D154" t="s">
        <v>459</v>
      </c>
      <c r="E154" t="s">
        <v>392</v>
      </c>
      <c r="F154">
        <v>0.92320000000000002</v>
      </c>
      <c r="G154">
        <v>1.1657999999999999</v>
      </c>
      <c r="H154">
        <v>0.54990000000000006</v>
      </c>
      <c r="I154">
        <v>2.2987000000000002</v>
      </c>
      <c r="J154">
        <v>1.4983</v>
      </c>
      <c r="K154">
        <v>1.2383999999999999</v>
      </c>
      <c r="L154">
        <v>1.1916</v>
      </c>
      <c r="M154">
        <v>0.9829</v>
      </c>
      <c r="N154">
        <v>0.47970000000000002</v>
      </c>
      <c r="O154">
        <v>0.86060000000000003</v>
      </c>
      <c r="P154">
        <v>1.0247999999999999</v>
      </c>
      <c r="Q154">
        <v>1.2382</v>
      </c>
    </row>
    <row r="155" spans="1:17">
      <c r="A155" t="s">
        <v>445</v>
      </c>
      <c r="B155" t="s">
        <v>446</v>
      </c>
      <c r="C155" t="s">
        <v>458</v>
      </c>
      <c r="D155" t="s">
        <v>459</v>
      </c>
      <c r="E155" t="s">
        <v>392</v>
      </c>
      <c r="F155" t="s">
        <v>350</v>
      </c>
      <c r="G155">
        <v>1.7168999999999999</v>
      </c>
      <c r="H155">
        <v>2.0630000000000002</v>
      </c>
      <c r="I155">
        <v>1.6438000000000001</v>
      </c>
      <c r="J155">
        <v>1.5851</v>
      </c>
      <c r="K155">
        <v>1.6093</v>
      </c>
      <c r="L155">
        <v>1.6642999999999999</v>
      </c>
      <c r="M155">
        <v>1.5121</v>
      </c>
      <c r="N155">
        <v>1.3248</v>
      </c>
      <c r="O155">
        <v>1.8713</v>
      </c>
      <c r="P155">
        <v>3.0348000000000002</v>
      </c>
      <c r="Q155">
        <v>2.5413000000000001</v>
      </c>
    </row>
    <row r="156" spans="1:17">
      <c r="A156" t="s">
        <v>447</v>
      </c>
      <c r="B156" t="s">
        <v>448</v>
      </c>
      <c r="C156" t="s">
        <v>458</v>
      </c>
      <c r="D156" t="s">
        <v>459</v>
      </c>
      <c r="E156" t="s">
        <v>392</v>
      </c>
      <c r="F156">
        <v>0.88649999999999995</v>
      </c>
      <c r="G156">
        <v>0.9839</v>
      </c>
      <c r="H156">
        <v>0.60719999999999996</v>
      </c>
      <c r="I156">
        <v>0.9637</v>
      </c>
      <c r="J156">
        <v>0.77110000000000001</v>
      </c>
      <c r="K156">
        <v>1.2086000000000001</v>
      </c>
      <c r="L156">
        <v>2.0398000000000001</v>
      </c>
      <c r="M156">
        <v>2.1143000000000001</v>
      </c>
      <c r="N156">
        <v>1.2012</v>
      </c>
      <c r="O156">
        <v>1.5394999999999999</v>
      </c>
      <c r="P156">
        <v>1.7101999999999999</v>
      </c>
      <c r="Q156">
        <v>1.5891</v>
      </c>
    </row>
    <row r="157" spans="1:17">
      <c r="A157" t="s">
        <v>449</v>
      </c>
      <c r="B157" t="s">
        <v>450</v>
      </c>
      <c r="C157" t="s">
        <v>458</v>
      </c>
      <c r="D157" t="s">
        <v>459</v>
      </c>
      <c r="E157" t="s">
        <v>392</v>
      </c>
      <c r="F157">
        <v>1.1755</v>
      </c>
      <c r="G157">
        <v>3.1983999999999999</v>
      </c>
      <c r="H157">
        <v>4.2469999999999999</v>
      </c>
      <c r="I157">
        <v>2.7292999999999998</v>
      </c>
      <c r="J157">
        <v>1.7787999999999999</v>
      </c>
      <c r="K157">
        <v>2.6588000000000003</v>
      </c>
      <c r="L157">
        <v>3.2039</v>
      </c>
      <c r="M157">
        <v>5.8312999999999997</v>
      </c>
      <c r="N157">
        <v>6.4329999999999998</v>
      </c>
      <c r="O157">
        <v>5.5724999999999998</v>
      </c>
      <c r="P157">
        <v>5.3311999999999999</v>
      </c>
      <c r="Q157">
        <v>3.4451999999999998</v>
      </c>
    </row>
    <row r="164" spans="1:13">
      <c r="B164" t="s">
        <v>326</v>
      </c>
      <c r="C164" t="s">
        <v>325</v>
      </c>
      <c r="D164" t="s">
        <v>324</v>
      </c>
      <c r="E164" t="s">
        <v>323</v>
      </c>
      <c r="F164" t="s">
        <v>377</v>
      </c>
      <c r="G164" t="s">
        <v>378</v>
      </c>
      <c r="H164" t="s">
        <v>379</v>
      </c>
      <c r="I164" t="s">
        <v>380</v>
      </c>
      <c r="J164" t="s">
        <v>381</v>
      </c>
      <c r="K164" t="s">
        <v>382</v>
      </c>
      <c r="L164" t="s">
        <v>383</v>
      </c>
      <c r="M164" t="s">
        <v>384</v>
      </c>
    </row>
    <row r="165" spans="1:13">
      <c r="A165" t="s">
        <v>385</v>
      </c>
      <c r="B165">
        <v>90.050719047619026</v>
      </c>
      <c r="C165">
        <v>88.111417241379314</v>
      </c>
      <c r="D165">
        <v>88.446972413793091</v>
      </c>
      <c r="E165">
        <v>88.271237931034506</v>
      </c>
      <c r="F165">
        <v>88.825093103448282</v>
      </c>
      <c r="G165">
        <v>89.536827586206869</v>
      </c>
      <c r="H165">
        <v>89.16124827586205</v>
      </c>
      <c r="I165">
        <v>88.810117241379317</v>
      </c>
      <c r="J165">
        <v>88.533296551724135</v>
      </c>
      <c r="K165">
        <v>88.619975862068969</v>
      </c>
      <c r="L165">
        <v>87.842678571428564</v>
      </c>
      <c r="M165">
        <v>88.246637037037019</v>
      </c>
    </row>
    <row r="166" spans="1:13">
      <c r="A166" t="s">
        <v>417</v>
      </c>
      <c r="B166">
        <v>93.562299999999993</v>
      </c>
      <c r="C166">
        <v>92.622100000000003</v>
      </c>
      <c r="D166">
        <v>92.847399999999993</v>
      </c>
      <c r="E166">
        <v>93.070700000000002</v>
      </c>
      <c r="F166">
        <v>93.555800000000005</v>
      </c>
      <c r="G166">
        <v>93.592200000000005</v>
      </c>
      <c r="H166">
        <v>92.284800000000004</v>
      </c>
      <c r="I166">
        <v>91.8523</v>
      </c>
      <c r="J166">
        <v>90.477999999999994</v>
      </c>
      <c r="K166">
        <v>91.350499999999997</v>
      </c>
      <c r="L166">
        <v>90.2911</v>
      </c>
      <c r="M166">
        <v>90.3309</v>
      </c>
    </row>
    <row r="167" spans="1:13">
      <c r="A167" t="s">
        <v>451</v>
      </c>
      <c r="B167">
        <v>10.447440909090909</v>
      </c>
      <c r="C167">
        <v>10.229610000000001</v>
      </c>
      <c r="D167">
        <v>10.397673333333334</v>
      </c>
      <c r="E167">
        <v>11.006303333333333</v>
      </c>
      <c r="F167">
        <v>10.062389999999999</v>
      </c>
      <c r="G167">
        <v>10.089140000000002</v>
      </c>
      <c r="H167">
        <v>10.493976666666663</v>
      </c>
      <c r="I167">
        <v>9.8258633333333343</v>
      </c>
      <c r="J167">
        <v>10.740203333333334</v>
      </c>
      <c r="K167">
        <v>10.742340000000002</v>
      </c>
      <c r="L167">
        <v>9.7308517241379313</v>
      </c>
      <c r="M167">
        <v>10.027807142857144</v>
      </c>
    </row>
    <row r="168" spans="1:13">
      <c r="A168" t="s">
        <v>417</v>
      </c>
      <c r="B168">
        <v>4.0460000000000003</v>
      </c>
      <c r="C168">
        <v>3.3643999999999998</v>
      </c>
      <c r="D168">
        <v>3.4877000000000002</v>
      </c>
      <c r="E168">
        <v>3.5306999999999999</v>
      </c>
      <c r="F168">
        <v>3.6783999999999999</v>
      </c>
      <c r="G168">
        <v>3.645</v>
      </c>
      <c r="H168">
        <v>5.3158000000000003</v>
      </c>
      <c r="I168">
        <v>5.2735000000000003</v>
      </c>
      <c r="J168">
        <v>5.2606000000000002</v>
      </c>
      <c r="K168">
        <v>4.9985999999999997</v>
      </c>
      <c r="L168">
        <v>4.3495999999999997</v>
      </c>
      <c r="M168">
        <v>4.0579999999999998</v>
      </c>
    </row>
    <row r="169" spans="1:13">
      <c r="A169" t="s">
        <v>460</v>
      </c>
      <c r="B169">
        <v>0.98342999999999992</v>
      </c>
      <c r="C169">
        <v>1.2094862068965517</v>
      </c>
      <c r="D169">
        <v>1.7352758620689654</v>
      </c>
      <c r="E169">
        <v>1.2194464285714286</v>
      </c>
      <c r="F169">
        <v>1.1970214285714285</v>
      </c>
      <c r="G169">
        <v>1.4653555555555555</v>
      </c>
      <c r="H169">
        <v>2.0572928571428575</v>
      </c>
      <c r="I169">
        <v>2.1639925925925927</v>
      </c>
      <c r="J169">
        <v>1.1663592592592591</v>
      </c>
      <c r="K169">
        <v>2.029153571428572</v>
      </c>
      <c r="L169">
        <v>2.9673814814814818</v>
      </c>
      <c r="M169">
        <v>2.5257679999999998</v>
      </c>
    </row>
    <row r="170" spans="1:13">
      <c r="A170" t="s">
        <v>417</v>
      </c>
      <c r="B170">
        <v>1.0108999999999999</v>
      </c>
      <c r="C170">
        <v>0.85250000000000004</v>
      </c>
      <c r="D170">
        <v>1.0088999999999999</v>
      </c>
      <c r="E170">
        <v>0.39929999999999999</v>
      </c>
      <c r="F170">
        <v>0.61850000000000005</v>
      </c>
      <c r="G170">
        <v>1.1997</v>
      </c>
      <c r="H170">
        <v>2.0632999999999999</v>
      </c>
      <c r="I170">
        <v>1.9988000000000001</v>
      </c>
      <c r="J170">
        <v>0.87060000000000004</v>
      </c>
      <c r="K170">
        <v>2.4942000000000002</v>
      </c>
      <c r="L170">
        <v>3.9842</v>
      </c>
      <c r="M170">
        <v>3.5358999999999998</v>
      </c>
    </row>
    <row r="171" spans="1:13">
      <c r="A171" t="s">
        <v>457</v>
      </c>
      <c r="B171">
        <v>2.0317476190476187</v>
      </c>
      <c r="C171">
        <v>2.6608966666666669</v>
      </c>
      <c r="D171">
        <v>3.2587033333333326</v>
      </c>
      <c r="E171">
        <v>2.767983333333333</v>
      </c>
      <c r="F171">
        <v>2.9725100000000007</v>
      </c>
      <c r="G171">
        <v>3.7434900000000009</v>
      </c>
      <c r="H171">
        <v>5.070713333333333</v>
      </c>
      <c r="I171">
        <v>3.9653100000000001</v>
      </c>
      <c r="J171">
        <v>2.7542066666666662</v>
      </c>
      <c r="K171">
        <v>4.7001533333333327</v>
      </c>
      <c r="L171">
        <v>4.8941551724137922</v>
      </c>
      <c r="M171">
        <v>4.4384214285714298</v>
      </c>
    </row>
    <row r="172" spans="1:13">
      <c r="A172" t="s">
        <v>417</v>
      </c>
      <c r="B172">
        <v>1.2828999999999999</v>
      </c>
      <c r="C172">
        <v>1.2205999999999999</v>
      </c>
      <c r="D172">
        <v>1.5832000000000002</v>
      </c>
      <c r="E172">
        <v>0.65780000000000005</v>
      </c>
      <c r="F172">
        <v>1.1375</v>
      </c>
      <c r="G172">
        <v>2.0733000000000001</v>
      </c>
      <c r="H172">
        <v>2.7286999999999999</v>
      </c>
      <c r="I172">
        <v>2.4584000000000001</v>
      </c>
      <c r="J172">
        <v>1.4633</v>
      </c>
      <c r="K172">
        <v>3.5819999999999999</v>
      </c>
      <c r="L172">
        <v>5.1468999999999996</v>
      </c>
      <c r="M172">
        <v>4.0242000000000004</v>
      </c>
    </row>
    <row r="176" spans="1:13">
      <c r="B176" t="s">
        <v>326</v>
      </c>
      <c r="C176" t="s">
        <v>325</v>
      </c>
      <c r="D176" t="s">
        <v>324</v>
      </c>
      <c r="E176" t="s">
        <v>323</v>
      </c>
      <c r="F176" t="s">
        <v>377</v>
      </c>
      <c r="G176" t="s">
        <v>378</v>
      </c>
      <c r="H176" t="s">
        <v>379</v>
      </c>
      <c r="I176" t="s">
        <v>380</v>
      </c>
      <c r="J176" t="s">
        <v>381</v>
      </c>
      <c r="K176" t="s">
        <v>382</v>
      </c>
      <c r="L176" t="s">
        <v>383</v>
      </c>
      <c r="M176" t="s">
        <v>384</v>
      </c>
    </row>
    <row r="177" spans="1:13">
      <c r="A177" t="s">
        <v>385</v>
      </c>
      <c r="B177">
        <f>B165/100</f>
        <v>0.90050719047619021</v>
      </c>
      <c r="C177">
        <f t="shared" ref="C177:M177" si="0">C165/100</f>
        <v>0.8811141724137932</v>
      </c>
      <c r="D177">
        <f t="shared" si="0"/>
        <v>0.8844697241379309</v>
      </c>
      <c r="E177">
        <f t="shared" si="0"/>
        <v>0.88271237931034507</v>
      </c>
      <c r="F177">
        <f t="shared" si="0"/>
        <v>0.88825093103448283</v>
      </c>
      <c r="G177">
        <f t="shared" si="0"/>
        <v>0.89536827586206869</v>
      </c>
      <c r="H177">
        <f t="shared" si="0"/>
        <v>0.89161248275862048</v>
      </c>
      <c r="I177">
        <f t="shared" si="0"/>
        <v>0.88810117241379316</v>
      </c>
      <c r="J177">
        <f t="shared" si="0"/>
        <v>0.88533296551724139</v>
      </c>
      <c r="K177">
        <f t="shared" si="0"/>
        <v>0.88619975862068967</v>
      </c>
      <c r="L177">
        <f t="shared" si="0"/>
        <v>0.87842678571428567</v>
      </c>
      <c r="M177">
        <f t="shared" si="0"/>
        <v>0.88246637037037023</v>
      </c>
    </row>
    <row r="178" spans="1:13">
      <c r="A178" t="s">
        <v>417</v>
      </c>
      <c r="B178">
        <f t="shared" ref="B178:M178" si="1">B166/100</f>
        <v>0.93562299999999998</v>
      </c>
      <c r="C178">
        <f t="shared" si="1"/>
        <v>0.92622100000000007</v>
      </c>
      <c r="D178">
        <f t="shared" si="1"/>
        <v>0.92847399999999991</v>
      </c>
      <c r="E178">
        <f t="shared" si="1"/>
        <v>0.93070700000000006</v>
      </c>
      <c r="F178">
        <f t="shared" si="1"/>
        <v>0.935558</v>
      </c>
      <c r="G178">
        <f t="shared" si="1"/>
        <v>0.93592200000000003</v>
      </c>
      <c r="H178">
        <f t="shared" si="1"/>
        <v>0.922848</v>
      </c>
      <c r="I178">
        <f t="shared" si="1"/>
        <v>0.91852299999999998</v>
      </c>
      <c r="J178">
        <f t="shared" si="1"/>
        <v>0.90477999999999992</v>
      </c>
      <c r="K178">
        <f t="shared" si="1"/>
        <v>0.91350500000000001</v>
      </c>
      <c r="L178">
        <f t="shared" si="1"/>
        <v>0.90291100000000002</v>
      </c>
      <c r="M178">
        <f t="shared" si="1"/>
        <v>0.90330900000000003</v>
      </c>
    </row>
    <row r="179" spans="1:13">
      <c r="A179" t="s">
        <v>451</v>
      </c>
      <c r="B179">
        <f t="shared" ref="B179:M179" si="2">B167/100</f>
        <v>0.10447440909090909</v>
      </c>
      <c r="C179">
        <f t="shared" si="2"/>
        <v>0.10229610000000001</v>
      </c>
      <c r="D179">
        <f t="shared" si="2"/>
        <v>0.10397673333333333</v>
      </c>
      <c r="E179">
        <f t="shared" si="2"/>
        <v>0.11006303333333334</v>
      </c>
      <c r="F179">
        <f t="shared" si="2"/>
        <v>0.10062389999999999</v>
      </c>
      <c r="G179">
        <f t="shared" si="2"/>
        <v>0.10089140000000002</v>
      </c>
      <c r="H179">
        <f t="shared" si="2"/>
        <v>0.10493976666666663</v>
      </c>
      <c r="I179">
        <f t="shared" si="2"/>
        <v>9.8258633333333345E-2</v>
      </c>
      <c r="J179">
        <f t="shared" si="2"/>
        <v>0.10740203333333334</v>
      </c>
      <c r="K179">
        <f t="shared" si="2"/>
        <v>0.10742340000000002</v>
      </c>
      <c r="L179">
        <f t="shared" si="2"/>
        <v>9.7308517241379316E-2</v>
      </c>
      <c r="M179">
        <f t="shared" si="2"/>
        <v>0.10027807142857144</v>
      </c>
    </row>
    <row r="180" spans="1:13">
      <c r="A180" t="s">
        <v>417</v>
      </c>
      <c r="B180">
        <f t="shared" ref="B180:M180" si="3">B168/100</f>
        <v>4.0460000000000003E-2</v>
      </c>
      <c r="C180">
        <f t="shared" si="3"/>
        <v>3.3644E-2</v>
      </c>
      <c r="D180">
        <f t="shared" si="3"/>
        <v>3.4877000000000005E-2</v>
      </c>
      <c r="E180">
        <f t="shared" si="3"/>
        <v>3.5306999999999998E-2</v>
      </c>
      <c r="F180">
        <f t="shared" si="3"/>
        <v>3.6783999999999997E-2</v>
      </c>
      <c r="G180">
        <f t="shared" si="3"/>
        <v>3.6450000000000003E-2</v>
      </c>
      <c r="H180">
        <f t="shared" si="3"/>
        <v>5.3158000000000004E-2</v>
      </c>
      <c r="I180">
        <f t="shared" si="3"/>
        <v>5.2735000000000004E-2</v>
      </c>
      <c r="J180">
        <f t="shared" si="3"/>
        <v>5.2606E-2</v>
      </c>
      <c r="K180">
        <f t="shared" si="3"/>
        <v>4.9985999999999996E-2</v>
      </c>
      <c r="L180">
        <f t="shared" si="3"/>
        <v>4.3496E-2</v>
      </c>
      <c r="M180">
        <f t="shared" si="3"/>
        <v>4.0579999999999998E-2</v>
      </c>
    </row>
    <row r="181" spans="1:13">
      <c r="A181" t="s">
        <v>460</v>
      </c>
      <c r="B181">
        <v>0.98342999999999992</v>
      </c>
      <c r="C181">
        <v>1.2094862068965517</v>
      </c>
      <c r="D181">
        <v>1.7352758620689654</v>
      </c>
      <c r="E181">
        <v>1.2194464285714286</v>
      </c>
      <c r="F181">
        <v>1.1970214285714285</v>
      </c>
      <c r="G181">
        <v>1.4653555555555555</v>
      </c>
      <c r="H181">
        <v>2.0572928571428575</v>
      </c>
      <c r="I181">
        <v>2.1639925925925927</v>
      </c>
      <c r="J181">
        <v>1.1663592592592591</v>
      </c>
      <c r="K181">
        <v>2.029153571428572</v>
      </c>
      <c r="L181">
        <v>2.9673814814814818</v>
      </c>
      <c r="M181">
        <v>2.5257679999999998</v>
      </c>
    </row>
    <row r="182" spans="1:13">
      <c r="A182" t="s">
        <v>417</v>
      </c>
      <c r="B182">
        <v>1.0108999999999999</v>
      </c>
      <c r="C182">
        <v>0.85250000000000004</v>
      </c>
      <c r="D182">
        <v>1.0088999999999999</v>
      </c>
      <c r="E182">
        <v>0.39929999999999999</v>
      </c>
      <c r="F182">
        <v>0.61850000000000005</v>
      </c>
      <c r="G182">
        <v>1.1997</v>
      </c>
      <c r="H182">
        <v>2.0632999999999999</v>
      </c>
      <c r="I182">
        <v>1.9988000000000001</v>
      </c>
      <c r="J182">
        <v>0.87060000000000004</v>
      </c>
      <c r="K182">
        <v>2.4942000000000002</v>
      </c>
      <c r="L182">
        <v>3.9842</v>
      </c>
      <c r="M182">
        <v>3.5358999999999998</v>
      </c>
    </row>
    <row r="183" spans="1:13">
      <c r="A183" t="s">
        <v>457</v>
      </c>
      <c r="B183">
        <f>B171/100</f>
        <v>2.0317476190476188E-2</v>
      </c>
      <c r="C183">
        <f t="shared" ref="C183:M183" si="4">C171/100</f>
        <v>2.6608966666666668E-2</v>
      </c>
      <c r="D183">
        <f t="shared" si="4"/>
        <v>3.2587033333333328E-2</v>
      </c>
      <c r="E183">
        <f t="shared" si="4"/>
        <v>2.7679833333333331E-2</v>
      </c>
      <c r="F183">
        <f t="shared" si="4"/>
        <v>2.9725100000000008E-2</v>
      </c>
      <c r="G183">
        <f t="shared" si="4"/>
        <v>3.7434900000000007E-2</v>
      </c>
      <c r="H183">
        <f t="shared" si="4"/>
        <v>5.0707133333333328E-2</v>
      </c>
      <c r="I183">
        <f t="shared" si="4"/>
        <v>3.9653100000000004E-2</v>
      </c>
      <c r="J183">
        <f t="shared" si="4"/>
        <v>2.7542066666666663E-2</v>
      </c>
      <c r="K183">
        <f t="shared" si="4"/>
        <v>4.7001533333333324E-2</v>
      </c>
      <c r="L183">
        <f t="shared" si="4"/>
        <v>4.8941551724137923E-2</v>
      </c>
      <c r="M183">
        <f t="shared" si="4"/>
        <v>4.4384214285714298E-2</v>
      </c>
    </row>
    <row r="184" spans="1:13">
      <c r="A184" t="s">
        <v>417</v>
      </c>
      <c r="B184">
        <f>B172/100</f>
        <v>1.2829E-2</v>
      </c>
      <c r="C184">
        <f t="shared" ref="C184:M184" si="5">C172/100</f>
        <v>1.2206E-2</v>
      </c>
      <c r="D184">
        <f t="shared" si="5"/>
        <v>1.5832000000000002E-2</v>
      </c>
      <c r="E184">
        <f t="shared" si="5"/>
        <v>6.5780000000000005E-3</v>
      </c>
      <c r="F184">
        <f t="shared" si="5"/>
        <v>1.1375E-2</v>
      </c>
      <c r="G184">
        <f t="shared" si="5"/>
        <v>2.0733000000000001E-2</v>
      </c>
      <c r="H184">
        <f t="shared" si="5"/>
        <v>2.7286999999999999E-2</v>
      </c>
      <c r="I184">
        <f t="shared" si="5"/>
        <v>2.4584000000000002E-2</v>
      </c>
      <c r="J184">
        <f t="shared" si="5"/>
        <v>1.4633E-2</v>
      </c>
      <c r="K184">
        <f t="shared" si="5"/>
        <v>3.5819999999999998E-2</v>
      </c>
      <c r="L184">
        <f t="shared" si="5"/>
        <v>5.1468999999999994E-2</v>
      </c>
      <c r="M184">
        <f t="shared" si="5"/>
        <v>4.0242000000000007E-2</v>
      </c>
    </row>
    <row r="187" spans="1:13">
      <c r="B187" t="s">
        <v>326</v>
      </c>
      <c r="C187" t="s">
        <v>325</v>
      </c>
      <c r="D187" t="s">
        <v>324</v>
      </c>
      <c r="E187" t="s">
        <v>323</v>
      </c>
      <c r="F187" t="s">
        <v>377</v>
      </c>
      <c r="G187" t="s">
        <v>467</v>
      </c>
    </row>
    <row r="188" spans="1:13">
      <c r="A188" t="s">
        <v>465</v>
      </c>
      <c r="B188">
        <f>B179</f>
        <v>0.10447440909090909</v>
      </c>
      <c r="C188">
        <f t="shared" ref="C188:F188" si="6">C179</f>
        <v>0.10229610000000001</v>
      </c>
      <c r="D188">
        <f t="shared" si="6"/>
        <v>0.10397673333333333</v>
      </c>
      <c r="E188">
        <f t="shared" si="6"/>
        <v>0.11006303333333334</v>
      </c>
      <c r="F188">
        <f t="shared" si="6"/>
        <v>0.10062389999999999</v>
      </c>
      <c r="G188">
        <f>AVERAGE(B188:F188)</f>
        <v>0.10428683515151516</v>
      </c>
    </row>
    <row r="189" spans="1:13">
      <c r="A189" t="s">
        <v>466</v>
      </c>
      <c r="B189">
        <f>B180</f>
        <v>4.0460000000000003E-2</v>
      </c>
      <c r="C189">
        <f t="shared" ref="C189:F189" si="7">C180</f>
        <v>3.3644E-2</v>
      </c>
      <c r="D189">
        <f t="shared" si="7"/>
        <v>3.4877000000000005E-2</v>
      </c>
      <c r="E189">
        <f t="shared" si="7"/>
        <v>3.5306999999999998E-2</v>
      </c>
      <c r="F189">
        <f t="shared" si="7"/>
        <v>3.6783999999999997E-2</v>
      </c>
      <c r="G189">
        <f t="shared" ref="G189:G191" si="8">AVERAGE(B189:F189)</f>
        <v>3.6214400000000001E-2</v>
      </c>
    </row>
    <row r="190" spans="1:13">
      <c r="A190" t="s">
        <v>464</v>
      </c>
      <c r="B190">
        <f t="shared" ref="B190:F191" si="9">B177-B183/B181</f>
        <v>0.87984738124678274</v>
      </c>
      <c r="C190">
        <f t="shared" si="9"/>
        <v>0.85911394908347249</v>
      </c>
      <c r="D190">
        <f t="shared" si="9"/>
        <v>0.86569055821645036</v>
      </c>
      <c r="E190">
        <f t="shared" si="9"/>
        <v>0.86001369186922472</v>
      </c>
      <c r="F190">
        <f t="shared" si="9"/>
        <v>0.86341837641975461</v>
      </c>
      <c r="G190">
        <f t="shared" si="8"/>
        <v>0.86561679136713698</v>
      </c>
    </row>
    <row r="191" spans="1:13">
      <c r="A191" t="s">
        <v>463</v>
      </c>
      <c r="B191">
        <f t="shared" si="9"/>
        <v>0.92293232832129779</v>
      </c>
      <c r="C191">
        <f t="shared" si="9"/>
        <v>0.91190311143695024</v>
      </c>
      <c r="D191">
        <f t="shared" si="9"/>
        <v>0.91278166180989184</v>
      </c>
      <c r="E191">
        <f t="shared" si="9"/>
        <v>0.9142331707988981</v>
      </c>
      <c r="F191">
        <f t="shared" si="9"/>
        <v>0.9171667308003234</v>
      </c>
      <c r="G191">
        <f t="shared" si="8"/>
        <v>0.91580340063347221</v>
      </c>
    </row>
    <row r="195" spans="1:17" s="449" customFormat="1">
      <c r="A195" s="449" t="s">
        <v>401</v>
      </c>
      <c r="B195" s="449" t="s">
        <v>402</v>
      </c>
      <c r="C195" s="449" t="s">
        <v>390</v>
      </c>
      <c r="D195" s="449" t="s">
        <v>391</v>
      </c>
      <c r="E195" s="449" t="s">
        <v>392</v>
      </c>
      <c r="F195" s="449">
        <v>96.399000000000001</v>
      </c>
      <c r="G195" s="449">
        <v>95.717699999999994</v>
      </c>
      <c r="H195" s="449">
        <v>96.060599999999994</v>
      </c>
      <c r="I195" s="449">
        <v>96.173000000000002</v>
      </c>
      <c r="J195" s="449">
        <v>95.9422</v>
      </c>
      <c r="K195" s="449">
        <v>95.796300000000002</v>
      </c>
      <c r="L195" s="449">
        <v>95.154200000000003</v>
      </c>
      <c r="M195" s="449">
        <v>94.915899999999993</v>
      </c>
      <c r="N195" s="449">
        <v>93.853399999999993</v>
      </c>
      <c r="O195" s="449">
        <v>93.120099999999994</v>
      </c>
      <c r="P195" s="449">
        <v>93.693100000000001</v>
      </c>
      <c r="Q195" s="449">
        <v>93.406700000000001</v>
      </c>
    </row>
    <row r="196" spans="1:17" s="449" customFormat="1">
      <c r="A196" s="449" t="s">
        <v>411</v>
      </c>
      <c r="B196" s="449" t="s">
        <v>412</v>
      </c>
      <c r="C196" s="449" t="s">
        <v>390</v>
      </c>
      <c r="D196" s="449" t="s">
        <v>391</v>
      </c>
      <c r="E196" s="449" t="s">
        <v>392</v>
      </c>
      <c r="F196" s="449" t="s">
        <v>350</v>
      </c>
      <c r="G196" s="449">
        <v>93.626300000000001</v>
      </c>
      <c r="H196" s="449">
        <v>93.414699999999996</v>
      </c>
      <c r="I196" s="449">
        <v>94.09</v>
      </c>
      <c r="J196" s="449">
        <v>94.259100000000004</v>
      </c>
      <c r="K196" s="449">
        <v>94.136099999999999</v>
      </c>
      <c r="L196" s="449">
        <v>94.826899999999995</v>
      </c>
      <c r="M196" s="449">
        <v>94.433099999999996</v>
      </c>
      <c r="N196" s="449">
        <v>94.566699999999997</v>
      </c>
      <c r="O196" s="449">
        <v>95.361500000000007</v>
      </c>
      <c r="P196" s="449">
        <v>94.247299999999996</v>
      </c>
      <c r="Q196" s="449">
        <v>94.293800000000005</v>
      </c>
    </row>
    <row r="197" spans="1:17" s="449" customFormat="1">
      <c r="A197" s="449" t="s">
        <v>417</v>
      </c>
      <c r="B197" s="449" t="s">
        <v>418</v>
      </c>
      <c r="C197" s="449" t="s">
        <v>390</v>
      </c>
      <c r="D197" s="449" t="s">
        <v>391</v>
      </c>
      <c r="E197" s="449" t="s">
        <v>392</v>
      </c>
      <c r="F197" s="449">
        <v>93.562299999999993</v>
      </c>
      <c r="G197" s="449">
        <v>92.622100000000003</v>
      </c>
      <c r="H197" s="449">
        <v>92.847399999999993</v>
      </c>
      <c r="I197" s="449">
        <v>93.070700000000002</v>
      </c>
      <c r="J197" s="449">
        <v>93.555800000000005</v>
      </c>
      <c r="K197" s="449">
        <v>93.592200000000005</v>
      </c>
      <c r="L197" s="449">
        <v>92.284800000000004</v>
      </c>
      <c r="M197" s="449">
        <v>91.8523</v>
      </c>
      <c r="N197" s="449">
        <v>90.477999999999994</v>
      </c>
      <c r="O197" s="449">
        <v>91.350499999999997</v>
      </c>
      <c r="P197" s="449">
        <v>90.2911</v>
      </c>
      <c r="Q197" s="449">
        <v>90.3309</v>
      </c>
    </row>
    <row r="198" spans="1:17" s="449" customFormat="1">
      <c r="A198" s="449" t="s">
        <v>425</v>
      </c>
      <c r="B198" s="449" t="s">
        <v>426</v>
      </c>
      <c r="C198" s="449" t="s">
        <v>390</v>
      </c>
      <c r="D198" s="449" t="s">
        <v>391</v>
      </c>
      <c r="E198" s="449" t="s">
        <v>392</v>
      </c>
      <c r="F198" s="449">
        <v>96.090699999999998</v>
      </c>
      <c r="G198" s="449">
        <v>94.552400000000006</v>
      </c>
      <c r="H198" s="449">
        <v>93.798000000000002</v>
      </c>
      <c r="I198" s="449">
        <v>94.169499999999999</v>
      </c>
      <c r="J198" s="449">
        <v>95.207499999999996</v>
      </c>
      <c r="K198" s="449">
        <v>95.797499999999999</v>
      </c>
      <c r="L198" s="449">
        <v>95.500100000000003</v>
      </c>
      <c r="M198" s="449">
        <v>94.314099999999996</v>
      </c>
      <c r="N198" s="449">
        <v>93.984899999999996</v>
      </c>
      <c r="O198" s="449">
        <v>94.738200000000006</v>
      </c>
      <c r="P198" s="449" t="s">
        <v>350</v>
      </c>
      <c r="Q198" s="449" t="s">
        <v>350</v>
      </c>
    </row>
    <row r="199" spans="1:17" s="449" customFormat="1">
      <c r="A199" s="449" t="s">
        <v>431</v>
      </c>
      <c r="B199" s="449" t="s">
        <v>432</v>
      </c>
      <c r="C199" s="449" t="s">
        <v>390</v>
      </c>
      <c r="D199" s="449" t="s">
        <v>391</v>
      </c>
      <c r="E199" s="449" t="s">
        <v>392</v>
      </c>
      <c r="F199" s="449">
        <v>95.529399999999995</v>
      </c>
      <c r="G199" s="449">
        <v>94.787999999999997</v>
      </c>
      <c r="H199" s="449">
        <v>95.390699999999995</v>
      </c>
      <c r="I199" s="449">
        <v>95.4863</v>
      </c>
      <c r="J199" s="449">
        <v>95.762799999999999</v>
      </c>
      <c r="K199" s="449">
        <v>95.672200000000004</v>
      </c>
      <c r="L199" s="449">
        <v>96.168199999999999</v>
      </c>
      <c r="M199" s="449">
        <v>96.549400000000006</v>
      </c>
      <c r="N199" s="449">
        <v>94.5578</v>
      </c>
      <c r="O199" s="449">
        <v>94.865600000000001</v>
      </c>
      <c r="P199" s="449">
        <v>94.942400000000006</v>
      </c>
      <c r="Q199" s="449">
        <v>94.8446</v>
      </c>
    </row>
    <row r="200" spans="1:17" s="449" customFormat="1"/>
    <row r="201" spans="1:17" s="449" customFormat="1">
      <c r="A201" s="449" t="s">
        <v>401</v>
      </c>
      <c r="B201" s="449" t="s">
        <v>402</v>
      </c>
      <c r="C201" s="449" t="s">
        <v>461</v>
      </c>
      <c r="D201" s="449" t="s">
        <v>462</v>
      </c>
      <c r="E201" s="449" t="s">
        <v>392</v>
      </c>
      <c r="F201" s="449">
        <v>0.7036</v>
      </c>
      <c r="G201" s="449">
        <v>0.69110000000000005</v>
      </c>
      <c r="H201" s="449">
        <v>1.0261</v>
      </c>
      <c r="I201" s="449">
        <v>1.23</v>
      </c>
      <c r="J201" s="449">
        <v>1.1464000000000001</v>
      </c>
      <c r="K201" s="449">
        <v>1.6917</v>
      </c>
      <c r="L201" s="449">
        <v>1.4549000000000001</v>
      </c>
      <c r="M201" s="449">
        <v>1.4859</v>
      </c>
      <c r="N201" s="449">
        <v>0.73350000000000004</v>
      </c>
      <c r="O201" s="449">
        <v>1.7292000000000001</v>
      </c>
      <c r="P201" s="449">
        <v>1.1117999999999999</v>
      </c>
      <c r="Q201" s="449">
        <v>1.579</v>
      </c>
    </row>
    <row r="202" spans="1:17" s="449" customFormat="1">
      <c r="A202" s="449" t="s">
        <v>411</v>
      </c>
      <c r="B202" s="449" t="s">
        <v>412</v>
      </c>
      <c r="C202" s="449" t="s">
        <v>461</v>
      </c>
      <c r="D202" s="449" t="s">
        <v>462</v>
      </c>
      <c r="E202" s="449" t="s">
        <v>392</v>
      </c>
      <c r="F202" s="449" t="s">
        <v>350</v>
      </c>
      <c r="G202" s="449">
        <v>1.2149000000000001</v>
      </c>
      <c r="H202" s="449">
        <v>1.1994</v>
      </c>
      <c r="I202" s="449">
        <v>0.69930000000000003</v>
      </c>
      <c r="J202" s="449">
        <v>1.4351</v>
      </c>
      <c r="K202" s="449">
        <v>1.1859999999999999</v>
      </c>
      <c r="L202" s="449">
        <v>1.0729</v>
      </c>
      <c r="M202" s="449">
        <v>1.2088000000000001</v>
      </c>
      <c r="N202" s="449">
        <v>0.46939999999999998</v>
      </c>
      <c r="O202" s="449">
        <v>1.1985999999999999</v>
      </c>
      <c r="P202" s="449">
        <v>0.96789999999999998</v>
      </c>
      <c r="Q202" s="449">
        <v>2.0286</v>
      </c>
    </row>
    <row r="203" spans="1:17" s="449" customFormat="1">
      <c r="A203" s="449" t="s">
        <v>417</v>
      </c>
      <c r="B203" s="449" t="s">
        <v>418</v>
      </c>
      <c r="C203" s="449" t="s">
        <v>461</v>
      </c>
      <c r="D203" s="449" t="s">
        <v>462</v>
      </c>
      <c r="E203" s="449" t="s">
        <v>392</v>
      </c>
      <c r="F203" s="449">
        <v>1.0108999999999999</v>
      </c>
      <c r="G203" s="449">
        <v>0.85250000000000004</v>
      </c>
      <c r="H203" s="449">
        <v>1.0088999999999999</v>
      </c>
      <c r="I203" s="449">
        <v>0.39929999999999999</v>
      </c>
      <c r="J203" s="449">
        <v>0.61850000000000005</v>
      </c>
      <c r="K203" s="449">
        <v>1.1997</v>
      </c>
      <c r="L203" s="449">
        <v>2.0632999999999999</v>
      </c>
      <c r="M203" s="449">
        <v>1.9988000000000001</v>
      </c>
      <c r="N203" s="449">
        <v>0.87060000000000004</v>
      </c>
      <c r="O203" s="449">
        <v>2.4942000000000002</v>
      </c>
      <c r="P203" s="449">
        <v>3.9842</v>
      </c>
      <c r="Q203" s="449">
        <v>3.5358999999999998</v>
      </c>
    </row>
    <row r="204" spans="1:17" s="449" customFormat="1">
      <c r="A204" s="449" t="s">
        <v>425</v>
      </c>
      <c r="B204" s="449" t="s">
        <v>426</v>
      </c>
      <c r="C204" s="449" t="s">
        <v>461</v>
      </c>
      <c r="D204" s="449" t="s">
        <v>462</v>
      </c>
      <c r="E204" s="449" t="s">
        <v>392</v>
      </c>
      <c r="F204" s="449">
        <v>1.5815000000000001</v>
      </c>
      <c r="G204" s="449">
        <v>0.9758</v>
      </c>
      <c r="H204" s="449">
        <v>0.8508</v>
      </c>
      <c r="I204" s="449">
        <v>0.55820000000000003</v>
      </c>
      <c r="J204" s="449">
        <v>0.83440000000000003</v>
      </c>
      <c r="K204" s="449">
        <v>1.2717000000000001</v>
      </c>
      <c r="L204" s="449">
        <v>1.8894</v>
      </c>
      <c r="M204" s="449">
        <v>1.3807</v>
      </c>
      <c r="N204" s="449">
        <v>0.73180000000000001</v>
      </c>
      <c r="O204" s="449">
        <v>1.4862</v>
      </c>
      <c r="P204" s="449" t="s">
        <v>350</v>
      </c>
      <c r="Q204" s="449" t="s">
        <v>350</v>
      </c>
    </row>
    <row r="205" spans="1:17" s="449" customFormat="1">
      <c r="A205" s="449" t="s">
        <v>431</v>
      </c>
      <c r="B205" s="449" t="s">
        <v>432</v>
      </c>
      <c r="C205" s="449" t="s">
        <v>461</v>
      </c>
      <c r="D205" s="449" t="s">
        <v>462</v>
      </c>
      <c r="E205" s="449" t="s">
        <v>392</v>
      </c>
      <c r="F205" s="449">
        <v>0.96340000000000003</v>
      </c>
      <c r="G205" s="449">
        <v>0.77700000000000002</v>
      </c>
      <c r="H205" s="449">
        <v>0.77680000000000005</v>
      </c>
      <c r="I205" s="449">
        <v>1.3204</v>
      </c>
      <c r="J205" s="449">
        <v>0.36859999999999998</v>
      </c>
      <c r="K205" s="449">
        <v>0.89770000000000005</v>
      </c>
      <c r="L205" s="449">
        <v>1.2227000000000001</v>
      </c>
      <c r="M205" s="449">
        <v>2.1139999999999999</v>
      </c>
      <c r="N205" s="449">
        <v>1.3062</v>
      </c>
      <c r="O205" s="449">
        <v>2.0585</v>
      </c>
      <c r="P205" s="449">
        <v>3.7481999999999998</v>
      </c>
      <c r="Q205" s="449">
        <v>1.4781</v>
      </c>
    </row>
    <row r="206" spans="1:17" s="449" customFormat="1"/>
    <row r="207" spans="1:17" s="449" customFormat="1">
      <c r="A207" s="449" t="s">
        <v>401</v>
      </c>
      <c r="B207" s="449" t="s">
        <v>402</v>
      </c>
      <c r="C207" s="449" t="s">
        <v>458</v>
      </c>
      <c r="D207" s="449" t="s">
        <v>459</v>
      </c>
      <c r="E207" s="449" t="s">
        <v>392</v>
      </c>
      <c r="F207" s="449">
        <v>0.38059999999999999</v>
      </c>
      <c r="G207" s="449">
        <v>0.46889999999999998</v>
      </c>
      <c r="H207" s="449">
        <v>0.64829999999999999</v>
      </c>
      <c r="I207" s="449">
        <v>0.77639999999999998</v>
      </c>
      <c r="J207" s="449">
        <v>0.81950000000000001</v>
      </c>
      <c r="K207" s="449">
        <v>1.1869000000000001</v>
      </c>
      <c r="L207" s="449">
        <v>0.93769999999999998</v>
      </c>
      <c r="M207" s="449">
        <v>0.7681</v>
      </c>
      <c r="N207" s="449">
        <v>0.50149999999999995</v>
      </c>
      <c r="O207" s="449">
        <v>1.4576</v>
      </c>
      <c r="P207" s="449">
        <v>0.75549999999999995</v>
      </c>
      <c r="Q207" s="449">
        <v>1.0761000000000001</v>
      </c>
    </row>
    <row r="208" spans="1:17" s="449" customFormat="1">
      <c r="A208" s="449" t="s">
        <v>411</v>
      </c>
      <c r="B208" s="449" t="s">
        <v>412</v>
      </c>
      <c r="C208" s="449" t="s">
        <v>458</v>
      </c>
      <c r="D208" s="449" t="s">
        <v>459</v>
      </c>
      <c r="E208" s="449" t="s">
        <v>392</v>
      </c>
      <c r="F208" s="449" t="s">
        <v>350</v>
      </c>
      <c r="G208" s="449">
        <v>2.2004999999999999</v>
      </c>
      <c r="H208" s="449">
        <v>2.0911</v>
      </c>
      <c r="I208" s="449">
        <v>1.3286</v>
      </c>
      <c r="J208" s="449">
        <v>2.335</v>
      </c>
      <c r="K208" s="449">
        <v>2.0747</v>
      </c>
      <c r="L208" s="449">
        <v>1.4899</v>
      </c>
      <c r="M208" s="449">
        <v>1.6522000000000001</v>
      </c>
      <c r="N208" s="449">
        <v>0.7319</v>
      </c>
      <c r="O208" s="449">
        <v>1.4931000000000001</v>
      </c>
      <c r="P208" s="449">
        <v>1.1886000000000001</v>
      </c>
      <c r="Q208" s="449">
        <v>3.0202</v>
      </c>
    </row>
    <row r="209" spans="1:17" s="449" customFormat="1">
      <c r="A209" s="449" t="s">
        <v>417</v>
      </c>
      <c r="B209" s="449" t="s">
        <v>418</v>
      </c>
      <c r="C209" s="449" t="s">
        <v>458</v>
      </c>
      <c r="D209" s="449" t="s">
        <v>459</v>
      </c>
      <c r="E209" s="449" t="s">
        <v>392</v>
      </c>
      <c r="F209" s="449">
        <v>1.2828999999999999</v>
      </c>
      <c r="G209" s="449">
        <v>1.2205999999999999</v>
      </c>
      <c r="H209" s="449">
        <v>1.5832000000000002</v>
      </c>
      <c r="I209" s="449">
        <v>0.65780000000000005</v>
      </c>
      <c r="J209" s="449">
        <v>1.1375</v>
      </c>
      <c r="K209" s="449">
        <v>2.0733000000000001</v>
      </c>
      <c r="L209" s="449">
        <v>2.7286999999999999</v>
      </c>
      <c r="M209" s="449">
        <v>2.4584000000000001</v>
      </c>
      <c r="N209" s="449">
        <v>1.4633</v>
      </c>
      <c r="O209" s="449">
        <v>3.5819999999999999</v>
      </c>
      <c r="P209" s="449">
        <v>5.1468999999999996</v>
      </c>
      <c r="Q209" s="449">
        <v>4.0242000000000004</v>
      </c>
    </row>
    <row r="210" spans="1:17" s="449" customFormat="1">
      <c r="A210" s="449" t="s">
        <v>425</v>
      </c>
      <c r="B210" s="449" t="s">
        <v>426</v>
      </c>
      <c r="C210" s="449" t="s">
        <v>458</v>
      </c>
      <c r="D210" s="449" t="s">
        <v>459</v>
      </c>
      <c r="E210" s="449" t="s">
        <v>392</v>
      </c>
      <c r="F210" s="449">
        <v>1.7052</v>
      </c>
      <c r="G210" s="449">
        <v>1.0757000000000001</v>
      </c>
      <c r="H210" s="449">
        <v>0.94440000000000002</v>
      </c>
      <c r="I210" s="449">
        <v>0.74239999999999995</v>
      </c>
      <c r="J210" s="449">
        <v>1.1705000000000001</v>
      </c>
      <c r="K210" s="449">
        <v>1.7873000000000001</v>
      </c>
      <c r="L210" s="449">
        <v>2.6539000000000001</v>
      </c>
      <c r="M210" s="449">
        <v>2.0224000000000002</v>
      </c>
      <c r="N210" s="449">
        <v>1.1154999999999999</v>
      </c>
      <c r="O210" s="449">
        <v>1.9723000000000002</v>
      </c>
      <c r="P210" s="449" t="s">
        <v>350</v>
      </c>
      <c r="Q210" s="449" t="s">
        <v>350</v>
      </c>
    </row>
    <row r="211" spans="1:17" s="449" customFormat="1">
      <c r="A211" s="449" t="s">
        <v>431</v>
      </c>
      <c r="B211" s="449" t="s">
        <v>432</v>
      </c>
      <c r="C211" s="449" t="s">
        <v>458</v>
      </c>
      <c r="D211" s="449" t="s">
        <v>459</v>
      </c>
      <c r="E211" s="449" t="s">
        <v>392</v>
      </c>
      <c r="F211" s="449">
        <v>0.55020000000000002</v>
      </c>
      <c r="G211" s="449">
        <v>0.53610000000000002</v>
      </c>
      <c r="H211" s="449">
        <v>0.49270000000000003</v>
      </c>
      <c r="I211" s="449">
        <v>0.78920000000000001</v>
      </c>
      <c r="J211" s="449">
        <v>0.25040000000000001</v>
      </c>
      <c r="K211" s="449">
        <v>0.55469999999999997</v>
      </c>
      <c r="L211" s="449">
        <v>0.64570000000000005</v>
      </c>
      <c r="M211" s="449">
        <v>0.93920000000000003</v>
      </c>
      <c r="N211" s="449">
        <v>0.65069999999999995</v>
      </c>
      <c r="O211" s="449">
        <v>1.0408999999999999</v>
      </c>
      <c r="P211" s="449">
        <v>1.3898999999999999</v>
      </c>
      <c r="Q211" s="449">
        <v>2.6642999999999999</v>
      </c>
    </row>
    <row r="213" spans="1:17">
      <c r="F213" t="s">
        <v>326</v>
      </c>
      <c r="G213" t="s">
        <v>325</v>
      </c>
      <c r="H213" t="s">
        <v>324</v>
      </c>
      <c r="I213" t="s">
        <v>323</v>
      </c>
      <c r="J213" t="s">
        <v>377</v>
      </c>
      <c r="K213">
        <v>2012</v>
      </c>
    </row>
    <row r="214" spans="1:17">
      <c r="E214" t="s">
        <v>401</v>
      </c>
      <c r="F214">
        <f>F195-F207/F201</f>
        <v>95.85806765207505</v>
      </c>
      <c r="G214">
        <f t="shared" ref="G214:J214" si="10">G195-G207/G201</f>
        <v>95.039216423093606</v>
      </c>
      <c r="H214">
        <f t="shared" si="10"/>
        <v>95.428790234869894</v>
      </c>
      <c r="I214">
        <f t="shared" si="10"/>
        <v>95.541780487804886</v>
      </c>
      <c r="J214">
        <f t="shared" si="10"/>
        <v>95.227353524075369</v>
      </c>
    </row>
    <row r="215" spans="1:17">
      <c r="E215" t="s">
        <v>411</v>
      </c>
      <c r="G215">
        <f t="shared" ref="G215:K215" si="11">G196-G208/G202</f>
        <v>91.815039813976455</v>
      </c>
      <c r="H215">
        <f t="shared" si="11"/>
        <v>91.67124493913623</v>
      </c>
      <c r="I215">
        <f t="shared" si="11"/>
        <v>92.190100100100111</v>
      </c>
      <c r="J215">
        <f t="shared" si="11"/>
        <v>92.632035683924471</v>
      </c>
      <c r="K215">
        <f t="shared" si="11"/>
        <v>92.386774536256326</v>
      </c>
    </row>
    <row r="216" spans="1:17">
      <c r="E216" t="s">
        <v>417</v>
      </c>
      <c r="F216">
        <f t="shared" ref="F216:J216" si="12">F197-F209/F203</f>
        <v>92.293232832129775</v>
      </c>
      <c r="G216">
        <f t="shared" si="12"/>
        <v>91.190311143695013</v>
      </c>
      <c r="H216">
        <f t="shared" si="12"/>
        <v>91.278166180989189</v>
      </c>
      <c r="I216">
        <f t="shared" si="12"/>
        <v>91.423317079889813</v>
      </c>
      <c r="J216">
        <f t="shared" si="12"/>
        <v>91.716673080032336</v>
      </c>
    </row>
    <row r="217" spans="1:17">
      <c r="E217" t="s">
        <v>425</v>
      </c>
      <c r="F217">
        <f t="shared" ref="F217:J217" si="13">F198-F210/F204</f>
        <v>95.012483117293712</v>
      </c>
      <c r="G217">
        <f t="shared" si="13"/>
        <v>93.450022463619604</v>
      </c>
      <c r="H217">
        <f t="shared" si="13"/>
        <v>92.687985895627648</v>
      </c>
      <c r="I217">
        <f t="shared" si="13"/>
        <v>92.839510748835536</v>
      </c>
      <c r="J217">
        <f t="shared" si="13"/>
        <v>93.804695589645249</v>
      </c>
    </row>
    <row r="218" spans="1:17">
      <c r="E218" t="s">
        <v>431</v>
      </c>
      <c r="F218">
        <f t="shared" ref="F218:J218" si="14">F199-F211/F205</f>
        <v>94.958297654141575</v>
      </c>
      <c r="G218">
        <f t="shared" si="14"/>
        <v>94.0980386100386</v>
      </c>
      <c r="H218">
        <f t="shared" si="14"/>
        <v>94.756431204943354</v>
      </c>
      <c r="I218">
        <f t="shared" si="14"/>
        <v>94.888602332626476</v>
      </c>
      <c r="J218">
        <f t="shared" si="14"/>
        <v>95.083472816060763</v>
      </c>
    </row>
    <row r="220" spans="1:17">
      <c r="F220">
        <f>AVERAGE(F214,F217,F218)</f>
        <v>95.276282807836779</v>
      </c>
      <c r="G220">
        <f t="shared" ref="G220:J220" si="15">AVERAGE(G214,G217,G218)</f>
        <v>94.195759165583937</v>
      </c>
      <c r="H220">
        <f t="shared" si="15"/>
        <v>94.291069111813627</v>
      </c>
      <c r="I220">
        <f t="shared" si="15"/>
        <v>94.423297856422309</v>
      </c>
      <c r="J220">
        <f t="shared" si="15"/>
        <v>94.705173976593798</v>
      </c>
    </row>
    <row r="221" spans="1:17">
      <c r="F221">
        <f>F220/100</f>
        <v>0.95276282807836776</v>
      </c>
      <c r="G221">
        <f t="shared" ref="G221:J221" si="16">G220/100</f>
        <v>0.94195759165583937</v>
      </c>
      <c r="H221">
        <f t="shared" si="16"/>
        <v>0.9429106911181363</v>
      </c>
      <c r="I221">
        <f t="shared" si="16"/>
        <v>0.94423297856422306</v>
      </c>
      <c r="J221">
        <f t="shared" si="16"/>
        <v>0.94705173976593793</v>
      </c>
    </row>
  </sheetData>
  <phoneticPr fontId="49"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4"/>
  <sheetViews>
    <sheetView topLeftCell="A22" zoomScale="70" zoomScaleNormal="70" workbookViewId="0">
      <selection activeCell="R34" activeCellId="2" sqref="N34 P34 R34"/>
    </sheetView>
  </sheetViews>
  <sheetFormatPr defaultRowHeight="15.75"/>
  <cols>
    <col min="1" max="1" width="22.125" bestFit="1" customWidth="1"/>
    <col min="2" max="2" width="13.125" bestFit="1" customWidth="1"/>
    <col min="3" max="3" width="13" bestFit="1" customWidth="1"/>
    <col min="12" max="12" width="22.125" bestFit="1" customWidth="1"/>
  </cols>
  <sheetData>
    <row r="1" spans="1:21">
      <c r="A1" s="858" t="s">
        <v>637</v>
      </c>
      <c r="B1" s="858"/>
      <c r="C1" s="858"/>
      <c r="D1" s="858"/>
      <c r="E1" s="858"/>
      <c r="F1" s="858"/>
      <c r="G1" s="858"/>
      <c r="H1" s="858"/>
      <c r="I1" s="858"/>
      <c r="J1" s="858"/>
      <c r="L1" s="858" t="s">
        <v>638</v>
      </c>
      <c r="M1" s="858"/>
      <c r="N1" s="858"/>
      <c r="O1" s="858"/>
      <c r="P1" s="858"/>
      <c r="Q1" s="858"/>
      <c r="R1" s="858"/>
      <c r="S1" s="858"/>
      <c r="T1" s="858"/>
      <c r="U1" s="858"/>
    </row>
    <row r="3" spans="1:21">
      <c r="A3" t="s">
        <v>639</v>
      </c>
      <c r="B3" t="s">
        <v>640</v>
      </c>
      <c r="L3" t="s">
        <v>639</v>
      </c>
      <c r="M3" t="s">
        <v>640</v>
      </c>
    </row>
    <row r="4" spans="1:21">
      <c r="A4" t="s">
        <v>641</v>
      </c>
      <c r="B4" t="s">
        <v>642</v>
      </c>
      <c r="L4" t="s">
        <v>641</v>
      </c>
      <c r="M4" t="s">
        <v>642</v>
      </c>
    </row>
    <row r="5" spans="1:21">
      <c r="A5" t="s">
        <v>643</v>
      </c>
      <c r="B5" t="s">
        <v>644</v>
      </c>
      <c r="L5" t="s">
        <v>643</v>
      </c>
      <c r="M5" t="s">
        <v>644</v>
      </c>
    </row>
    <row r="6" spans="1:21">
      <c r="A6" t="s">
        <v>645</v>
      </c>
      <c r="B6" t="s">
        <v>646</v>
      </c>
      <c r="L6" t="s">
        <v>645</v>
      </c>
      <c r="M6" t="s">
        <v>647</v>
      </c>
    </row>
    <row r="8" spans="1:21">
      <c r="B8" t="s">
        <v>648</v>
      </c>
      <c r="C8" t="s">
        <v>649</v>
      </c>
      <c r="E8" t="s">
        <v>650</v>
      </c>
      <c r="G8" t="s">
        <v>651</v>
      </c>
      <c r="I8" t="s">
        <v>652</v>
      </c>
      <c r="M8" t="s">
        <v>653</v>
      </c>
      <c r="N8" t="s">
        <v>654</v>
      </c>
      <c r="P8" t="s">
        <v>649</v>
      </c>
      <c r="R8" t="s">
        <v>650</v>
      </c>
      <c r="T8" t="s">
        <v>651</v>
      </c>
    </row>
    <row r="9" spans="1:21">
      <c r="A9" t="s">
        <v>655</v>
      </c>
      <c r="B9" t="s">
        <v>656</v>
      </c>
      <c r="C9" t="s">
        <v>657</v>
      </c>
      <c r="D9" t="s">
        <v>658</v>
      </c>
      <c r="E9" t="s">
        <v>659</v>
      </c>
      <c r="F9" t="s">
        <v>658</v>
      </c>
      <c r="G9" t="s">
        <v>660</v>
      </c>
      <c r="H9" t="s">
        <v>658</v>
      </c>
      <c r="I9" t="s">
        <v>661</v>
      </c>
      <c r="J9" t="s">
        <v>658</v>
      </c>
      <c r="L9" t="s">
        <v>655</v>
      </c>
      <c r="M9" t="s">
        <v>662</v>
      </c>
      <c r="N9" t="s">
        <v>663</v>
      </c>
      <c r="O9" t="s">
        <v>658</v>
      </c>
      <c r="P9" t="s">
        <v>664</v>
      </c>
      <c r="Q9" t="s">
        <v>658</v>
      </c>
      <c r="R9" t="s">
        <v>665</v>
      </c>
      <c r="S9" t="s">
        <v>658</v>
      </c>
      <c r="T9" t="s">
        <v>666</v>
      </c>
      <c r="U9" t="s">
        <v>658</v>
      </c>
    </row>
    <row r="10" spans="1:21">
      <c r="A10" t="s">
        <v>667</v>
      </c>
      <c r="B10">
        <v>106.07</v>
      </c>
      <c r="C10">
        <v>119.20333333333301</v>
      </c>
      <c r="D10">
        <v>9</v>
      </c>
      <c r="E10">
        <v>136.22363636363599</v>
      </c>
      <c r="F10">
        <v>11</v>
      </c>
      <c r="G10">
        <v>143.518</v>
      </c>
      <c r="H10">
        <v>5</v>
      </c>
      <c r="I10">
        <v>168.23333333333301</v>
      </c>
      <c r="J10">
        <v>3</v>
      </c>
      <c r="L10" t="s">
        <v>667</v>
      </c>
      <c r="N10">
        <v>0.88714285714285701</v>
      </c>
      <c r="O10">
        <v>7</v>
      </c>
      <c r="P10">
        <v>1.03</v>
      </c>
      <c r="Q10">
        <v>7</v>
      </c>
      <c r="R10">
        <v>1.175</v>
      </c>
      <c r="S10">
        <v>6</v>
      </c>
    </row>
    <row r="11" spans="1:21">
      <c r="A11" t="s">
        <v>668</v>
      </c>
      <c r="B11">
        <v>106.07</v>
      </c>
      <c r="C11">
        <v>121.38375000000001</v>
      </c>
      <c r="D11">
        <v>8</v>
      </c>
      <c r="E11">
        <v>138.56399999999999</v>
      </c>
      <c r="F11">
        <v>10</v>
      </c>
      <c r="G11">
        <v>143.518</v>
      </c>
      <c r="H11">
        <v>5</v>
      </c>
      <c r="I11">
        <v>168.23333333333301</v>
      </c>
      <c r="J11">
        <v>3</v>
      </c>
      <c r="L11" t="s">
        <v>668</v>
      </c>
      <c r="N11">
        <v>0.89833333333333298</v>
      </c>
      <c r="O11">
        <v>6</v>
      </c>
      <c r="P11">
        <v>1.03833333333333</v>
      </c>
      <c r="Q11">
        <v>6</v>
      </c>
      <c r="R11">
        <v>1.1739999999999999</v>
      </c>
      <c r="S11">
        <v>5</v>
      </c>
    </row>
    <row r="12" spans="1:21">
      <c r="A12" t="s">
        <v>564</v>
      </c>
      <c r="B12">
        <v>2427271000000</v>
      </c>
      <c r="C12">
        <v>2559453900000</v>
      </c>
      <c r="D12">
        <v>10</v>
      </c>
      <c r="E12">
        <v>2656652100000</v>
      </c>
      <c r="F12">
        <v>10</v>
      </c>
      <c r="G12">
        <v>2846614000000</v>
      </c>
      <c r="H12">
        <v>5</v>
      </c>
      <c r="I12">
        <v>3075198000000</v>
      </c>
      <c r="J12">
        <v>3</v>
      </c>
      <c r="L12" t="s">
        <v>564</v>
      </c>
      <c r="N12">
        <v>382044666666.66699</v>
      </c>
      <c r="O12">
        <v>6</v>
      </c>
      <c r="P12">
        <v>417922000000</v>
      </c>
      <c r="Q12">
        <v>6</v>
      </c>
      <c r="R12">
        <v>466524800000</v>
      </c>
      <c r="S12">
        <v>5</v>
      </c>
    </row>
    <row r="13" spans="1:21">
      <c r="A13" t="s">
        <v>669</v>
      </c>
      <c r="C13">
        <v>17.274999999999999</v>
      </c>
      <c r="D13">
        <v>4</v>
      </c>
      <c r="E13">
        <v>17.524999999999999</v>
      </c>
      <c r="F13">
        <v>4</v>
      </c>
      <c r="G13">
        <v>17.7</v>
      </c>
      <c r="H13">
        <v>3</v>
      </c>
      <c r="I13">
        <v>17.866666666666699</v>
      </c>
      <c r="J13">
        <v>3</v>
      </c>
      <c r="L13" t="s">
        <v>669</v>
      </c>
      <c r="N13">
        <v>10.016040091860299</v>
      </c>
      <c r="O13">
        <v>5</v>
      </c>
      <c r="P13">
        <v>10.3529935641261</v>
      </c>
      <c r="Q13">
        <v>5</v>
      </c>
      <c r="R13">
        <v>10.8486970644969</v>
      </c>
      <c r="S13">
        <v>4</v>
      </c>
    </row>
    <row r="14" spans="1:21">
      <c r="A14" t="s">
        <v>50</v>
      </c>
      <c r="B14">
        <v>90125000000</v>
      </c>
      <c r="C14">
        <v>96620666666.666702</v>
      </c>
      <c r="D14">
        <v>9</v>
      </c>
      <c r="E14">
        <v>111293363636.364</v>
      </c>
      <c r="F14">
        <v>11</v>
      </c>
      <c r="G14">
        <v>119530200000</v>
      </c>
      <c r="H14">
        <v>5</v>
      </c>
      <c r="I14">
        <v>142568333333.33301</v>
      </c>
      <c r="J14">
        <v>3</v>
      </c>
      <c r="L14" t="s">
        <v>50</v>
      </c>
      <c r="M14">
        <v>20794179000</v>
      </c>
      <c r="N14">
        <v>22041000000</v>
      </c>
      <c r="O14">
        <v>5</v>
      </c>
      <c r="P14">
        <v>25313400000</v>
      </c>
      <c r="Q14">
        <v>5</v>
      </c>
      <c r="R14">
        <v>29050500000</v>
      </c>
      <c r="S14">
        <v>4</v>
      </c>
    </row>
    <row r="15" spans="1:21">
      <c r="A15" t="s">
        <v>470</v>
      </c>
      <c r="C15">
        <v>98061666666.666702</v>
      </c>
      <c r="D15">
        <v>3</v>
      </c>
      <c r="E15">
        <v>107005666666.66701</v>
      </c>
      <c r="F15">
        <v>3</v>
      </c>
      <c r="G15">
        <v>100000000000</v>
      </c>
      <c r="H15">
        <v>2</v>
      </c>
      <c r="L15" t="s">
        <v>470</v>
      </c>
      <c r="N15">
        <v>20757500000</v>
      </c>
      <c r="O15">
        <v>2</v>
      </c>
      <c r="P15">
        <v>24810500000</v>
      </c>
      <c r="Q15">
        <v>2</v>
      </c>
      <c r="R15">
        <v>28285000000</v>
      </c>
      <c r="S15">
        <v>2</v>
      </c>
    </row>
    <row r="16" spans="1:21">
      <c r="A16" t="s">
        <v>471</v>
      </c>
      <c r="C16">
        <v>192357000000</v>
      </c>
      <c r="D16">
        <v>7</v>
      </c>
      <c r="E16">
        <v>211599428571.42899</v>
      </c>
      <c r="F16">
        <v>7</v>
      </c>
      <c r="G16">
        <v>227609000000</v>
      </c>
      <c r="H16">
        <v>4</v>
      </c>
      <c r="I16">
        <v>316173000000</v>
      </c>
      <c r="J16">
        <v>1</v>
      </c>
      <c r="L16" t="s">
        <v>471</v>
      </c>
      <c r="N16">
        <v>22652400000</v>
      </c>
      <c r="O16">
        <v>5</v>
      </c>
      <c r="P16">
        <v>25694000000</v>
      </c>
      <c r="Q16">
        <v>5</v>
      </c>
      <c r="R16">
        <v>29680666666.666698</v>
      </c>
      <c r="S16">
        <v>3</v>
      </c>
    </row>
    <row r="17" spans="1:19">
      <c r="A17" t="s">
        <v>670</v>
      </c>
      <c r="C17">
        <v>94223000000</v>
      </c>
      <c r="D17">
        <v>4</v>
      </c>
      <c r="E17">
        <v>108656333333.33299</v>
      </c>
      <c r="F17">
        <v>6</v>
      </c>
      <c r="G17">
        <v>122562750000</v>
      </c>
      <c r="H17">
        <v>4</v>
      </c>
      <c r="I17">
        <v>136835000000</v>
      </c>
      <c r="J17">
        <v>3</v>
      </c>
      <c r="L17" t="s">
        <v>670</v>
      </c>
      <c r="N17">
        <v>21742333333.333302</v>
      </c>
      <c r="O17">
        <v>6</v>
      </c>
      <c r="P17">
        <v>25255333333.333302</v>
      </c>
      <c r="Q17">
        <v>6</v>
      </c>
      <c r="R17">
        <v>29198800000</v>
      </c>
      <c r="S17">
        <v>5</v>
      </c>
    </row>
    <row r="18" spans="1:19">
      <c r="A18" t="s">
        <v>671</v>
      </c>
      <c r="B18">
        <v>89320000000</v>
      </c>
      <c r="C18">
        <v>90325147015.899994</v>
      </c>
      <c r="D18">
        <v>7</v>
      </c>
      <c r="E18">
        <v>107827556607.162</v>
      </c>
      <c r="F18">
        <v>9</v>
      </c>
      <c r="G18">
        <v>112150200000</v>
      </c>
      <c r="H18">
        <v>5</v>
      </c>
      <c r="I18">
        <v>172752500000</v>
      </c>
      <c r="J18">
        <v>2</v>
      </c>
    </row>
    <row r="19" spans="1:19">
      <c r="A19" t="s">
        <v>672</v>
      </c>
      <c r="B19">
        <v>70225000000</v>
      </c>
      <c r="C19">
        <v>67282875000</v>
      </c>
      <c r="D19">
        <v>8</v>
      </c>
      <c r="E19">
        <v>79523900000</v>
      </c>
      <c r="F19">
        <v>10</v>
      </c>
      <c r="G19">
        <v>87492000000</v>
      </c>
      <c r="H19">
        <v>5</v>
      </c>
      <c r="I19">
        <v>107179666666.66701</v>
      </c>
      <c r="J19">
        <v>3</v>
      </c>
      <c r="L19" t="s">
        <v>672</v>
      </c>
      <c r="N19">
        <v>17666666666.666698</v>
      </c>
      <c r="O19">
        <v>6</v>
      </c>
      <c r="P19">
        <v>20422166666.666698</v>
      </c>
      <c r="Q19">
        <v>6</v>
      </c>
      <c r="R19">
        <v>23177000000</v>
      </c>
      <c r="S19">
        <v>5</v>
      </c>
    </row>
    <row r="20" spans="1:19">
      <c r="A20" t="s">
        <v>673</v>
      </c>
      <c r="B20">
        <v>70225000000</v>
      </c>
      <c r="C20">
        <v>67323625000</v>
      </c>
      <c r="D20">
        <v>8</v>
      </c>
      <c r="E20">
        <v>79480100000</v>
      </c>
      <c r="F20">
        <v>10</v>
      </c>
      <c r="G20">
        <v>87492000000</v>
      </c>
      <c r="H20">
        <v>5</v>
      </c>
      <c r="I20">
        <v>107179666666.66701</v>
      </c>
      <c r="J20">
        <v>3</v>
      </c>
      <c r="L20" t="s">
        <v>673</v>
      </c>
      <c r="N20">
        <v>17666666666.666698</v>
      </c>
      <c r="O20">
        <v>6</v>
      </c>
      <c r="P20">
        <v>20422166666.666698</v>
      </c>
      <c r="Q20">
        <v>6</v>
      </c>
      <c r="R20">
        <v>23177000000</v>
      </c>
      <c r="S20">
        <v>5</v>
      </c>
    </row>
    <row r="21" spans="1:19">
      <c r="A21" t="s">
        <v>674</v>
      </c>
      <c r="B21">
        <v>215479000000</v>
      </c>
      <c r="C21">
        <v>194107666666.66699</v>
      </c>
      <c r="D21">
        <v>6</v>
      </c>
      <c r="E21">
        <v>173535500000</v>
      </c>
      <c r="F21">
        <v>8</v>
      </c>
      <c r="G21">
        <v>127307800000</v>
      </c>
      <c r="H21">
        <v>5</v>
      </c>
      <c r="I21">
        <v>35282500000</v>
      </c>
      <c r="J21">
        <v>2</v>
      </c>
      <c r="L21" t="s">
        <v>674</v>
      </c>
      <c r="M21">
        <v>-8562183000</v>
      </c>
      <c r="N21">
        <v>-20402000000</v>
      </c>
      <c r="O21">
        <v>2</v>
      </c>
      <c r="P21">
        <v>-34663500000</v>
      </c>
      <c r="Q21">
        <v>2</v>
      </c>
      <c r="R21">
        <v>-50167000000</v>
      </c>
      <c r="S21">
        <v>2</v>
      </c>
    </row>
    <row r="22" spans="1:19">
      <c r="A22" t="s">
        <v>675</v>
      </c>
      <c r="B22">
        <v>358.052509606027</v>
      </c>
      <c r="C22">
        <v>766.17666666666696</v>
      </c>
      <c r="D22">
        <v>6</v>
      </c>
      <c r="E22">
        <v>888.113333333333</v>
      </c>
      <c r="F22">
        <v>6</v>
      </c>
      <c r="G22">
        <v>960.05</v>
      </c>
      <c r="H22">
        <v>3</v>
      </c>
      <c r="I22">
        <v>936.5</v>
      </c>
      <c r="J22">
        <v>1</v>
      </c>
      <c r="L22" t="s">
        <v>675</v>
      </c>
      <c r="M22">
        <v>1.5887072324643701</v>
      </c>
      <c r="N22">
        <v>2.9340000000000002</v>
      </c>
      <c r="O22">
        <v>5</v>
      </c>
      <c r="P22">
        <v>3.9180000000000001</v>
      </c>
      <c r="Q22">
        <v>5</v>
      </c>
      <c r="R22">
        <v>4.9725000000000001</v>
      </c>
      <c r="S22">
        <v>4</v>
      </c>
    </row>
    <row r="23" spans="1:19">
      <c r="A23" t="s">
        <v>676</v>
      </c>
      <c r="B23">
        <v>172.322067275504</v>
      </c>
      <c r="C23">
        <v>261.66000000000003</v>
      </c>
      <c r="D23">
        <v>4</v>
      </c>
      <c r="E23">
        <v>282.39499999999998</v>
      </c>
      <c r="F23">
        <v>4</v>
      </c>
      <c r="G23">
        <v>272.70999999999998</v>
      </c>
      <c r="H23">
        <v>3</v>
      </c>
      <c r="I23">
        <v>240.2</v>
      </c>
      <c r="J23">
        <v>1</v>
      </c>
      <c r="L23" t="s">
        <v>676</v>
      </c>
      <c r="M23">
        <v>0.39329172004323099</v>
      </c>
      <c r="N23">
        <v>-0.1158</v>
      </c>
      <c r="O23">
        <v>5</v>
      </c>
      <c r="P23">
        <v>1.63</v>
      </c>
      <c r="Q23">
        <v>5</v>
      </c>
      <c r="R23">
        <v>0.4375</v>
      </c>
      <c r="S23">
        <v>4</v>
      </c>
    </row>
    <row r="24" spans="1:19">
      <c r="A24" t="s">
        <v>677</v>
      </c>
      <c r="B24">
        <v>10</v>
      </c>
      <c r="C24">
        <v>3.63909090909091</v>
      </c>
      <c r="D24">
        <v>11</v>
      </c>
      <c r="E24">
        <v>11.25375</v>
      </c>
      <c r="F24">
        <v>8</v>
      </c>
      <c r="G24">
        <v>22.5</v>
      </c>
      <c r="H24">
        <v>4</v>
      </c>
      <c r="I24">
        <v>30</v>
      </c>
      <c r="J24">
        <v>3</v>
      </c>
      <c r="L24" t="s">
        <v>677</v>
      </c>
      <c r="M24">
        <v>0</v>
      </c>
      <c r="N24">
        <v>0.2525</v>
      </c>
      <c r="O24">
        <v>4</v>
      </c>
      <c r="P24">
        <v>0.27250000000000002</v>
      </c>
      <c r="Q24">
        <v>4</v>
      </c>
      <c r="R24">
        <v>0.28999999999999998</v>
      </c>
      <c r="S24">
        <v>2</v>
      </c>
    </row>
    <row r="25" spans="1:19">
      <c r="A25" t="s">
        <v>678</v>
      </c>
      <c r="B25">
        <v>47.537994812969799</v>
      </c>
      <c r="C25">
        <v>16.772857142857099</v>
      </c>
      <c r="D25">
        <v>7</v>
      </c>
      <c r="E25">
        <v>17.2925</v>
      </c>
      <c r="F25">
        <v>8</v>
      </c>
      <c r="G25">
        <v>18.006</v>
      </c>
      <c r="H25">
        <v>5</v>
      </c>
      <c r="I25">
        <v>18.2</v>
      </c>
      <c r="J25">
        <v>3</v>
      </c>
      <c r="L25" t="s">
        <v>678</v>
      </c>
      <c r="M25">
        <v>30.090998795676001</v>
      </c>
      <c r="N25">
        <v>36.298333333333296</v>
      </c>
      <c r="O25">
        <v>6</v>
      </c>
      <c r="P25">
        <v>33.891666666666701</v>
      </c>
      <c r="Q25">
        <v>6</v>
      </c>
      <c r="R25">
        <v>27.092500000000001</v>
      </c>
      <c r="S25">
        <v>4</v>
      </c>
    </row>
    <row r="26" spans="1:19">
      <c r="A26" t="s">
        <v>679</v>
      </c>
      <c r="B26">
        <v>3.81414871296582</v>
      </c>
      <c r="C26">
        <v>3.56666666666667</v>
      </c>
      <c r="D26">
        <v>3</v>
      </c>
      <c r="E26">
        <v>3.48</v>
      </c>
      <c r="F26">
        <v>3</v>
      </c>
      <c r="G26">
        <v>4.0199999999999996</v>
      </c>
      <c r="H26">
        <v>1</v>
      </c>
      <c r="L26" t="s">
        <v>679</v>
      </c>
      <c r="M26">
        <v>11.1610132802326</v>
      </c>
      <c r="N26">
        <v>11.842499999999999</v>
      </c>
      <c r="O26">
        <v>4</v>
      </c>
      <c r="P26">
        <v>11.96</v>
      </c>
      <c r="Q26">
        <v>4</v>
      </c>
      <c r="R26">
        <v>11.37</v>
      </c>
      <c r="S26">
        <v>2</v>
      </c>
    </row>
    <row r="27" spans="1:19">
      <c r="A27" t="s">
        <v>680</v>
      </c>
      <c r="C27">
        <v>87000000000</v>
      </c>
      <c r="D27">
        <v>3</v>
      </c>
      <c r="E27">
        <v>97209000000</v>
      </c>
      <c r="F27">
        <v>5</v>
      </c>
      <c r="G27">
        <v>97104250000</v>
      </c>
      <c r="H27">
        <v>4</v>
      </c>
      <c r="I27">
        <v>97822666666.666702</v>
      </c>
      <c r="J27">
        <v>3</v>
      </c>
      <c r="L27" t="s">
        <v>680</v>
      </c>
      <c r="N27">
        <v>3521820192.0900002</v>
      </c>
      <c r="O27">
        <v>1</v>
      </c>
      <c r="P27">
        <v>3628446565.2277398</v>
      </c>
      <c r="Q27">
        <v>1</v>
      </c>
      <c r="R27">
        <v>3735034168.5107598</v>
      </c>
      <c r="S27">
        <v>1</v>
      </c>
    </row>
    <row r="28" spans="1:19">
      <c r="A28" t="s">
        <v>681</v>
      </c>
      <c r="B28">
        <v>3207000000</v>
      </c>
      <c r="C28">
        <v>30306168000</v>
      </c>
      <c r="D28">
        <v>5</v>
      </c>
      <c r="E28">
        <v>61598868333.333298</v>
      </c>
      <c r="F28">
        <v>6</v>
      </c>
      <c r="G28">
        <v>81357000000</v>
      </c>
      <c r="H28">
        <v>4</v>
      </c>
      <c r="I28">
        <v>94899333333.333298</v>
      </c>
      <c r="J28">
        <v>3</v>
      </c>
      <c r="L28" t="s">
        <v>681</v>
      </c>
      <c r="M28">
        <v>5633390000</v>
      </c>
      <c r="N28">
        <v>3636239642.6507101</v>
      </c>
      <c r="O28">
        <v>2</v>
      </c>
      <c r="P28">
        <v>15619565017.308701</v>
      </c>
      <c r="Q28">
        <v>2</v>
      </c>
      <c r="R28">
        <v>21394152797.716499</v>
      </c>
      <c r="S28">
        <v>1</v>
      </c>
    </row>
    <row r="29" spans="1:19">
      <c r="A29" t="s">
        <v>73</v>
      </c>
      <c r="B29">
        <v>-102063000000</v>
      </c>
      <c r="C29">
        <v>-112000000000</v>
      </c>
      <c r="D29">
        <v>5</v>
      </c>
      <c r="E29">
        <v>-103048714285.714</v>
      </c>
      <c r="F29">
        <v>7</v>
      </c>
      <c r="G29">
        <v>-101793600000</v>
      </c>
      <c r="H29">
        <v>5</v>
      </c>
      <c r="I29">
        <v>-105298333333.33299</v>
      </c>
      <c r="J29">
        <v>3</v>
      </c>
      <c r="L29" t="s">
        <v>73</v>
      </c>
      <c r="M29">
        <v>-935661000</v>
      </c>
      <c r="N29">
        <v>-4243750000</v>
      </c>
      <c r="O29">
        <v>4</v>
      </c>
      <c r="P29">
        <v>-4544500000</v>
      </c>
      <c r="Q29">
        <v>4</v>
      </c>
      <c r="R29">
        <v>-5208666666.6666698</v>
      </c>
      <c r="S29">
        <v>3</v>
      </c>
    </row>
    <row r="30" spans="1:19">
      <c r="A30" t="s">
        <v>682</v>
      </c>
      <c r="C30">
        <v>428358333333.33301</v>
      </c>
      <c r="D30">
        <v>3</v>
      </c>
      <c r="E30">
        <v>487062000000</v>
      </c>
      <c r="F30">
        <v>3</v>
      </c>
      <c r="G30">
        <v>555496500000</v>
      </c>
      <c r="H30">
        <v>2</v>
      </c>
      <c r="L30" t="s">
        <v>682</v>
      </c>
      <c r="N30">
        <v>45296500000</v>
      </c>
      <c r="O30">
        <v>2</v>
      </c>
      <c r="P30">
        <v>63846500000</v>
      </c>
      <c r="Q30">
        <v>2</v>
      </c>
      <c r="R30">
        <v>85021000000</v>
      </c>
      <c r="S30">
        <v>2</v>
      </c>
    </row>
    <row r="34" spans="1:18">
      <c r="A34" t="s">
        <v>683</v>
      </c>
      <c r="B34">
        <f>B20/1000000</f>
        <v>70225</v>
      </c>
      <c r="C34">
        <f t="shared" ref="C34:I34" si="0">C20/1000000</f>
        <v>67323.625</v>
      </c>
      <c r="E34">
        <f t="shared" si="0"/>
        <v>79480.100000000006</v>
      </c>
      <c r="G34">
        <f t="shared" si="0"/>
        <v>87492</v>
      </c>
      <c r="I34">
        <f t="shared" si="0"/>
        <v>107179.66666666701</v>
      </c>
      <c r="L34" t="s">
        <v>683</v>
      </c>
      <c r="N34">
        <f>N20/1000000</f>
        <v>17666.666666666697</v>
      </c>
      <c r="P34">
        <f t="shared" ref="P34:R34" si="1">P20/1000000</f>
        <v>20422.166666666697</v>
      </c>
      <c r="R34">
        <f t="shared" si="1"/>
        <v>23177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16</vt:i4>
      </vt:variant>
      <vt:variant>
        <vt:lpstr>已命名的範圍</vt:lpstr>
      </vt:variant>
      <vt:variant>
        <vt:i4>2</vt:i4>
      </vt:variant>
    </vt:vector>
  </HeadingPairs>
  <TitlesOfParts>
    <vt:vector size="18" baseType="lpstr">
      <vt:lpstr>Presentation</vt:lpstr>
      <vt:lpstr>FS</vt:lpstr>
      <vt:lpstr>P&amp;L Drivers</vt:lpstr>
      <vt:lpstr>CAPEX</vt:lpstr>
      <vt:lpstr>P&amp;L Assumptions</vt:lpstr>
      <vt:lpstr>Debt Profile</vt:lpstr>
      <vt:lpstr>Other Houses</vt:lpstr>
      <vt:lpstr>Smartphones</vt:lpstr>
      <vt:lpstr>PC</vt:lpstr>
      <vt:lpstr>Tablet</vt:lpstr>
      <vt:lpstr>Switch</vt:lpstr>
      <vt:lpstr>WLAN</vt:lpstr>
      <vt:lpstr>Server</vt:lpstr>
      <vt:lpstr>Global TV</vt:lpstr>
      <vt:lpstr>EMSODM</vt:lpstr>
      <vt:lpstr>Sharp_FII_BBG Forecast</vt:lpstr>
      <vt:lpstr>Smartphones!Print_Area</vt:lpstr>
      <vt:lpstr>Smartphones!TabletPCYearwisePivot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Jackal Jen Chieh CHENG</dc:creator>
  <cp:lastModifiedBy>Jackal Jen Chieh CHENG</cp:lastModifiedBy>
  <dcterms:created xsi:type="dcterms:W3CDTF">2018-04-09T04:31:15Z</dcterms:created>
  <dcterms:modified xsi:type="dcterms:W3CDTF">2018-07-26T02:16:24Z</dcterms:modified>
</cp:coreProperties>
</file>