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wade/Desktop/"/>
    </mc:Choice>
  </mc:AlternateContent>
  <xr:revisionPtr revIDLastSave="0" documentId="13_ncr:1_{69B6D4FA-2550-CF49-8A46-D1EE52B0B440}" xr6:coauthVersionLast="47" xr6:coauthVersionMax="47" xr10:uidLastSave="{00000000-0000-0000-0000-000000000000}"/>
  <bookViews>
    <workbookView xWindow="720" yWindow="500" windowWidth="27680" windowHeight="16420" xr2:uid="{780DBDB3-D16B-CE4C-8A03-AB533B77EE50}"/>
  </bookViews>
  <sheets>
    <sheet name="Sheet1" sheetId="1" r:id="rId1"/>
    <sheet name="Sheet2" sheetId="2" r:id="rId2"/>
  </sheets>
  <definedNames>
    <definedName name="CAPGAINSTAX">Sheet1!$U$32</definedName>
    <definedName name="ChangeInPeriod">Sheet1!$C$12</definedName>
    <definedName name="CurrentUnvested">Sheet1!$L$4</definedName>
    <definedName name="DeathAge">Sheet1!$U$14</definedName>
    <definedName name="HighCash_R">Sheet1!$U$7</definedName>
    <definedName name="HighCashRATE_R">Sheet1!$V$7</definedName>
    <definedName name="Inflation_R">Sheet1!$U$5</definedName>
    <definedName name="IRA.r">Sheet1!$V$11</definedName>
    <definedName name="LIFESTYLEPV">Sheet1!$U$13</definedName>
    <definedName name="LowCash_R">Sheet1!$U$6</definedName>
    <definedName name="OGterm">Sheet1!$D$6</definedName>
    <definedName name="Original_Mortgage">Sheet1!$D$4</definedName>
    <definedName name="OriginalLoan">Sheet1!$D$4</definedName>
    <definedName name="OutstandingC_Mort">Sheet1!$D$5</definedName>
    <definedName name="PeriodRemainChange">Sheet1!$E$12</definedName>
    <definedName name="PMT_Monthly">Sheet1!$D$8</definedName>
    <definedName name="QuarterlyVest">Sheet1!$U$34</definedName>
    <definedName name="R_401k">Sheet1!$U$8</definedName>
    <definedName name="R_529">Sheet1!$U$10</definedName>
    <definedName name="R_HighCash">Sheet1!$U$7</definedName>
    <definedName name="R_IRA">Sheet1!$U$11</definedName>
    <definedName name="R_LowCash">Sheet1!$U$6</definedName>
    <definedName name="R_Mortgage">Sheet1!$D$7</definedName>
    <definedName name="R_stockbond">Sheet1!$U$9</definedName>
    <definedName name="Real401.r">Sheet1!$V$8</definedName>
    <definedName name="RealStock.r">Sheet1!$V$9</definedName>
    <definedName name="RemainingT">Sheet1!$D$6</definedName>
    <definedName name="Retire401k">Sheet1!$J$19</definedName>
    <definedName name="RetiredITAX">Sheet1!$U$30</definedName>
    <definedName name="RetiredStocks">Sheet1!$J$17</definedName>
    <definedName name="RetirementAgeRemaingPeriods">Sheet1!$D$16</definedName>
    <definedName name="RetireUnvested">Sheet1!$L$10</definedName>
    <definedName name="RetirmentAge">Sheet1!$U$12</definedName>
    <definedName name="ROTH.retire">Sheet1!$J$18</definedName>
    <definedName name="ROTHTAKE">Sheet1!$U$27</definedName>
    <definedName name="SellAge">Sheet1!$U$37</definedName>
    <definedName name="Take401">Sheet1!$U$18</definedName>
    <definedName name="Term_Mortgage">Sheet1!$D$7</definedName>
    <definedName name="TIRATAKE">Sheet1!$U$28</definedName>
    <definedName name="TRADE.retire">Sheet1!$J$20</definedName>
    <definedName name="VestInterval">Sheet1!$U$33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U23" i="1"/>
  <c r="J20" i="1" s="1"/>
  <c r="J28" i="1" s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35" i="1"/>
  <c r="L10" i="1"/>
  <c r="M10" i="1" s="1"/>
  <c r="V35" i="1"/>
  <c r="M4" i="1"/>
  <c r="D8" i="1"/>
  <c r="V26" i="1"/>
  <c r="I35" i="1" a="1"/>
  <c r="A35" i="1" a="1"/>
  <c r="V10" i="1"/>
  <c r="V9" i="1"/>
  <c r="V6" i="1"/>
  <c r="V7" i="1"/>
  <c r="V8" i="1"/>
  <c r="V11" i="1"/>
  <c r="K65" i="1" l="1"/>
  <c r="K42" i="1"/>
  <c r="K50" i="1"/>
  <c r="K58" i="1"/>
  <c r="K62" i="1"/>
  <c r="K54" i="1"/>
  <c r="K46" i="1"/>
  <c r="K57" i="1"/>
  <c r="K49" i="1"/>
  <c r="K41" i="1"/>
  <c r="K64" i="1"/>
  <c r="K56" i="1"/>
  <c r="K48" i="1"/>
  <c r="K40" i="1"/>
  <c r="K63" i="1"/>
  <c r="K55" i="1"/>
  <c r="K47" i="1"/>
  <c r="K61" i="1"/>
  <c r="K53" i="1"/>
  <c r="K45" i="1"/>
  <c r="K60" i="1"/>
  <c r="K52" i="1"/>
  <c r="K44" i="1"/>
  <c r="K67" i="1"/>
  <c r="K59" i="1"/>
  <c r="K51" i="1"/>
  <c r="K43" i="1"/>
  <c r="N52" i="1"/>
  <c r="N60" i="1"/>
  <c r="N68" i="1"/>
  <c r="N49" i="1"/>
  <c r="N57" i="1"/>
  <c r="N65" i="1"/>
  <c r="N50" i="1"/>
  <c r="N58" i="1"/>
  <c r="N66" i="1"/>
  <c r="N51" i="1"/>
  <c r="N59" i="1"/>
  <c r="N67" i="1"/>
  <c r="N45" i="1"/>
  <c r="N53" i="1"/>
  <c r="N61" i="1"/>
  <c r="N69" i="1"/>
  <c r="N46" i="1"/>
  <c r="N54" i="1"/>
  <c r="N62" i="1"/>
  <c r="N47" i="1"/>
  <c r="N55" i="1"/>
  <c r="N63" i="1"/>
  <c r="N48" i="1"/>
  <c r="N56" i="1"/>
  <c r="N64" i="1"/>
  <c r="I35" i="1"/>
  <c r="J16" i="1"/>
  <c r="D21" i="1"/>
  <c r="D15" i="1"/>
  <c r="D16" i="1"/>
  <c r="M49" i="1"/>
  <c r="A35" i="1"/>
  <c r="M36" i="1"/>
  <c r="M44" i="1"/>
  <c r="M52" i="1"/>
  <c r="M60" i="1"/>
  <c r="M68" i="1"/>
  <c r="L44" i="1"/>
  <c r="M40" i="1"/>
  <c r="M48" i="1"/>
  <c r="M56" i="1"/>
  <c r="M64" i="1"/>
  <c r="L48" i="1"/>
  <c r="M41" i="1"/>
  <c r="M57" i="1"/>
  <c r="M65" i="1"/>
  <c r="L67" i="1"/>
  <c r="L49" i="1"/>
  <c r="L57" i="1"/>
  <c r="M42" i="1"/>
  <c r="M50" i="1"/>
  <c r="M58" i="1"/>
  <c r="M66" i="1"/>
  <c r="L50" i="1"/>
  <c r="L58" i="1"/>
  <c r="M37" i="1"/>
  <c r="M45" i="1"/>
  <c r="M53" i="1"/>
  <c r="M61" i="1"/>
  <c r="M69" i="1"/>
  <c r="L45" i="1"/>
  <c r="L53" i="1"/>
  <c r="L61" i="1"/>
  <c r="M62" i="1"/>
  <c r="M39" i="1"/>
  <c r="M47" i="1"/>
  <c r="M55" i="1"/>
  <c r="M63" i="1"/>
  <c r="L65" i="1"/>
  <c r="L47" i="1"/>
  <c r="L51" i="1"/>
  <c r="M67" i="1"/>
  <c r="M59" i="1"/>
  <c r="M51" i="1"/>
  <c r="M43" i="1"/>
  <c r="M54" i="1"/>
  <c r="M46" i="1"/>
  <c r="M38" i="1"/>
  <c r="J21" i="1"/>
  <c r="J17" i="1"/>
  <c r="N38" i="1" s="1"/>
  <c r="J15" i="1"/>
  <c r="J19" i="1"/>
  <c r="J27" i="1" s="1"/>
  <c r="J18" i="1"/>
  <c r="L69" i="1" s="1"/>
  <c r="K35" i="1" l="1"/>
  <c r="L66" i="1"/>
  <c r="K66" i="1"/>
  <c r="L68" i="1"/>
  <c r="K68" i="1"/>
  <c r="K69" i="1"/>
  <c r="K39" i="1"/>
  <c r="K36" i="1"/>
  <c r="K37" i="1"/>
  <c r="K38" i="1"/>
  <c r="C35" i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I27" i="1"/>
  <c r="I28" i="1" s="1"/>
  <c r="L40" i="1"/>
  <c r="J29" i="1"/>
  <c r="D35" i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L59" i="1"/>
  <c r="L54" i="1"/>
  <c r="L63" i="1"/>
  <c r="L62" i="1"/>
  <c r="L64" i="1"/>
  <c r="L60" i="1"/>
  <c r="L55" i="1"/>
  <c r="L46" i="1"/>
  <c r="L56" i="1"/>
  <c r="L52" i="1"/>
  <c r="N40" i="1"/>
  <c r="N39" i="1"/>
  <c r="N43" i="1"/>
  <c r="N35" i="1"/>
  <c r="N37" i="1"/>
  <c r="N42" i="1"/>
  <c r="N44" i="1"/>
  <c r="N41" i="1"/>
  <c r="D20" i="1"/>
  <c r="O36" i="1"/>
  <c r="O37" i="1"/>
  <c r="O38" i="1"/>
  <c r="O46" i="1"/>
  <c r="O54" i="1"/>
  <c r="O62" i="1"/>
  <c r="O35" i="1"/>
  <c r="O47" i="1"/>
  <c r="O55" i="1"/>
  <c r="O63" i="1"/>
  <c r="O64" i="1"/>
  <c r="O65" i="1"/>
  <c r="O42" i="1"/>
  <c r="O58" i="1"/>
  <c r="O43" i="1"/>
  <c r="O59" i="1"/>
  <c r="O52" i="1"/>
  <c r="O68" i="1"/>
  <c r="O45" i="1"/>
  <c r="O61" i="1"/>
  <c r="O39" i="1"/>
  <c r="O49" i="1"/>
  <c r="O50" i="1"/>
  <c r="O66" i="1"/>
  <c r="O51" i="1"/>
  <c r="O53" i="1"/>
  <c r="O69" i="1"/>
  <c r="O40" i="1"/>
  <c r="O48" i="1"/>
  <c r="O56" i="1"/>
  <c r="O67" i="1"/>
  <c r="O44" i="1"/>
  <c r="O60" i="1"/>
  <c r="O41" i="1"/>
  <c r="O57" i="1"/>
  <c r="N36" i="1"/>
  <c r="L43" i="1"/>
  <c r="D19" i="1"/>
  <c r="L36" i="1"/>
  <c r="L39" i="1"/>
  <c r="L38" i="1"/>
  <c r="L37" i="1"/>
  <c r="L42" i="1"/>
  <c r="L41" i="1"/>
  <c r="L35" i="1"/>
  <c r="M35" i="1"/>
  <c r="I29" i="1" l="1"/>
  <c r="I30" i="1" s="1"/>
  <c r="J35" i="1" s="1"/>
  <c r="B35" i="1" l="1"/>
  <c r="Q35" i="1"/>
  <c r="F35" i="1" l="1"/>
  <c r="G35" i="1" s="1"/>
  <c r="E35" i="1"/>
  <c r="J36" i="1" l="1"/>
  <c r="Q36" i="1" l="1"/>
  <c r="B36" i="1"/>
  <c r="F36" i="1" s="1"/>
  <c r="G36" i="1" s="1"/>
  <c r="J37" i="1" l="1"/>
  <c r="B37" i="1" s="1"/>
  <c r="E36" i="1"/>
  <c r="Q37" i="1" l="1"/>
  <c r="F37" i="1"/>
  <c r="G37" i="1" s="1"/>
  <c r="E37" i="1"/>
  <c r="J38" i="1" l="1"/>
  <c r="Q38" i="1" s="1"/>
  <c r="B38" i="1" l="1"/>
  <c r="F38" i="1" s="1"/>
  <c r="G38" i="1" s="1"/>
  <c r="E38" i="1" l="1"/>
  <c r="J39" i="1"/>
  <c r="Q39" i="1" s="1"/>
  <c r="B39" i="1" l="1"/>
  <c r="F39" i="1" s="1"/>
  <c r="G39" i="1" s="1"/>
  <c r="E39" i="1" l="1"/>
  <c r="J40" i="1"/>
  <c r="Q40" i="1" s="1"/>
  <c r="B40" i="1" l="1"/>
  <c r="F40" i="1" s="1"/>
  <c r="G40" i="1" s="1"/>
  <c r="E40" i="1" l="1"/>
  <c r="J41" i="1"/>
  <c r="Q41" i="1" s="1"/>
  <c r="B41" i="1" l="1"/>
  <c r="F41" i="1" s="1"/>
  <c r="G41" i="1" s="1"/>
  <c r="E41" i="1" l="1"/>
  <c r="J42" i="1"/>
  <c r="Q42" i="1" l="1"/>
  <c r="B42" i="1"/>
  <c r="F42" i="1" s="1"/>
  <c r="G42" i="1" s="1"/>
  <c r="E42" i="1" l="1"/>
  <c r="J43" i="1"/>
  <c r="Q43" i="1" s="1"/>
  <c r="B43" i="1" l="1"/>
  <c r="F43" i="1" s="1"/>
  <c r="G43" i="1" s="1"/>
  <c r="J44" i="1" l="1"/>
  <c r="Q44" i="1" s="1"/>
  <c r="E43" i="1"/>
  <c r="B44" i="1" l="1"/>
  <c r="F44" i="1" s="1"/>
  <c r="G44" i="1" s="1"/>
  <c r="E44" i="1" l="1"/>
  <c r="J45" i="1"/>
  <c r="Q45" i="1" s="1"/>
  <c r="B45" i="1" l="1"/>
  <c r="F45" i="1" s="1"/>
  <c r="G45" i="1" s="1"/>
  <c r="E45" i="1" l="1"/>
  <c r="J46" i="1"/>
  <c r="Q46" i="1" s="1"/>
  <c r="B46" i="1" l="1"/>
  <c r="F46" i="1" s="1"/>
  <c r="G46" i="1" s="1"/>
  <c r="E46" i="1" l="1"/>
  <c r="J47" i="1"/>
  <c r="Q47" i="1" s="1"/>
  <c r="B47" i="1" l="1"/>
  <c r="E47" i="1" s="1"/>
  <c r="F47" i="1" l="1"/>
  <c r="G47" i="1" s="1"/>
  <c r="J48" i="1" s="1"/>
  <c r="Q48" i="1" s="1"/>
  <c r="B48" i="1" l="1"/>
  <c r="F48" i="1" s="1"/>
  <c r="G48" i="1" s="1"/>
  <c r="J49" i="1" l="1"/>
  <c r="Q49" i="1" s="1"/>
  <c r="E48" i="1"/>
  <c r="B49" i="1" l="1"/>
  <c r="F49" i="1" s="1"/>
  <c r="G49" i="1" s="1"/>
  <c r="E49" i="1" l="1"/>
  <c r="J50" i="1"/>
  <c r="Q50" i="1" s="1"/>
  <c r="B50" i="1" l="1"/>
  <c r="F50" i="1" s="1"/>
  <c r="G50" i="1" s="1"/>
  <c r="E50" i="1" l="1"/>
  <c r="J51" i="1"/>
  <c r="Q51" i="1" s="1"/>
  <c r="B51" i="1" l="1"/>
  <c r="F51" i="1" s="1"/>
  <c r="G51" i="1" s="1"/>
  <c r="E51" i="1" l="1"/>
  <c r="J52" i="1"/>
  <c r="Q52" i="1" s="1"/>
  <c r="B52" i="1" l="1"/>
  <c r="F52" i="1" s="1"/>
  <c r="G52" i="1" s="1"/>
  <c r="E52" i="1" l="1"/>
  <c r="J53" i="1"/>
  <c r="Q53" i="1" s="1"/>
  <c r="B53" i="1" l="1"/>
  <c r="F53" i="1" s="1"/>
  <c r="G53" i="1" s="1"/>
  <c r="E53" i="1" l="1"/>
  <c r="J54" i="1"/>
  <c r="Q54" i="1" s="1"/>
  <c r="B54" i="1" l="1"/>
  <c r="F54" i="1" s="1"/>
  <c r="G54" i="1" s="1"/>
  <c r="E54" i="1" l="1"/>
  <c r="J55" i="1"/>
  <c r="Q55" i="1" s="1"/>
  <c r="B55" i="1" l="1"/>
  <c r="F55" i="1" s="1"/>
  <c r="G55" i="1" s="1"/>
  <c r="E55" i="1" l="1"/>
  <c r="J56" i="1"/>
  <c r="Q56" i="1" s="1"/>
  <c r="B56" i="1" l="1"/>
  <c r="F56" i="1" s="1"/>
  <c r="G56" i="1" s="1"/>
  <c r="E56" i="1" l="1"/>
  <c r="J57" i="1"/>
  <c r="Q57" i="1" s="1"/>
  <c r="B57" i="1" l="1"/>
  <c r="F57" i="1" s="1"/>
  <c r="G57" i="1" s="1"/>
  <c r="J58" i="1" l="1"/>
  <c r="Q58" i="1" s="1"/>
  <c r="E57" i="1"/>
  <c r="B58" i="1" l="1"/>
  <c r="F58" i="1" s="1"/>
  <c r="G58" i="1" s="1"/>
  <c r="E58" i="1" l="1"/>
  <c r="J59" i="1"/>
  <c r="Q59" i="1" s="1"/>
  <c r="B59" i="1" l="1"/>
  <c r="F59" i="1" s="1"/>
  <c r="G59" i="1" s="1"/>
  <c r="E59" i="1" l="1"/>
  <c r="J60" i="1"/>
  <c r="Q60" i="1" l="1"/>
  <c r="B60" i="1"/>
  <c r="F60" i="1" s="1"/>
  <c r="G60" i="1" s="1"/>
  <c r="E60" i="1" l="1"/>
  <c r="J61" i="1"/>
  <c r="Q61" i="1" s="1"/>
  <c r="B61" i="1" l="1"/>
  <c r="F61" i="1" s="1"/>
  <c r="G61" i="1" s="1"/>
  <c r="E61" i="1" l="1"/>
  <c r="J62" i="1"/>
  <c r="Q62" i="1" s="1"/>
  <c r="B62" i="1" l="1"/>
  <c r="F62" i="1" s="1"/>
  <c r="G62" i="1" s="1"/>
  <c r="E62" i="1" l="1"/>
  <c r="J63" i="1"/>
  <c r="Q63" i="1" s="1"/>
  <c r="B63" i="1" l="1"/>
  <c r="F63" i="1" s="1"/>
  <c r="G63" i="1" s="1"/>
  <c r="J64" i="1" l="1"/>
  <c r="Q64" i="1" s="1"/>
  <c r="E63" i="1"/>
  <c r="B64" i="1" l="1"/>
  <c r="F64" i="1" s="1"/>
  <c r="G64" i="1" s="1"/>
  <c r="E64" i="1" l="1"/>
  <c r="J65" i="1"/>
  <c r="Q65" i="1" s="1"/>
  <c r="B65" i="1" l="1"/>
  <c r="F65" i="1" s="1"/>
  <c r="G65" i="1" s="1"/>
  <c r="E65" i="1" l="1"/>
  <c r="J66" i="1"/>
  <c r="Q66" i="1" l="1"/>
  <c r="B66" i="1"/>
  <c r="F66" i="1" s="1"/>
  <c r="G66" i="1" s="1"/>
  <c r="E66" i="1" l="1"/>
  <c r="J67" i="1"/>
  <c r="Q67" i="1" s="1"/>
  <c r="B67" i="1" l="1"/>
  <c r="F67" i="1" s="1"/>
  <c r="G67" i="1" s="1"/>
  <c r="E67" i="1" l="1"/>
  <c r="J68" i="1"/>
  <c r="Q68" i="1" l="1"/>
  <c r="B68" i="1"/>
  <c r="E68" i="1" s="1"/>
  <c r="F68" i="1" l="1"/>
  <c r="G68" i="1" s="1"/>
  <c r="J69" i="1" l="1"/>
  <c r="Q69" i="1" s="1"/>
  <c r="B69" i="1" l="1"/>
  <c r="F69" i="1" l="1"/>
  <c r="G69" i="1" s="1"/>
  <c r="E6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<sst xmlns="http://schemas.openxmlformats.org/spreadsheetml/2006/main" count="124" uniqueCount="97">
  <si>
    <t>ASSUMPTIONS</t>
  </si>
  <si>
    <t>IRA.R</t>
  </si>
  <si>
    <t>LowCashS.R</t>
  </si>
  <si>
    <t>HighCashS.R</t>
  </si>
  <si>
    <t>401k.R</t>
  </si>
  <si>
    <t>529.R</t>
  </si>
  <si>
    <t>Inf.R</t>
  </si>
  <si>
    <t>LifeStyle PV</t>
  </si>
  <si>
    <t>Death Age</t>
  </si>
  <si>
    <t>Retirement Age</t>
  </si>
  <si>
    <t>Current Income Post-Tax</t>
  </si>
  <si>
    <t>SS Age</t>
  </si>
  <si>
    <t>SS Income</t>
  </si>
  <si>
    <t>Pension Income</t>
  </si>
  <si>
    <t>CURRENT ASSETS</t>
  </si>
  <si>
    <t>Savings (non/LowBearing)</t>
  </si>
  <si>
    <t>Savings (High Bearing)</t>
  </si>
  <si>
    <t>401k</t>
  </si>
  <si>
    <t>IRA(trad)</t>
  </si>
  <si>
    <t>IRA(Roth)</t>
  </si>
  <si>
    <t>Home Equity</t>
  </si>
  <si>
    <t>Loan Debt</t>
  </si>
  <si>
    <t>RETIREMENT AGE ASSETS</t>
  </si>
  <si>
    <t>RETIREMENT AGE LIABILITIES</t>
  </si>
  <si>
    <t>PROJECTED INCOME INTO RETIREMENT</t>
  </si>
  <si>
    <t>PROJECTED ASSETS INTO RETIREMENT</t>
  </si>
  <si>
    <t>PROJECTED LIABILITIES INTO RETIREMENT</t>
  </si>
  <si>
    <t>PROJECTED MORTGAGE INTO RETIREMENT</t>
  </si>
  <si>
    <t>Value</t>
  </si>
  <si>
    <t>529Edu</t>
  </si>
  <si>
    <t>$</t>
  </si>
  <si>
    <t>Total</t>
  </si>
  <si>
    <t>Loan Interest</t>
  </si>
  <si>
    <t>CCD Interest</t>
  </si>
  <si>
    <t>Original Loan</t>
  </si>
  <si>
    <t>Current Outstanding</t>
  </si>
  <si>
    <t>Remaining Term</t>
  </si>
  <si>
    <t xml:space="preserve">APR </t>
  </si>
  <si>
    <t>Monthly Payment</t>
  </si>
  <si>
    <t>ASSET</t>
  </si>
  <si>
    <t>Assumption</t>
  </si>
  <si>
    <t>Liabilities</t>
  </si>
  <si>
    <t>CC Debt</t>
  </si>
  <si>
    <t>Mortgage</t>
  </si>
  <si>
    <t>CURRENT LIABILTIES</t>
  </si>
  <si>
    <t>CURRENT MORTGAGE</t>
  </si>
  <si>
    <t>RETIREMENT AGE MORTGAGE</t>
  </si>
  <si>
    <t>RetirementAge_Outstanding</t>
  </si>
  <si>
    <t>Current Age</t>
  </si>
  <si>
    <t>Original Term(Months)</t>
  </si>
  <si>
    <t>///////////////</t>
  </si>
  <si>
    <t>Time Until Retirement Age</t>
  </si>
  <si>
    <t>Outstanding at Retirement Age</t>
  </si>
  <si>
    <t>Age of Final Payment</t>
  </si>
  <si>
    <t xml:space="preserve">Age </t>
  </si>
  <si>
    <t>Int. On Cash</t>
  </si>
  <si>
    <t>Pension</t>
  </si>
  <si>
    <t>Social Sec.</t>
  </si>
  <si>
    <t>Post-Tax</t>
  </si>
  <si>
    <t>Age</t>
  </si>
  <si>
    <t>Roth IRA</t>
  </si>
  <si>
    <t>T-IRA</t>
  </si>
  <si>
    <t>Cash Savings</t>
  </si>
  <si>
    <t>Stocks</t>
  </si>
  <si>
    <t>Stocks.R</t>
  </si>
  <si>
    <t>Savings Draw</t>
  </si>
  <si>
    <t>Expected Pension Age</t>
  </si>
  <si>
    <t>401K Take Age</t>
  </si>
  <si>
    <t>RetireCashSave.R</t>
  </si>
  <si>
    <t>RothTake Age</t>
  </si>
  <si>
    <t>T-IRATake Age</t>
  </si>
  <si>
    <t>RetiredIncomeTax</t>
  </si>
  <si>
    <t>401k _Tax</t>
  </si>
  <si>
    <t>T-IRA_Tax</t>
  </si>
  <si>
    <t>CapitalGains_Tax</t>
  </si>
  <si>
    <t>REAL RATE %</t>
  </si>
  <si>
    <t>Modified Monthly Payments</t>
  </si>
  <si>
    <t>Change in payment</t>
  </si>
  <si>
    <t>StockVestRate(Periods)</t>
  </si>
  <si>
    <t>Current Unvested Stock</t>
  </si>
  <si>
    <t>SharesVestedPerInterval</t>
  </si>
  <si>
    <t>VestGrowthR</t>
  </si>
  <si>
    <t>AnnualUnvestGained</t>
  </si>
  <si>
    <t>IBM SHARES</t>
  </si>
  <si>
    <t>Total$</t>
  </si>
  <si>
    <t>Retirement Age UnvestedStock</t>
  </si>
  <si>
    <t>SellAge</t>
  </si>
  <si>
    <t>CASH AT RETIREMENT</t>
  </si>
  <si>
    <t>SAVINGS</t>
  </si>
  <si>
    <t>AMOUNT ADDED</t>
  </si>
  <si>
    <t>REASON</t>
  </si>
  <si>
    <t>401K</t>
  </si>
  <si>
    <t>IRA-(T)</t>
  </si>
  <si>
    <t>IRA-R</t>
  </si>
  <si>
    <t>OTHER ADDITIONS</t>
  </si>
  <si>
    <t>Pre-Tax</t>
  </si>
  <si>
    <t>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</si>
</sst>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1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8"/>
      <color theme="1"/>
      <name val="Aptos Narrow (Body)"/>
    </font>
    <font>
      <b/>
      <u/>
      <sz val="18"/>
      <color theme="1"/>
      <name val="Aptos Narrow (Body)"/>
    </font>
    <font>
      <b/>
      <sz val="12"/>
      <color theme="1"/>
      <name val="Aptos Narrow"/>
      <scheme val="minor"/>
    </font>
    <font>
      <b/>
      <u/>
      <sz val="10"/>
      <color theme="1"/>
      <name val="Aptos Narrow (Body)"/>
    </font>
    <font>
      <b/>
      <sz val="12"/>
      <color theme="1"/>
      <name val="Aptos Narrow (Body)"/>
    </font>
    <font>
      <b/>
      <i/>
      <u/>
      <sz val="12"/>
      <color theme="1"/>
      <name val="Aptos Narrow"/>
      <scheme val="minor"/>
    </font>
    <font>
      <b/>
      <i/>
      <u/>
      <sz val="18"/>
      <color theme="1"/>
      <name val="Aptos Narrow"/>
      <scheme val="minor"/>
    </font>
    <font>
      <b/>
      <i/>
      <u/>
      <sz val="18"/>
      <color theme="1"/>
      <name val="Aptos Narrow (Body)"/>
    </font>
    <font>
      <b/>
      <i/>
      <u/>
      <sz val="12"/>
      <color theme="1"/>
      <name val="Aptos Narrow (Body)"/>
    </font>
    <font>
      <b/>
      <i/>
      <u/>
      <sz val="16"/>
      <color theme="1"/>
      <name val="Aptos Narrow (Body)"/>
    </font>
    <font>
      <b/>
      <i/>
      <u/>
      <sz val="14"/>
      <color theme="1"/>
      <name val="Aptos Narrow (Body)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</fills>
  <borders count="3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9"/>
      </left>
      <right/>
      <top style="thin">
        <color theme="4" tint="0.3999755851924192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9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 style="thin">
        <color theme="9"/>
      </bottom>
      <diagonal/>
    </border>
    <border>
      <left style="thin">
        <color theme="4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110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0" borderId="0" xfId="0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2" fillId="4" borderId="7" xfId="0" applyFont="1" applyFill="1" applyBorder="1"/>
    <xf numFmtId="0" fontId="2" fillId="3" borderId="11" xfId="0" applyFont="1" applyFill="1" applyBorder="1"/>
    <xf numFmtId="0" fontId="0" fillId="3" borderId="12" xfId="0" applyFill="1" applyBorder="1"/>
    <xf numFmtId="0" fontId="2" fillId="0" borderId="11" xfId="0" applyFont="1" applyBorder="1"/>
    <xf numFmtId="0" fontId="0" fillId="0" borderId="12" xfId="0" applyBorder="1"/>
    <xf numFmtId="0" fontId="0" fillId="3" borderId="13" xfId="0" applyFill="1" applyBorder="1"/>
    <xf numFmtId="0" fontId="0" fillId="0" borderId="13" xfId="0" applyBorder="1"/>
    <xf numFmtId="0" fontId="0" fillId="3" borderId="0" xfId="0" applyFill="1"/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7" fillId="4" borderId="7" xfId="0" applyFont="1" applyFill="1" applyBorder="1"/>
    <xf numFmtId="0" fontId="7" fillId="4" borderId="8" xfId="0" applyFont="1" applyFill="1" applyBorder="1" applyAlignment="1">
      <alignment horizontal="left"/>
    </xf>
    <xf numFmtId="0" fontId="2" fillId="6" borderId="7" xfId="0" applyFont="1" applyFill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3" xfId="0" applyFont="1" applyBorder="1"/>
    <xf numFmtId="8" fontId="0" fillId="3" borderId="12" xfId="0" applyNumberFormat="1" applyFill="1" applyBorder="1"/>
    <xf numFmtId="0" fontId="0" fillId="0" borderId="7" xfId="0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3" borderId="11" xfId="0" applyFill="1" applyBorder="1"/>
    <xf numFmtId="2" fontId="0" fillId="0" borderId="3" xfId="0" applyNumberFormat="1" applyBorder="1"/>
    <xf numFmtId="8" fontId="0" fillId="0" borderId="12" xfId="0" applyNumberFormat="1" applyBorder="1"/>
    <xf numFmtId="0" fontId="2" fillId="6" borderId="9" xfId="0" applyFont="1" applyFill="1" applyBorder="1"/>
    <xf numFmtId="0" fontId="2" fillId="6" borderId="11" xfId="0" applyFont="1" applyFill="1" applyBorder="1"/>
    <xf numFmtId="0" fontId="0" fillId="6" borderId="16" xfId="0" applyFill="1" applyBorder="1"/>
    <xf numFmtId="0" fontId="0" fillId="3" borderId="16" xfId="0" applyFill="1" applyBorder="1"/>
    <xf numFmtId="0" fontId="2" fillId="0" borderId="9" xfId="0" applyFont="1" applyBorder="1"/>
    <xf numFmtId="0" fontId="0" fillId="0" borderId="6" xfId="0" applyBorder="1"/>
    <xf numFmtId="0" fontId="1" fillId="7" borderId="17" xfId="0" applyFont="1" applyFill="1" applyBorder="1"/>
    <xf numFmtId="0" fontId="1" fillId="7" borderId="18" xfId="0" applyFont="1" applyFill="1" applyBorder="1"/>
    <xf numFmtId="0" fontId="0" fillId="5" borderId="17" xfId="0" applyFill="1" applyBorder="1"/>
    <xf numFmtId="0" fontId="0" fillId="5" borderId="18" xfId="0" applyFill="1" applyBorder="1"/>
    <xf numFmtId="0" fontId="1" fillId="7" borderId="17" xfId="0" applyFont="1" applyFill="1" applyBorder="1" applyAlignment="1">
      <alignment horizontal="left"/>
    </xf>
    <xf numFmtId="0" fontId="1" fillId="7" borderId="18" xfId="0" applyFont="1" applyFill="1" applyBorder="1" applyAlignment="1">
      <alignment horizontal="left"/>
    </xf>
    <xf numFmtId="0" fontId="2" fillId="0" borderId="4" xfId="0" applyFont="1" applyBorder="1"/>
    <xf numFmtId="0" fontId="0" fillId="0" borderId="11" xfId="0" applyBorder="1"/>
    <xf numFmtId="2" fontId="0" fillId="0" borderId="12" xfId="0" applyNumberFormat="1" applyBorder="1"/>
    <xf numFmtId="0" fontId="2" fillId="3" borderId="4" xfId="0" applyFont="1" applyFill="1" applyBorder="1"/>
    <xf numFmtId="0" fontId="1" fillId="3" borderId="11" xfId="0" applyFont="1" applyFill="1" applyBorder="1"/>
    <xf numFmtId="0" fontId="1" fillId="3" borderId="16" xfId="0" applyFont="1" applyFill="1" applyBorder="1"/>
    <xf numFmtId="0" fontId="0" fillId="0" borderId="5" xfId="0" applyBorder="1"/>
    <xf numFmtId="0" fontId="1" fillId="2" borderId="19" xfId="0" applyFont="1" applyFill="1" applyBorder="1"/>
    <xf numFmtId="0" fontId="0" fillId="6" borderId="20" xfId="0" applyFill="1" applyBorder="1"/>
    <xf numFmtId="0" fontId="0" fillId="0" borderId="21" xfId="0" applyBorder="1"/>
    <xf numFmtId="0" fontId="0" fillId="6" borderId="21" xfId="0" applyFill="1" applyBorder="1"/>
    <xf numFmtId="0" fontId="0" fillId="3" borderId="19" xfId="0" applyFill="1" applyBorder="1"/>
    <xf numFmtId="0" fontId="0" fillId="0" borderId="19" xfId="0" applyBorder="1"/>
    <xf numFmtId="0" fontId="2" fillId="0" borderId="22" xfId="0" applyFont="1" applyBorder="1"/>
    <xf numFmtId="0" fontId="2" fillId="0" borderId="23" xfId="0" applyFont="1" applyBorder="1"/>
    <xf numFmtId="0" fontId="0" fillId="6" borderId="24" xfId="0" applyFill="1" applyBorder="1"/>
    <xf numFmtId="0" fontId="1" fillId="2" borderId="13" xfId="0" applyFont="1" applyFill="1" applyBorder="1"/>
    <xf numFmtId="0" fontId="0" fillId="4" borderId="26" xfId="0" applyFill="1" applyBorder="1"/>
    <xf numFmtId="0" fontId="1" fillId="8" borderId="28" xfId="0" applyFont="1" applyFill="1" applyBorder="1"/>
    <xf numFmtId="0" fontId="1" fillId="8" borderId="29" xfId="0" applyFont="1" applyFill="1" applyBorder="1"/>
    <xf numFmtId="0" fontId="1" fillId="8" borderId="30" xfId="0" applyFont="1" applyFill="1" applyBorder="1"/>
    <xf numFmtId="0" fontId="0" fillId="4" borderId="28" xfId="0" applyFill="1" applyBorder="1" applyAlignment="1">
      <alignment horizontal="left"/>
    </xf>
    <xf numFmtId="0" fontId="0" fillId="4" borderId="29" xfId="0" applyFill="1" applyBorder="1"/>
    <xf numFmtId="8" fontId="0" fillId="4" borderId="29" xfId="0" applyNumberFormat="1" applyFill="1" applyBorder="1"/>
    <xf numFmtId="8" fontId="0" fillId="4" borderId="30" xfId="0" applyNumberFormat="1" applyFill="1" applyBorder="1"/>
    <xf numFmtId="0" fontId="0" fillId="0" borderId="28" xfId="0" applyBorder="1" applyAlignment="1">
      <alignment horizontal="left"/>
    </xf>
    <xf numFmtId="0" fontId="0" fillId="0" borderId="29" xfId="0" applyBorder="1"/>
    <xf numFmtId="8" fontId="0" fillId="0" borderId="29" xfId="0" applyNumberFormat="1" applyBorder="1"/>
    <xf numFmtId="8" fontId="0" fillId="0" borderId="30" xfId="0" applyNumberFormat="1" applyBorder="1"/>
    <xf numFmtId="0" fontId="0" fillId="4" borderId="25" xfId="0" applyFill="1" applyBorder="1" applyAlignment="1">
      <alignment horizontal="left"/>
    </xf>
    <xf numFmtId="8" fontId="0" fillId="4" borderId="26" xfId="0" applyNumberFormat="1" applyFill="1" applyBorder="1"/>
    <xf numFmtId="8" fontId="0" fillId="4" borderId="27" xfId="0" applyNumberFormat="1" applyFill="1" applyBorder="1"/>
    <xf numFmtId="164" fontId="0" fillId="6" borderId="8" xfId="0" applyNumberFormat="1" applyFill="1" applyBorder="1"/>
    <xf numFmtId="164" fontId="0" fillId="4" borderId="8" xfId="0" applyNumberFormat="1" applyFill="1" applyBorder="1"/>
    <xf numFmtId="164" fontId="0" fillId="6" borderId="6" xfId="0" applyNumberFormat="1" applyFill="1" applyBorder="1"/>
    <xf numFmtId="164" fontId="0" fillId="3" borderId="13" xfId="0" applyNumberFormat="1" applyFill="1" applyBorder="1"/>
    <xf numFmtId="164" fontId="0" fillId="0" borderId="13" xfId="0" applyNumberFormat="1" applyBorder="1"/>
    <xf numFmtId="164" fontId="0" fillId="0" borderId="2" xfId="0" applyNumberFormat="1" applyBorder="1"/>
    <xf numFmtId="0" fontId="10" fillId="0" borderId="3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4" fontId="0" fillId="4" borderId="29" xfId="1" applyFont="1" applyFill="1" applyBorder="1"/>
    <xf numFmtId="44" fontId="0" fillId="0" borderId="29" xfId="1" applyFont="1" applyBorder="1"/>
    <xf numFmtId="44" fontId="0" fillId="4" borderId="26" xfId="1" applyFont="1" applyFill="1" applyBorder="1"/>
    <xf numFmtId="44" fontId="0" fillId="3" borderId="13" xfId="1" applyFont="1" applyFill="1" applyBorder="1"/>
    <xf numFmtId="44" fontId="0" fillId="0" borderId="13" xfId="1" applyFont="1" applyBorder="1"/>
    <xf numFmtId="44" fontId="0" fillId="3" borderId="2" xfId="1" applyFont="1" applyFill="1" applyBorder="1"/>
    <xf numFmtId="0" fontId="4" fillId="0" borderId="31" xfId="0" applyFont="1" applyBorder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6657-D284-5043-B16E-4CA83544DDE3}">
  <dimension ref="A2:DA162"/>
  <sheetViews>
    <sheetView showGridLines="0" tabSelected="1" zoomScale="63" workbookViewId="0">
      <selection activeCell="M49" sqref="M49"/>
    </sheetView>
  </sheetViews>
  <sheetFormatPr baseColWidth="10" defaultRowHeight="16" x14ac:dyDescent="0.2"/>
  <cols>
    <col min="1" max="1" width="7.6640625" customWidth="1"/>
    <col min="2" max="2" width="15.33203125" customWidth="1"/>
    <col min="3" max="3" width="13.6640625" customWidth="1"/>
    <col min="4" max="4" width="13.1640625" customWidth="1"/>
    <col min="5" max="5" width="13.6640625" customWidth="1"/>
    <col min="6" max="6" width="14.83203125" customWidth="1"/>
    <col min="7" max="7" width="14.5" customWidth="1"/>
    <col min="8" max="8" width="16.33203125" customWidth="1"/>
    <col min="9" max="9" width="15" customWidth="1"/>
    <col min="10" max="10" width="17.83203125" customWidth="1"/>
    <col min="11" max="11" width="16.1640625" customWidth="1"/>
    <col min="12" max="12" width="10.6640625" customWidth="1"/>
    <col min="13" max="13" width="13" customWidth="1"/>
    <col min="14" max="14" width="9.1640625" customWidth="1"/>
    <col min="15" max="15" width="14.5" customWidth="1"/>
    <col min="16" max="16" width="14.1640625" customWidth="1"/>
    <col min="17" max="17" width="15.33203125" customWidth="1"/>
    <col min="18" max="18" width="11.33203125" customWidth="1"/>
    <col min="20" max="20" width="19.83203125" customWidth="1"/>
    <col min="21" max="21" width="11.33203125" customWidth="1"/>
    <col min="22" max="22" width="15.33203125" customWidth="1"/>
  </cols>
  <sheetData>
    <row r="2" spans="2:22" ht="24" x14ac:dyDescent="0.3">
      <c r="B2" s="91" t="s">
        <v>45</v>
      </c>
      <c r="C2" s="91"/>
      <c r="D2" s="91"/>
      <c r="E2" s="91"/>
      <c r="I2" s="101" t="s">
        <v>14</v>
      </c>
      <c r="J2" s="101"/>
      <c r="L2" s="97" t="s">
        <v>79</v>
      </c>
      <c r="M2" s="93"/>
    </row>
    <row r="3" spans="2:22" ht="25" thickBot="1" x14ac:dyDescent="0.35">
      <c r="C3" s="35" t="s">
        <v>43</v>
      </c>
      <c r="D3" s="36" t="s">
        <v>28</v>
      </c>
      <c r="I3" s="25" t="s">
        <v>39</v>
      </c>
      <c r="J3" s="26" t="s">
        <v>30</v>
      </c>
      <c r="L3" s="65" t="s">
        <v>83</v>
      </c>
      <c r="M3" s="66" t="s">
        <v>84</v>
      </c>
      <c r="T3" s="90" t="s">
        <v>0</v>
      </c>
      <c r="U3" s="90"/>
      <c r="V3" s="90"/>
    </row>
    <row r="4" spans="2:22" ht="25" thickBot="1" x14ac:dyDescent="0.35">
      <c r="C4" s="10" t="s">
        <v>34</v>
      </c>
      <c r="D4" s="11">
        <v>357000</v>
      </c>
      <c r="I4" s="27" t="s">
        <v>15</v>
      </c>
      <c r="J4" s="84">
        <v>50000</v>
      </c>
      <c r="L4" s="67">
        <v>2100</v>
      </c>
      <c r="M4" s="84">
        <f xml:space="preserve"> L4* 200.24</f>
        <v>420504</v>
      </c>
      <c r="N4" s="91" t="s">
        <v>44</v>
      </c>
      <c r="O4" s="91"/>
      <c r="P4" s="91"/>
      <c r="Q4" s="91"/>
      <c r="T4" s="56" t="s">
        <v>40</v>
      </c>
      <c r="U4" s="57" t="s">
        <v>28</v>
      </c>
      <c r="V4" s="59" t="s">
        <v>75</v>
      </c>
    </row>
    <row r="5" spans="2:22" x14ac:dyDescent="0.2">
      <c r="C5" s="12" t="s">
        <v>35</v>
      </c>
      <c r="D5" s="39">
        <v>235656.95</v>
      </c>
      <c r="I5" s="9" t="s">
        <v>16</v>
      </c>
      <c r="J5" s="85">
        <v>1300000</v>
      </c>
      <c r="O5" s="50" t="s">
        <v>41</v>
      </c>
      <c r="P5" s="51" t="s">
        <v>30</v>
      </c>
      <c r="T5" s="41" t="s">
        <v>6</v>
      </c>
      <c r="U5" s="42">
        <v>0.02</v>
      </c>
      <c r="V5" s="60" t="s">
        <v>50</v>
      </c>
    </row>
    <row r="6" spans="2:22" x14ac:dyDescent="0.2">
      <c r="C6" s="10" t="s">
        <v>49</v>
      </c>
      <c r="D6" s="11">
        <v>240</v>
      </c>
      <c r="I6" s="27" t="s">
        <v>63</v>
      </c>
      <c r="J6" s="84">
        <v>100000</v>
      </c>
      <c r="O6" s="48" t="s">
        <v>42</v>
      </c>
      <c r="P6" s="49"/>
      <c r="T6" s="10" t="s">
        <v>2</v>
      </c>
      <c r="U6" s="43">
        <v>0.01</v>
      </c>
      <c r="V6" s="61">
        <f xml:space="preserve"> (1+LowCash_R) / (1+Inflation_R) -1</f>
        <v>-9.8039215686274161E-3</v>
      </c>
    </row>
    <row r="7" spans="2:22" x14ac:dyDescent="0.2">
      <c r="C7" s="12" t="s">
        <v>37</v>
      </c>
      <c r="D7" s="13">
        <v>2.9899999999999999E-2</v>
      </c>
      <c r="I7" s="9" t="s">
        <v>19</v>
      </c>
      <c r="J7" s="85">
        <v>15000</v>
      </c>
      <c r="O7" s="28" t="s">
        <v>21</v>
      </c>
      <c r="P7" s="29"/>
      <c r="T7" s="41" t="s">
        <v>3</v>
      </c>
      <c r="U7" s="42">
        <v>0.04</v>
      </c>
      <c r="V7" s="62">
        <f xml:space="preserve"> (1+ HighCash_R) / (1+Inflation_R) -1</f>
        <v>1.9607843137254832E-2</v>
      </c>
    </row>
    <row r="8" spans="2:22" x14ac:dyDescent="0.2">
      <c r="C8" s="10" t="s">
        <v>38</v>
      </c>
      <c r="D8" s="33">
        <f>PMT(R_Mortgage/12,RemainingT,-Original_Mortgage) +ChangeInPeriod</f>
        <v>1978.1267730945153</v>
      </c>
      <c r="I8" s="27" t="s">
        <v>17</v>
      </c>
      <c r="J8" s="84">
        <v>2000000</v>
      </c>
      <c r="K8" s="98" t="s">
        <v>85</v>
      </c>
      <c r="L8" s="97"/>
      <c r="M8" s="97"/>
      <c r="N8" s="97"/>
      <c r="T8" s="10" t="s">
        <v>4</v>
      </c>
      <c r="U8" s="43">
        <v>0.04</v>
      </c>
      <c r="V8" s="61">
        <f>(1+R_401k) / (1+Inflation_R) -1</f>
        <v>1.9607843137254832E-2</v>
      </c>
    </row>
    <row r="9" spans="2:22" ht="17" thickBot="1" x14ac:dyDescent="0.25">
      <c r="C9" s="8" t="s">
        <v>36</v>
      </c>
      <c r="D9" s="5">
        <f>ROUNDUP( NPER(R_Mortgage/12,-(PMT_Monthly), OutstandingC_Mort),0)</f>
        <v>142</v>
      </c>
      <c r="I9" s="9" t="s">
        <v>18</v>
      </c>
      <c r="J9" s="85">
        <v>15000</v>
      </c>
      <c r="L9" s="65" t="s">
        <v>83</v>
      </c>
      <c r="M9" s="66" t="s">
        <v>84</v>
      </c>
      <c r="T9" s="41" t="s">
        <v>64</v>
      </c>
      <c r="U9" s="42">
        <v>0.06</v>
      </c>
      <c r="V9" s="62">
        <f xml:space="preserve"> (1 +R_stockbond) / (1+Inflation_R) -1</f>
        <v>3.9215686274509887E-2</v>
      </c>
    </row>
    <row r="10" spans="2:22" ht="22" x14ac:dyDescent="0.3">
      <c r="B10" s="95" t="s">
        <v>76</v>
      </c>
      <c r="C10" s="96"/>
      <c r="D10" s="96"/>
      <c r="E10" s="96"/>
      <c r="I10" s="40" t="s">
        <v>29</v>
      </c>
      <c r="J10" s="86">
        <v>6000</v>
      </c>
      <c r="L10" s="67">
        <f xml:space="preserve"> (L4 - ROUNDUP( (( RetirmentAge- U22 ) * 12 ) /U33, 0 ) * U34) + ROUNDUP(( RetirmentAge- U22 )  /U33, 0 ) *U36</f>
        <v>1300</v>
      </c>
      <c r="M10" s="84">
        <f>L10*200.74</f>
        <v>260962</v>
      </c>
      <c r="N10" s="92" t="s">
        <v>23</v>
      </c>
      <c r="O10" s="92"/>
      <c r="P10" s="92"/>
      <c r="Q10" s="92"/>
      <c r="T10" s="10" t="s">
        <v>5</v>
      </c>
      <c r="U10" s="43">
        <v>0.03</v>
      </c>
      <c r="V10" s="61">
        <f xml:space="preserve"> (1+R_529)/(1+Inflation_R) - 1</f>
        <v>9.8039215686274161E-3</v>
      </c>
    </row>
    <row r="11" spans="2:22" x14ac:dyDescent="0.2">
      <c r="C11" s="99" t="s">
        <v>77</v>
      </c>
      <c r="D11" s="99"/>
      <c r="O11" s="46" t="s">
        <v>41</v>
      </c>
      <c r="P11" s="47" t="s">
        <v>30</v>
      </c>
      <c r="T11" s="41" t="s">
        <v>1</v>
      </c>
      <c r="U11" s="42">
        <v>0.04</v>
      </c>
      <c r="V11" s="62">
        <f xml:space="preserve"> (1+ R_IRA) / (1+Inflation_R) - 1</f>
        <v>1.9607843137254832E-2</v>
      </c>
    </row>
    <row r="12" spans="2:22" x14ac:dyDescent="0.2">
      <c r="C12" s="93">
        <v>0</v>
      </c>
      <c r="D12" s="93"/>
      <c r="O12" s="48" t="s">
        <v>42</v>
      </c>
      <c r="P12" s="49"/>
      <c r="T12" s="10" t="s">
        <v>9</v>
      </c>
      <c r="U12" s="43">
        <v>61</v>
      </c>
      <c r="V12" s="61"/>
    </row>
    <row r="13" spans="2:22" ht="22" x14ac:dyDescent="0.3">
      <c r="B13" s="100" t="s">
        <v>46</v>
      </c>
      <c r="C13" s="100"/>
      <c r="D13" s="100"/>
      <c r="E13" s="100"/>
      <c r="H13" s="100" t="s">
        <v>22</v>
      </c>
      <c r="I13" s="92"/>
      <c r="J13" s="92"/>
      <c r="K13" s="92"/>
      <c r="O13" s="28" t="s">
        <v>21</v>
      </c>
      <c r="P13" s="29"/>
      <c r="T13" s="41" t="s">
        <v>7</v>
      </c>
      <c r="U13" s="42">
        <v>250000</v>
      </c>
      <c r="V13" s="62"/>
    </row>
    <row r="14" spans="2:22" x14ac:dyDescent="0.2">
      <c r="C14" s="35" t="s">
        <v>43</v>
      </c>
      <c r="D14" s="36" t="s">
        <v>28</v>
      </c>
      <c r="I14" s="25" t="s">
        <v>39</v>
      </c>
      <c r="J14" s="26" t="s">
        <v>30</v>
      </c>
      <c r="T14" s="10" t="s">
        <v>8</v>
      </c>
      <c r="U14" s="43">
        <v>95</v>
      </c>
      <c r="V14" s="61"/>
    </row>
    <row r="15" spans="2:22" x14ac:dyDescent="0.2">
      <c r="C15" s="37" t="s">
        <v>47</v>
      </c>
      <c r="D15" s="33">
        <f>PV( R_Mortgage/12, D9 - (RetirmentAge-U22)*12, -(PMT_Monthly))</f>
        <v>146544.3653472109</v>
      </c>
      <c r="I15" s="27" t="s">
        <v>15</v>
      </c>
      <c r="J15" s="84">
        <f xml:space="preserve"> J4 * (1+V6)^U23</f>
        <v>47596.609190822688</v>
      </c>
      <c r="T15" s="41" t="s">
        <v>11</v>
      </c>
      <c r="U15" s="42">
        <v>61</v>
      </c>
      <c r="V15" s="62"/>
    </row>
    <row r="16" spans="2:22" x14ac:dyDescent="0.2">
      <c r="C16" s="2" t="s">
        <v>36</v>
      </c>
      <c r="D16" s="38">
        <f xml:space="preserve"> D9 - (RetirmentAge - U22)*12</f>
        <v>82</v>
      </c>
      <c r="I16" s="9" t="s">
        <v>16</v>
      </c>
      <c r="J16" s="85">
        <f>(J5*(1+V7)^U23)+IF(L10&gt;=0,(M4-M10)*(1-U32)*(1+V35)^(U23-2))+IF(L10&lt;0,(M4*((1-U32)*(1+V35)^(U23-1))))</f>
        <v>1555758.4487506736</v>
      </c>
      <c r="T16" s="10" t="s">
        <v>12</v>
      </c>
      <c r="U16" s="43">
        <v>60000</v>
      </c>
      <c r="V16" s="61"/>
    </row>
    <row r="17" spans="2:22" ht="24" x14ac:dyDescent="0.3">
      <c r="B17" s="1" t="s">
        <v>27</v>
      </c>
      <c r="I17" s="27" t="s">
        <v>63</v>
      </c>
      <c r="J17" s="84">
        <f xml:space="preserve"> J6 * (1+V9)^U23</f>
        <v>121207.21361347556</v>
      </c>
      <c r="N17" s="1" t="s">
        <v>26</v>
      </c>
      <c r="T17" s="41" t="s">
        <v>10</v>
      </c>
      <c r="U17" s="42">
        <v>250000</v>
      </c>
      <c r="V17" s="62"/>
    </row>
    <row r="18" spans="2:22" x14ac:dyDescent="0.2">
      <c r="C18" s="35" t="s">
        <v>43</v>
      </c>
      <c r="D18" s="36" t="s">
        <v>28</v>
      </c>
      <c r="I18" s="9" t="s">
        <v>19</v>
      </c>
      <c r="J18" s="85">
        <f xml:space="preserve"> J7 *(1+R_IRA)^U23</f>
        <v>18249.793536000005</v>
      </c>
      <c r="T18" s="10" t="s">
        <v>67</v>
      </c>
      <c r="U18" s="43">
        <v>65</v>
      </c>
      <c r="V18" s="61"/>
    </row>
    <row r="19" spans="2:22" x14ac:dyDescent="0.2">
      <c r="C19" s="37" t="s">
        <v>52</v>
      </c>
      <c r="D19" s="33">
        <f>D15</f>
        <v>146544.3653472109</v>
      </c>
      <c r="I19" s="27" t="s">
        <v>17</v>
      </c>
      <c r="J19" s="84">
        <f xml:space="preserve"> J8*(1+V8)^U23</f>
        <v>2203920.0371453385</v>
      </c>
      <c r="T19" s="41" t="s">
        <v>13</v>
      </c>
      <c r="U19" s="42">
        <v>90000</v>
      </c>
      <c r="V19" s="62"/>
    </row>
    <row r="20" spans="2:22" x14ac:dyDescent="0.2">
      <c r="C20" s="53" t="s">
        <v>36</v>
      </c>
      <c r="D20" s="54">
        <f>D16</f>
        <v>82</v>
      </c>
      <c r="I20" s="9" t="s">
        <v>18</v>
      </c>
      <c r="J20" s="85">
        <f xml:space="preserve"> J9 *(1+R_IRA)^U23</f>
        <v>18249.793536000005</v>
      </c>
      <c r="T20" s="10" t="s">
        <v>32</v>
      </c>
      <c r="U20" s="43">
        <v>0.15</v>
      </c>
      <c r="V20" s="61"/>
    </row>
    <row r="21" spans="2:22" x14ac:dyDescent="0.2">
      <c r="C21" s="4" t="s">
        <v>53</v>
      </c>
      <c r="D21" s="5">
        <f xml:space="preserve"> U22 + (D9/12)</f>
        <v>67.833333333333329</v>
      </c>
      <c r="I21" s="27" t="s">
        <v>29</v>
      </c>
      <c r="J21" s="84">
        <f xml:space="preserve"> J10*(1+V10)^U23</f>
        <v>6299.9414767833878</v>
      </c>
      <c r="T21" s="41" t="s">
        <v>33</v>
      </c>
      <c r="U21" s="42">
        <v>0.2</v>
      </c>
      <c r="V21" s="62"/>
    </row>
    <row r="22" spans="2:22" x14ac:dyDescent="0.2">
      <c r="T22" s="10" t="s">
        <v>48</v>
      </c>
      <c r="U22" s="43">
        <v>56</v>
      </c>
      <c r="V22" s="61"/>
    </row>
    <row r="23" spans="2:22" x14ac:dyDescent="0.2">
      <c r="T23" s="10" t="s">
        <v>51</v>
      </c>
      <c r="U23" s="14">
        <f xml:space="preserve"> RetirmentAge - U22</f>
        <v>5</v>
      </c>
      <c r="V23" s="63"/>
    </row>
    <row r="24" spans="2:22" x14ac:dyDescent="0.2">
      <c r="T24" s="12" t="s">
        <v>66</v>
      </c>
      <c r="U24" s="15">
        <v>61</v>
      </c>
      <c r="V24" s="64"/>
    </row>
    <row r="25" spans="2:22" ht="22" x14ac:dyDescent="0.3">
      <c r="F25" s="30"/>
      <c r="I25" s="92" t="s">
        <v>87</v>
      </c>
      <c r="J25" s="93"/>
      <c r="K25" s="93"/>
      <c r="T25" s="10" t="s">
        <v>13</v>
      </c>
      <c r="U25" s="14">
        <v>120300</v>
      </c>
      <c r="V25" s="63"/>
    </row>
    <row r="26" spans="2:22" x14ac:dyDescent="0.2">
      <c r="I26" s="35" t="s">
        <v>88</v>
      </c>
      <c r="J26" s="68" t="s">
        <v>89</v>
      </c>
      <c r="K26" s="36" t="s">
        <v>90</v>
      </c>
      <c r="T26" s="12" t="s">
        <v>68</v>
      </c>
      <c r="U26" s="15">
        <v>0.04</v>
      </c>
      <c r="V26" s="64">
        <f xml:space="preserve"> (1+U26) / (1+Inflation_R) -1</f>
        <v>1.9607843137254832E-2</v>
      </c>
    </row>
    <row r="27" spans="2:22" x14ac:dyDescent="0.2">
      <c r="I27" s="37">
        <f>J16 +J27</f>
        <v>1555758.4487506736</v>
      </c>
      <c r="J27" s="87" t="b">
        <f>IF(RetirmentAge=Take401, Retire401k*(1-U29))</f>
        <v>0</v>
      </c>
      <c r="K27" s="11" t="s">
        <v>91</v>
      </c>
      <c r="T27" s="10" t="s">
        <v>69</v>
      </c>
      <c r="U27" s="14">
        <v>61</v>
      </c>
      <c r="V27" s="63"/>
    </row>
    <row r="28" spans="2:22" x14ac:dyDescent="0.2">
      <c r="I28" s="53">
        <f>I27+J28</f>
        <v>1555758.4487506736</v>
      </c>
      <c r="J28" s="88" t="b">
        <f>IF(RetirmentAge=TIRATAKE, TRADE.retire*(1-U31))</f>
        <v>0</v>
      </c>
      <c r="K28" s="13" t="s">
        <v>92</v>
      </c>
      <c r="T28" s="12" t="s">
        <v>70</v>
      </c>
      <c r="U28" s="15">
        <v>66</v>
      </c>
      <c r="V28" s="64"/>
    </row>
    <row r="29" spans="2:22" x14ac:dyDescent="0.2">
      <c r="I29" s="37">
        <f>I28+J29</f>
        <v>1574008.2422866735</v>
      </c>
      <c r="J29" s="87">
        <f>IF(RetirmentAge=ROTHTAKE, ROTH.retire)</f>
        <v>18249.793536000005</v>
      </c>
      <c r="K29" s="11" t="s">
        <v>93</v>
      </c>
      <c r="T29" s="10" t="s">
        <v>72</v>
      </c>
      <c r="U29" s="14">
        <v>0.25</v>
      </c>
      <c r="V29" s="63"/>
    </row>
    <row r="30" spans="2:22" x14ac:dyDescent="0.2">
      <c r="I30" s="2">
        <f>I29+J30</f>
        <v>1644008.2422866735</v>
      </c>
      <c r="J30" s="89">
        <v>70000</v>
      </c>
      <c r="K30" s="24" t="s">
        <v>94</v>
      </c>
      <c r="T30" s="12" t="s">
        <v>71</v>
      </c>
      <c r="U30" s="15">
        <v>0.1</v>
      </c>
      <c r="V30" s="64"/>
    </row>
    <row r="31" spans="2:22" x14ac:dyDescent="0.2">
      <c r="T31" s="10" t="s">
        <v>73</v>
      </c>
      <c r="U31" s="14">
        <v>0.1</v>
      </c>
      <c r="V31" s="63"/>
    </row>
    <row r="32" spans="2:22" x14ac:dyDescent="0.2">
      <c r="T32" s="7" t="s">
        <v>74</v>
      </c>
      <c r="U32" s="3">
        <v>0.25</v>
      </c>
      <c r="V32" s="58"/>
    </row>
    <row r="33" spans="1:28" ht="24" x14ac:dyDescent="0.3">
      <c r="A33" s="108" t="s">
        <v>24</v>
      </c>
      <c r="B33" s="108"/>
      <c r="C33" s="108"/>
      <c r="D33" s="108"/>
      <c r="E33" s="108"/>
      <c r="F33" s="108"/>
      <c r="G33" s="108"/>
      <c r="H33" s="108"/>
      <c r="I33" s="94" t="s">
        <v>25</v>
      </c>
      <c r="J33" s="94"/>
      <c r="K33" s="94"/>
      <c r="L33" s="94"/>
      <c r="M33" s="94"/>
      <c r="N33" s="94"/>
      <c r="O33" s="94"/>
      <c r="P33" s="94"/>
      <c r="Q33" s="94"/>
      <c r="T33" s="55" t="s">
        <v>78</v>
      </c>
      <c r="U33" s="16">
        <v>3</v>
      </c>
      <c r="Z33" s="93"/>
      <c r="AA33" s="93"/>
      <c r="AB33" s="93"/>
    </row>
    <row r="34" spans="1:28" x14ac:dyDescent="0.2">
      <c r="A34" s="35" t="s">
        <v>54</v>
      </c>
      <c r="B34" s="68" t="s">
        <v>55</v>
      </c>
      <c r="C34" s="68" t="s">
        <v>56</v>
      </c>
      <c r="D34" s="68" t="s">
        <v>57</v>
      </c>
      <c r="E34" s="68" t="s">
        <v>95</v>
      </c>
      <c r="F34" s="68" t="s">
        <v>58</v>
      </c>
      <c r="G34" s="68" t="s">
        <v>65</v>
      </c>
      <c r="H34" s="68" t="s">
        <v>31</v>
      </c>
      <c r="I34" s="70" t="s">
        <v>59</v>
      </c>
      <c r="J34" s="71" t="s">
        <v>62</v>
      </c>
      <c r="K34" s="71" t="s">
        <v>17</v>
      </c>
      <c r="L34" s="71" t="s">
        <v>60</v>
      </c>
      <c r="M34" s="71" t="s">
        <v>61</v>
      </c>
      <c r="N34" s="71" t="s">
        <v>63</v>
      </c>
      <c r="O34" s="71" t="s">
        <v>20</v>
      </c>
      <c r="P34" s="71" t="s">
        <v>96</v>
      </c>
      <c r="Q34" s="72" t="s">
        <v>31</v>
      </c>
      <c r="T34" s="52" t="s">
        <v>80</v>
      </c>
      <c r="U34">
        <v>100</v>
      </c>
    </row>
    <row r="35" spans="1:28" x14ac:dyDescent="0.2">
      <c r="A35" s="37" cm="1">
        <f t="array" ref="A35:A69">_xlfn.SEQUENCE(DeathAge-RetirmentAge+1,1,RetirmentAge,1)</f>
        <v>61</v>
      </c>
      <c r="B35" s="105">
        <f t="shared" ref="B35:B69" si="0">J35 * HighCash_R</f>
        <v>65760.329691466948</v>
      </c>
      <c r="C35" s="105">
        <f>IF(AND(A35&gt;=$U$24, A35&lt;=$U$14), $U$25, "")</f>
        <v>120300</v>
      </c>
      <c r="D35" s="105">
        <f>IF(AND(A35&gt;=$U$15, A35&lt;=$U$14), $U$16, "")</f>
        <v>60000</v>
      </c>
      <c r="E35" s="105">
        <f xml:space="preserve"> B35+C35+D35</f>
        <v>246060.32969146693</v>
      </c>
      <c r="F35" s="105">
        <f t="shared" ref="F35:F69" si="1">B35*(1-HighCashRATE_R)+C35*(1-RetiredITAX)+D35*(1-RetiredITAX)</f>
        <v>226740.91146222252</v>
      </c>
      <c r="G35" s="105">
        <f t="shared" ref="G35:G69" si="2" xml:space="preserve"> LIFESTYLEPV - F35</f>
        <v>23259.088537777483</v>
      </c>
      <c r="H35" s="105">
        <f t="shared" ref="H35:H69" si="3">LIFESTYLEPV</f>
        <v>250000</v>
      </c>
      <c r="I35" s="73" cm="1">
        <f t="array" ref="I35:I69" xml:space="preserve"> _xlfn.SEQUENCE(DeathAge-RetirmentAge+1,1,RetirmentAge,1)</f>
        <v>61</v>
      </c>
      <c r="J35" s="102">
        <f>IF(A35=$U$12, $I$30, "")</f>
        <v>1644008.2422866735</v>
      </c>
      <c r="K35" s="102">
        <f>IF( A35 &lt;Take401, Retire401k * (1 + Real401.r)^( A35 - RetirmentAge ),0)</f>
        <v>2203920.0371453385</v>
      </c>
      <c r="L35" s="102">
        <f t="shared" ref="L35:L69" si="4">IF( A35 &lt;ROTHTAKE, ROTH.retire * (1 + IRA.r)^( A35 - RetirmentAge ),  0)</f>
        <v>0</v>
      </c>
      <c r="M35" s="102">
        <f t="shared" ref="M35:M69" si="5">IF( A35 &lt;TIRATAKE, TRADE.retire* (1 + IRA.r)^( A35 - RetirmentAge ),  0)</f>
        <v>18249.793536000005</v>
      </c>
      <c r="N35" s="74">
        <f t="shared" ref="N35:N69" si="6">IF(A35 &lt; RetirmentAge, 0, IF( A35 &gt; SellAge, 0,RetiredStocks*(1+RealStock.r)^( A35 - RetirmentAge) ))</f>
        <v>121207.21361347556</v>
      </c>
      <c r="O35" s="75">
        <f t="shared" ref="O35:O69" si="7" xml:space="preserve"> IF( RetirementAgeRemaingPeriods - (A35 - RetirmentAge)*12 &gt; 0,  Original_Mortgage - PV(R_Mortgage/12, RetirementAgeRemaingPeriods - (A35 - RetirmentAge)*12,  -PMT_Monthly  ),   Original_Mortgage )</f>
        <v>210455.6346527891</v>
      </c>
      <c r="P35" s="102"/>
      <c r="Q35" s="76">
        <f>J35+K36+L35+M35+N35+O35</f>
        <v>4241055.0396096753</v>
      </c>
      <c r="T35" s="55" t="s">
        <v>81</v>
      </c>
      <c r="U35" s="16">
        <v>0.03</v>
      </c>
      <c r="V35">
        <f>(1+U35)/(1+Inflation_R) -1</f>
        <v>9.8039215686274161E-3</v>
      </c>
    </row>
    <row r="36" spans="1:28" x14ac:dyDescent="0.2">
      <c r="A36" s="53">
        <v>62</v>
      </c>
      <c r="B36" s="106">
        <f t="shared" si="0"/>
        <v>63558.790343093955</v>
      </c>
      <c r="C36" s="106">
        <f t="shared" ref="C36:C69" si="8">IF(AND(A36&gt;=$U$24, A36&lt;=$U$14), C35*(1-Inflation_R), "")</f>
        <v>117894</v>
      </c>
      <c r="D36" s="106">
        <f t="shared" ref="D36:D69" si="9">IF(AND(A36&gt;=$U$15, A36&lt;=$U$14), D35*(1-Inflation_R), "")</f>
        <v>58800</v>
      </c>
      <c r="E36" s="106">
        <f t="shared" ref="E36:E70" si="10" xml:space="preserve"> B36+C36+D36</f>
        <v>240252.79034309395</v>
      </c>
      <c r="F36" s="106">
        <f t="shared" si="1"/>
        <v>221337.13955205289</v>
      </c>
      <c r="G36" s="106">
        <f t="shared" si="2"/>
        <v>28662.860447947111</v>
      </c>
      <c r="H36" s="106">
        <f t="shared" si="3"/>
        <v>250000</v>
      </c>
      <c r="I36" s="77">
        <v>62</v>
      </c>
      <c r="J36" s="103">
        <f t="shared" ref="J36:J69" si="11">IF(A36 &gt;RetirmentAge,( J35 - G35)/(1 + Inflation_R)  + IF(A36 = Take401, K36, 0)   + IF(A36 = ROTHTAKE, L36, 0)  + IF(A36 = TIRATAKE, M36, 0)   + IF(A36 =SellAge, N36, 0)    - IF(ISNUMBER(P36), P36, 0),   "")</f>
        <v>1588969.7585773489</v>
      </c>
      <c r="K36" s="103">
        <f t="shared" ref="K36:K69" si="12">IF( A36 &lt;Take401, Retire401k * (1 + Real401.r)^( A36 - RetirmentAge ),  IF(A36 = Take401, Retire401k * (1 + Real401.r) ^ (Take401 - RetirmentAge),0))</f>
        <v>2247134.1555207372</v>
      </c>
      <c r="L36" s="103">
        <f t="shared" si="4"/>
        <v>0</v>
      </c>
      <c r="M36" s="103">
        <f t="shared" si="5"/>
        <v>18607.63262494118</v>
      </c>
      <c r="N36" s="78">
        <f t="shared" si="6"/>
        <v>125960.43767674912</v>
      </c>
      <c r="O36" s="79">
        <f t="shared" si="7"/>
        <v>230078.95062514429</v>
      </c>
      <c r="P36" s="103"/>
      <c r="Q36" s="80">
        <f t="shared" ref="Q36:Q69" si="13">J36+K37+L36+M36+N36+O36</f>
        <v>4254812.389054738</v>
      </c>
      <c r="T36" s="52" t="s">
        <v>82</v>
      </c>
      <c r="U36">
        <v>600</v>
      </c>
    </row>
    <row r="37" spans="1:28" x14ac:dyDescent="0.2">
      <c r="A37" s="37">
        <v>63</v>
      </c>
      <c r="B37" s="105">
        <f t="shared" si="0"/>
        <v>61188.505808996153</v>
      </c>
      <c r="C37" s="105">
        <f t="shared" si="8"/>
        <v>115536.12</v>
      </c>
      <c r="D37" s="105">
        <f t="shared" si="9"/>
        <v>57624</v>
      </c>
      <c r="E37" s="105">
        <f t="shared" si="10"/>
        <v>234348.62580899615</v>
      </c>
      <c r="F37" s="105">
        <f t="shared" si="1"/>
        <v>215832.83918529036</v>
      </c>
      <c r="G37" s="105">
        <f t="shared" si="2"/>
        <v>34167.160814709641</v>
      </c>
      <c r="H37" s="105">
        <f t="shared" si="3"/>
        <v>250000</v>
      </c>
      <c r="I37" s="73">
        <v>63</v>
      </c>
      <c r="J37" s="102">
        <f>IF(A37 &gt;RetirmentAge,( J36 - G36)/(1 + Inflation_R)  + IF(A37 = Take401, K37, 0)   + IF(A37 = ROTHTAKE, L37, 0)  + IF(A37 = TIRATAKE, M37, 0)   + IF(A37 =SellAge, N37, 0)    - IF(ISNUMBER(#REF!),#REF!, 0),   "")</f>
        <v>1529712.6452249037</v>
      </c>
      <c r="K37" s="102">
        <f t="shared" si="12"/>
        <v>2291195.6095505552</v>
      </c>
      <c r="L37" s="102">
        <f t="shared" si="4"/>
        <v>0</v>
      </c>
      <c r="M37" s="102">
        <f t="shared" si="5"/>
        <v>18972.48816660669</v>
      </c>
      <c r="N37" s="74">
        <f t="shared" si="6"/>
        <v>130900.06268368047</v>
      </c>
      <c r="O37" s="75">
        <f t="shared" si="7"/>
        <v>250297.111647474</v>
      </c>
      <c r="P37" s="103"/>
      <c r="Q37" s="76">
        <f t="shared" si="13"/>
        <v>4266003.3213820541</v>
      </c>
      <c r="T37" s="55" t="s">
        <v>86</v>
      </c>
      <c r="U37" s="16">
        <v>70</v>
      </c>
    </row>
    <row r="38" spans="1:28" x14ac:dyDescent="0.2">
      <c r="A38" s="53">
        <v>64</v>
      </c>
      <c r="B38" s="106">
        <f t="shared" si="0"/>
        <v>58648.842525889959</v>
      </c>
      <c r="C38" s="106">
        <f t="shared" si="8"/>
        <v>113225.3976</v>
      </c>
      <c r="D38" s="106">
        <f t="shared" si="9"/>
        <v>56471.519999999997</v>
      </c>
      <c r="E38" s="106">
        <f t="shared" si="10"/>
        <v>228345.76012588994</v>
      </c>
      <c r="F38" s="106">
        <f t="shared" si="1"/>
        <v>210226.09106146073</v>
      </c>
      <c r="G38" s="106">
        <f t="shared" si="2"/>
        <v>39773.908938539273</v>
      </c>
      <c r="H38" s="106">
        <f t="shared" si="3"/>
        <v>250000</v>
      </c>
      <c r="I38" s="77">
        <v>64</v>
      </c>
      <c r="J38" s="103">
        <f>IF(A38 &gt;RetirmentAge,( J37 - G37)/(1 + Inflation_R)  + IF(A38 = Take401, K38, 0)   + IF(A38 = ROTHTAKE, L38, 0)  + IF(A38 = TIRATAKE, M38, 0)   + IF(A38 =SellAge, N38, 0)    - IF(ISNUMBER(P37), P37, 0),   "")</f>
        <v>1466221.0631472489</v>
      </c>
      <c r="K38" s="103">
        <f t="shared" si="12"/>
        <v>2336121.0136593897</v>
      </c>
      <c r="L38" s="103">
        <f t="shared" si="4"/>
        <v>0</v>
      </c>
      <c r="M38" s="103">
        <f t="shared" si="5"/>
        <v>19344.497738500941</v>
      </c>
      <c r="N38" s="78">
        <f t="shared" si="6"/>
        <v>136033.39847519738</v>
      </c>
      <c r="O38" s="79">
        <f t="shared" si="7"/>
        <v>271128.14936305326</v>
      </c>
      <c r="P38" s="109"/>
      <c r="Q38" s="80">
        <f t="shared" si="13"/>
        <v>4274654.4167688675</v>
      </c>
    </row>
    <row r="39" spans="1:28" x14ac:dyDescent="0.2">
      <c r="A39" s="37">
        <v>65</v>
      </c>
      <c r="B39" s="105">
        <f t="shared" si="0"/>
        <v>151216.19640841079</v>
      </c>
      <c r="C39" s="105">
        <f t="shared" si="8"/>
        <v>110960.889648</v>
      </c>
      <c r="D39" s="105">
        <f t="shared" si="9"/>
        <v>55342.089599999999</v>
      </c>
      <c r="E39" s="105">
        <f t="shared" si="10"/>
        <v>317519.17565641081</v>
      </c>
      <c r="F39" s="105">
        <f t="shared" si="1"/>
        <v>297923.85427262232</v>
      </c>
      <c r="G39" s="105">
        <f t="shared" si="2"/>
        <v>-47923.854272622324</v>
      </c>
      <c r="H39" s="105">
        <f t="shared" si="3"/>
        <v>250000</v>
      </c>
      <c r="I39" s="73">
        <v>65</v>
      </c>
      <c r="J39" s="102">
        <f t="shared" si="11"/>
        <v>3780404.9102102695</v>
      </c>
      <c r="K39" s="102">
        <f t="shared" si="12"/>
        <v>2381927.3080448676</v>
      </c>
      <c r="L39" s="102">
        <f t="shared" si="4"/>
        <v>0</v>
      </c>
      <c r="M39" s="102">
        <f t="shared" si="5"/>
        <v>19723.801615726446</v>
      </c>
      <c r="N39" s="74">
        <f t="shared" si="6"/>
        <v>141368.0415526561</v>
      </c>
      <c r="O39" s="75">
        <f t="shared" si="7"/>
        <v>292590.64201155049</v>
      </c>
      <c r="P39" s="102"/>
      <c r="Q39" s="76">
        <f t="shared" si="13"/>
        <v>4234087.3953902023</v>
      </c>
    </row>
    <row r="40" spans="1:28" x14ac:dyDescent="0.2">
      <c r="A40" s="53">
        <v>66</v>
      </c>
      <c r="B40" s="106">
        <f t="shared" si="0"/>
        <v>150130.53978364283</v>
      </c>
      <c r="C40" s="106">
        <f t="shared" si="8"/>
        <v>108741.67185504</v>
      </c>
      <c r="D40" s="106">
        <f t="shared" si="9"/>
        <v>54235.247808</v>
      </c>
      <c r="E40" s="106">
        <f t="shared" si="10"/>
        <v>313107.45944668283</v>
      </c>
      <c r="F40" s="106">
        <f t="shared" si="1"/>
        <v>293866.03140618978</v>
      </c>
      <c r="G40" s="106">
        <f t="shared" si="2"/>
        <v>-43866.031406189781</v>
      </c>
      <c r="H40" s="106">
        <f t="shared" si="3"/>
        <v>250000</v>
      </c>
      <c r="I40" s="77">
        <v>66</v>
      </c>
      <c r="J40" s="103">
        <f t="shared" si="11"/>
        <v>3753263.4945910703</v>
      </c>
      <c r="K40" s="103">
        <f t="shared" si="12"/>
        <v>0</v>
      </c>
      <c r="L40" s="103">
        <f t="shared" si="4"/>
        <v>0</v>
      </c>
      <c r="M40" s="103">
        <f t="shared" si="5"/>
        <v>0</v>
      </c>
      <c r="N40" s="78">
        <f t="shared" si="6"/>
        <v>146911.88631942694</v>
      </c>
      <c r="O40" s="79">
        <f t="shared" si="7"/>
        <v>314703.73099810095</v>
      </c>
      <c r="P40" s="103"/>
      <c r="Q40" s="80">
        <f t="shared" si="13"/>
        <v>4214879.1119085979</v>
      </c>
    </row>
    <row r="41" spans="1:28" x14ac:dyDescent="0.2">
      <c r="A41" s="37">
        <v>67</v>
      </c>
      <c r="B41" s="105">
        <f t="shared" si="0"/>
        <v>148907.04023518667</v>
      </c>
      <c r="C41" s="105">
        <f t="shared" si="8"/>
        <v>106566.8384179392</v>
      </c>
      <c r="D41" s="105">
        <f t="shared" si="9"/>
        <v>53150.54285184</v>
      </c>
      <c r="E41" s="105">
        <f t="shared" si="10"/>
        <v>308624.42150496587</v>
      </c>
      <c r="F41" s="105">
        <f t="shared" si="1"/>
        <v>289732.93749102351</v>
      </c>
      <c r="G41" s="105">
        <f t="shared" si="2"/>
        <v>-39732.937491023506</v>
      </c>
      <c r="H41" s="105">
        <f t="shared" si="3"/>
        <v>250000</v>
      </c>
      <c r="I41" s="73">
        <v>67</v>
      </c>
      <c r="J41" s="102">
        <f t="shared" si="11"/>
        <v>3722676.0058796667</v>
      </c>
      <c r="K41" s="102">
        <f t="shared" si="12"/>
        <v>0</v>
      </c>
      <c r="L41" s="102">
        <f t="shared" si="4"/>
        <v>0</v>
      </c>
      <c r="M41" s="102">
        <f t="shared" si="5"/>
        <v>0</v>
      </c>
      <c r="N41" s="74">
        <f t="shared" si="6"/>
        <v>152673.13676332604</v>
      </c>
      <c r="O41" s="75">
        <f t="shared" si="7"/>
        <v>337487.1379646415</v>
      </c>
      <c r="P41" s="102"/>
      <c r="Q41" s="76">
        <f t="shared" si="13"/>
        <v>4212836.2806076342</v>
      </c>
    </row>
    <row r="42" spans="1:28" x14ac:dyDescent="0.2">
      <c r="A42" s="53">
        <v>68</v>
      </c>
      <c r="B42" s="106">
        <f t="shared" si="0"/>
        <v>147545.44875963492</v>
      </c>
      <c r="C42" s="106">
        <f t="shared" si="8"/>
        <v>104435.50164958042</v>
      </c>
      <c r="D42" s="106">
        <f t="shared" si="9"/>
        <v>52087.531994803197</v>
      </c>
      <c r="E42" s="106">
        <f t="shared" si="10"/>
        <v>304068.48240401852</v>
      </c>
      <c r="F42" s="106">
        <f t="shared" si="1"/>
        <v>285523.1310246854</v>
      </c>
      <c r="G42" s="106">
        <f t="shared" si="2"/>
        <v>-35523.131024685397</v>
      </c>
      <c r="H42" s="106">
        <f t="shared" si="3"/>
        <v>250000</v>
      </c>
      <c r="I42" s="77">
        <v>68</v>
      </c>
      <c r="J42" s="103">
        <f t="shared" si="11"/>
        <v>3688636.2189908726</v>
      </c>
      <c r="K42" s="103">
        <f t="shared" si="12"/>
        <v>0</v>
      </c>
      <c r="L42" s="103">
        <f t="shared" si="4"/>
        <v>0</v>
      </c>
      <c r="M42" s="103">
        <f t="shared" si="5"/>
        <v>0</v>
      </c>
      <c r="N42" s="78">
        <f t="shared" si="6"/>
        <v>158660.31859718199</v>
      </c>
      <c r="O42" s="79">
        <f t="shared" si="7"/>
        <v>357000</v>
      </c>
      <c r="P42" s="103"/>
      <c r="Q42" s="80">
        <f t="shared" si="13"/>
        <v>4204296.5375880543</v>
      </c>
    </row>
    <row r="43" spans="1:28" x14ac:dyDescent="0.2">
      <c r="A43" s="37">
        <v>69</v>
      </c>
      <c r="B43" s="105">
        <f t="shared" si="0"/>
        <v>146045.46470649246</v>
      </c>
      <c r="C43" s="105">
        <f t="shared" si="8"/>
        <v>102346.7916165888</v>
      </c>
      <c r="D43" s="105">
        <f t="shared" si="9"/>
        <v>51045.781354907136</v>
      </c>
      <c r="E43" s="105">
        <f t="shared" si="10"/>
        <v>299438.03767798841</v>
      </c>
      <c r="F43" s="105">
        <f t="shared" si="1"/>
        <v>281235.14381796645</v>
      </c>
      <c r="G43" s="105">
        <f t="shared" si="2"/>
        <v>-31235.143817966455</v>
      </c>
      <c r="H43" s="105">
        <f t="shared" si="3"/>
        <v>250000</v>
      </c>
      <c r="I43" s="73">
        <v>69</v>
      </c>
      <c r="J43" s="102">
        <f t="shared" si="11"/>
        <v>3651136.6176623115</v>
      </c>
      <c r="K43" s="102">
        <f t="shared" si="12"/>
        <v>0</v>
      </c>
      <c r="L43" s="102">
        <f t="shared" si="4"/>
        <v>0</v>
      </c>
      <c r="M43" s="102">
        <f t="shared" si="5"/>
        <v>0</v>
      </c>
      <c r="N43" s="74">
        <f t="shared" si="6"/>
        <v>164882.29187550285</v>
      </c>
      <c r="O43" s="75">
        <f t="shared" si="7"/>
        <v>357000</v>
      </c>
      <c r="P43" s="102"/>
      <c r="Q43" s="76">
        <f t="shared" si="13"/>
        <v>4173018.9095378146</v>
      </c>
    </row>
    <row r="44" spans="1:28" x14ac:dyDescent="0.2">
      <c r="A44" s="53">
        <v>70</v>
      </c>
      <c r="B44" s="106">
        <f t="shared" si="0"/>
        <v>151260.66630856122</v>
      </c>
      <c r="C44" s="106">
        <f t="shared" si="8"/>
        <v>100299.85578425703</v>
      </c>
      <c r="D44" s="106">
        <f t="shared" si="9"/>
        <v>50024.865727808996</v>
      </c>
      <c r="E44" s="106">
        <f t="shared" si="10"/>
        <v>301585.38782062725</v>
      </c>
      <c r="F44" s="106">
        <f t="shared" si="1"/>
        <v>283587.02025160572</v>
      </c>
      <c r="G44" s="106">
        <f t="shared" si="2"/>
        <v>-33587.020251605718</v>
      </c>
      <c r="H44" s="106">
        <f t="shared" si="3"/>
        <v>250000</v>
      </c>
      <c r="I44" s="77">
        <v>70</v>
      </c>
      <c r="J44" s="103">
        <f t="shared" si="11"/>
        <v>3781516.6577140302</v>
      </c>
      <c r="K44" s="103">
        <f t="shared" si="12"/>
        <v>0</v>
      </c>
      <c r="L44" s="103">
        <f t="shared" si="4"/>
        <v>0</v>
      </c>
      <c r="M44" s="103">
        <f t="shared" si="5"/>
        <v>0</v>
      </c>
      <c r="N44" s="78">
        <f t="shared" si="6"/>
        <v>171348.26410591474</v>
      </c>
      <c r="O44" s="79">
        <f t="shared" si="7"/>
        <v>357000</v>
      </c>
      <c r="P44" s="103"/>
      <c r="Q44" s="80">
        <f t="shared" si="13"/>
        <v>4309864.9218199449</v>
      </c>
    </row>
    <row r="45" spans="1:28" x14ac:dyDescent="0.2">
      <c r="A45" s="37">
        <v>71</v>
      </c>
      <c r="B45" s="105">
        <f t="shared" si="0"/>
        <v>149611.90893982886</v>
      </c>
      <c r="C45" s="105">
        <f t="shared" si="8"/>
        <v>98293.858668571891</v>
      </c>
      <c r="D45" s="105">
        <f t="shared" si="9"/>
        <v>49024.368413252814</v>
      </c>
      <c r="E45" s="105">
        <f t="shared" si="10"/>
        <v>296930.13602165354</v>
      </c>
      <c r="F45" s="105">
        <f t="shared" si="1"/>
        <v>279264.74647151364</v>
      </c>
      <c r="G45" s="105">
        <f t="shared" si="2"/>
        <v>-29264.746471513645</v>
      </c>
      <c r="H45" s="105">
        <f t="shared" si="3"/>
        <v>250000</v>
      </c>
      <c r="I45" s="73">
        <v>71</v>
      </c>
      <c r="J45" s="102">
        <f t="shared" si="11"/>
        <v>3740297.7234957214</v>
      </c>
      <c r="K45" s="102">
        <f t="shared" si="12"/>
        <v>0</v>
      </c>
      <c r="L45" s="102">
        <f t="shared" si="4"/>
        <v>0</v>
      </c>
      <c r="M45" s="102">
        <f t="shared" si="5"/>
        <v>0</v>
      </c>
      <c r="N45" s="74">
        <f t="shared" si="6"/>
        <v>0</v>
      </c>
      <c r="O45" s="75">
        <f t="shared" si="7"/>
        <v>357000</v>
      </c>
      <c r="P45" s="102"/>
      <c r="Q45" s="76">
        <f t="shared" si="13"/>
        <v>4097297.7234957214</v>
      </c>
    </row>
    <row r="46" spans="1:28" x14ac:dyDescent="0.2">
      <c r="A46" s="53">
        <v>72</v>
      </c>
      <c r="B46" s="106">
        <f t="shared" si="0"/>
        <v>147825.97921440136</v>
      </c>
      <c r="C46" s="106">
        <f t="shared" si="8"/>
        <v>96327.981495200453</v>
      </c>
      <c r="D46" s="106">
        <f t="shared" si="9"/>
        <v>48043.881044987756</v>
      </c>
      <c r="E46" s="106">
        <f t="shared" si="10"/>
        <v>292197.84175458958</v>
      </c>
      <c r="F46" s="106">
        <f t="shared" si="1"/>
        <v>274862.10688852367</v>
      </c>
      <c r="G46" s="106">
        <f t="shared" si="2"/>
        <v>-24862.106888523675</v>
      </c>
      <c r="H46" s="106">
        <f t="shared" si="3"/>
        <v>250000</v>
      </c>
      <c r="I46" s="77">
        <v>72</v>
      </c>
      <c r="J46" s="103">
        <f t="shared" si="11"/>
        <v>3695649.4803600339</v>
      </c>
      <c r="K46" s="103">
        <f t="shared" si="12"/>
        <v>0</v>
      </c>
      <c r="L46" s="103">
        <f t="shared" si="4"/>
        <v>0</v>
      </c>
      <c r="M46" s="103">
        <f t="shared" si="5"/>
        <v>0</v>
      </c>
      <c r="N46" s="78">
        <f t="shared" si="6"/>
        <v>0</v>
      </c>
      <c r="O46" s="79">
        <f t="shared" si="7"/>
        <v>357000</v>
      </c>
      <c r="P46" s="103"/>
      <c r="Q46" s="80">
        <f t="shared" si="13"/>
        <v>4052649.4803600339</v>
      </c>
    </row>
    <row r="47" spans="1:28" x14ac:dyDescent="0.2">
      <c r="A47" s="37">
        <v>73</v>
      </c>
      <c r="B47" s="105">
        <f t="shared" si="0"/>
        <v>145902.41518621796</v>
      </c>
      <c r="C47" s="105">
        <f t="shared" si="8"/>
        <v>94401.421865296448</v>
      </c>
      <c r="D47" s="105">
        <f t="shared" si="9"/>
        <v>47083.003424087998</v>
      </c>
      <c r="E47" s="105">
        <f t="shared" si="10"/>
        <v>287386.84047560242</v>
      </c>
      <c r="F47" s="105">
        <f t="shared" si="1"/>
        <v>270377.56627634593</v>
      </c>
      <c r="G47" s="105">
        <f t="shared" si="2"/>
        <v>-20377.566276345926</v>
      </c>
      <c r="H47" s="105">
        <f t="shared" si="3"/>
        <v>250000</v>
      </c>
      <c r="I47" s="73">
        <v>73</v>
      </c>
      <c r="J47" s="102">
        <f t="shared" si="11"/>
        <v>3647560.3796554487</v>
      </c>
      <c r="K47" s="102">
        <f t="shared" si="12"/>
        <v>0</v>
      </c>
      <c r="L47" s="102">
        <f t="shared" si="4"/>
        <v>0</v>
      </c>
      <c r="M47" s="102">
        <f t="shared" si="5"/>
        <v>0</v>
      </c>
      <c r="N47" s="74">
        <f t="shared" si="6"/>
        <v>0</v>
      </c>
      <c r="O47" s="75">
        <f t="shared" si="7"/>
        <v>357000</v>
      </c>
      <c r="P47" s="102"/>
      <c r="Q47" s="76">
        <f t="shared" si="13"/>
        <v>4004560.3796554487</v>
      </c>
    </row>
    <row r="48" spans="1:28" x14ac:dyDescent="0.2">
      <c r="A48" s="53">
        <v>74</v>
      </c>
      <c r="B48" s="106">
        <f t="shared" si="0"/>
        <v>143840.70376203116</v>
      </c>
      <c r="C48" s="106">
        <f t="shared" si="8"/>
        <v>92513.393427990522</v>
      </c>
      <c r="D48" s="106">
        <f t="shared" si="9"/>
        <v>46141.343355606237</v>
      </c>
      <c r="E48" s="106">
        <f t="shared" si="10"/>
        <v>282495.44054562791</v>
      </c>
      <c r="F48" s="106">
        <f t="shared" si="1"/>
        <v>265809.56091114995</v>
      </c>
      <c r="G48" s="106">
        <f t="shared" si="2"/>
        <v>-15809.560911149951</v>
      </c>
      <c r="H48" s="106">
        <f t="shared" si="3"/>
        <v>250000</v>
      </c>
      <c r="I48" s="77">
        <v>74</v>
      </c>
      <c r="J48" s="103">
        <f t="shared" si="11"/>
        <v>3596017.594050779</v>
      </c>
      <c r="K48" s="103">
        <f t="shared" si="12"/>
        <v>0</v>
      </c>
      <c r="L48" s="103">
        <f t="shared" si="4"/>
        <v>0</v>
      </c>
      <c r="M48" s="103">
        <f t="shared" si="5"/>
        <v>0</v>
      </c>
      <c r="N48" s="78">
        <f t="shared" si="6"/>
        <v>0</v>
      </c>
      <c r="O48" s="79">
        <f t="shared" si="7"/>
        <v>357000</v>
      </c>
      <c r="P48" s="103"/>
      <c r="Q48" s="80">
        <f t="shared" si="13"/>
        <v>3953017.594050779</v>
      </c>
    </row>
    <row r="49" spans="1:17" x14ac:dyDescent="0.2">
      <c r="A49" s="37">
        <v>75</v>
      </c>
      <c r="B49" s="105">
        <f t="shared" si="0"/>
        <v>141640.2805867423</v>
      </c>
      <c r="C49" s="105">
        <f t="shared" si="8"/>
        <v>90663.125559430715</v>
      </c>
      <c r="D49" s="105">
        <f t="shared" si="9"/>
        <v>45218.516488494111</v>
      </c>
      <c r="E49" s="105">
        <f t="shared" si="10"/>
        <v>277521.92263466713</v>
      </c>
      <c r="F49" s="105">
        <f t="shared" si="1"/>
        <v>261156.49802621303</v>
      </c>
      <c r="G49" s="105">
        <f t="shared" si="2"/>
        <v>-11156.498026213027</v>
      </c>
      <c r="H49" s="105">
        <f t="shared" si="3"/>
        <v>250000</v>
      </c>
      <c r="I49" s="73">
        <v>75</v>
      </c>
      <c r="J49" s="102">
        <f t="shared" si="11"/>
        <v>3541007.0146685573</v>
      </c>
      <c r="K49" s="102">
        <f t="shared" si="12"/>
        <v>0</v>
      </c>
      <c r="L49" s="102">
        <f t="shared" si="4"/>
        <v>0</v>
      </c>
      <c r="M49" s="102">
        <f t="shared" si="5"/>
        <v>0</v>
      </c>
      <c r="N49" s="74">
        <f t="shared" si="6"/>
        <v>0</v>
      </c>
      <c r="O49" s="75">
        <f t="shared" si="7"/>
        <v>357000</v>
      </c>
      <c r="P49" s="102"/>
      <c r="Q49" s="76">
        <f t="shared" si="13"/>
        <v>3898007.0146685573</v>
      </c>
    </row>
    <row r="50" spans="1:17" x14ac:dyDescent="0.2">
      <c r="A50" s="53">
        <v>76</v>
      </c>
      <c r="B50" s="106">
        <f t="shared" si="0"/>
        <v>139300.52990959884</v>
      </c>
      <c r="C50" s="106">
        <f t="shared" si="8"/>
        <v>88849.863048242099</v>
      </c>
      <c r="D50" s="106">
        <f t="shared" si="9"/>
        <v>44314.14615872423</v>
      </c>
      <c r="E50" s="106">
        <f t="shared" si="10"/>
        <v>272464.53911656514</v>
      </c>
      <c r="F50" s="106">
        <f t="shared" si="1"/>
        <v>256416.75525646468</v>
      </c>
      <c r="G50" s="106">
        <f t="shared" si="2"/>
        <v>-6416.7552564646758</v>
      </c>
      <c r="H50" s="106">
        <f t="shared" si="3"/>
        <v>250000</v>
      </c>
      <c r="I50" s="77">
        <v>76</v>
      </c>
      <c r="J50" s="103">
        <f t="shared" si="11"/>
        <v>3482513.2477399711</v>
      </c>
      <c r="K50" s="103">
        <f t="shared" si="12"/>
        <v>0</v>
      </c>
      <c r="L50" s="103">
        <f t="shared" si="4"/>
        <v>0</v>
      </c>
      <c r="M50" s="103">
        <f t="shared" si="5"/>
        <v>0</v>
      </c>
      <c r="N50" s="78">
        <f t="shared" si="6"/>
        <v>0</v>
      </c>
      <c r="O50" s="79">
        <f t="shared" si="7"/>
        <v>357000</v>
      </c>
      <c r="P50" s="103"/>
      <c r="Q50" s="80">
        <f t="shared" si="13"/>
        <v>3839513.2477399711</v>
      </c>
    </row>
    <row r="51" spans="1:17" x14ac:dyDescent="0.2">
      <c r="A51" s="37">
        <v>77</v>
      </c>
      <c r="B51" s="105">
        <f t="shared" si="0"/>
        <v>136820.78443123278</v>
      </c>
      <c r="C51" s="105">
        <f t="shared" si="8"/>
        <v>87072.86578727726</v>
      </c>
      <c r="D51" s="105">
        <f t="shared" si="9"/>
        <v>43427.863235549747</v>
      </c>
      <c r="E51" s="105">
        <f t="shared" si="10"/>
        <v>267321.51345405978</v>
      </c>
      <c r="F51" s="105">
        <f t="shared" si="1"/>
        <v>251588.68007273332</v>
      </c>
      <c r="G51" s="105">
        <f t="shared" si="2"/>
        <v>-1588.6800727333175</v>
      </c>
      <c r="H51" s="105">
        <f t="shared" si="3"/>
        <v>250000</v>
      </c>
      <c r="I51" s="73">
        <v>77</v>
      </c>
      <c r="J51" s="102">
        <f t="shared" si="11"/>
        <v>3420519.6107808193</v>
      </c>
      <c r="K51" s="102">
        <f t="shared" si="12"/>
        <v>0</v>
      </c>
      <c r="L51" s="102">
        <f t="shared" si="4"/>
        <v>0</v>
      </c>
      <c r="M51" s="102">
        <f t="shared" si="5"/>
        <v>0</v>
      </c>
      <c r="N51" s="74">
        <f t="shared" si="6"/>
        <v>0</v>
      </c>
      <c r="O51" s="75">
        <f t="shared" si="7"/>
        <v>357000</v>
      </c>
      <c r="P51" s="102"/>
      <c r="Q51" s="76">
        <f t="shared" si="13"/>
        <v>3777519.6107808193</v>
      </c>
    </row>
    <row r="52" spans="1:17" x14ac:dyDescent="0.2">
      <c r="A52" s="53">
        <v>78</v>
      </c>
      <c r="B52" s="106">
        <f t="shared" si="0"/>
        <v>134200.32513151187</v>
      </c>
      <c r="C52" s="106">
        <f t="shared" si="8"/>
        <v>85331.408471531715</v>
      </c>
      <c r="D52" s="106">
        <f t="shared" si="9"/>
        <v>42559.305970838752</v>
      </c>
      <c r="E52" s="106">
        <f t="shared" si="10"/>
        <v>262091.03957388236</v>
      </c>
      <c r="F52" s="106">
        <f t="shared" si="1"/>
        <v>246670.58920549799</v>
      </c>
      <c r="G52" s="106">
        <f t="shared" si="2"/>
        <v>3329.4107945020078</v>
      </c>
      <c r="H52" s="106">
        <f t="shared" si="3"/>
        <v>250000</v>
      </c>
      <c r="I52" s="77">
        <v>78</v>
      </c>
      <c r="J52" s="103">
        <f t="shared" si="11"/>
        <v>3355008.1282877964</v>
      </c>
      <c r="K52" s="103">
        <f t="shared" si="12"/>
        <v>0</v>
      </c>
      <c r="L52" s="103">
        <f t="shared" si="4"/>
        <v>0</v>
      </c>
      <c r="M52" s="103">
        <f t="shared" si="5"/>
        <v>0</v>
      </c>
      <c r="N52" s="78">
        <f t="shared" si="6"/>
        <v>0</v>
      </c>
      <c r="O52" s="79">
        <f t="shared" si="7"/>
        <v>357000</v>
      </c>
      <c r="P52" s="103"/>
      <c r="Q52" s="80">
        <f t="shared" si="13"/>
        <v>3712008.1282877964</v>
      </c>
    </row>
    <row r="53" spans="1:17" x14ac:dyDescent="0.2">
      <c r="A53" s="37">
        <v>79</v>
      </c>
      <c r="B53" s="105">
        <f t="shared" si="0"/>
        <v>121438.3810781684</v>
      </c>
      <c r="C53" s="105">
        <f t="shared" si="8"/>
        <v>83624.780302101077</v>
      </c>
      <c r="D53" s="105">
        <f t="shared" si="9"/>
        <v>41708.11985142198</v>
      </c>
      <c r="E53" s="105">
        <f t="shared" si="10"/>
        <v>246771.28123169145</v>
      </c>
      <c r="F53" s="105">
        <f t="shared" si="1"/>
        <v>231856.84648931626</v>
      </c>
      <c r="G53" s="105">
        <f t="shared" si="2"/>
        <v>18143.15351068374</v>
      </c>
      <c r="H53" s="105">
        <f t="shared" si="3"/>
        <v>250000</v>
      </c>
      <c r="I53" s="73">
        <v>79</v>
      </c>
      <c r="J53" s="102">
        <f t="shared" si="11"/>
        <v>3035959.5269542099</v>
      </c>
      <c r="K53" s="102">
        <f t="shared" si="12"/>
        <v>0</v>
      </c>
      <c r="L53" s="102">
        <f t="shared" si="4"/>
        <v>0</v>
      </c>
      <c r="M53" s="102">
        <f t="shared" si="5"/>
        <v>0</v>
      </c>
      <c r="N53" s="74">
        <f t="shared" si="6"/>
        <v>0</v>
      </c>
      <c r="O53" s="75">
        <f t="shared" si="7"/>
        <v>357000</v>
      </c>
      <c r="P53" s="102">
        <v>250000</v>
      </c>
      <c r="Q53" s="76">
        <f t="shared" si="13"/>
        <v>3392959.5269542099</v>
      </c>
    </row>
    <row r="54" spans="1:17" x14ac:dyDescent="0.2">
      <c r="A54" s="53">
        <v>80</v>
      </c>
      <c r="B54" s="106">
        <f t="shared" si="0"/>
        <v>118345.74013504025</v>
      </c>
      <c r="C54" s="106">
        <f t="shared" si="8"/>
        <v>81952.284696059054</v>
      </c>
      <c r="D54" s="106">
        <f t="shared" si="9"/>
        <v>40873.957454393538</v>
      </c>
      <c r="E54" s="106">
        <f t="shared" si="10"/>
        <v>241171.98228549285</v>
      </c>
      <c r="F54" s="106">
        <f t="shared" si="1"/>
        <v>226568.8533619174</v>
      </c>
      <c r="G54" s="106">
        <f t="shared" si="2"/>
        <v>23431.146638082602</v>
      </c>
      <c r="H54" s="106">
        <f t="shared" si="3"/>
        <v>250000</v>
      </c>
      <c r="I54" s="77">
        <v>80</v>
      </c>
      <c r="J54" s="103">
        <f t="shared" si="11"/>
        <v>2958643.5033760061</v>
      </c>
      <c r="K54" s="103">
        <f t="shared" si="12"/>
        <v>0</v>
      </c>
      <c r="L54" s="103">
        <f t="shared" si="4"/>
        <v>0</v>
      </c>
      <c r="M54" s="103">
        <f t="shared" si="5"/>
        <v>0</v>
      </c>
      <c r="N54" s="78">
        <f t="shared" si="6"/>
        <v>0</v>
      </c>
      <c r="O54" s="79">
        <f t="shared" si="7"/>
        <v>357000</v>
      </c>
      <c r="P54" s="103"/>
      <c r="Q54" s="80">
        <f t="shared" si="13"/>
        <v>3315643.5033760061</v>
      </c>
    </row>
    <row r="55" spans="1:17" x14ac:dyDescent="0.2">
      <c r="A55" s="37">
        <v>81</v>
      </c>
      <c r="B55" s="105">
        <f t="shared" si="0"/>
        <v>115106.36693089895</v>
      </c>
      <c r="C55" s="105">
        <f t="shared" si="8"/>
        <v>80313.239002137867</v>
      </c>
      <c r="D55" s="105">
        <f t="shared" si="9"/>
        <v>40056.478305305667</v>
      </c>
      <c r="E55" s="105">
        <f t="shared" si="10"/>
        <v>235476.0842383425</v>
      </c>
      <c r="F55" s="105">
        <f t="shared" si="1"/>
        <v>221182.12492071779</v>
      </c>
      <c r="G55" s="105">
        <f t="shared" si="2"/>
        <v>28817.87507928221</v>
      </c>
      <c r="H55" s="105">
        <f t="shared" si="3"/>
        <v>250000</v>
      </c>
      <c r="I55" s="73">
        <v>81</v>
      </c>
      <c r="J55" s="102">
        <f t="shared" si="11"/>
        <v>2877659.1732724737</v>
      </c>
      <c r="K55" s="102">
        <f t="shared" si="12"/>
        <v>0</v>
      </c>
      <c r="L55" s="102">
        <f t="shared" si="4"/>
        <v>0</v>
      </c>
      <c r="M55" s="102">
        <f t="shared" si="5"/>
        <v>0</v>
      </c>
      <c r="N55" s="74">
        <f t="shared" si="6"/>
        <v>0</v>
      </c>
      <c r="O55" s="75">
        <f t="shared" si="7"/>
        <v>357000</v>
      </c>
      <c r="P55" s="102"/>
      <c r="Q55" s="76">
        <f t="shared" si="13"/>
        <v>3234659.1732724737</v>
      </c>
    </row>
    <row r="56" spans="1:17" x14ac:dyDescent="0.2">
      <c r="A56" s="53">
        <v>82</v>
      </c>
      <c r="B56" s="106">
        <f t="shared" si="0"/>
        <v>111719.26659581144</v>
      </c>
      <c r="C56" s="106">
        <f t="shared" si="8"/>
        <v>78706.974222095101</v>
      </c>
      <c r="D56" s="106">
        <f t="shared" si="9"/>
        <v>39255.348739199551</v>
      </c>
      <c r="E56" s="106">
        <f t="shared" si="10"/>
        <v>229681.58955710608</v>
      </c>
      <c r="F56" s="106">
        <f t="shared" si="1"/>
        <v>215694.78340615681</v>
      </c>
      <c r="G56" s="106">
        <f t="shared" si="2"/>
        <v>34305.216593843186</v>
      </c>
      <c r="H56" s="106">
        <f t="shared" si="3"/>
        <v>250000</v>
      </c>
      <c r="I56" s="77">
        <v>82</v>
      </c>
      <c r="J56" s="103">
        <f t="shared" si="11"/>
        <v>2792981.6648952859</v>
      </c>
      <c r="K56" s="103">
        <f t="shared" si="12"/>
        <v>0</v>
      </c>
      <c r="L56" s="103">
        <f t="shared" si="4"/>
        <v>0</v>
      </c>
      <c r="M56" s="103">
        <f t="shared" si="5"/>
        <v>0</v>
      </c>
      <c r="N56" s="78">
        <f t="shared" si="6"/>
        <v>0</v>
      </c>
      <c r="O56" s="79">
        <f t="shared" si="7"/>
        <v>357000</v>
      </c>
      <c r="P56" s="103"/>
      <c r="Q56" s="80">
        <f t="shared" si="13"/>
        <v>3149981.6648952859</v>
      </c>
    </row>
    <row r="57" spans="1:17" x14ac:dyDescent="0.2">
      <c r="A57" s="37">
        <v>83</v>
      </c>
      <c r="B57" s="105">
        <f t="shared" si="0"/>
        <v>108183.39012946835</v>
      </c>
      <c r="C57" s="105">
        <f t="shared" si="8"/>
        <v>77132.834737653204</v>
      </c>
      <c r="D57" s="105">
        <f t="shared" si="9"/>
        <v>38470.241764415558</v>
      </c>
      <c r="E57" s="105">
        <f t="shared" si="10"/>
        <v>223786.4666315371</v>
      </c>
      <c r="F57" s="105">
        <f t="shared" si="1"/>
        <v>210104.91603761518</v>
      </c>
      <c r="G57" s="105">
        <f t="shared" si="2"/>
        <v>39895.083962384815</v>
      </c>
      <c r="H57" s="105">
        <f t="shared" si="3"/>
        <v>250000</v>
      </c>
      <c r="I57" s="73">
        <v>83</v>
      </c>
      <c r="J57" s="102">
        <f t="shared" si="11"/>
        <v>2704584.7532367087</v>
      </c>
      <c r="K57" s="102">
        <f t="shared" si="12"/>
        <v>0</v>
      </c>
      <c r="L57" s="102">
        <f t="shared" si="4"/>
        <v>0</v>
      </c>
      <c r="M57" s="102">
        <f t="shared" si="5"/>
        <v>0</v>
      </c>
      <c r="N57" s="74">
        <f t="shared" si="6"/>
        <v>0</v>
      </c>
      <c r="O57" s="75">
        <f t="shared" si="7"/>
        <v>357000</v>
      </c>
      <c r="P57" s="102"/>
      <c r="Q57" s="76">
        <f t="shared" si="13"/>
        <v>3061584.7532367087</v>
      </c>
    </row>
    <row r="58" spans="1:17" x14ac:dyDescent="0.2">
      <c r="A58" s="53">
        <v>84</v>
      </c>
      <c r="B58" s="106">
        <f t="shared" si="0"/>
        <v>104497.63408918917</v>
      </c>
      <c r="C58" s="106">
        <f t="shared" si="8"/>
        <v>75590.178042900137</v>
      </c>
      <c r="D58" s="106">
        <f t="shared" si="9"/>
        <v>37700.836929127247</v>
      </c>
      <c r="E58" s="106">
        <f t="shared" si="10"/>
        <v>217788.64906121657</v>
      </c>
      <c r="F58" s="106">
        <f t="shared" si="1"/>
        <v>204410.57434657874</v>
      </c>
      <c r="G58" s="106">
        <f t="shared" si="2"/>
        <v>45589.425653421262</v>
      </c>
      <c r="H58" s="106">
        <f t="shared" si="3"/>
        <v>250000</v>
      </c>
      <c r="I58" s="77">
        <v>84</v>
      </c>
      <c r="J58" s="103">
        <f t="shared" si="11"/>
        <v>2612440.8522297293</v>
      </c>
      <c r="K58" s="103">
        <f t="shared" si="12"/>
        <v>0</v>
      </c>
      <c r="L58" s="103">
        <f t="shared" si="4"/>
        <v>0</v>
      </c>
      <c r="M58" s="103">
        <f t="shared" si="5"/>
        <v>0</v>
      </c>
      <c r="N58" s="78">
        <f t="shared" si="6"/>
        <v>0</v>
      </c>
      <c r="O58" s="79">
        <f t="shared" si="7"/>
        <v>357000</v>
      </c>
      <c r="P58" s="103"/>
      <c r="Q58" s="80">
        <f t="shared" si="13"/>
        <v>2969440.8522297293</v>
      </c>
    </row>
    <row r="59" spans="1:17" x14ac:dyDescent="0.2">
      <c r="A59" s="37">
        <v>85</v>
      </c>
      <c r="B59" s="105">
        <f t="shared" si="0"/>
        <v>100660.84025789444</v>
      </c>
      <c r="C59" s="105">
        <f t="shared" si="8"/>
        <v>74078.374482042127</v>
      </c>
      <c r="D59" s="105">
        <f t="shared" si="9"/>
        <v>36946.820190544699</v>
      </c>
      <c r="E59" s="105">
        <f t="shared" si="10"/>
        <v>211686.03493048128</v>
      </c>
      <c r="F59" s="105">
        <f t="shared" si="1"/>
        <v>198609.77349738151</v>
      </c>
      <c r="G59" s="105">
        <f t="shared" si="2"/>
        <v>51390.22650261849</v>
      </c>
      <c r="H59" s="105">
        <f t="shared" si="3"/>
        <v>250000</v>
      </c>
      <c r="I59" s="73">
        <v>85</v>
      </c>
      <c r="J59" s="102">
        <f t="shared" si="11"/>
        <v>2516521.0064473609</v>
      </c>
      <c r="K59" s="102">
        <f t="shared" si="12"/>
        <v>0</v>
      </c>
      <c r="L59" s="102">
        <f t="shared" si="4"/>
        <v>0</v>
      </c>
      <c r="M59" s="102">
        <f t="shared" si="5"/>
        <v>0</v>
      </c>
      <c r="N59" s="74">
        <f t="shared" si="6"/>
        <v>0</v>
      </c>
      <c r="O59" s="75">
        <f t="shared" si="7"/>
        <v>357000</v>
      </c>
      <c r="P59" s="102"/>
      <c r="Q59" s="76">
        <f t="shared" si="13"/>
        <v>2873521.0064473609</v>
      </c>
    </row>
    <row r="60" spans="1:17" x14ac:dyDescent="0.2">
      <c r="A60" s="53">
        <v>86</v>
      </c>
      <c r="B60" s="106">
        <f t="shared" si="0"/>
        <v>96671.795291950679</v>
      </c>
      <c r="C60" s="106">
        <f t="shared" si="8"/>
        <v>72596.806992401282</v>
      </c>
      <c r="D60" s="106">
        <f t="shared" si="9"/>
        <v>36207.883786733801</v>
      </c>
      <c r="E60" s="106">
        <f t="shared" si="10"/>
        <v>205476.48607108573</v>
      </c>
      <c r="F60" s="106">
        <f t="shared" si="1"/>
        <v>192700.49159529086</v>
      </c>
      <c r="G60" s="106">
        <f t="shared" si="2"/>
        <v>57299.508404709137</v>
      </c>
      <c r="H60" s="106">
        <f t="shared" si="3"/>
        <v>250000</v>
      </c>
      <c r="I60" s="77">
        <v>86</v>
      </c>
      <c r="J60" s="103">
        <f t="shared" si="11"/>
        <v>2416794.8822987671</v>
      </c>
      <c r="K60" s="103">
        <f t="shared" si="12"/>
        <v>0</v>
      </c>
      <c r="L60" s="103">
        <f t="shared" si="4"/>
        <v>0</v>
      </c>
      <c r="M60" s="103">
        <f t="shared" si="5"/>
        <v>0</v>
      </c>
      <c r="N60" s="78">
        <f t="shared" si="6"/>
        <v>0</v>
      </c>
      <c r="O60" s="79">
        <f t="shared" si="7"/>
        <v>357000</v>
      </c>
      <c r="P60" s="103"/>
      <c r="Q60" s="80">
        <f t="shared" si="13"/>
        <v>2773794.8822987671</v>
      </c>
    </row>
    <row r="61" spans="1:17" x14ac:dyDescent="0.2">
      <c r="A61" s="37">
        <v>87</v>
      </c>
      <c r="B61" s="105">
        <f t="shared" si="0"/>
        <v>92529.230348786601</v>
      </c>
      <c r="C61" s="105">
        <f t="shared" si="8"/>
        <v>71144.870852553257</v>
      </c>
      <c r="D61" s="105">
        <f t="shared" si="9"/>
        <v>35483.726110999123</v>
      </c>
      <c r="E61" s="105">
        <f t="shared" si="10"/>
        <v>199157.82731233898</v>
      </c>
      <c r="F61" s="105">
        <f t="shared" si="1"/>
        <v>186680.66898169383</v>
      </c>
      <c r="G61" s="105">
        <f t="shared" si="2"/>
        <v>63319.331018306169</v>
      </c>
      <c r="H61" s="105">
        <f t="shared" si="3"/>
        <v>250000</v>
      </c>
      <c r="I61" s="73">
        <v>87</v>
      </c>
      <c r="J61" s="102">
        <f t="shared" si="11"/>
        <v>2313230.758719665</v>
      </c>
      <c r="K61" s="102">
        <f t="shared" si="12"/>
        <v>0</v>
      </c>
      <c r="L61" s="102">
        <f t="shared" si="4"/>
        <v>0</v>
      </c>
      <c r="M61" s="102">
        <f t="shared" si="5"/>
        <v>0</v>
      </c>
      <c r="N61" s="74">
        <f t="shared" si="6"/>
        <v>0</v>
      </c>
      <c r="O61" s="75">
        <f t="shared" si="7"/>
        <v>357000</v>
      </c>
      <c r="P61" s="102"/>
      <c r="Q61" s="76">
        <f t="shared" si="13"/>
        <v>2670230.758719665</v>
      </c>
    </row>
    <row r="62" spans="1:17" x14ac:dyDescent="0.2">
      <c r="A62" s="53">
        <v>88</v>
      </c>
      <c r="B62" s="106">
        <f t="shared" si="0"/>
        <v>88231.820694170936</v>
      </c>
      <c r="C62" s="106">
        <f t="shared" si="8"/>
        <v>69721.973435502194</v>
      </c>
      <c r="D62" s="106">
        <f t="shared" si="9"/>
        <v>34774.051588779141</v>
      </c>
      <c r="E62" s="106">
        <f t="shared" si="10"/>
        <v>192727.84571845227</v>
      </c>
      <c r="F62" s="106">
        <f t="shared" si="1"/>
        <v>180548.20751613841</v>
      </c>
      <c r="G62" s="106">
        <f t="shared" si="2"/>
        <v>69451.792483861587</v>
      </c>
      <c r="H62" s="106">
        <f t="shared" si="3"/>
        <v>250000</v>
      </c>
      <c r="I62" s="77">
        <v>88</v>
      </c>
      <c r="J62" s="103">
        <f t="shared" si="11"/>
        <v>2205795.5173542732</v>
      </c>
      <c r="K62" s="103">
        <f t="shared" si="12"/>
        <v>0</v>
      </c>
      <c r="L62" s="103">
        <f t="shared" si="4"/>
        <v>0</v>
      </c>
      <c r="M62" s="103">
        <f t="shared" si="5"/>
        <v>0</v>
      </c>
      <c r="N62" s="78">
        <f t="shared" si="6"/>
        <v>0</v>
      </c>
      <c r="O62" s="79">
        <f t="shared" si="7"/>
        <v>357000</v>
      </c>
      <c r="P62" s="103"/>
      <c r="Q62" s="80">
        <f t="shared" si="13"/>
        <v>2562795.5173542732</v>
      </c>
    </row>
    <row r="63" spans="1:17" x14ac:dyDescent="0.2">
      <c r="A63" s="37">
        <v>89</v>
      </c>
      <c r="B63" s="105">
        <f t="shared" si="0"/>
        <v>83778.185289035755</v>
      </c>
      <c r="C63" s="105">
        <f t="shared" si="8"/>
        <v>68327.533966792151</v>
      </c>
      <c r="D63" s="105">
        <f t="shared" si="9"/>
        <v>34078.570557003557</v>
      </c>
      <c r="E63" s="105">
        <f t="shared" si="10"/>
        <v>186184.28981283144</v>
      </c>
      <c r="F63" s="105">
        <f t="shared" si="1"/>
        <v>174300.9698449806</v>
      </c>
      <c r="G63" s="105">
        <f t="shared" si="2"/>
        <v>75699.030155019398</v>
      </c>
      <c r="H63" s="105">
        <f t="shared" si="3"/>
        <v>250000</v>
      </c>
      <c r="I63" s="73">
        <v>89</v>
      </c>
      <c r="J63" s="102">
        <f t="shared" si="11"/>
        <v>2094454.6322258937</v>
      </c>
      <c r="K63" s="102">
        <f t="shared" si="12"/>
        <v>0</v>
      </c>
      <c r="L63" s="102">
        <f t="shared" si="4"/>
        <v>0</v>
      </c>
      <c r="M63" s="102">
        <f t="shared" si="5"/>
        <v>0</v>
      </c>
      <c r="N63" s="74">
        <f t="shared" si="6"/>
        <v>0</v>
      </c>
      <c r="O63" s="75">
        <f t="shared" si="7"/>
        <v>357000</v>
      </c>
      <c r="P63" s="102"/>
      <c r="Q63" s="76">
        <f t="shared" si="13"/>
        <v>2451454.6322258934</v>
      </c>
    </row>
    <row r="64" spans="1:17" x14ac:dyDescent="0.2">
      <c r="A64" s="53">
        <v>90</v>
      </c>
      <c r="B64" s="106">
        <f t="shared" si="0"/>
        <v>79166.886355720562</v>
      </c>
      <c r="C64" s="106">
        <f t="shared" si="8"/>
        <v>66960.9832874563</v>
      </c>
      <c r="D64" s="106">
        <f t="shared" si="9"/>
        <v>33396.999145863483</v>
      </c>
      <c r="E64" s="106">
        <f t="shared" si="10"/>
        <v>179524.86878904034</v>
      </c>
      <c r="F64" s="106">
        <f t="shared" si="1"/>
        <v>167936.77865638051</v>
      </c>
      <c r="G64" s="106">
        <f t="shared" si="2"/>
        <v>82063.221343619487</v>
      </c>
      <c r="H64" s="106">
        <f t="shared" si="3"/>
        <v>250000</v>
      </c>
      <c r="I64" s="77">
        <v>90</v>
      </c>
      <c r="J64" s="103">
        <f t="shared" si="11"/>
        <v>1979172.1588930141</v>
      </c>
      <c r="K64" s="103">
        <f t="shared" si="12"/>
        <v>0</v>
      </c>
      <c r="L64" s="103">
        <f t="shared" si="4"/>
        <v>0</v>
      </c>
      <c r="M64" s="103">
        <f t="shared" si="5"/>
        <v>0</v>
      </c>
      <c r="N64" s="78">
        <f t="shared" si="6"/>
        <v>0</v>
      </c>
      <c r="O64" s="79">
        <f t="shared" si="7"/>
        <v>357000</v>
      </c>
      <c r="P64" s="103"/>
      <c r="Q64" s="80">
        <f t="shared" si="13"/>
        <v>2336172.1588930143</v>
      </c>
    </row>
    <row r="65" spans="1:101" x14ac:dyDescent="0.2">
      <c r="A65" s="37">
        <v>91</v>
      </c>
      <c r="B65" s="105">
        <f t="shared" si="0"/>
        <v>74396.428923505664</v>
      </c>
      <c r="C65" s="105">
        <f t="shared" si="8"/>
        <v>65621.76362170717</v>
      </c>
      <c r="D65" s="105">
        <f t="shared" si="9"/>
        <v>32729.059162946214</v>
      </c>
      <c r="E65" s="105">
        <f t="shared" si="10"/>
        <v>172747.25170815905</v>
      </c>
      <c r="F65" s="105">
        <f t="shared" si="1"/>
        <v>161453.41592138971</v>
      </c>
      <c r="G65" s="105">
        <f t="shared" si="2"/>
        <v>88546.584078610293</v>
      </c>
      <c r="H65" s="105">
        <f t="shared" si="3"/>
        <v>250000</v>
      </c>
      <c r="I65" s="73">
        <v>91</v>
      </c>
      <c r="J65" s="102">
        <f t="shared" si="11"/>
        <v>1859910.7230876416</v>
      </c>
      <c r="K65" s="102">
        <f t="shared" si="12"/>
        <v>0</v>
      </c>
      <c r="L65" s="102">
        <f t="shared" si="4"/>
        <v>0</v>
      </c>
      <c r="M65" s="102">
        <f t="shared" si="5"/>
        <v>0</v>
      </c>
      <c r="N65" s="74">
        <f t="shared" si="6"/>
        <v>0</v>
      </c>
      <c r="O65" s="75">
        <f t="shared" si="7"/>
        <v>357000</v>
      </c>
      <c r="P65" s="102"/>
      <c r="Q65" s="76">
        <f t="shared" si="13"/>
        <v>2216910.7230876414</v>
      </c>
    </row>
    <row r="66" spans="1:101" x14ac:dyDescent="0.2">
      <c r="A66" s="53">
        <v>92</v>
      </c>
      <c r="B66" s="106">
        <f t="shared" si="0"/>
        <v>69465.260353295351</v>
      </c>
      <c r="C66" s="106">
        <f t="shared" si="8"/>
        <v>64309.328349273026</v>
      </c>
      <c r="D66" s="106">
        <f t="shared" si="9"/>
        <v>32074.47797968729</v>
      </c>
      <c r="E66" s="106">
        <f t="shared" si="10"/>
        <v>165849.06668225565</v>
      </c>
      <c r="F66" s="106">
        <f t="shared" si="1"/>
        <v>154848.62212086367</v>
      </c>
      <c r="G66" s="106">
        <f t="shared" si="2"/>
        <v>95151.377879136329</v>
      </c>
      <c r="H66" s="106">
        <f t="shared" si="3"/>
        <v>250000</v>
      </c>
      <c r="I66" s="77">
        <v>92</v>
      </c>
      <c r="J66" s="103">
        <f t="shared" si="11"/>
        <v>1736631.5088323837</v>
      </c>
      <c r="K66" s="103">
        <f t="shared" si="12"/>
        <v>0</v>
      </c>
      <c r="L66" s="103">
        <f t="shared" si="4"/>
        <v>0</v>
      </c>
      <c r="M66" s="103">
        <f t="shared" si="5"/>
        <v>0</v>
      </c>
      <c r="N66" s="78">
        <f t="shared" si="6"/>
        <v>0</v>
      </c>
      <c r="O66" s="79">
        <f t="shared" si="7"/>
        <v>357000</v>
      </c>
      <c r="P66" s="103"/>
      <c r="Q66" s="80">
        <f t="shared" si="13"/>
        <v>2093631.5088323837</v>
      </c>
    </row>
    <row r="67" spans="1:101" x14ac:dyDescent="0.2">
      <c r="A67" s="37">
        <v>93</v>
      </c>
      <c r="B67" s="105">
        <f t="shared" si="0"/>
        <v>64371.769841303816</v>
      </c>
      <c r="C67" s="105">
        <f t="shared" si="8"/>
        <v>63023.141782287566</v>
      </c>
      <c r="D67" s="105">
        <f t="shared" si="9"/>
        <v>31432.988420093545</v>
      </c>
      <c r="E67" s="105">
        <f t="shared" si="10"/>
        <v>158827.90004368493</v>
      </c>
      <c r="F67" s="105">
        <f t="shared" si="1"/>
        <v>148120.09545793105</v>
      </c>
      <c r="G67" s="105">
        <f t="shared" si="2"/>
        <v>101879.90454206895</v>
      </c>
      <c r="H67" s="105">
        <f t="shared" si="3"/>
        <v>250000</v>
      </c>
      <c r="I67" s="73">
        <v>93</v>
      </c>
      <c r="J67" s="102">
        <f t="shared" si="11"/>
        <v>1609294.2460325954</v>
      </c>
      <c r="K67" s="102">
        <f t="shared" si="12"/>
        <v>0</v>
      </c>
      <c r="L67" s="102">
        <f t="shared" si="4"/>
        <v>0</v>
      </c>
      <c r="M67" s="102">
        <f t="shared" si="5"/>
        <v>0</v>
      </c>
      <c r="N67" s="74">
        <f t="shared" si="6"/>
        <v>0</v>
      </c>
      <c r="O67" s="75">
        <f t="shared" si="7"/>
        <v>357000</v>
      </c>
      <c r="P67" s="102"/>
      <c r="Q67" s="76">
        <f t="shared" si="13"/>
        <v>1966294.2460325954</v>
      </c>
    </row>
    <row r="68" spans="1:101" x14ac:dyDescent="0.2">
      <c r="A68" s="53">
        <v>94</v>
      </c>
      <c r="B68" s="106">
        <f t="shared" si="0"/>
        <v>59114.287901589276</v>
      </c>
      <c r="C68" s="106">
        <f t="shared" si="8"/>
        <v>61762.678946641812</v>
      </c>
      <c r="D68" s="106">
        <f t="shared" si="9"/>
        <v>30804.328651691674</v>
      </c>
      <c r="E68" s="106">
        <f t="shared" si="10"/>
        <v>151681.29549992277</v>
      </c>
      <c r="F68" s="106">
        <f t="shared" si="1"/>
        <v>141265.49105574453</v>
      </c>
      <c r="G68" s="106">
        <f t="shared" si="2"/>
        <v>108734.50894425547</v>
      </c>
      <c r="H68" s="106">
        <f t="shared" si="3"/>
        <v>250000</v>
      </c>
      <c r="I68" s="77">
        <v>94</v>
      </c>
      <c r="J68" s="103">
        <f t="shared" si="11"/>
        <v>1477857.1975397319</v>
      </c>
      <c r="K68" s="103">
        <f t="shared" si="12"/>
        <v>0</v>
      </c>
      <c r="L68" s="103">
        <f t="shared" si="4"/>
        <v>0</v>
      </c>
      <c r="M68" s="103">
        <f t="shared" si="5"/>
        <v>0</v>
      </c>
      <c r="N68" s="78">
        <f t="shared" si="6"/>
        <v>0</v>
      </c>
      <c r="O68" s="79">
        <f t="shared" si="7"/>
        <v>357000</v>
      </c>
      <c r="P68" s="103"/>
      <c r="Q68" s="80">
        <f t="shared" si="13"/>
        <v>1834857.1975397319</v>
      </c>
    </row>
    <row r="69" spans="1:101" x14ac:dyDescent="0.2">
      <c r="A69" s="4">
        <v>95</v>
      </c>
      <c r="B69" s="107">
        <f t="shared" si="0"/>
        <v>53691.085827273579</v>
      </c>
      <c r="C69" s="107">
        <f t="shared" si="8"/>
        <v>60527.425367708973</v>
      </c>
      <c r="D69" s="107">
        <f t="shared" si="9"/>
        <v>30188.24207865784</v>
      </c>
      <c r="E69" s="107">
        <f t="shared" si="10"/>
        <v>144406.75327364038</v>
      </c>
      <c r="F69" s="107">
        <f t="shared" si="1"/>
        <v>134282.42014023365</v>
      </c>
      <c r="G69" s="107">
        <f t="shared" si="2"/>
        <v>115717.57985976635</v>
      </c>
      <c r="H69" s="107">
        <f t="shared" si="3"/>
        <v>250000</v>
      </c>
      <c r="I69" s="81">
        <v>95</v>
      </c>
      <c r="J69" s="104">
        <f t="shared" si="11"/>
        <v>1342277.1456818394</v>
      </c>
      <c r="K69" s="104">
        <f t="shared" si="12"/>
        <v>0</v>
      </c>
      <c r="L69" s="104">
        <f t="shared" si="4"/>
        <v>0</v>
      </c>
      <c r="M69" s="104">
        <f t="shared" si="5"/>
        <v>0</v>
      </c>
      <c r="N69" s="69">
        <f t="shared" si="6"/>
        <v>0</v>
      </c>
      <c r="O69" s="82">
        <f t="shared" si="7"/>
        <v>357000</v>
      </c>
      <c r="P69" s="104"/>
      <c r="Q69" s="83">
        <f t="shared" si="13"/>
        <v>1699277.1456818394</v>
      </c>
    </row>
    <row r="70" spans="1:101" x14ac:dyDescent="0.2">
      <c r="CW70" s="8"/>
    </row>
    <row r="91" spans="102:102" x14ac:dyDescent="0.2">
      <c r="CX91" s="5"/>
    </row>
    <row r="118" spans="91:105" x14ac:dyDescent="0.2">
      <c r="CW118" s="12"/>
      <c r="CX118" s="15"/>
      <c r="CY118" s="15"/>
      <c r="CZ118" s="13"/>
      <c r="DA118" s="6"/>
    </row>
    <row r="119" spans="91:105" x14ac:dyDescent="0.2">
      <c r="CW119" s="12"/>
      <c r="CX119" s="15"/>
      <c r="CY119" s="15"/>
      <c r="CZ119" s="13"/>
    </row>
    <row r="120" spans="91:105" x14ac:dyDescent="0.2">
      <c r="CW120" s="7"/>
      <c r="CX120" s="3"/>
      <c r="CY120" s="3"/>
      <c r="CZ120" s="24"/>
    </row>
    <row r="121" spans="91:105" x14ac:dyDescent="0.2">
      <c r="CW121" s="7"/>
      <c r="CX121" s="3"/>
      <c r="CY121" s="3"/>
      <c r="CZ121" s="24"/>
    </row>
    <row r="123" spans="91:105" ht="24" x14ac:dyDescent="0.3">
      <c r="CT123" s="17"/>
    </row>
    <row r="124" spans="91:105" x14ac:dyDescent="0.2">
      <c r="CM124" s="44"/>
      <c r="CN124" s="45"/>
    </row>
    <row r="150" spans="97:102" x14ac:dyDescent="0.2">
      <c r="CS150" s="12"/>
      <c r="CT150" s="15"/>
      <c r="CU150" s="15"/>
      <c r="CV150" s="13"/>
    </row>
    <row r="151" spans="97:102" x14ac:dyDescent="0.2">
      <c r="CS151" s="12"/>
      <c r="CT151" s="15"/>
      <c r="CU151" s="15"/>
      <c r="CV151" s="13"/>
    </row>
    <row r="152" spans="97:102" x14ac:dyDescent="0.2">
      <c r="CS152" s="12"/>
      <c r="CT152" s="15"/>
      <c r="CU152" s="15"/>
      <c r="CV152" s="13"/>
    </row>
    <row r="153" spans="97:102" x14ac:dyDescent="0.2">
      <c r="CS153" s="34"/>
      <c r="CT153" s="15"/>
      <c r="CU153" s="15"/>
      <c r="CV153" s="13"/>
    </row>
    <row r="154" spans="97:102" x14ac:dyDescent="0.2">
      <c r="CS154" s="12"/>
      <c r="CT154" s="15"/>
      <c r="CU154" s="15"/>
      <c r="CV154" s="13"/>
    </row>
    <row r="155" spans="97:102" x14ac:dyDescent="0.2">
      <c r="CS155" s="12"/>
      <c r="CT155" s="15"/>
      <c r="CU155" s="15"/>
      <c r="CV155" s="13"/>
    </row>
    <row r="159" spans="97:102" x14ac:dyDescent="0.2">
      <c r="CS159" s="31"/>
      <c r="CT159" s="32"/>
    </row>
    <row r="160" spans="97:102" ht="24" x14ac:dyDescent="0.3">
      <c r="CU160" s="21"/>
      <c r="CV160" s="22"/>
      <c r="CW160" s="22"/>
      <c r="CX160" s="23"/>
    </row>
    <row r="161" spans="99:104" x14ac:dyDescent="0.2">
      <c r="CZ161" s="6"/>
    </row>
    <row r="162" spans="99:104" ht="24" x14ac:dyDescent="0.3">
      <c r="CU162" s="18"/>
      <c r="CV162" s="19"/>
      <c r="CX162" s="20"/>
    </row>
  </sheetData>
  <mergeCells count="16">
    <mergeCell ref="T3:V3"/>
    <mergeCell ref="B2:E2"/>
    <mergeCell ref="I25:K25"/>
    <mergeCell ref="A33:H33"/>
    <mergeCell ref="Z33:AB33"/>
    <mergeCell ref="B10:E10"/>
    <mergeCell ref="I33:Q33"/>
    <mergeCell ref="L2:M2"/>
    <mergeCell ref="K8:N8"/>
    <mergeCell ref="C12:D12"/>
    <mergeCell ref="C11:D11"/>
    <mergeCell ref="N4:Q4"/>
    <mergeCell ref="H13:K13"/>
    <mergeCell ref="B13:E13"/>
    <mergeCell ref="N10:Q10"/>
    <mergeCell ref="I2:J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AC75-0A9A-BD4C-8F62-03EF89CA11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41</vt:i4>
      </vt:variant>
    </vt:vector>
  </HeadingPairs>
  <TitlesOfParts>
    <vt:vector size="43" baseType="lpstr">
      <vt:lpstr>Sheet1</vt:lpstr>
      <vt:lpstr>Sheet2</vt:lpstr>
      <vt:lpstr>CAPGAINSTAX</vt:lpstr>
      <vt:lpstr>ChangeInPeriod</vt:lpstr>
      <vt:lpstr>CurrentUnvested</vt:lpstr>
      <vt:lpstr>DeathAge</vt:lpstr>
      <vt:lpstr>HighCash_R</vt:lpstr>
      <vt:lpstr>HighCashRATE_R</vt:lpstr>
      <vt:lpstr>Inflation_R</vt:lpstr>
      <vt:lpstr>IRA.r</vt:lpstr>
      <vt:lpstr>LIFESTYLEPV</vt:lpstr>
      <vt:lpstr>LowCash_R</vt:lpstr>
      <vt:lpstr>OGterm</vt:lpstr>
      <vt:lpstr>Original_Mortgage</vt:lpstr>
      <vt:lpstr>OriginalLoan</vt:lpstr>
      <vt:lpstr>OutstandingC_Mort</vt:lpstr>
      <vt:lpstr>PeriodRemainChange</vt:lpstr>
      <vt:lpstr>PMT_Monthly</vt:lpstr>
      <vt:lpstr>QuarterlyVest</vt:lpstr>
      <vt:lpstr>R_401k</vt:lpstr>
      <vt:lpstr>R_529</vt:lpstr>
      <vt:lpstr>R_HighCash</vt:lpstr>
      <vt:lpstr>R_IRA</vt:lpstr>
      <vt:lpstr>R_LowCash</vt:lpstr>
      <vt:lpstr>R_Mortgage</vt:lpstr>
      <vt:lpstr>R_stockbond</vt:lpstr>
      <vt:lpstr>Real401.r</vt:lpstr>
      <vt:lpstr>RealStock.r</vt:lpstr>
      <vt:lpstr>RemainingT</vt:lpstr>
      <vt:lpstr>Retire401k</vt:lpstr>
      <vt:lpstr>RetiredITAX</vt:lpstr>
      <vt:lpstr>RetiredStocks</vt:lpstr>
      <vt:lpstr>RetirementAgeRemaingPeriods</vt:lpstr>
      <vt:lpstr>RetireUnvested</vt:lpstr>
      <vt:lpstr>RetirmentAge</vt:lpstr>
      <vt:lpstr>ROTH.retire</vt:lpstr>
      <vt:lpstr>ROTHTAKE</vt:lpstr>
      <vt:lpstr>SellAge</vt:lpstr>
      <vt:lpstr>Take401</vt:lpstr>
      <vt:lpstr>Term_Mortgage</vt:lpstr>
      <vt:lpstr>TIRATAKE</vt:lpstr>
      <vt:lpstr>TRADE.retire</vt:lpstr>
      <vt:lpstr>VestInterval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Wade, Jack</dc:creator>
  <cp:lastModifiedBy>Wade, Jack</cp:lastModifiedBy>
  <dcterms:created xsi:type="dcterms:W3CDTF">2025-06-14T22:33:22Z</dcterms:created>
  <dcterms:modified xsi:type="dcterms:W3CDTF">2025-09-10T03:57:23Z</dcterms:modified>
</cp:coreProperties>
</file>