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outlookuga-my.sharepoint.com/personal/jjh47458_uga_edu/Documents/Modeling/"/>
    </mc:Choice>
  </mc:AlternateContent>
  <xr:revisionPtr revIDLastSave="0" documentId="8_{E875F784-124D-4372-A4F7-181CD05C5523}" xr6:coauthVersionLast="47" xr6:coauthVersionMax="47" xr10:uidLastSave="{00000000-0000-0000-0000-000000000000}"/>
  <bookViews>
    <workbookView xWindow="-103" yWindow="-103" windowWidth="25920" windowHeight="16629" activeTab="15" xr2:uid="{4FBEEE67-D1A4-7049-AC8F-7325D2460D38}"/>
  </bookViews>
  <sheets>
    <sheet name="Ratio Analysis" sheetId="1" r:id="rId1"/>
    <sheet name="FCF" sheetId="15" r:id="rId2"/>
    <sheet name="MONTE CARLO" sheetId="21" r:id="rId3"/>
    <sheet name="Depreciation" sheetId="18" state="hidden" r:id="rId4"/>
    <sheet name="2017 Income" sheetId="3" state="hidden" r:id="rId5"/>
    <sheet name="2017 Balance" sheetId="4" state="hidden" r:id="rId6"/>
    <sheet name="2018 Income" sheetId="5" state="hidden" r:id="rId7"/>
    <sheet name="2018 Balance" sheetId="6" state="hidden" r:id="rId8"/>
    <sheet name="2019 Income" sheetId="7" state="hidden" r:id="rId9"/>
    <sheet name="2019 Balance" sheetId="8" state="hidden" r:id="rId10"/>
    <sheet name="2020 Income" sheetId="9" state="hidden" r:id="rId11"/>
    <sheet name="2020 Balance" sheetId="10" state="hidden" r:id="rId12"/>
    <sheet name="2021 Income" sheetId="11" state="hidden" r:id="rId13"/>
    <sheet name="2021 Balance" sheetId="12" state="hidden" r:id="rId14"/>
    <sheet name="2022 Balance" sheetId="14" r:id="rId15"/>
    <sheet name="2022 Income" sheetId="13" r:id="rId16"/>
  </sheets>
  <definedNames>
    <definedName name="solver_eng" localSheetId="0" hidden="1">1</definedName>
    <definedName name="solver_lin" localSheetId="0" hidden="1">2</definedName>
    <definedName name="solver_neg" localSheetId="0" hidden="1">1</definedName>
    <definedName name="solver_num" localSheetId="0" hidden="1">0</definedName>
    <definedName name="solver_opt" localSheetId="0" hidden="1">'Ratio Analysis'!$M$2</definedName>
    <definedName name="solver_typ" localSheetId="0" hidden="1">1</definedName>
    <definedName name="solver_val" localSheetId="0" hidden="1">0</definedName>
    <definedName name="solver_ver" localSheetId="0" hidden="1">2</definedName>
  </definedNames>
  <calcPr calcId="191028"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1" i="15" l="1"/>
  <c r="C53" i="15"/>
  <c r="C43" i="15"/>
  <c r="C35" i="15"/>
  <c r="B10" i="1"/>
  <c r="B16" i="15"/>
  <c r="B28" i="15"/>
  <c r="N5" i="21"/>
  <c r="B4" i="21" s="1"/>
  <c r="N6" i="21"/>
  <c r="N7" i="21"/>
  <c r="B8" i="21" s="1"/>
  <c r="C21" i="15"/>
  <c r="B9" i="21"/>
  <c r="O24" i="21"/>
  <c r="B6" i="21"/>
  <c r="L7" i="21"/>
  <c r="L6" i="21"/>
  <c r="L5" i="21"/>
  <c r="M7" i="21"/>
  <c r="M6" i="21"/>
  <c r="M5" i="21"/>
  <c r="B51" i="21"/>
  <c r="B49" i="21"/>
  <c r="B48" i="21"/>
  <c r="B47" i="21"/>
  <c r="B45" i="21"/>
  <c r="B41" i="21"/>
  <c r="B40" i="21"/>
  <c r="B42" i="21" s="1"/>
  <c r="B39" i="21"/>
  <c r="B43" i="21" s="1"/>
  <c r="B38" i="21"/>
  <c r="B37" i="21"/>
  <c r="B36" i="21"/>
  <c r="B35" i="21"/>
  <c r="B97" i="21" s="1"/>
  <c r="B31" i="21"/>
  <c r="B25" i="21"/>
  <c r="B24" i="21"/>
  <c r="B23" i="21"/>
  <c r="B22" i="21"/>
  <c r="B26" i="21" s="1"/>
  <c r="B21" i="21"/>
  <c r="B28" i="21" s="1"/>
  <c r="B16" i="21"/>
  <c r="B15" i="21"/>
  <c r="B14" i="21"/>
  <c r="B7" i="21"/>
  <c r="C36" i="15"/>
  <c r="B23" i="15"/>
  <c r="B9" i="15"/>
  <c r="B21" i="15"/>
  <c r="B31" i="15"/>
  <c r="B51" i="15"/>
  <c r="B49" i="15"/>
  <c r="F49" i="15" s="1"/>
  <c r="B47" i="15"/>
  <c r="B41" i="15"/>
  <c r="D41" i="15" s="1"/>
  <c r="B40" i="15"/>
  <c r="B39" i="15"/>
  <c r="B37" i="15"/>
  <c r="B38" i="15"/>
  <c r="H25" i="1"/>
  <c r="B36" i="1"/>
  <c r="C36" i="1"/>
  <c r="D36" i="1"/>
  <c r="F36" i="1"/>
  <c r="E36" i="1"/>
  <c r="G36" i="1"/>
  <c r="C34" i="1"/>
  <c r="B34" i="1"/>
  <c r="C35" i="1" s="1"/>
  <c r="D34" i="1"/>
  <c r="E34" i="1"/>
  <c r="E35" i="1" s="1"/>
  <c r="F34" i="1"/>
  <c r="F35" i="1" s="1"/>
  <c r="G34" i="1"/>
  <c r="G35" i="1" s="1"/>
  <c r="B32" i="1"/>
  <c r="C32" i="1"/>
  <c r="C33" i="1" s="1"/>
  <c r="D32" i="1"/>
  <c r="D33" i="1" s="1"/>
  <c r="E32" i="1"/>
  <c r="E33" i="1" s="1"/>
  <c r="F32" i="1"/>
  <c r="F33" i="1" s="1"/>
  <c r="G32" i="1"/>
  <c r="G33" i="1" s="1"/>
  <c r="G20" i="1"/>
  <c r="F20" i="1"/>
  <c r="E20" i="1"/>
  <c r="D20" i="1"/>
  <c r="C20" i="1"/>
  <c r="B20" i="1"/>
  <c r="C41" i="21" l="1"/>
  <c r="F41" i="21"/>
  <c r="E41" i="21"/>
  <c r="D41" i="21"/>
  <c r="B46" i="21"/>
  <c r="G48" i="21"/>
  <c r="D48" i="21"/>
  <c r="G49" i="21"/>
  <c r="F49" i="21"/>
  <c r="C49" i="21"/>
  <c r="B50" i="21"/>
  <c r="B5" i="21"/>
  <c r="C26" i="21"/>
  <c r="D26" i="21" s="1"/>
  <c r="E26" i="21" s="1"/>
  <c r="F26" i="21" s="1"/>
  <c r="G26" i="21" s="1"/>
  <c r="D46" i="21"/>
  <c r="C46" i="21"/>
  <c r="B98" i="21"/>
  <c r="G46" i="21"/>
  <c r="F46" i="21"/>
  <c r="E46" i="21"/>
  <c r="B29" i="21"/>
  <c r="B30" i="21" s="1"/>
  <c r="B32" i="21" s="1"/>
  <c r="D49" i="21"/>
  <c r="B53" i="21"/>
  <c r="G41" i="21"/>
  <c r="C48" i="21"/>
  <c r="E49" i="21"/>
  <c r="C77" i="21"/>
  <c r="E48" i="21"/>
  <c r="F48" i="21"/>
  <c r="C21" i="1"/>
  <c r="D21" i="1"/>
  <c r="E21" i="1"/>
  <c r="F21" i="1"/>
  <c r="G21" i="1"/>
  <c r="H33" i="1"/>
  <c r="D35" i="1"/>
  <c r="H35" i="1" s="1"/>
  <c r="G37" i="1"/>
  <c r="H36" i="1"/>
  <c r="E49" i="15"/>
  <c r="C49" i="15"/>
  <c r="D49" i="15"/>
  <c r="G49" i="15"/>
  <c r="B42" i="15"/>
  <c r="B43" i="15" s="1"/>
  <c r="C41" i="15"/>
  <c r="F41" i="15"/>
  <c r="G41" i="15"/>
  <c r="E41" i="15"/>
  <c r="C37" i="1"/>
  <c r="D37" i="1"/>
  <c r="E37" i="1"/>
  <c r="F37" i="1"/>
  <c r="B22" i="15"/>
  <c r="B25" i="15"/>
  <c r="B36" i="15"/>
  <c r="G8" i="1"/>
  <c r="F8" i="1"/>
  <c r="E8" i="1"/>
  <c r="D8" i="1"/>
  <c r="C8" i="1"/>
  <c r="B8" i="1"/>
  <c r="G9" i="1"/>
  <c r="F9" i="1"/>
  <c r="E9" i="1"/>
  <c r="D9" i="1"/>
  <c r="B9" i="1"/>
  <c r="C9" i="1"/>
  <c r="I25" i="1"/>
  <c r="B3" i="1"/>
  <c r="B24" i="15"/>
  <c r="B48" i="15"/>
  <c r="B50" i="15" s="1"/>
  <c r="F15" i="1"/>
  <c r="F16" i="1" s="1"/>
  <c r="E15" i="1"/>
  <c r="E16" i="1" s="1"/>
  <c r="D15" i="1"/>
  <c r="D16" i="1" s="1"/>
  <c r="C15" i="1"/>
  <c r="C16" i="1" s="1"/>
  <c r="B15" i="1"/>
  <c r="B16" i="1" s="1"/>
  <c r="B35" i="15"/>
  <c r="B45" i="15"/>
  <c r="B46" i="15" s="1"/>
  <c r="B10" i="21" l="1"/>
  <c r="C23" i="21" s="1"/>
  <c r="D23" i="21" s="1"/>
  <c r="E23" i="21" s="1"/>
  <c r="F23" i="21" s="1"/>
  <c r="G23" i="21" s="1"/>
  <c r="B10" i="15"/>
  <c r="C23" i="15" s="1"/>
  <c r="D23" i="15" s="1"/>
  <c r="E23" i="15" s="1"/>
  <c r="F23" i="15" s="1"/>
  <c r="G23" i="15" s="1"/>
  <c r="L8" i="21"/>
  <c r="M8" i="21"/>
  <c r="E25" i="21"/>
  <c r="E71" i="21"/>
  <c r="F25" i="21"/>
  <c r="F71" i="21"/>
  <c r="G25" i="21"/>
  <c r="G71" i="21"/>
  <c r="C71" i="21"/>
  <c r="C25" i="21"/>
  <c r="D71" i="21"/>
  <c r="D25" i="21"/>
  <c r="B26" i="15"/>
  <c r="C26" i="15" s="1"/>
  <c r="D26" i="15" s="1"/>
  <c r="E26" i="15" s="1"/>
  <c r="F26" i="15" s="1"/>
  <c r="G26" i="15" s="1"/>
  <c r="J25" i="1"/>
  <c r="H37" i="1"/>
  <c r="M21" i="1"/>
  <c r="G48" i="15"/>
  <c r="D48" i="15"/>
  <c r="E48" i="15"/>
  <c r="C48" i="15"/>
  <c r="F48" i="15"/>
  <c r="D46" i="15"/>
  <c r="C46" i="15"/>
  <c r="G46" i="15"/>
  <c r="F46" i="15"/>
  <c r="E46" i="15"/>
  <c r="B98" i="15"/>
  <c r="K25" i="1"/>
  <c r="G15" i="1"/>
  <c r="G16" i="1" s="1"/>
  <c r="M14" i="1" s="1"/>
  <c r="H8" i="1"/>
  <c r="I8" i="1" s="1"/>
  <c r="M9" i="1"/>
  <c r="M8" i="1"/>
  <c r="C77" i="15"/>
  <c r="B97" i="15"/>
  <c r="C71" i="15"/>
  <c r="N8" i="21" l="1"/>
  <c r="B13" i="21" s="1"/>
  <c r="C40" i="21" s="1"/>
  <c r="B15" i="15"/>
  <c r="L25" i="1"/>
  <c r="E25" i="15"/>
  <c r="D25" i="15"/>
  <c r="B13" i="15"/>
  <c r="C40" i="15" s="1"/>
  <c r="D71" i="15"/>
  <c r="C25" i="15"/>
  <c r="D40" i="15"/>
  <c r="C42" i="15"/>
  <c r="B53" i="15"/>
  <c r="J8" i="1"/>
  <c r="K8" i="1" s="1"/>
  <c r="L8" i="1" s="1"/>
  <c r="F25" i="15"/>
  <c r="E71" i="15"/>
  <c r="C65" i="15" l="1"/>
  <c r="C85" i="15" s="1"/>
  <c r="C65" i="21"/>
  <c r="C42" i="21"/>
  <c r="D40" i="21"/>
  <c r="E40" i="15"/>
  <c r="E65" i="15" s="1"/>
  <c r="D42" i="15"/>
  <c r="D65" i="15"/>
  <c r="D85" i="15" s="1"/>
  <c r="C68" i="15"/>
  <c r="G25" i="15"/>
  <c r="F71" i="15"/>
  <c r="D68" i="15"/>
  <c r="D65" i="21" l="1"/>
  <c r="E40" i="21"/>
  <c r="D42" i="21"/>
  <c r="C85" i="21"/>
  <c r="C68" i="21"/>
  <c r="F40" i="15"/>
  <c r="F65" i="15" s="1"/>
  <c r="E42" i="15"/>
  <c r="E68" i="15"/>
  <c r="E85" i="15"/>
  <c r="G71" i="15"/>
  <c r="E65" i="21" l="1"/>
  <c r="E42" i="21"/>
  <c r="F40" i="21"/>
  <c r="D68" i="21"/>
  <c r="D85" i="21"/>
  <c r="G40" i="15"/>
  <c r="G42" i="15" s="1"/>
  <c r="F42" i="15"/>
  <c r="F68" i="15"/>
  <c r="F85" i="15"/>
  <c r="F42" i="21" l="1"/>
  <c r="G40" i="21"/>
  <c r="F65" i="21"/>
  <c r="E68" i="21"/>
  <c r="E85" i="21"/>
  <c r="G65" i="15"/>
  <c r="G68" i="15" s="1"/>
  <c r="F68" i="21" l="1"/>
  <c r="F85" i="21"/>
  <c r="G42" i="21"/>
  <c r="G65" i="21"/>
  <c r="G85" i="15"/>
  <c r="G10" i="1"/>
  <c r="F10" i="1"/>
  <c r="E10" i="1"/>
  <c r="D10" i="1"/>
  <c r="C10" i="1"/>
  <c r="G6" i="1"/>
  <c r="F6" i="1"/>
  <c r="G5" i="1"/>
  <c r="E6" i="1"/>
  <c r="F5" i="1"/>
  <c r="E5" i="1"/>
  <c r="D6" i="1"/>
  <c r="C6" i="1"/>
  <c r="C3" i="1"/>
  <c r="G3" i="1"/>
  <c r="G7" i="1"/>
  <c r="F7" i="1"/>
  <c r="F3" i="1"/>
  <c r="E7" i="1"/>
  <c r="C7" i="1"/>
  <c r="C5" i="1"/>
  <c r="E3" i="1"/>
  <c r="D7" i="1"/>
  <c r="D3" i="1"/>
  <c r="D5" i="1"/>
  <c r="G4" i="1"/>
  <c r="F4" i="1"/>
  <c r="E4" i="1"/>
  <c r="D4" i="1"/>
  <c r="C2" i="1"/>
  <c r="B4" i="1"/>
  <c r="D2" i="1"/>
  <c r="E2" i="1"/>
  <c r="C4" i="1"/>
  <c r="F2" i="1"/>
  <c r="G2" i="1"/>
  <c r="B7" i="1"/>
  <c r="B6" i="1"/>
  <c r="B5" i="1"/>
  <c r="G68" i="21" l="1"/>
  <c r="G85" i="21"/>
  <c r="M2" i="1"/>
  <c r="M4" i="1"/>
  <c r="M6" i="1"/>
  <c r="H7" i="1"/>
  <c r="I7" i="1" s="1"/>
  <c r="H4" i="1"/>
  <c r="M3" i="1"/>
  <c r="H3" i="1"/>
  <c r="H5" i="1"/>
  <c r="H6" i="1"/>
  <c r="H10" i="1"/>
  <c r="M10" i="1"/>
  <c r="B4" i="15"/>
  <c r="M5" i="1"/>
  <c r="B8" i="15"/>
  <c r="M7" i="1"/>
  <c r="B5" i="15" l="1"/>
  <c r="B29" i="15" s="1"/>
  <c r="B30" i="15" s="1"/>
  <c r="B32" i="15" s="1"/>
  <c r="B7" i="15"/>
  <c r="B14" i="15"/>
  <c r="B6" i="15"/>
  <c r="C39" i="15" s="1"/>
  <c r="C38" i="15"/>
  <c r="C22" i="15"/>
  <c r="J7" i="1"/>
  <c r="K7" i="1" s="1"/>
  <c r="L7" i="1" s="1"/>
  <c r="I10" i="1"/>
  <c r="I6" i="1"/>
  <c r="I5" i="1"/>
  <c r="I3" i="1"/>
  <c r="I4" i="1"/>
  <c r="C45" i="15"/>
  <c r="H15" i="1"/>
  <c r="H14" i="1" s="1"/>
  <c r="C24" i="21" s="1"/>
  <c r="D21" i="15"/>
  <c r="C58" i="21" l="1"/>
  <c r="C82" i="21"/>
  <c r="C59" i="15"/>
  <c r="D39" i="15"/>
  <c r="D38" i="15"/>
  <c r="C24" i="15"/>
  <c r="C28" i="15" s="1"/>
  <c r="J10" i="1"/>
  <c r="K10" i="1" s="1"/>
  <c r="J4" i="1"/>
  <c r="J3" i="1"/>
  <c r="J5" i="1"/>
  <c r="J6" i="1"/>
  <c r="D45" i="15"/>
  <c r="H16" i="1"/>
  <c r="C60" i="15"/>
  <c r="C83" i="15" s="1"/>
  <c r="D22" i="15"/>
  <c r="D36" i="15"/>
  <c r="I15" i="1"/>
  <c r="I14" i="1" s="1"/>
  <c r="D24" i="21" s="1"/>
  <c r="E21" i="15"/>
  <c r="C61" i="15"/>
  <c r="C84" i="15" s="1"/>
  <c r="C47" i="15"/>
  <c r="D58" i="21" l="1"/>
  <c r="D82" i="21"/>
  <c r="E39" i="15"/>
  <c r="C81" i="15"/>
  <c r="D43" i="15"/>
  <c r="D59" i="15"/>
  <c r="E38" i="15"/>
  <c r="L10" i="1"/>
  <c r="K6" i="1"/>
  <c r="L6" i="1" s="1"/>
  <c r="K5" i="1"/>
  <c r="L5" i="1" s="1"/>
  <c r="K3" i="1"/>
  <c r="L3" i="1" s="1"/>
  <c r="K4" i="1"/>
  <c r="L4" i="1" s="1"/>
  <c r="E45" i="15"/>
  <c r="D61" i="15"/>
  <c r="D84" i="15" s="1"/>
  <c r="D47" i="15"/>
  <c r="J15" i="1"/>
  <c r="J14" i="1" s="1"/>
  <c r="E24" i="21" s="1"/>
  <c r="E36" i="15"/>
  <c r="F21" i="15"/>
  <c r="E22" i="15"/>
  <c r="D60" i="15"/>
  <c r="D83" i="15" s="1"/>
  <c r="D24" i="15"/>
  <c r="D28" i="15" s="1"/>
  <c r="I16" i="1"/>
  <c r="C58" i="15"/>
  <c r="C82" i="15"/>
  <c r="E58" i="21" l="1"/>
  <c r="E82" i="21"/>
  <c r="D51" i="15"/>
  <c r="C86" i="15"/>
  <c r="C90" i="15" s="1"/>
  <c r="C50" i="15"/>
  <c r="D81" i="15"/>
  <c r="E43" i="15"/>
  <c r="E59" i="15"/>
  <c r="F39" i="15"/>
  <c r="F38" i="15"/>
  <c r="F45" i="15"/>
  <c r="F36" i="15"/>
  <c r="K15" i="1"/>
  <c r="K14" i="1" s="1"/>
  <c r="F24" i="21" s="1"/>
  <c r="F22" i="15"/>
  <c r="G21" i="15"/>
  <c r="J16" i="1"/>
  <c r="E24" i="15"/>
  <c r="E28" i="15" s="1"/>
  <c r="E60" i="15"/>
  <c r="E83" i="15" s="1"/>
  <c r="E61" i="15"/>
  <c r="E84" i="15" s="1"/>
  <c r="E47" i="15"/>
  <c r="D58" i="15"/>
  <c r="D82" i="15"/>
  <c r="D86" i="15"/>
  <c r="D90" i="15" s="1"/>
  <c r="E51" i="15" l="1"/>
  <c r="F58" i="21"/>
  <c r="F82" i="21"/>
  <c r="D50" i="15"/>
  <c r="E81" i="15"/>
  <c r="F43" i="15"/>
  <c r="F59" i="15"/>
  <c r="G39" i="15"/>
  <c r="G38" i="15"/>
  <c r="E58" i="15"/>
  <c r="E82" i="15"/>
  <c r="F60" i="15"/>
  <c r="F83" i="15" s="1"/>
  <c r="G45" i="15"/>
  <c r="F47" i="15"/>
  <c r="F61" i="15"/>
  <c r="F84" i="15" s="1"/>
  <c r="G22" i="15"/>
  <c r="G36" i="15"/>
  <c r="L15" i="1"/>
  <c r="L14" i="1" s="1"/>
  <c r="G24" i="21" s="1"/>
  <c r="F24" i="15"/>
  <c r="F28" i="15" s="1"/>
  <c r="K16" i="1"/>
  <c r="G82" i="21" l="1"/>
  <c r="G58" i="21"/>
  <c r="F51" i="15"/>
  <c r="E86" i="15"/>
  <c r="E90" i="15" s="1"/>
  <c r="E50" i="15"/>
  <c r="F81" i="15"/>
  <c r="G43" i="15"/>
  <c r="G59" i="15"/>
  <c r="L16" i="1"/>
  <c r="M16" i="1" s="1"/>
  <c r="G60" i="15"/>
  <c r="G83" i="15" s="1"/>
  <c r="F58" i="15"/>
  <c r="F82" i="15"/>
  <c r="G47" i="15"/>
  <c r="G61" i="15"/>
  <c r="G84" i="15" s="1"/>
  <c r="G24" i="15"/>
  <c r="G28" i="15" s="1"/>
  <c r="G51" i="15" l="1"/>
  <c r="F86" i="15"/>
  <c r="F90" i="15" s="1"/>
  <c r="I91" i="15" s="1"/>
  <c r="F50" i="15"/>
  <c r="G81" i="15"/>
  <c r="D53" i="15"/>
  <c r="G58" i="15"/>
  <c r="G82" i="15"/>
  <c r="G86" i="15" l="1"/>
  <c r="G90" i="15" s="1"/>
  <c r="I90" i="15" s="1"/>
  <c r="G50" i="15"/>
  <c r="G91" i="15"/>
  <c r="B96" i="15"/>
  <c r="B99" i="15" s="1"/>
  <c r="B101" i="15" s="1"/>
  <c r="E53" i="15"/>
  <c r="G53" i="15" l="1"/>
  <c r="F53" i="15"/>
  <c r="H21" i="1"/>
  <c r="H20" i="1"/>
  <c r="I21" i="1"/>
  <c r="I20" i="1"/>
  <c r="H9" i="1"/>
  <c r="H2" i="1"/>
  <c r="I2" i="1"/>
  <c r="J21" i="1"/>
  <c r="K21" i="1"/>
  <c r="J20" i="1"/>
  <c r="I9" i="1"/>
  <c r="J9" i="1"/>
  <c r="J2" i="1"/>
  <c r="L21" i="1"/>
  <c r="K20" i="1"/>
  <c r="L20" i="1"/>
  <c r="K9" i="1"/>
  <c r="L9" i="1"/>
  <c r="K2" i="1"/>
  <c r="L2" i="1"/>
  <c r="C29" i="15"/>
  <c r="C30" i="15"/>
  <c r="C57" i="15" s="1"/>
  <c r="C31" i="15"/>
  <c r="C32" i="15"/>
  <c r="C62" i="15"/>
  <c r="C73" i="15"/>
  <c r="C74" i="15"/>
  <c r="C76" i="15" l="1"/>
  <c r="C78" i="15" s="1"/>
  <c r="C37" i="15"/>
  <c r="D77" i="15"/>
  <c r="D29" i="15"/>
  <c r="D30" i="15"/>
  <c r="D31" i="15"/>
  <c r="D32" i="15"/>
  <c r="D57" i="15"/>
  <c r="D62" i="15"/>
  <c r="D73" i="15"/>
  <c r="D74" i="15"/>
  <c r="D76" i="15"/>
  <c r="D78" i="15" l="1"/>
  <c r="D35" i="15" s="1"/>
  <c r="D37" i="15"/>
  <c r="E77" i="15"/>
  <c r="E29" i="15"/>
  <c r="E30" i="15"/>
  <c r="E31" i="15"/>
  <c r="E32" i="15"/>
  <c r="E57" i="15"/>
  <c r="E62" i="15"/>
  <c r="E73" i="15"/>
  <c r="E74" i="15"/>
  <c r="E76" i="15"/>
  <c r="E78" i="15" l="1"/>
  <c r="E35" i="15" s="1"/>
  <c r="E37" i="15"/>
  <c r="F77" i="15"/>
  <c r="F29" i="15"/>
  <c r="F30" i="15"/>
  <c r="F31" i="15"/>
  <c r="F32" i="15"/>
  <c r="F57" i="15"/>
  <c r="F62" i="15"/>
  <c r="F73" i="15"/>
  <c r="F74" i="15"/>
  <c r="F76" i="15"/>
  <c r="F78" i="15" l="1"/>
  <c r="F35" i="15" s="1"/>
  <c r="F37" i="15"/>
  <c r="G77" i="15"/>
  <c r="G29" i="15"/>
  <c r="G30" i="15"/>
  <c r="G31" i="15"/>
  <c r="G32" i="15"/>
  <c r="G57" i="15"/>
  <c r="G62" i="15"/>
  <c r="G73" i="15"/>
  <c r="G74" i="15"/>
  <c r="G76" i="15"/>
  <c r="C21" i="21" l="1"/>
  <c r="C39" i="21" s="1"/>
  <c r="G78" i="15"/>
  <c r="G35" i="15" s="1"/>
  <c r="C38" i="21"/>
  <c r="C22" i="21"/>
  <c r="C81" i="21" s="1"/>
  <c r="C45" i="21" l="1"/>
  <c r="D21" i="21"/>
  <c r="D39" i="21" s="1"/>
  <c r="C36" i="21"/>
  <c r="G37" i="15"/>
  <c r="C60" i="21"/>
  <c r="C83" i="21" s="1"/>
  <c r="C28" i="21"/>
  <c r="C29" i="21" s="1"/>
  <c r="C30" i="21" s="1"/>
  <c r="C61" i="21"/>
  <c r="C84" i="21" s="1"/>
  <c r="C47" i="21"/>
  <c r="C59" i="21"/>
  <c r="C43" i="21"/>
  <c r="D22" i="21" l="1"/>
  <c r="D28" i="21" s="1"/>
  <c r="D38" i="21"/>
  <c r="D45" i="21"/>
  <c r="D47" i="21" s="1"/>
  <c r="E21" i="21"/>
  <c r="E22" i="21" s="1"/>
  <c r="E28" i="21" s="1"/>
  <c r="D36" i="21"/>
  <c r="D60" i="21" s="1"/>
  <c r="D83" i="21" s="1"/>
  <c r="C86" i="21"/>
  <c r="C90" i="21" s="1"/>
  <c r="C51" i="21"/>
  <c r="C50" i="21" s="1"/>
  <c r="D29" i="21"/>
  <c r="D30" i="21" s="1"/>
  <c r="C57" i="21"/>
  <c r="C62" i="21" s="1"/>
  <c r="C31" i="21"/>
  <c r="C73" i="21" s="1"/>
  <c r="C74" i="21" s="1"/>
  <c r="D59" i="21"/>
  <c r="D43" i="21"/>
  <c r="D81" i="21"/>
  <c r="D61" i="21"/>
  <c r="D84" i="21" s="1"/>
  <c r="E38" i="21" l="1"/>
  <c r="E45" i="21"/>
  <c r="E61" i="21" s="1"/>
  <c r="E84" i="21" s="1"/>
  <c r="F21" i="21"/>
  <c r="F22" i="21" s="1"/>
  <c r="F28" i="21" s="1"/>
  <c r="E39" i="21"/>
  <c r="E43" i="21" s="1"/>
  <c r="E36" i="21"/>
  <c r="C53" i="21"/>
  <c r="D51" i="21"/>
  <c r="D50" i="21" s="1"/>
  <c r="C32" i="21"/>
  <c r="E29" i="21"/>
  <c r="E30" i="21" s="1"/>
  <c r="C76" i="21"/>
  <c r="C78" i="21" s="1"/>
  <c r="C35" i="21" s="1"/>
  <c r="D31" i="21"/>
  <c r="D73" i="21" s="1"/>
  <c r="D74" i="21" s="1"/>
  <c r="D57" i="21"/>
  <c r="D62" i="21" s="1"/>
  <c r="E81" i="21"/>
  <c r="E60" i="21"/>
  <c r="E83" i="21" s="1"/>
  <c r="D86" i="21"/>
  <c r="D90" i="21" s="1"/>
  <c r="E47" i="21"/>
  <c r="F39" i="21"/>
  <c r="F36" i="21"/>
  <c r="G21" i="21"/>
  <c r="F45" i="21"/>
  <c r="F38" i="21"/>
  <c r="E59" i="21" l="1"/>
  <c r="F60" i="21"/>
  <c r="F83" i="21" s="1"/>
  <c r="D53" i="21"/>
  <c r="F29" i="21"/>
  <c r="F30" i="21" s="1"/>
  <c r="D32" i="21"/>
  <c r="D77" i="21"/>
  <c r="C37" i="21"/>
  <c r="E51" i="21"/>
  <c r="E50" i="21" s="1"/>
  <c r="G22" i="21"/>
  <c r="G28" i="21" s="1"/>
  <c r="G39" i="21"/>
  <c r="G38" i="21"/>
  <c r="G36" i="21"/>
  <c r="G45" i="21"/>
  <c r="F81" i="21"/>
  <c r="E86" i="21"/>
  <c r="E90" i="21" s="1"/>
  <c r="E31" i="21"/>
  <c r="E73" i="21" s="1"/>
  <c r="E74" i="21" s="1"/>
  <c r="E57" i="21"/>
  <c r="E62" i="21" s="1"/>
  <c r="F47" i="21"/>
  <c r="F61" i="21"/>
  <c r="F84" i="21" s="1"/>
  <c r="F43" i="21"/>
  <c r="F59" i="21"/>
  <c r="D76" i="21"/>
  <c r="E76" i="21" l="1"/>
  <c r="E32" i="21"/>
  <c r="F86" i="21"/>
  <c r="F90" i="21" s="1"/>
  <c r="I91" i="21" s="1"/>
  <c r="F51" i="21"/>
  <c r="F50" i="21" s="1"/>
  <c r="G29" i="21"/>
  <c r="G30" i="21" s="1"/>
  <c r="F31" i="21"/>
  <c r="F73" i="21" s="1"/>
  <c r="F74" i="21" s="1"/>
  <c r="F57" i="21"/>
  <c r="F62" i="21" s="1"/>
  <c r="G81" i="21"/>
  <c r="G60" i="21"/>
  <c r="G83" i="21" s="1"/>
  <c r="G47" i="21"/>
  <c r="G61" i="21"/>
  <c r="G84" i="21" s="1"/>
  <c r="E53" i="21"/>
  <c r="D78" i="21"/>
  <c r="D35" i="21" s="1"/>
  <c r="G43" i="21"/>
  <c r="G59" i="21"/>
  <c r="G86" i="21" l="1"/>
  <c r="G90" i="21" s="1"/>
  <c r="I90" i="21" s="1"/>
  <c r="G51" i="21"/>
  <c r="G50" i="21" s="1"/>
  <c r="F53" i="21"/>
  <c r="G57" i="21"/>
  <c r="G62" i="21" s="1"/>
  <c r="G31" i="21"/>
  <c r="G73" i="21" s="1"/>
  <c r="G74" i="21" s="1"/>
  <c r="F76" i="21"/>
  <c r="E77" i="21"/>
  <c r="E78" i="21" s="1"/>
  <c r="E35" i="21" s="1"/>
  <c r="D37" i="21"/>
  <c r="F32" i="21"/>
  <c r="G91" i="21" l="1"/>
  <c r="B96" i="21" s="1"/>
  <c r="B99" i="21" s="1"/>
  <c r="B101" i="21" s="1"/>
  <c r="L14" i="21" s="1"/>
  <c r="G53" i="21"/>
  <c r="F77" i="21"/>
  <c r="F78" i="21" s="1"/>
  <c r="F35" i="21" s="1"/>
  <c r="E37" i="21"/>
  <c r="G76" i="21"/>
  <c r="G32" i="21"/>
  <c r="G77" i="21" l="1"/>
  <c r="G78" i="21" s="1"/>
  <c r="G35" i="21" s="1"/>
  <c r="G37" i="21" s="1"/>
  <c r="F37" i="21"/>
  <c r="O16" i="21" l="1"/>
  <c r="O17" i="21" l="1"/>
  <c r="O20" i="21" s="1"/>
  <c r="O22" i="21" l="1"/>
  <c r="O21" i="21"/>
  <c r="N29" i="21" s="1"/>
  <c r="O25" i="21" l="1"/>
  <c r="N30" i="21" s="1"/>
  <c r="N31" i="21" s="1"/>
  <c r="N32" i="21" s="1"/>
  <c r="N33" i="21" l="1"/>
  <c r="N34" i="21" l="1"/>
  <c r="N35" i="21" l="1"/>
  <c r="N36" i="21" l="1"/>
  <c r="N37" i="21" l="1"/>
  <c r="N38" i="21" l="1"/>
  <c r="N39" i="21" l="1"/>
  <c r="N40" i="21" l="1"/>
  <c r="N41" i="21" l="1"/>
  <c r="N42" i="21" l="1"/>
  <c r="N43" i="21" l="1"/>
  <c r="N44" i="21" l="1"/>
  <c r="O43" i="21" a="1"/>
  <c r="O43" i="21" s="1"/>
  <c r="O37" i="21" a="1"/>
  <c r="O37" i="21" s="1"/>
  <c r="O39" i="21" a="1"/>
  <c r="O39" i="21" s="1"/>
  <c r="O41" i="21" a="1"/>
  <c r="O41" i="21" s="1"/>
  <c r="O35" i="21" a="1"/>
  <c r="O35" i="21" s="1"/>
  <c r="O44" i="21" l="1" a="1"/>
  <c r="O44" i="21" s="1"/>
  <c r="O30" i="21" a="1"/>
  <c r="O30" i="21" s="1"/>
  <c r="O31" i="21" a="1"/>
  <c r="O31" i="21" s="1"/>
  <c r="O29" i="21" a="1"/>
  <c r="O29" i="21" s="1"/>
  <c r="O32" i="21" a="1"/>
  <c r="O32" i="21" s="1"/>
  <c r="O33" i="21" a="1"/>
  <c r="O33" i="21" s="1"/>
  <c r="O42" i="21" a="1"/>
  <c r="O42" i="21" s="1"/>
  <c r="O34" i="21" a="1"/>
  <c r="O34" i="21" s="1"/>
  <c r="O40" i="21" a="1"/>
  <c r="O40" i="21" s="1"/>
  <c r="O38" i="21" a="1"/>
  <c r="O38" i="21" s="1"/>
  <c r="O36" i="21" a="1"/>
  <c r="O36" i="2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tc={36B48CB4-9465-004B-87E7-2545A51C4ADE}</author>
  </authors>
  <commentList>
    <comment ref="A10" authorId="0" shapeId="0" xr:uid="{36B48CB4-9465-004B-87E7-2545A51C4ADE}">
      <text>
        <t xml:space="preserve">[Threaded comment]
Your version of Excel allows you to read this threaded comment; however, any edits to it will get removed if the file is opened in a newer version of Excel. Learn more: https://go.microsoft.com/fwlink/?linkid=870924
Comment:
    Used Net PPE to compute this. Should we use gross? </t>
      </text>
    </comment>
  </commentList>
</comments>
</file>

<file path=xl/sharedStrings.xml><?xml version="1.0" encoding="utf-8"?>
<sst xmlns="http://schemas.openxmlformats.org/spreadsheetml/2006/main" count="775" uniqueCount="238">
  <si>
    <t>VALUES ARE IN MILLIONS</t>
  </si>
  <si>
    <t>5-year Average (2018-2022)</t>
  </si>
  <si>
    <t>Sales Growth Rate</t>
  </si>
  <si>
    <t>Cash/Sales</t>
  </si>
  <si>
    <t>Current Assets/Sales</t>
  </si>
  <si>
    <t>Current Liabilities/Sales</t>
  </si>
  <si>
    <t>*Note: Balance Sheet and Income Statment Data for 2017-2021 are located in hidden sheets to maintain simplicity in the excel file</t>
  </si>
  <si>
    <t>Net Fixed Assets/Sales</t>
  </si>
  <si>
    <t>Cost of Goods Sold/Sales</t>
  </si>
  <si>
    <t>Interest Rate on Debt (interest expense)/ST Notes Payable</t>
  </si>
  <si>
    <t>Dividend Payout Ratio (total Dividends/net income)</t>
  </si>
  <si>
    <t>Depreciation as % of Gross PPE</t>
  </si>
  <si>
    <t>Average</t>
  </si>
  <si>
    <t>Depreciation Values</t>
  </si>
  <si>
    <t>Revenue</t>
  </si>
  <si>
    <t>% of Revenue</t>
  </si>
  <si>
    <t>Gross PPE</t>
  </si>
  <si>
    <t>Yearly Growth in Gross PPE</t>
  </si>
  <si>
    <t>Millions of $</t>
  </si>
  <si>
    <t>Forecasted</t>
  </si>
  <si>
    <t>Dividends Paid</t>
  </si>
  <si>
    <t>Other Operating Costs as a % of Sales</t>
  </si>
  <si>
    <t>SGA Growth</t>
  </si>
  <si>
    <t>Other Operating Costs Growth</t>
  </si>
  <si>
    <t>Other income (Expense) as a % of Operating Profit</t>
  </si>
  <si>
    <t>In Millions Except for share data</t>
  </si>
  <si>
    <t>ASSUMPTIONS:</t>
  </si>
  <si>
    <t>COST OF GOODS AS % OF SALES</t>
  </si>
  <si>
    <t>Current Assets as a % of Sales</t>
  </si>
  <si>
    <t>Current Liabilities as a % of Sales</t>
  </si>
  <si>
    <t>Overhead Growth Rate</t>
  </si>
  <si>
    <t>SGA Growth Rate</t>
  </si>
  <si>
    <t>YEARLY GROWTH IN GROSS PPE</t>
  </si>
  <si>
    <t>DEPRECIATION (income) as % of NET PPE</t>
  </si>
  <si>
    <t>DIVIDEND PAYOUT RATE</t>
  </si>
  <si>
    <t>INTEREST RATE ON DEBT</t>
  </si>
  <si>
    <t>INTEREST EARNED ON CASH</t>
  </si>
  <si>
    <t>TAX RATE</t>
  </si>
  <si>
    <t>Forecasts</t>
  </si>
  <si>
    <t>INCOME STATEMENT</t>
  </si>
  <si>
    <t>Sales</t>
  </si>
  <si>
    <t>Costs of Goods Sold</t>
  </si>
  <si>
    <t>SGA, net of Depreciation</t>
  </si>
  <si>
    <t>Depreciation</t>
  </si>
  <si>
    <t>Interest Payments on Financial Products</t>
  </si>
  <si>
    <t>Other Operating Costs</t>
  </si>
  <si>
    <t>Interest Earned on Cash and Marketable Securities</t>
  </si>
  <si>
    <t>Profit Before Tax</t>
  </si>
  <si>
    <t>Taxes</t>
  </si>
  <si>
    <t>Profit After Tax</t>
  </si>
  <si>
    <t>Dividends</t>
  </si>
  <si>
    <t>Retained Earnings</t>
  </si>
  <si>
    <t>BALANCE SHEET</t>
  </si>
  <si>
    <t>Cash</t>
  </si>
  <si>
    <t>Accounts Receivable</t>
  </si>
  <si>
    <t>Prepaid expense &amp; Other Current Assets</t>
  </si>
  <si>
    <t>Inventory</t>
  </si>
  <si>
    <t>Total Current Assets</t>
  </si>
  <si>
    <t>At Cost  (Gross PPE)</t>
  </si>
  <si>
    <t>Other Long-Term Assets</t>
  </si>
  <si>
    <t>Total Fixed Assets</t>
  </si>
  <si>
    <t>TOTAL ASSETS</t>
  </si>
  <si>
    <t>Current Liabilities</t>
  </si>
  <si>
    <t>Long-term Debt</t>
  </si>
  <si>
    <t>TOTAL LIABILITIES</t>
  </si>
  <si>
    <t xml:space="preserve">Common Stock </t>
  </si>
  <si>
    <t>Treasury Stock</t>
  </si>
  <si>
    <t xml:space="preserve">Other Equity </t>
  </si>
  <si>
    <t>TOTAL SHAREHOLDER EQUITY</t>
  </si>
  <si>
    <t>TOTAL LIABILITIES AND EQUITY</t>
  </si>
  <si>
    <t>STATEMENT OF CASH FLOWS</t>
  </si>
  <si>
    <t>Cash flows from operating activities</t>
  </si>
  <si>
    <t>Add back depreciation</t>
  </si>
  <si>
    <t>Adjust for changes in net working capital:</t>
  </si>
  <si>
    <t>Subtract increase in current assets</t>
  </si>
  <si>
    <t>Add back increase in current liabilities</t>
  </si>
  <si>
    <t>Net cash from operating activities</t>
  </si>
  <si>
    <t>Cash flow from investing activities</t>
  </si>
  <si>
    <t>Acquisitions of fixed assets--capital expenditures</t>
  </si>
  <si>
    <t>Purchases of investment securities</t>
  </si>
  <si>
    <t>Proceeds from sales of investment securities</t>
  </si>
  <si>
    <t>Net cash used in investing activities</t>
  </si>
  <si>
    <t>Cash flow from financing activities</t>
  </si>
  <si>
    <t>Net proceeds from borrowing activities</t>
  </si>
  <si>
    <t>Net proceeds from stock issues, repurchases</t>
  </si>
  <si>
    <t>Dividends paid</t>
  </si>
  <si>
    <t>Net cash from financing activities</t>
  </si>
  <si>
    <t>Net Increase in Cash and Cash Equivalents</t>
  </si>
  <si>
    <t>Cash balances at end of previous year</t>
  </si>
  <si>
    <t>Cash Balances at end of current year</t>
  </si>
  <si>
    <t>FREE CASH FLOWS:</t>
  </si>
  <si>
    <t>EBIT x (1-T)</t>
  </si>
  <si>
    <t>Subtract increase in fixed assets at cost</t>
  </si>
  <si>
    <t>Free Cash Flow</t>
  </si>
  <si>
    <t>ESTIMATED VALUE PER SHARE USING DCF</t>
  </si>
  <si>
    <t>FCF</t>
  </si>
  <si>
    <t>TERMINAL VALUE</t>
  </si>
  <si>
    <t>COST OF CAPITAL</t>
  </si>
  <si>
    <t>LONG TERM GROWTH RATE</t>
  </si>
  <si>
    <t>ENTERPRISE VALUE</t>
  </si>
  <si>
    <t>NON-OPERATIONAL CASH</t>
  </si>
  <si>
    <t>DEBT VALUE (2017)</t>
  </si>
  <si>
    <t>ESTIMATED VALUE OF EQUITY</t>
  </si>
  <si>
    <t>NUMBER OF SHARES</t>
  </si>
  <si>
    <t>PRICE PER SHARE</t>
  </si>
  <si>
    <t>ASSUMPTIONS</t>
  </si>
  <si>
    <t>MEAN</t>
  </si>
  <si>
    <t>STANDARD DEVIATION</t>
  </si>
  <si>
    <t>SAMPLE VALUE</t>
  </si>
  <si>
    <t>COGS as a % of sales</t>
  </si>
  <si>
    <t>MONTE CARLO OBSERVATIONS</t>
  </si>
  <si>
    <t xml:space="preserve">Statistics </t>
  </si>
  <si>
    <t>Standard Deviation</t>
  </si>
  <si>
    <t>BIN STATISTICS</t>
  </si>
  <si>
    <t>3 standard deviation</t>
  </si>
  <si>
    <t>Low Price</t>
  </si>
  <si>
    <t>High Price</t>
  </si>
  <si>
    <t>Observations</t>
  </si>
  <si>
    <t>SORT (OBS)</t>
  </si>
  <si>
    <t>Bin Width</t>
  </si>
  <si>
    <t>BINS</t>
  </si>
  <si>
    <t>FREQ</t>
  </si>
  <si>
    <t>We compute depreciation of plant and equipment principally using accelerated methods. We compute depreciation on equipment leased to others, primarily for Financial Products, using the straight-line method over the term of the lease. The depreciable basis is the original cost of the equipment less the estimated residual value of the equipment at the end of the lease term. In 2022, 2021 and 2020, Cat Financial depreciation on equipment leased to others was $718 million, $755 million and $758 million, respectively, which we include in Other operating (income) expenses in Statement 1. In 2022, 2021 and 2020, consolidated depreciation expense was $1,937 million, $2,050 million and $2,122 million, respectively. We compute amortization of purchased finite-lived intangibles principally using the straight-line method, generally not to exceed a period of 20 years.</t>
  </si>
  <si>
    <t>Income Statement</t>
  </si>
  <si>
    <t>Sales and revenues:</t>
  </si>
  <si>
    <t>Sales of Machinery, Energy &amp; Transportation</t>
  </si>
  <si>
    <t>Revenues of Financial Products</t>
  </si>
  <si>
    <t>Total sales and revenues</t>
  </si>
  <si>
    <t>Operating costs:</t>
  </si>
  <si>
    <t>Cost of goods sold</t>
  </si>
  <si>
    <t>Selling, general and administrative expenses</t>
  </si>
  <si>
    <t>Research and development expenses</t>
  </si>
  <si>
    <t>Interest expense of Financial Products</t>
  </si>
  <si>
    <t>Goodwill impairment charge</t>
  </si>
  <si>
    <t>Other operating (income) expenses</t>
  </si>
  <si>
    <t>Total operating costs</t>
  </si>
  <si>
    <t>Operating profit</t>
  </si>
  <si>
    <t>Interest expense excluding Financial Products</t>
  </si>
  <si>
    <t>Other income (expense)</t>
  </si>
  <si>
    <t>Consolidated profit before taxes</t>
  </si>
  <si>
    <t>Provision (benefit) for income taxes</t>
  </si>
  <si>
    <t>Profit (loss) of consolidated companies</t>
  </si>
  <si>
    <t>Equity in profit (loss) of unconsolidated affiliated companies</t>
  </si>
  <si>
    <t>Profit (loss) of consolidated and affiliated companies</t>
  </si>
  <si>
    <t>Less: Profit (loss) attributable to noncontrolling interests</t>
  </si>
  <si>
    <t>Profit (loss)</t>
  </si>
  <si>
    <t>Profit (loss) per common share (in dollars per share)</t>
  </si>
  <si>
    <t>Profit (loss) per common share - diluted (in dollars per share)</t>
  </si>
  <si>
    <t>Weighted-average common shares outstanding (millions)</t>
  </si>
  <si>
    <t>Basic (in shares)</t>
  </si>
  <si>
    <t>Diluted (in shares)</t>
  </si>
  <si>
    <t>Cash dividends declared per common share (in dollars per share)</t>
  </si>
  <si>
    <t>Balance Sheet</t>
  </si>
  <si>
    <t>Dec. 31, 2017</t>
  </si>
  <si>
    <t>Current assets:</t>
  </si>
  <si>
    <t>Cash and short-term investments</t>
  </si>
  <si>
    <t>Receivables - trade and other</t>
  </si>
  <si>
    <t>Receivables - finance</t>
  </si>
  <si>
    <t>Prepaid expenses and other current assets</t>
  </si>
  <si>
    <t>Inventories</t>
  </si>
  <si>
    <t>Total current assets</t>
  </si>
  <si>
    <t>Property, plant and equipment - net</t>
  </si>
  <si>
    <t>Long-term receivables - trade and other</t>
  </si>
  <si>
    <t>Long-term receivables - finance</t>
  </si>
  <si>
    <t>Noncurrent deferred and refundable income taxes</t>
  </si>
  <si>
    <t>Intangible assets</t>
  </si>
  <si>
    <t>Goodwill</t>
  </si>
  <si>
    <t>Other assets</t>
  </si>
  <si>
    <t>Total assets</t>
  </si>
  <si>
    <t>Short-term borrowings:</t>
  </si>
  <si>
    <t>Machinery, Energy &amp; Transportation</t>
  </si>
  <si>
    <t>Financial Products</t>
  </si>
  <si>
    <t>Accounts payable</t>
  </si>
  <si>
    <t>Accrued expenses</t>
  </si>
  <si>
    <t>Accrued wages, salaries and employee benefits</t>
  </si>
  <si>
    <t>Customer advances</t>
  </si>
  <si>
    <t>Dividends payable</t>
  </si>
  <si>
    <t>Other current liabilities</t>
  </si>
  <si>
    <t>Long-term debt due within one year:</t>
  </si>
  <si>
    <t>Total current liabilities</t>
  </si>
  <si>
    <t>Long-term debt due after one year:</t>
  </si>
  <si>
    <t>Liability for postemployment benefits</t>
  </si>
  <si>
    <t>Other liabilities</t>
  </si>
  <si>
    <t>Total liabilities</t>
  </si>
  <si>
    <t>Commitments and contingencies (Notes 21 and 22)</t>
  </si>
  <si>
    <t xml:space="preserve"> </t>
  </si>
  <si>
    <t>Shareholders' equity</t>
  </si>
  <si>
    <t>Common stock of $1.00 par value: Authorized shares: 2,000,000,000 Issued shares: (2017 and 2016 – 814,894,624 shares) at paid-in amount</t>
  </si>
  <si>
    <t>Treasury stock: (2017 – 217,268,852 shares; and 2016 – 228,408,600 shares) at cost</t>
  </si>
  <si>
    <t>Profit employed in the business</t>
  </si>
  <si>
    <t>Accumulated other comprehensive income (loss)</t>
  </si>
  <si>
    <t>Noncontrolling interests</t>
  </si>
  <si>
    <t>Total stockholders' equity</t>
  </si>
  <si>
    <t>Total liabilities and stockholders' equity</t>
  </si>
  <si>
    <t>Sales and revenues</t>
  </si>
  <si>
    <t>Financial Service [Member]</t>
  </si>
  <si>
    <t>Common stock of $1.00 par value: Authorized shares: 2,000,000,000 Issued shares: (2018 and 2017 – 814,894,624 shares) at paid-in amount</t>
  </si>
  <si>
    <t>Treasury stock: (2018 - 239,351,886 shares; and 2017 – 217,268,852 shares) at cost</t>
  </si>
  <si>
    <t>Dec. 31, 2019</t>
  </si>
  <si>
    <t>Interest Expense Excluding Financial Products</t>
  </si>
  <si>
    <t>Prepaid Expense and Other Assets, Current</t>
  </si>
  <si>
    <t>Property, Plant and Equipment, Net</t>
  </si>
  <si>
    <t>Common stock of $1.00 par value: Authorized shares: 2,000,000,000 Issued shares: (2019 and 2018 – 814,894,624 shares) at paid-in amount</t>
  </si>
  <si>
    <t>Treasury stock: (2019 - 264,812,014 shares; and 2018 – 239,351,886 shares) at cost</t>
  </si>
  <si>
    <t>Dec. 31, 2020</t>
  </si>
  <si>
    <t>Less: comprehensive income attributable to the noncontrolling interests</t>
  </si>
  <si>
    <t>Interest Expense</t>
  </si>
  <si>
    <t>All other excluding Financial Products</t>
  </si>
  <si>
    <t>Short-term borrowings</t>
  </si>
  <si>
    <t>SPC liabilities in consolidated statement</t>
  </si>
  <si>
    <t>Authorized shares: 2,000,000,000 Issued shares: (2020 and 2019 – 814,894,624 shares) at paid-in amount</t>
  </si>
  <si>
    <t>Treasury Stock, Value</t>
  </si>
  <si>
    <t>Common Stock, par value (in dollars per share)</t>
  </si>
  <si>
    <t>Common Stock, Authorized shares</t>
  </si>
  <si>
    <t>Common Stock, Issued shares</t>
  </si>
  <si>
    <t>Treasury Stock, shares</t>
  </si>
  <si>
    <t>Long-term Debt and Lease Obligation, Current</t>
  </si>
  <si>
    <t>Long-term Debt and Lease Obligation</t>
  </si>
  <si>
    <t>Consolidated profit before tax</t>
  </si>
  <si>
    <t>[1]</t>
  </si>
  <si>
    <t>[2]</t>
  </si>
  <si>
    <t>Interest Expense of Financial Products</t>
  </si>
  <si>
    <t>Interest Expense excluding Financial Products</t>
  </si>
  <si>
    <t>Cash and cash equivalents</t>
  </si>
  <si>
    <t>Segment assets</t>
  </si>
  <si>
    <t>Authorized shares: 2,000,000,000 Issued shares: (2021 and 2020 – 814,894,624 shares) at paid-in amount</t>
  </si>
  <si>
    <t>Treasury stock: (2021 - 279,006,573 shares; and 2020 - 269,590,777 shares) at cost</t>
  </si>
  <si>
    <t>Total Assets</t>
  </si>
  <si>
    <t> </t>
  </si>
  <si>
    <t>Authorized shares: 2,000,000,000 Issued shares: (2022 and 2021 – 814,894,624 shares) at paid-in amount</t>
  </si>
  <si>
    <t>Treasury stock: (2022 - 298,549,134 shares; and 2021 - 279,006,573 shares) at cost</t>
  </si>
  <si>
    <t>Consolidated Results of Operations - USD ($) shares in Millions, $ in Millions</t>
  </si>
  <si>
    <t>12 Months Ended</t>
  </si>
  <si>
    <t>Dec. 31, 2022</t>
  </si>
  <si>
    <t>Profit (loss) per common share</t>
  </si>
  <si>
    <t>Profit (loss) per common share - diluted</t>
  </si>
  <si>
    <t>Basic</t>
  </si>
  <si>
    <t>Diluted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</si>
</sst>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6" formatCode="&quot;$&quot;#,##0_);[Red]\(&quot;$&quot;#,##0\)"/>
    <numFmt numFmtId="8" formatCode="&quot;$&quot;#,##0.00_);[Red]\(&quot;$&quot;#,##0.00\)"/>
    <numFmt numFmtId="44" formatCode="_(&quot;$&quot;* #,##0.00_);_(&quot;$&quot;* \(#,##0.00\);_(&quot;$&quot;* &quot;-&quot;??_);_(@_)"/>
    <numFmt numFmtId="43" formatCode="_(* #,##0.00_);_(* \(#,##0.00\);_(* &quot;-&quot;??_);_(@_)"/>
    <numFmt numFmtId="164" formatCode="_(&quot;$ &quot;#,##0_);_(&quot;$ &quot;\(#,##0\)"/>
    <numFmt numFmtId="165" formatCode="_(&quot;$ &quot;#,##0.00_);_(&quot;$ &quot;\(#,##0.00\)"/>
    <numFmt numFmtId="166" formatCode="#,##0.0_);\(#,##0.0\)"/>
    <numFmt numFmtId="167" formatCode="_(* #,##0_);_(* \(#,##0\);_(* &quot;-&quot;??_);_(@_)"/>
    <numFmt numFmtId="168" formatCode="&quot;$&quot;#,##0.00"/>
    <numFmt numFmtId="169" formatCode="&quot;$&quot;#,##0"/>
    <numFmt numFmtId="170" formatCode="_([$$-409]* #,##0_);_([$$-409]* \(#,##0\);_([$$-409]* &quot;-&quot;??_);_(@_)"/>
    <numFmt numFmtId="171" formatCode="0.000%"/>
    <numFmt numFmtId="172" formatCode="_([$$-409]* #,##0.00_);_([$$-409]* \(#,##0.00\);_([$$-409]* &quot;-&quot;??_);_(@_)"/>
  </numFmts>
  <fonts count="13" x14ac:knownFonts="1">
    <font>
      <sz val="12"/>
      <color theme="1"/>
      <name val="Calibri"/>
      <family val="2"/>
      <scheme val="minor"/>
    </font>
    <font>
      <sz val="12"/>
      <color theme="1"/>
      <name val="Calibri"/>
      <family val="2"/>
      <scheme val="minor"/>
    </font>
    <font>
      <b/>
      <sz val="12"/>
      <color theme="1"/>
      <name val="Calibri"/>
      <family val="2"/>
      <scheme val="minor"/>
    </font>
    <font>
      <b/>
      <sz val="11"/>
      <name val="Calibri"/>
      <family val="2"/>
      <scheme val="minor"/>
    </font>
    <font>
      <sz val="11"/>
      <color rgb="FF000000"/>
      <name val="Calibri"/>
      <family val="2"/>
      <scheme val="minor"/>
    </font>
    <font>
      <sz val="11"/>
      <name val="Calibri"/>
      <family val="2"/>
      <scheme val="minor"/>
    </font>
    <font>
      <b/>
      <sz val="11"/>
      <name val="Calibri"/>
      <family val="2"/>
    </font>
    <font>
      <sz val="11"/>
      <name val="Calibri"/>
      <family val="2"/>
    </font>
    <font>
      <i/>
      <sz val="12"/>
      <color theme="1"/>
      <name val="Calibri"/>
      <family val="2"/>
      <scheme val="minor"/>
    </font>
    <font>
      <b/>
      <sz val="12"/>
      <color theme="1"/>
      <name val="Calibri"/>
      <family val="2"/>
      <charset val="238"/>
      <scheme val="minor"/>
    </font>
    <font>
      <b/>
      <i/>
      <u/>
      <sz val="10"/>
      <name val="Arial"/>
      <family val="2"/>
    </font>
    <font>
      <b/>
      <i/>
      <sz val="10"/>
      <name val="Arial"/>
      <family val="2"/>
    </font>
    <font>
      <sz val="10"/>
      <color rgb="FF000000"/>
      <name val="Times New Roman"/>
      <family val="2"/>
      <charset val="1"/>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40">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
      <left/>
      <right/>
      <top/>
      <bottom style="medium">
        <color auto="1"/>
      </bottom>
      <diagonal/>
    </border>
    <border>
      <left/>
      <right/>
      <top style="thin">
        <color auto="1"/>
      </top>
      <bottom style="double">
        <color auto="1"/>
      </bottom>
      <diagonal/>
    </border>
    <border>
      <left style="medium">
        <color indexed="64"/>
      </left>
      <right/>
      <top style="thin">
        <color auto="1"/>
      </top>
      <bottom style="double">
        <color auto="1"/>
      </bottom>
      <diagonal/>
    </border>
    <border>
      <left/>
      <right style="medium">
        <color indexed="64"/>
      </right>
      <top style="thin">
        <color auto="1"/>
      </top>
      <bottom style="double">
        <color auto="1"/>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uble">
        <color auto="1"/>
      </bottom>
      <diagonal/>
    </border>
    <border>
      <left style="medium">
        <color indexed="64"/>
      </left>
      <right/>
      <top style="medium">
        <color auto="1"/>
      </top>
      <bottom style="double">
        <color auto="1"/>
      </bottom>
      <diagonal/>
    </border>
    <border>
      <left/>
      <right style="medium">
        <color auto="1"/>
      </right>
      <top style="double">
        <color auto="1"/>
      </top>
      <bottom style="medium">
        <color indexed="64"/>
      </bottom>
      <diagonal/>
    </border>
    <border>
      <left/>
      <right/>
      <top style="double">
        <color auto="1"/>
      </top>
      <bottom style="medium">
        <color indexed="64"/>
      </bottom>
      <diagonal/>
    </border>
    <border>
      <left style="medium">
        <color auto="1"/>
      </left>
      <right/>
      <top style="double">
        <color auto="1"/>
      </top>
      <bottom style="medium">
        <color indexed="64"/>
      </bottom>
      <diagonal/>
    </border>
    <border>
      <left/>
      <right style="medium">
        <color auto="1"/>
      </right>
      <top/>
      <bottom style="thin">
        <color rgb="FF000000"/>
      </bottom>
      <diagonal/>
    </border>
    <border>
      <left/>
      <right/>
      <top style="medium">
        <color auto="1"/>
      </top>
      <bottom style="thin">
        <color rgb="FF000000"/>
      </bottom>
      <diagonal/>
    </border>
    <border>
      <left/>
      <right style="medium">
        <color auto="1"/>
      </right>
      <top style="medium">
        <color auto="1"/>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auto="1"/>
      </bottom>
      <diagonal/>
    </border>
    <border>
      <left style="medium">
        <color auto="1"/>
      </left>
      <right style="medium">
        <color indexed="64"/>
      </right>
      <top style="medium">
        <color indexed="64"/>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196">
    <xf numFmtId="0" fontId="0" fillId="0" borderId="0" xfId="0"/>
    <xf numFmtId="0" fontId="0" fillId="0" borderId="0" xfId="0" applyAlignment="1">
      <alignment wrapText="1"/>
    </xf>
    <xf numFmtId="0" fontId="0" fillId="0" borderId="1" xfId="0" applyBorder="1"/>
    <xf numFmtId="0" fontId="0" fillId="0" borderId="3" xfId="0" applyBorder="1"/>
    <xf numFmtId="0" fontId="0" fillId="0" borderId="2" xfId="0" applyBorder="1"/>
    <xf numFmtId="0" fontId="0" fillId="0" borderId="2" xfId="0" applyBorder="1" applyAlignment="1">
      <alignment wrapText="1"/>
    </xf>
    <xf numFmtId="164" fontId="5" fillId="0" borderId="0" xfId="0" applyNumberFormat="1" applyFont="1" applyAlignment="1">
      <alignment horizontal="right" vertical="top"/>
    </xf>
    <xf numFmtId="37" fontId="5" fillId="0" borderId="0" xfId="0" applyNumberFormat="1" applyFont="1" applyAlignment="1">
      <alignment horizontal="right" vertical="top"/>
    </xf>
    <xf numFmtId="165" fontId="5" fillId="0" borderId="0" xfId="0" applyNumberFormat="1" applyFont="1" applyAlignment="1">
      <alignment horizontal="right" vertical="top"/>
    </xf>
    <xf numFmtId="166" fontId="5" fillId="0" borderId="0" xfId="0" applyNumberFormat="1" applyFont="1" applyAlignment="1">
      <alignment horizontal="right" vertical="top"/>
    </xf>
    <xf numFmtId="0" fontId="6"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vertical="top" wrapText="1"/>
    </xf>
    <xf numFmtId="0" fontId="7" fillId="0" borderId="0" xfId="0" applyFont="1" applyAlignment="1">
      <alignment vertical="top" wrapText="1"/>
    </xf>
    <xf numFmtId="164" fontId="7" fillId="0" borderId="0" xfId="0" applyNumberFormat="1" applyFont="1" applyAlignment="1">
      <alignment horizontal="right" vertical="top"/>
    </xf>
    <xf numFmtId="37" fontId="7" fillId="0" borderId="0" xfId="0" applyNumberFormat="1" applyFont="1" applyAlignment="1">
      <alignment horizontal="right" vertical="top"/>
    </xf>
    <xf numFmtId="165" fontId="7" fillId="0" borderId="0" xfId="0" applyNumberFormat="1" applyFont="1" applyAlignment="1">
      <alignment horizontal="right" vertical="top"/>
    </xf>
    <xf numFmtId="166" fontId="7" fillId="0" borderId="0" xfId="0" applyNumberFormat="1" applyFont="1" applyAlignment="1">
      <alignment horizontal="right" vertical="top"/>
    </xf>
    <xf numFmtId="0" fontId="6" fillId="0" borderId="0" xfId="0" applyFont="1" applyAlignment="1">
      <alignment vertical="top"/>
    </xf>
    <xf numFmtId="0" fontId="7" fillId="0" borderId="0" xfId="0" applyFont="1" applyAlignment="1">
      <alignment vertical="top"/>
    </xf>
    <xf numFmtId="164" fontId="7" fillId="0" borderId="0" xfId="0" applyNumberFormat="1" applyFont="1" applyAlignment="1">
      <alignment horizontal="right" vertical="top" wrapText="1"/>
    </xf>
    <xf numFmtId="37" fontId="7" fillId="0" borderId="0" xfId="0" applyNumberFormat="1" applyFont="1" applyAlignment="1">
      <alignment horizontal="right" vertical="top" wrapText="1"/>
    </xf>
    <xf numFmtId="0" fontId="6" fillId="0" borderId="0" xfId="0" applyFont="1" applyAlignment="1">
      <alignment horizontal="center" vertical="center"/>
    </xf>
    <xf numFmtId="0" fontId="7" fillId="0" borderId="0" xfId="0" applyFont="1" applyAlignment="1">
      <alignment horizontal="center" vertical="center"/>
    </xf>
    <xf numFmtId="0" fontId="3" fillId="0" borderId="0" xfId="0" applyFont="1" applyAlignment="1">
      <alignment vertical="top"/>
    </xf>
    <xf numFmtId="0" fontId="4" fillId="0" borderId="0" xfId="0" applyFont="1"/>
    <xf numFmtId="0" fontId="5" fillId="0" borderId="0" xfId="0" applyFont="1" applyAlignment="1">
      <alignment vertical="top"/>
    </xf>
    <xf numFmtId="165" fontId="7" fillId="0" borderId="0" xfId="0" applyNumberFormat="1" applyFont="1" applyAlignment="1">
      <alignment horizontal="right" vertical="top" wrapText="1"/>
    </xf>
    <xf numFmtId="166" fontId="7" fillId="0" borderId="0" xfId="0" applyNumberFormat="1" applyFont="1" applyAlignment="1">
      <alignment horizontal="right" vertical="top" wrapText="1"/>
    </xf>
    <xf numFmtId="14" fontId="4" fillId="0" borderId="0" xfId="0" applyNumberFormat="1" applyFont="1"/>
    <xf numFmtId="14" fontId="0" fillId="0" borderId="0" xfId="0" applyNumberFormat="1"/>
    <xf numFmtId="14" fontId="7" fillId="0" borderId="0" xfId="0" applyNumberFormat="1" applyFont="1" applyAlignment="1">
      <alignment vertical="top" wrapText="1"/>
    </xf>
    <xf numFmtId="167" fontId="7" fillId="0" borderId="0" xfId="1" applyNumberFormat="1" applyFont="1" applyAlignment="1">
      <alignment horizontal="right" vertical="top"/>
    </xf>
    <xf numFmtId="167" fontId="7" fillId="0" borderId="0" xfId="1" applyNumberFormat="1" applyFont="1" applyAlignment="1">
      <alignment vertical="top" wrapText="1"/>
    </xf>
    <xf numFmtId="14" fontId="0" fillId="0" borderId="0" xfId="0" applyNumberFormat="1" applyAlignment="1">
      <alignment wrapText="1"/>
    </xf>
    <xf numFmtId="14" fontId="6" fillId="0" borderId="0" xfId="0" applyNumberFormat="1" applyFont="1" applyAlignment="1">
      <alignment horizontal="center" vertical="center"/>
    </xf>
    <xf numFmtId="14" fontId="2" fillId="0" borderId="0" xfId="0" applyNumberFormat="1" applyFont="1"/>
    <xf numFmtId="10" fontId="0" fillId="0" borderId="0" xfId="2" applyNumberFormat="1" applyFont="1" applyBorder="1"/>
    <xf numFmtId="10" fontId="0" fillId="0" borderId="0" xfId="2" applyNumberFormat="1" applyFont="1" applyBorder="1" applyAlignment="1">
      <alignment wrapText="1"/>
    </xf>
    <xf numFmtId="168" fontId="0" fillId="0" borderId="0" xfId="0" applyNumberFormat="1"/>
    <xf numFmtId="10" fontId="2" fillId="0" borderId="0" xfId="2" applyNumberFormat="1" applyFont="1"/>
    <xf numFmtId="10" fontId="0" fillId="0" borderId="0" xfId="2" applyNumberFormat="1" applyFont="1" applyFill="1" applyBorder="1" applyAlignment="1">
      <alignment wrapText="1"/>
    </xf>
    <xf numFmtId="10" fontId="0" fillId="0" borderId="0" xfId="2" applyNumberFormat="1" applyFont="1" applyFill="1" applyBorder="1"/>
    <xf numFmtId="9" fontId="0" fillId="0" borderId="0" xfId="0" applyNumberFormat="1"/>
    <xf numFmtId="9" fontId="0" fillId="0" borderId="0" xfId="2" applyFont="1"/>
    <xf numFmtId="10" fontId="0" fillId="0" borderId="0" xfId="0" applyNumberFormat="1"/>
    <xf numFmtId="0" fontId="2" fillId="0" borderId="0" xfId="0" applyFont="1"/>
    <xf numFmtId="0" fontId="0" fillId="0" borderId="4" xfId="0" applyBorder="1"/>
    <xf numFmtId="0" fontId="0" fillId="0" borderId="6" xfId="0" applyBorder="1"/>
    <xf numFmtId="9" fontId="0" fillId="0" borderId="7" xfId="0" applyNumberFormat="1" applyBorder="1"/>
    <xf numFmtId="0" fontId="0" fillId="0" borderId="8" xfId="0" applyBorder="1"/>
    <xf numFmtId="0" fontId="0" fillId="0" borderId="10" xfId="0" applyBorder="1"/>
    <xf numFmtId="0" fontId="0" fillId="0" borderId="5" xfId="0" applyBorder="1"/>
    <xf numFmtId="6" fontId="0" fillId="0" borderId="0" xfId="0" applyNumberFormat="1"/>
    <xf numFmtId="0" fontId="0" fillId="0" borderId="7" xfId="0" applyBorder="1"/>
    <xf numFmtId="8" fontId="0" fillId="0" borderId="0" xfId="0" applyNumberFormat="1"/>
    <xf numFmtId="0" fontId="2" fillId="0" borderId="1" xfId="0" applyFont="1" applyBorder="1"/>
    <xf numFmtId="0" fontId="9" fillId="0" borderId="0" xfId="0" applyFont="1"/>
    <xf numFmtId="0" fontId="0" fillId="0" borderId="11" xfId="0" applyBorder="1"/>
    <xf numFmtId="0" fontId="10" fillId="0" borderId="0" xfId="0" applyFont="1"/>
    <xf numFmtId="0" fontId="11" fillId="0" borderId="0" xfId="0" applyFont="1"/>
    <xf numFmtId="0" fontId="9" fillId="0" borderId="4" xfId="0" applyFont="1" applyBorder="1"/>
    <xf numFmtId="0" fontId="9" fillId="0" borderId="6" xfId="0" applyFont="1" applyBorder="1"/>
    <xf numFmtId="0" fontId="9" fillId="0" borderId="8" xfId="0" applyFont="1" applyBorder="1"/>
    <xf numFmtId="8" fontId="0" fillId="0" borderId="6" xfId="0" applyNumberFormat="1" applyBorder="1"/>
    <xf numFmtId="0" fontId="0" fillId="0" borderId="9" xfId="0" applyBorder="1"/>
    <xf numFmtId="0" fontId="0" fillId="0" borderId="0" xfId="0" applyAlignment="1">
      <alignment horizontal="left" indent="1"/>
    </xf>
    <xf numFmtId="0" fontId="0" fillId="0" borderId="11" xfId="0" applyBorder="1" applyAlignment="1">
      <alignment horizontal="left" indent="1"/>
    </xf>
    <xf numFmtId="168" fontId="7" fillId="0" borderId="0" xfId="0" applyNumberFormat="1" applyFont="1" applyAlignment="1">
      <alignment horizontal="right" vertical="top"/>
    </xf>
    <xf numFmtId="44" fontId="0" fillId="0" borderId="0" xfId="3" applyFont="1" applyBorder="1"/>
    <xf numFmtId="9" fontId="0" fillId="0" borderId="0" xfId="2" applyFont="1" applyBorder="1"/>
    <xf numFmtId="37" fontId="0" fillId="0" borderId="0" xfId="0" applyNumberFormat="1"/>
    <xf numFmtId="43" fontId="0" fillId="0" borderId="0" xfId="0" applyNumberFormat="1"/>
    <xf numFmtId="0" fontId="8" fillId="2" borderId="1" xfId="0" applyFont="1" applyFill="1" applyBorder="1"/>
    <xf numFmtId="43" fontId="0" fillId="2" borderId="0" xfId="0" applyNumberFormat="1" applyFill="1"/>
    <xf numFmtId="0" fontId="8" fillId="0" borderId="15" xfId="0" applyFont="1" applyBorder="1"/>
    <xf numFmtId="0" fontId="8" fillId="0" borderId="16" xfId="0" applyFont="1" applyBorder="1"/>
    <xf numFmtId="0" fontId="8" fillId="0" borderId="17" xfId="0" applyFont="1" applyBorder="1"/>
    <xf numFmtId="10" fontId="8" fillId="0" borderId="18" xfId="2" applyNumberFormat="1" applyFont="1" applyBorder="1"/>
    <xf numFmtId="10" fontId="8" fillId="0" borderId="0" xfId="0" applyNumberFormat="1" applyFont="1"/>
    <xf numFmtId="10" fontId="8" fillId="0" borderId="19" xfId="0" applyNumberFormat="1" applyFont="1" applyBorder="1"/>
    <xf numFmtId="10" fontId="8" fillId="0" borderId="0" xfId="2" applyNumberFormat="1" applyFont="1" applyBorder="1"/>
    <xf numFmtId="10" fontId="8" fillId="0" borderId="19" xfId="2" applyNumberFormat="1" applyFont="1" applyBorder="1"/>
    <xf numFmtId="10" fontId="0" fillId="0" borderId="20" xfId="0" applyNumberFormat="1" applyBorder="1"/>
    <xf numFmtId="10" fontId="0" fillId="0" borderId="21" xfId="0" applyNumberFormat="1" applyBorder="1"/>
    <xf numFmtId="10" fontId="0" fillId="0" borderId="22" xfId="0" applyNumberFormat="1" applyBorder="1"/>
    <xf numFmtId="0" fontId="7" fillId="0" borderId="0" xfId="0" applyFont="1" applyAlignment="1">
      <alignment horizontal="left" vertical="top" indent="1"/>
    </xf>
    <xf numFmtId="0" fontId="7" fillId="0" borderId="0" xfId="0" applyFont="1" applyAlignment="1">
      <alignment horizontal="left" vertical="top" wrapText="1" indent="1"/>
    </xf>
    <xf numFmtId="167" fontId="7" fillId="0" borderId="0" xfId="0" applyNumberFormat="1" applyFont="1" applyAlignment="1">
      <alignment horizontal="right" vertical="top"/>
    </xf>
    <xf numFmtId="167" fontId="0" fillId="0" borderId="0" xfId="0" applyNumberFormat="1"/>
    <xf numFmtId="170" fontId="7" fillId="0" borderId="0" xfId="0" applyNumberFormat="1" applyFont="1" applyAlignment="1">
      <alignment horizontal="right" vertical="top"/>
    </xf>
    <xf numFmtId="0" fontId="7" fillId="0" borderId="21" xfId="0" applyFont="1" applyBorder="1" applyAlignment="1">
      <alignment vertical="top"/>
    </xf>
    <xf numFmtId="0" fontId="6" fillId="0" borderId="23" xfId="0" applyFont="1" applyBorder="1" applyAlignment="1">
      <alignment vertical="top"/>
    </xf>
    <xf numFmtId="0" fontId="0" fillId="0" borderId="24" xfId="0" applyBorder="1"/>
    <xf numFmtId="0" fontId="7" fillId="0" borderId="18" xfId="0" applyFont="1" applyBorder="1" applyAlignment="1">
      <alignment vertical="top"/>
    </xf>
    <xf numFmtId="167" fontId="7" fillId="0" borderId="19" xfId="0" applyNumberFormat="1" applyFont="1" applyBorder="1" applyAlignment="1">
      <alignment horizontal="right" vertical="top"/>
    </xf>
    <xf numFmtId="0" fontId="7" fillId="0" borderId="20" xfId="0" applyFont="1" applyBorder="1" applyAlignment="1">
      <alignment vertical="top"/>
    </xf>
    <xf numFmtId="167" fontId="0" fillId="0" borderId="22" xfId="0" applyNumberFormat="1" applyBorder="1"/>
    <xf numFmtId="0" fontId="7" fillId="0" borderId="18" xfId="0" applyFont="1" applyBorder="1" applyAlignment="1">
      <alignment horizontal="left" vertical="top" indent="1"/>
    </xf>
    <xf numFmtId="37" fontId="7" fillId="0" borderId="19" xfId="0" applyNumberFormat="1" applyFont="1" applyBorder="1" applyAlignment="1">
      <alignment horizontal="right" vertical="top"/>
    </xf>
    <xf numFmtId="0" fontId="7" fillId="0" borderId="20" xfId="0" applyFont="1" applyBorder="1" applyAlignment="1">
      <alignment horizontal="left" vertical="top" indent="1"/>
    </xf>
    <xf numFmtId="37" fontId="7" fillId="0" borderId="22" xfId="0" applyNumberFormat="1" applyFont="1" applyBorder="1" applyAlignment="1">
      <alignment horizontal="right" vertical="top"/>
    </xf>
    <xf numFmtId="0" fontId="6" fillId="0" borderId="23" xfId="0" applyFont="1" applyBorder="1" applyAlignment="1">
      <alignment vertical="top" wrapText="1"/>
    </xf>
    <xf numFmtId="0" fontId="7" fillId="0" borderId="18" xfId="0" applyFont="1" applyBorder="1" applyAlignment="1">
      <alignment horizontal="left" vertical="top" wrapText="1" indent="1"/>
    </xf>
    <xf numFmtId="0" fontId="7" fillId="0" borderId="20" xfId="0" applyFont="1" applyBorder="1" applyAlignment="1">
      <alignment horizontal="left" vertical="top" wrapText="1" indent="1"/>
    </xf>
    <xf numFmtId="167" fontId="0" fillId="0" borderId="24" xfId="0" applyNumberFormat="1" applyBorder="1"/>
    <xf numFmtId="167" fontId="0" fillId="0" borderId="19" xfId="0" applyNumberFormat="1" applyBorder="1"/>
    <xf numFmtId="167" fontId="7" fillId="0" borderId="22" xfId="0" applyNumberFormat="1" applyFont="1" applyBorder="1" applyAlignment="1">
      <alignment horizontal="right" vertical="top"/>
    </xf>
    <xf numFmtId="44" fontId="0" fillId="0" borderId="7" xfId="0" applyNumberFormat="1" applyBorder="1"/>
    <xf numFmtId="10" fontId="0" fillId="0" borderId="7" xfId="0" applyNumberFormat="1" applyBorder="1"/>
    <xf numFmtId="43" fontId="0" fillId="0" borderId="0" xfId="1" applyFont="1"/>
    <xf numFmtId="9" fontId="0" fillId="0" borderId="11" xfId="2" applyFont="1" applyBorder="1"/>
    <xf numFmtId="10" fontId="0" fillId="0" borderId="11" xfId="2" applyNumberFormat="1" applyFont="1" applyBorder="1"/>
    <xf numFmtId="10" fontId="0" fillId="0" borderId="9" xfId="0" applyNumberFormat="1" applyBorder="1"/>
    <xf numFmtId="43" fontId="8" fillId="0" borderId="0" xfId="1" applyFont="1" applyBorder="1"/>
    <xf numFmtId="9" fontId="2" fillId="0" borderId="0" xfId="0" applyNumberFormat="1" applyFont="1"/>
    <xf numFmtId="9" fontId="2" fillId="0" borderId="0" xfId="2" applyFont="1"/>
    <xf numFmtId="171" fontId="0" fillId="0" borderId="0" xfId="0" applyNumberFormat="1"/>
    <xf numFmtId="171" fontId="2" fillId="0" borderId="0" xfId="0" applyNumberFormat="1" applyFont="1"/>
    <xf numFmtId="169" fontId="0" fillId="0" borderId="26" xfId="0" applyNumberFormat="1" applyBorder="1"/>
    <xf numFmtId="0" fontId="9" fillId="0" borderId="26" xfId="0" applyFont="1" applyBorder="1"/>
    <xf numFmtId="0" fontId="9" fillId="0" borderId="27" xfId="0" applyFont="1" applyBorder="1"/>
    <xf numFmtId="6" fontId="0" fillId="0" borderId="6" xfId="0" applyNumberFormat="1" applyBorder="1"/>
    <xf numFmtId="0" fontId="2" fillId="0" borderId="26" xfId="0" applyFont="1" applyBorder="1"/>
    <xf numFmtId="0" fontId="2" fillId="0" borderId="6" xfId="0" applyFont="1" applyBorder="1"/>
    <xf numFmtId="0" fontId="2" fillId="0" borderId="28" xfId="0" applyFont="1" applyBorder="1"/>
    <xf numFmtId="0" fontId="2" fillId="0" borderId="26" xfId="0" applyFont="1" applyBorder="1" applyAlignment="1">
      <alignment horizontal="left" indent="1"/>
    </xf>
    <xf numFmtId="0" fontId="0" fillId="0" borderId="8" xfId="0" applyBorder="1" applyAlignment="1">
      <alignment horizontal="left" indent="1"/>
    </xf>
    <xf numFmtId="0" fontId="2" fillId="0" borderId="8" xfId="0" applyFont="1" applyBorder="1" applyAlignment="1">
      <alignment horizontal="left" indent="1"/>
    </xf>
    <xf numFmtId="0" fontId="2" fillId="0" borderId="25" xfId="0" applyFont="1" applyBorder="1"/>
    <xf numFmtId="0" fontId="2" fillId="0" borderId="12" xfId="0" applyFont="1" applyBorder="1"/>
    <xf numFmtId="0" fontId="2" fillId="0" borderId="31" xfId="0" applyFont="1" applyBorder="1"/>
    <xf numFmtId="169" fontId="2" fillId="0" borderId="31" xfId="0" applyNumberFormat="1" applyFont="1" applyBorder="1"/>
    <xf numFmtId="169" fontId="2" fillId="0" borderId="32" xfId="0" applyNumberFormat="1" applyFont="1" applyBorder="1"/>
    <xf numFmtId="169" fontId="2" fillId="0" borderId="30" xfId="0" applyNumberFormat="1" applyFont="1" applyBorder="1"/>
    <xf numFmtId="167" fontId="0" fillId="0" borderId="7" xfId="0" applyNumberFormat="1" applyBorder="1"/>
    <xf numFmtId="167" fontId="0" fillId="0" borderId="11" xfId="0" applyNumberFormat="1" applyBorder="1"/>
    <xf numFmtId="43" fontId="0" fillId="0" borderId="9" xfId="0" applyNumberFormat="1" applyBorder="1"/>
    <xf numFmtId="170" fontId="0" fillId="0" borderId="0" xfId="0" applyNumberFormat="1"/>
    <xf numFmtId="170" fontId="0" fillId="0" borderId="7" xfId="0" applyNumberFormat="1" applyBorder="1"/>
    <xf numFmtId="167" fontId="0" fillId="0" borderId="9" xfId="0" applyNumberFormat="1" applyBorder="1"/>
    <xf numFmtId="170" fontId="0" fillId="0" borderId="11" xfId="0" applyNumberFormat="1" applyBorder="1"/>
    <xf numFmtId="170" fontId="0" fillId="0" borderId="9" xfId="0" applyNumberFormat="1" applyBorder="1"/>
    <xf numFmtId="167" fontId="0" fillId="0" borderId="6" xfId="0" applyNumberFormat="1" applyBorder="1"/>
    <xf numFmtId="167" fontId="0" fillId="0" borderId="8" xfId="0" applyNumberFormat="1" applyBorder="1"/>
    <xf numFmtId="167" fontId="0" fillId="0" borderId="10" xfId="0" applyNumberFormat="1" applyBorder="1"/>
    <xf numFmtId="167" fontId="0" fillId="0" borderId="5" xfId="0" applyNumberFormat="1" applyBorder="1"/>
    <xf numFmtId="167" fontId="0" fillId="0" borderId="26" xfId="0" applyNumberFormat="1" applyBorder="1"/>
    <xf numFmtId="167" fontId="0" fillId="0" borderId="27" xfId="0" applyNumberFormat="1" applyBorder="1"/>
    <xf numFmtId="170" fontId="0" fillId="0" borderId="26" xfId="0" applyNumberFormat="1" applyBorder="1"/>
    <xf numFmtId="170" fontId="2" fillId="0" borderId="29" xfId="0" applyNumberFormat="1" applyFont="1" applyBorder="1"/>
    <xf numFmtId="170" fontId="2" fillId="0" borderId="28" xfId="0" applyNumberFormat="1" applyFont="1" applyBorder="1"/>
    <xf numFmtId="167" fontId="2" fillId="0" borderId="25" xfId="0" applyNumberFormat="1" applyFont="1" applyBorder="1"/>
    <xf numFmtId="167" fontId="2" fillId="0" borderId="26" xfId="0" applyNumberFormat="1" applyFont="1" applyBorder="1"/>
    <xf numFmtId="167" fontId="2" fillId="0" borderId="27" xfId="0" applyNumberFormat="1" applyFont="1" applyBorder="1"/>
    <xf numFmtId="170" fontId="0" fillId="0" borderId="6" xfId="0" applyNumberFormat="1" applyBorder="1"/>
    <xf numFmtId="170" fontId="2" fillId="0" borderId="26" xfId="0" applyNumberFormat="1" applyFont="1" applyBorder="1"/>
    <xf numFmtId="170" fontId="2" fillId="0" borderId="27" xfId="0" applyNumberFormat="1" applyFont="1" applyBorder="1"/>
    <xf numFmtId="170" fontId="2" fillId="0" borderId="13" xfId="0" applyNumberFormat="1" applyFont="1" applyBorder="1"/>
    <xf numFmtId="170" fontId="2" fillId="0" borderId="12" xfId="0" applyNumberFormat="1" applyFont="1" applyBorder="1"/>
    <xf numFmtId="170" fontId="2" fillId="0" borderId="14" xfId="0" applyNumberFormat="1" applyFont="1" applyBorder="1"/>
    <xf numFmtId="167" fontId="0" fillId="2" borderId="7" xfId="0" applyNumberFormat="1" applyFill="1" applyBorder="1" applyAlignment="1">
      <alignment horizontal="right"/>
    </xf>
    <xf numFmtId="167" fontId="0" fillId="2" borderId="7" xfId="0" applyNumberFormat="1" applyFill="1" applyBorder="1"/>
    <xf numFmtId="170" fontId="0" fillId="2" borderId="5" xfId="0" applyNumberFormat="1" applyFill="1" applyBorder="1" applyAlignment="1">
      <alignment horizontal="right"/>
    </xf>
    <xf numFmtId="172" fontId="0" fillId="2" borderId="9" xfId="0" applyNumberFormat="1" applyFill="1" applyBorder="1"/>
    <xf numFmtId="170" fontId="0" fillId="0" borderId="27" xfId="0" applyNumberFormat="1" applyBorder="1"/>
    <xf numFmtId="0" fontId="9" fillId="0" borderId="1" xfId="0" applyFont="1" applyBorder="1"/>
    <xf numFmtId="0" fontId="9" fillId="0" borderId="33" xfId="0" applyFont="1" applyBorder="1"/>
    <xf numFmtId="0" fontId="9" fillId="0" borderId="34" xfId="0" applyFont="1" applyBorder="1"/>
    <xf numFmtId="0" fontId="9" fillId="0" borderId="35" xfId="0" applyFont="1" applyBorder="1"/>
    <xf numFmtId="172" fontId="0" fillId="0" borderId="7" xfId="0" applyNumberFormat="1" applyBorder="1"/>
    <xf numFmtId="0" fontId="2" fillId="2" borderId="36" xfId="0" applyFont="1" applyFill="1" applyBorder="1"/>
    <xf numFmtId="0" fontId="2" fillId="2" borderId="37" xfId="0" applyFont="1" applyFill="1" applyBorder="1"/>
    <xf numFmtId="0" fontId="2" fillId="2" borderId="38" xfId="0" applyFont="1" applyFill="1" applyBorder="1"/>
    <xf numFmtId="172" fontId="0" fillId="0" borderId="9" xfId="0" applyNumberFormat="1" applyBorder="1"/>
    <xf numFmtId="0" fontId="2" fillId="2" borderId="39" xfId="0" applyFont="1" applyFill="1" applyBorder="1"/>
    <xf numFmtId="172" fontId="0" fillId="0" borderId="37" xfId="0" applyNumberFormat="1" applyBorder="1"/>
    <xf numFmtId="172" fontId="0" fillId="0" borderId="38" xfId="0" applyNumberFormat="1" applyBorder="1"/>
    <xf numFmtId="0" fontId="2" fillId="2" borderId="27" xfId="0" applyFont="1" applyFill="1" applyBorder="1"/>
    <xf numFmtId="10" fontId="0" fillId="0" borderId="11" xfId="0" applyNumberFormat="1" applyBorder="1"/>
    <xf numFmtId="0" fontId="2" fillId="2" borderId="26" xfId="0" applyFont="1" applyFill="1" applyBorder="1"/>
    <xf numFmtId="0" fontId="2" fillId="0" borderId="37" xfId="0" applyFont="1" applyBorder="1"/>
    <xf numFmtId="0" fontId="2" fillId="0" borderId="38" xfId="0" applyFont="1" applyBorder="1"/>
    <xf numFmtId="172" fontId="0" fillId="0" borderId="0" xfId="0" applyNumberFormat="1"/>
    <xf numFmtId="2" fontId="0" fillId="0" borderId="9" xfId="0" applyNumberFormat="1" applyBorder="1"/>
    <xf numFmtId="0" fontId="0" fillId="2" borderId="0" xfId="0" applyFill="1" applyAlignment="1">
      <alignment horizontal="center"/>
    </xf>
    <xf numFmtId="0" fontId="2" fillId="0" borderId="4" xfId="0" applyFont="1" applyBorder="1" applyAlignment="1">
      <alignment horizontal="center"/>
    </xf>
    <xf numFmtId="0" fontId="2" fillId="2" borderId="25" xfId="0" applyFont="1" applyFill="1" applyBorder="1" applyAlignment="1">
      <alignment horizontal="center"/>
    </xf>
    <xf numFmtId="0" fontId="2" fillId="2" borderId="27" xfId="0" applyFont="1" applyFill="1" applyBorder="1" applyAlignment="1">
      <alignment horizontal="center"/>
    </xf>
    <xf numFmtId="0" fontId="12" fillId="3" borderId="0" xfId="0" applyFont="1" applyFill="1" applyAlignment="1">
      <alignment horizontal="center" vertical="top" wrapText="1"/>
    </xf>
    <xf numFmtId="0" fontId="0" fillId="0" borderId="0" xfId="0" applyAlignment="1">
      <alignment horizontal="center"/>
    </xf>
    <xf numFmtId="0" fontId="6" fillId="0" borderId="0" xfId="0" applyFont="1" applyAlignment="1">
      <alignment horizontal="center" vertical="top"/>
    </xf>
    <xf numFmtId="0" fontId="2" fillId="0" borderId="0" xfId="0" applyFont="1" applyAlignment="1">
      <alignment horizontal="center"/>
    </xf>
    <xf numFmtId="0" fontId="6" fillId="0" borderId="0" xfId="0" applyFont="1" applyAlignment="1">
      <alignment horizontal="center" vertical="center" wrapText="1"/>
    </xf>
    <xf numFmtId="0" fontId="0" fillId="0" borderId="0" xfId="0"/>
    <xf numFmtId="0" fontId="7" fillId="0" borderId="0" xfId="0" applyFont="1" applyAlignment="1">
      <alignment horizontal="center" vertical="center" wrapText="1"/>
    </xf>
  </cellXfs>
  <cellStyles count="4">
    <cellStyle name="Comma" xfId="1" builtinId="3"/>
    <cellStyle name="Currency" xfId="3"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'MONTE CARLO'!$O$28</c:f>
              <c:strCache>
                <c:ptCount val="1"/>
                <c:pt idx="0">
                  <c:v>FREQ</c:v>
                </c:pt>
              </c:strCache>
            </c:strRef>
          </c:tx>
          <c:spPr>
            <a:solidFill>
              <a:schemeClr val="accent1"/>
            </a:solidFill>
            <a:ln>
              <a:noFill/>
            </a:ln>
            <a:effectLst/>
          </c:spPr>
          <c:invertIfNegative val="0"/>
          <c:cat>
            <c:numRef>
              <c:f>'MONTE CARLO'!$N$29:$N$44</c:f>
              <c:numCache>
                <c:formatCode>_([$$-409]* #,##0.00_);_([$$-409]* \(#,##0.00\);_([$$-409]* "-"??_);_(@_)</c:formatCode>
                <c:ptCount val="16"/>
                <c:pt idx="0">
                  <c:v>-918.64851495522498</c:v>
                </c:pt>
                <c:pt idx="1">
                  <c:v>-686.61399695400871</c:v>
                </c:pt>
                <c:pt idx="2">
                  <c:v>-454.57947895279244</c:v>
                </c:pt>
                <c:pt idx="3">
                  <c:v>-222.54496095157617</c:v>
                </c:pt>
                <c:pt idx="4">
                  <c:v>9.4895570496400978</c:v>
                </c:pt>
                <c:pt idx="5">
                  <c:v>241.52407505085637</c:v>
                </c:pt>
                <c:pt idx="6">
                  <c:v>473.55859305207264</c:v>
                </c:pt>
                <c:pt idx="7">
                  <c:v>705.59311105328891</c:v>
                </c:pt>
                <c:pt idx="8">
                  <c:v>937.62762905450518</c:v>
                </c:pt>
                <c:pt idx="9">
                  <c:v>1169.6621470557216</c:v>
                </c:pt>
                <c:pt idx="10">
                  <c:v>1401.6966650569379</c:v>
                </c:pt>
                <c:pt idx="11">
                  <c:v>1633.7311830581543</c:v>
                </c:pt>
                <c:pt idx="12">
                  <c:v>1865.7657010593707</c:v>
                </c:pt>
                <c:pt idx="13">
                  <c:v>2097.8002190605871</c:v>
                </c:pt>
                <c:pt idx="14">
                  <c:v>2329.8347370618035</c:v>
                </c:pt>
                <c:pt idx="15">
                  <c:v>2561.8692550630199</c:v>
                </c:pt>
              </c:numCache>
            </c:numRef>
          </c:cat>
          <c:val>
            <c:numRef>
              <c:f>'MONTE CARLO'!$O$29:$O$44</c:f>
              <c:numCache>
                <c:formatCode>General</c:formatCode>
                <c:ptCount val="16"/>
                <c:pt idx="0">
                  <c:v>0</c:v>
                </c:pt>
                <c:pt idx="1">
                  <c:v>0</c:v>
                </c:pt>
                <c:pt idx="2">
                  <c:v>0</c:v>
                </c:pt>
                <c:pt idx="3">
                  <c:v>0</c:v>
                </c:pt>
                <c:pt idx="4">
                  <c:v>0</c:v>
                </c:pt>
                <c:pt idx="5">
                  <c:v>25</c:v>
                </c:pt>
                <c:pt idx="6">
                  <c:v>81</c:v>
                </c:pt>
                <c:pt idx="7">
                  <c:v>118</c:v>
                </c:pt>
                <c:pt idx="8">
                  <c:v>148</c:v>
                </c:pt>
                <c:pt idx="9">
                  <c:v>163</c:v>
                </c:pt>
                <c:pt idx="10">
                  <c:v>166</c:v>
                </c:pt>
                <c:pt idx="11">
                  <c:v>178</c:v>
                </c:pt>
                <c:pt idx="12">
                  <c:v>178</c:v>
                </c:pt>
                <c:pt idx="13">
                  <c:v>181</c:v>
                </c:pt>
                <c:pt idx="14">
                  <c:v>181</c:v>
                </c:pt>
                <c:pt idx="15">
                  <c:v>183</c:v>
                </c:pt>
              </c:numCache>
            </c:numRef>
          </c:val>
          <c:extLst>
            <c:ext xmlns:c16="http://schemas.microsoft.com/office/drawing/2014/chart" uri="{C3380CC4-5D6E-409C-BE32-E72D297353CC}">
              <c16:uniqueId val="{00000000-F7AE-E64F-9238-6A3AE7F8E44B}"/>
            </c:ext>
          </c:extLst>
        </c:ser>
        <c:dLbls>
          <c:showLegendKey val="0"/>
          <c:showVal val="0"/>
          <c:showCatName val="0"/>
          <c:showSerName val="0"/>
          <c:showPercent val="0"/>
          <c:showBubbleSize val="0"/>
        </c:dLbls>
        <c:gapWidth val="219"/>
        <c:overlap val="-27"/>
        <c:axId val="1200564783"/>
        <c:axId val="1149823071"/>
      </c:barChart>
      <c:catAx>
        <c:axId val="1200564783"/>
        <c:scaling>
          <c:orientation val="minMax"/>
        </c:scaling>
        <c:delete val="0"/>
        <c:axPos val="b"/>
        <c:numFmt formatCode="_([$$-409]* #,##0.00_);_([$$-409]* \(#,##0.00\);_([$$-409]*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9823071"/>
        <c:crosses val="autoZero"/>
        <c:auto val="1"/>
        <c:lblAlgn val="ctr"/>
        <c:lblOffset val="100"/>
        <c:noMultiLvlLbl val="0"/>
      </c:catAx>
      <c:valAx>
        <c:axId val="1149823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564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2397</xdr:colOff>
      <xdr:row>46</xdr:row>
      <xdr:rowOff>54154</xdr:rowOff>
    </xdr:from>
    <xdr:to>
      <xdr:col>19</xdr:col>
      <xdr:colOff>23963</xdr:colOff>
      <xdr:row>67</xdr:row>
      <xdr:rowOff>35944</xdr:rowOff>
    </xdr:to>
    <xdr:graphicFrame macro="">
      <xdr:nvGraphicFramePr>
        <xdr:cNvPr id="9" name="Chart 4">
          <a:extLst>
            <a:ext uri="{FF2B5EF4-FFF2-40B4-BE49-F238E27FC236}">
              <a16:creationId xmlns:a16="http://schemas.microsoft.com/office/drawing/2014/main" id="{552D3B7D-1EED-AC3A-B062-067EEB0CF2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Sandhya Muthukumar" id="{231008C6-61E9-7744-87AF-FBB7B905BBE1}" userId="S::sm91068@uga.edu::75e12945-8202-46d9-bf67-056dd32a86f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0" dT="2023-03-30T01:43:42.55" personId="{231008C6-61E9-7744-87AF-FBB7B905BBE1}" id="{36B48CB4-9465-004B-87E7-2545A51C4ADE}">
    <text xml:space="preserve">Used Net PPE to compute this. Should we use gross?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F8857-9AE4-0742-97ED-092C4CA8EAF3}">
  <dimension ref="A1:P37"/>
  <sheetViews>
    <sheetView workbookViewId="0">
      <selection activeCell="C29" sqref="C29"/>
    </sheetView>
  </sheetViews>
  <sheetFormatPr defaultColWidth="11" defaultRowHeight="15.9" x14ac:dyDescent="0.45"/>
  <cols>
    <col min="1" max="1" width="36.35546875" customWidth="1"/>
    <col min="2" max="5" width="11.5" bestFit="1" customWidth="1"/>
    <col min="6" max="6" width="14.5" customWidth="1"/>
    <col min="7" max="7" width="12.640625" customWidth="1"/>
    <col min="8" max="8" width="12.85546875" bestFit="1" customWidth="1"/>
    <col min="9" max="12" width="11.5" bestFit="1" customWidth="1"/>
    <col min="13" max="13" width="13.5" customWidth="1"/>
  </cols>
  <sheetData>
    <row r="1" spans="1:16" x14ac:dyDescent="0.45">
      <c r="A1" s="3" t="s">
        <v>0</v>
      </c>
      <c r="B1" s="2">
        <v>2017</v>
      </c>
      <c r="C1" s="2">
        <v>2018</v>
      </c>
      <c r="D1" s="2">
        <v>2019</v>
      </c>
      <c r="E1" s="2">
        <v>2020</v>
      </c>
      <c r="F1" s="2">
        <v>2021</v>
      </c>
      <c r="G1" s="2">
        <v>2022</v>
      </c>
      <c r="H1" s="75">
        <v>2023</v>
      </c>
      <c r="I1" s="76">
        <v>2024</v>
      </c>
      <c r="J1" s="76">
        <v>2025</v>
      </c>
      <c r="K1" s="76">
        <v>2026</v>
      </c>
      <c r="L1" s="77">
        <v>2027</v>
      </c>
      <c r="M1" s="56" t="s">
        <v>1</v>
      </c>
    </row>
    <row r="2" spans="1:16" x14ac:dyDescent="0.45">
      <c r="A2" s="4" t="s">
        <v>2</v>
      </c>
      <c r="B2" s="37"/>
      <c r="C2" s="37">
        <f>('2018 Income'!B3-'2017 Income'!B3)/'2017 Income'!B3</f>
        <v>0.28226637922954356</v>
      </c>
      <c r="D2" s="37">
        <f>('2019 Income'!B4-'2018 Income'!B3)/'2018 Income'!B3</f>
        <v>-0.33061657103176051</v>
      </c>
      <c r="E2" s="37">
        <f>('2020 Income'!B3-'2019 Income'!B4)/'2019 Income'!B4</f>
        <v>0.13972153972153972</v>
      </c>
      <c r="F2" s="37">
        <f>('2021 Income'!C3-'2020 Income'!B3)/'2020 Income'!B3</f>
        <v>0.2209207626712657</v>
      </c>
      <c r="G2" s="37">
        <f>('2022 Income'!C4-'2021 Income'!C3)/'2021 Income'!C3</f>
        <v>0.16589825587098547</v>
      </c>
      <c r="H2" s="78">
        <f>_xlfn.FORECAST.LINEAR($H$1,C2:G2,$C$1:$G$1)</f>
        <v>0.19127839938809643</v>
      </c>
      <c r="I2" s="79">
        <f>FORECAST($I$1,C2:H2,$C$1:$H$1)</f>
        <v>0.22315850808666937</v>
      </c>
      <c r="J2" s="79">
        <f>FORECAST($J$1,C2:I2,$C$1:$I$1)</f>
        <v>0.25503861678527073</v>
      </c>
      <c r="K2" s="79">
        <f>FORECAST($K$1,C2:J2,$C$1:$J$1)</f>
        <v>0.28691872548384367</v>
      </c>
      <c r="L2" s="80">
        <f>FORECAST($L$1,C2:K2,$C$1:$K$1)</f>
        <v>0.31879883418244503</v>
      </c>
      <c r="M2" s="40">
        <f>AVERAGE(C2:G2)</f>
        <v>9.5638073292314801E-2</v>
      </c>
    </row>
    <row r="3" spans="1:16" x14ac:dyDescent="0.45">
      <c r="A3" s="4" t="s">
        <v>3</v>
      </c>
      <c r="B3" s="37">
        <f>'2017 Balance'!B3/'2017 Income'!B5</f>
        <v>0.18171219919933132</v>
      </c>
      <c r="C3" s="37">
        <f>'2018 Balance'!B3/'2018 Income'!B3</f>
        <v>0.14358027849859289</v>
      </c>
      <c r="D3" s="37">
        <f>'2019 Balance'!B3/'2019 Income'!B3</f>
        <v>0.15397769516728624</v>
      </c>
      <c r="E3" s="37">
        <f>'2020 Balance'!B3/'2020 Income'!B3</f>
        <v>0.22401073105298458</v>
      </c>
      <c r="F3" s="37">
        <f>'2021 Balance'!B3/'2021 Income'!C3</f>
        <v>0.18155421710384337</v>
      </c>
      <c r="G3" s="37">
        <f>'2022 Balance'!B2/'2022 Income'!C4</f>
        <v>0.11785888569168897</v>
      </c>
      <c r="H3" s="78">
        <f t="shared" ref="H3:H6" si="0">_xlfn.FORECAST.LINEAR($H$1,C3:G3,$C$1:$G$1)</f>
        <v>0.15703648239970391</v>
      </c>
      <c r="I3" s="79">
        <f t="shared" ref="I3:I7" si="1">FORECAST($I$1,C3:H3,$C$1:$H$1)</f>
        <v>0.15464985603197956</v>
      </c>
      <c r="J3" s="79">
        <f t="shared" ref="J3:J7" si="2">FORECAST($J$1,C3:I3,$C$1:$I$1)</f>
        <v>0.15226322966425432</v>
      </c>
      <c r="K3" s="79">
        <f t="shared" ref="K3:K7" si="3">FORECAST($K$1,C3:J3,$C$1:$J$1)</f>
        <v>0.14987660329652908</v>
      </c>
      <c r="L3" s="80">
        <f t="shared" ref="L3:L7" si="4">FORECAST($L$1,C3:K3,$C$1:$K$1)</f>
        <v>0.14748997692880383</v>
      </c>
      <c r="M3" s="40">
        <f>AVERAGE(C3:G3)</f>
        <v>0.16419636150287922</v>
      </c>
    </row>
    <row r="4" spans="1:16" x14ac:dyDescent="0.45">
      <c r="A4" s="4" t="s">
        <v>4</v>
      </c>
      <c r="B4" s="37">
        <f>'2017 Balance'!B8/'2017 Income'!B5</f>
        <v>0.7972372530904932</v>
      </c>
      <c r="C4" s="37">
        <f>'2018 Balance'!B8/'2018 Income'!B3</f>
        <v>0.70543839771938155</v>
      </c>
      <c r="D4" s="37">
        <f>'2019 Balance'!B8/'2019 Income'!B3</f>
        <v>0.72849442379182161</v>
      </c>
      <c r="E4" s="37">
        <f>'2020 Balance'!B8/'2020 Income'!B3</f>
        <v>0.94529079237328739</v>
      </c>
      <c r="F4" s="37">
        <f>'2021 Balance'!B8/'2021 Income'!C3</f>
        <v>0.85254360322536349</v>
      </c>
      <c r="G4" s="37">
        <f>'2022 Balance'!B7/'2022 Income'!C4</f>
        <v>0.73678630925336963</v>
      </c>
      <c r="H4" s="78">
        <f t="shared" si="0"/>
        <v>0.84973420602310057</v>
      </c>
      <c r="I4" s="79">
        <f t="shared" si="1"/>
        <v>0.86840870627325017</v>
      </c>
      <c r="J4" s="79">
        <f t="shared" si="2"/>
        <v>0.88708320652339978</v>
      </c>
      <c r="K4" s="79">
        <f t="shared" si="3"/>
        <v>0.90575770677354939</v>
      </c>
      <c r="L4" s="80">
        <f t="shared" si="4"/>
        <v>0.92443220702369899</v>
      </c>
      <c r="M4" s="40">
        <f t="shared" ref="M4:M9" si="5">AVERAGE(C4:G4)</f>
        <v>0.79371070527264476</v>
      </c>
    </row>
    <row r="5" spans="1:16" x14ac:dyDescent="0.45">
      <c r="A5" s="4" t="s">
        <v>5</v>
      </c>
      <c r="B5" s="37">
        <f>'2017 Balance'!B29/'2017 Income'!B5</f>
        <v>0.59238484888478293</v>
      </c>
      <c r="C5" s="37">
        <f>'2018 Balance'!B29/'2018 Income'!B3</f>
        <v>0.51566097730346117</v>
      </c>
      <c r="D5" s="37">
        <f>'2019 Balance'!B29/'2019 Income'!B3</f>
        <v>0.49481412639405203</v>
      </c>
      <c r="E5" s="37">
        <f>'2020 Balance'!B26/'2020 Income'!B3</f>
        <v>0.61600555715243843</v>
      </c>
      <c r="F5" s="37">
        <f>'2021 Balance'!B26/'2021 Income'!C3</f>
        <v>0.58556826430715503</v>
      </c>
      <c r="G5" s="37">
        <f>'2022 Balance'!B25/'2022 Income'!C4</f>
        <v>0.53058374139700815</v>
      </c>
      <c r="H5" s="78">
        <f t="shared" si="0"/>
        <v>0.58470643314088022</v>
      </c>
      <c r="I5" s="79">
        <f t="shared" si="1"/>
        <v>0.5967663997509014</v>
      </c>
      <c r="J5" s="79">
        <f t="shared" si="2"/>
        <v>0.60882636636091902</v>
      </c>
      <c r="K5" s="79">
        <f t="shared" si="3"/>
        <v>0.6208863329709402</v>
      </c>
      <c r="L5" s="80">
        <f t="shared" si="4"/>
        <v>0.63294629958096138</v>
      </c>
      <c r="M5" s="40">
        <f t="shared" si="5"/>
        <v>0.54852653331082302</v>
      </c>
      <c r="P5" t="s">
        <v>6</v>
      </c>
    </row>
    <row r="6" spans="1:16" x14ac:dyDescent="0.45">
      <c r="A6" s="4" t="s">
        <v>7</v>
      </c>
      <c r="B6" s="37">
        <f>'2017 Balance'!B9/'2017 Income'!B5</f>
        <v>0.31135893713430995</v>
      </c>
      <c r="C6" s="37">
        <f>'2018 Balance'!B9/'2018 Income'!B3</f>
        <v>0.2480537992032455</v>
      </c>
      <c r="D6" s="37">
        <f>'2019 Balance'!B9/'2019 Income'!B3</f>
        <v>0.23985130111524164</v>
      </c>
      <c r="E6" s="37">
        <f>'2020 Balance'!B9/'2020 Income'!B3</f>
        <v>0.29704416978058829</v>
      </c>
      <c r="F6" s="37">
        <f>'2021 Balance'!B9/'2021 Income'!C3</f>
        <v>0.23719369837750878</v>
      </c>
      <c r="G6" s="37">
        <f>'2022 Balance'!B8/'2022 Income'!C4</f>
        <v>0.20239958268127281</v>
      </c>
      <c r="H6" s="78">
        <f t="shared" si="0"/>
        <v>0.2167186994970649</v>
      </c>
      <c r="I6" s="79">
        <f t="shared" si="1"/>
        <v>0.20732209591889728</v>
      </c>
      <c r="J6" s="79">
        <f t="shared" si="2"/>
        <v>0.1979254923407332</v>
      </c>
      <c r="K6" s="79">
        <f t="shared" si="3"/>
        <v>0.18852888876256202</v>
      </c>
      <c r="L6" s="80">
        <f t="shared" si="4"/>
        <v>0.17913228518439794</v>
      </c>
      <c r="M6" s="40">
        <f t="shared" si="5"/>
        <v>0.2449085102315714</v>
      </c>
    </row>
    <row r="7" spans="1:16" x14ac:dyDescent="0.45">
      <c r="A7" s="4" t="s">
        <v>8</v>
      </c>
      <c r="B7" s="37">
        <f>'2017 Income'!B7/'2017 Income'!B5</f>
        <v>0.68296599357705334</v>
      </c>
      <c r="C7" s="37">
        <f>'2018 Income'!B4/'2018 Income'!B3</f>
        <v>0.67609005518804133</v>
      </c>
      <c r="D7" s="37">
        <f>'2019 Income'!B4/'2019 Income'!B3</f>
        <v>0.68085501858736064</v>
      </c>
      <c r="E7" s="37">
        <f>'2020 Income'!B5/'2020 Income'!B3</f>
        <v>0.69660822075308992</v>
      </c>
      <c r="F7" s="37">
        <f>'2021 Income'!C5/'2021 Income'!C3</f>
        <v>0.69672951286025386</v>
      </c>
      <c r="G7" s="37">
        <f>'2022 Income'!C6/'2022 Income'!C4</f>
        <v>0.69581166809699291</v>
      </c>
      <c r="H7" s="78">
        <f>_xlfn.FORECAST.LINEAR($H$1,C7:G7,$C$1:$G$1)</f>
        <v>0.70581421112438569</v>
      </c>
      <c r="I7" s="79">
        <f t="shared" si="1"/>
        <v>0.71134598313346586</v>
      </c>
      <c r="J7" s="79">
        <f t="shared" si="2"/>
        <v>0.71687775514254426</v>
      </c>
      <c r="K7" s="79">
        <f t="shared" si="3"/>
        <v>0.72240952715162443</v>
      </c>
      <c r="L7" s="80">
        <f t="shared" si="4"/>
        <v>0.7279412991607046</v>
      </c>
      <c r="M7" s="40">
        <f t="shared" si="5"/>
        <v>0.68921889509714762</v>
      </c>
    </row>
    <row r="8" spans="1:16" ht="31.75" x14ac:dyDescent="0.45">
      <c r="A8" s="5" t="s">
        <v>9</v>
      </c>
      <c r="B8" s="41">
        <f>'2017 Income'!B10/'2017 Balance'!B19</f>
        <v>0.13358147229114972</v>
      </c>
      <c r="C8" s="41">
        <f>'2018 Income'!B8/'2018 Balance'!B19</f>
        <v>0.12615760964529094</v>
      </c>
      <c r="D8" s="41">
        <f>'2019 Income'!B8/'2019 Balance'!B19</f>
        <v>0.14609571788413098</v>
      </c>
      <c r="E8" s="41">
        <f>'2020 Income'!B31/('2020 Balance'!B18-10)</f>
        <v>0.29376558603491271</v>
      </c>
      <c r="F8" s="41">
        <f>'2021 Income'!C31/'2021 Balance'!B52</f>
        <v>8.4337349397590355E-2</v>
      </c>
      <c r="G8" s="41">
        <f>'2022 Income'!C33/'2022 Balance'!B51</f>
        <v>9.4894188780651659E-2</v>
      </c>
      <c r="H8" s="78">
        <f>_xlfn.FORECAST.LINEAR($H$1,C8:G8,$C$1:$G$1)</f>
        <v>0.11176452728377129</v>
      </c>
      <c r="I8" s="79">
        <f t="shared" ref="I8" si="6">FORECAST($I$1,C8:H8,$C$1:$H$1)</f>
        <v>9.9336006262188192E-2</v>
      </c>
      <c r="J8" s="79">
        <f t="shared" ref="J8" si="7">FORECAST($J$1,C8:I8,$C$1:$I$1)</f>
        <v>8.6907485240605098E-2</v>
      </c>
      <c r="K8" s="79">
        <f t="shared" ref="K8" si="8">FORECAST($K$1,C8:J8,$C$1:$J$1)</f>
        <v>7.4478964219022004E-2</v>
      </c>
      <c r="L8" s="80">
        <f>FORECAST($L$1,C8:K8,$C$1:$K$1)</f>
        <v>6.2050443197442462E-2</v>
      </c>
      <c r="M8" s="40">
        <f>AVERAGE(C8:G8)</f>
        <v>0.1490500903485153</v>
      </c>
    </row>
    <row r="9" spans="1:16" ht="31.75" x14ac:dyDescent="0.45">
      <c r="A9" s="5" t="s">
        <v>10</v>
      </c>
      <c r="B9" s="42">
        <f>B25/'2017 Income'!B23</f>
        <v>2.4283819628647216</v>
      </c>
      <c r="C9" s="42">
        <f>C25/'2018 Income'!B21</f>
        <v>0.31739059703920613</v>
      </c>
      <c r="D9" s="42">
        <f>D25/'2019 Income'!B21</f>
        <v>0.34990973247989499</v>
      </c>
      <c r="E9" s="42">
        <f>E25/'2020 Income'!B18</f>
        <v>0.7481654436290861</v>
      </c>
      <c r="F9" s="42">
        <f>F25/'2021 Income'!C18</f>
        <v>0.35937740792109724</v>
      </c>
      <c r="G9" s="42">
        <f>G25/'2022 Income'!C20</f>
        <v>0.36390753169276657</v>
      </c>
      <c r="H9" s="78">
        <f>_xlfn.FORECAST.LINEAR(H1,$C9:G9,$C1:G1)</f>
        <v>0.45850060597690501</v>
      </c>
      <c r="I9" s="81">
        <f>_xlfn.FORECAST.LINEAR(I1,$C9:H9,$C1:H1)</f>
        <v>0.46875076045173714</v>
      </c>
      <c r="J9" s="81">
        <f>_xlfn.FORECAST.LINEAR(J1,$C9:I9,$C1:I1)</f>
        <v>0.47900091492656571</v>
      </c>
      <c r="K9" s="81">
        <f>_xlfn.FORECAST.LINEAR(K1,$C9:J9,$C1:J1)</f>
        <v>0.48925106940139784</v>
      </c>
      <c r="L9" s="82">
        <f>_xlfn.FORECAST.LINEAR(L1,$C9:K9,$C1:K1)</f>
        <v>0.49950122387622997</v>
      </c>
      <c r="M9" s="40">
        <f t="shared" si="5"/>
        <v>0.42775014255241023</v>
      </c>
    </row>
    <row r="10" spans="1:16" x14ac:dyDescent="0.45">
      <c r="A10" s="5" t="s">
        <v>11</v>
      </c>
      <c r="B10" s="38">
        <f>B14/'2017 Balance'!B9</f>
        <v>0.2032497350759449</v>
      </c>
      <c r="C10" s="38">
        <f>C14/'2018 Balance'!B9</f>
        <v>0.2037719168999558</v>
      </c>
      <c r="D10" s="38">
        <f>D14/'2019 Balance'!B9</f>
        <v>0.19970551766893987</v>
      </c>
      <c r="E10" s="38">
        <f>E14/'2020 Balance'!B9</f>
        <v>0.19611321667607451</v>
      </c>
      <c r="F10" s="38">
        <f>F14/'2021 Balance'!B9</f>
        <v>0.1945409429280397</v>
      </c>
      <c r="G10" s="38">
        <f>G14/'2022 Balance'!B8</f>
        <v>0.18448619886930495</v>
      </c>
      <c r="H10" s="83">
        <f>FORECAST(H1,$C10:G10,$C1:G1)</f>
        <v>0.18260275536780313</v>
      </c>
      <c r="I10" s="84">
        <f>FORECAST(I1,$C10:H10,$C1:H1)</f>
        <v>0.17822915428758179</v>
      </c>
      <c r="J10" s="84">
        <f>FORECAST(J1,$C10:I10,$C1:I1)</f>
        <v>0.17385555320736223</v>
      </c>
      <c r="K10" s="84">
        <f>FORECAST(K1,$C10:J10,$C1:J1)</f>
        <v>0.16948195212714268</v>
      </c>
      <c r="L10" s="85">
        <f>FORECAST(L1,$C10:K10,$C1:K1)</f>
        <v>0.16510835104692312</v>
      </c>
      <c r="M10" s="40">
        <f>AVERAGE(C10:G10)</f>
        <v>0.19572355860846297</v>
      </c>
    </row>
    <row r="11" spans="1:16" x14ac:dyDescent="0.45">
      <c r="A11" s="5"/>
    </row>
    <row r="12" spans="1:16" ht="16.3" thickBot="1" x14ac:dyDescent="0.5"/>
    <row r="13" spans="1:16" x14ac:dyDescent="0.45">
      <c r="A13" s="47"/>
      <c r="B13" s="51">
        <v>2017</v>
      </c>
      <c r="C13" s="51">
        <v>2018</v>
      </c>
      <c r="D13" s="51">
        <v>2019</v>
      </c>
      <c r="E13" s="51">
        <v>2020</v>
      </c>
      <c r="F13" s="51">
        <v>2021</v>
      </c>
      <c r="G13" s="51">
        <v>2022</v>
      </c>
      <c r="H13" s="51">
        <v>2023</v>
      </c>
      <c r="I13" s="51">
        <v>2024</v>
      </c>
      <c r="J13" s="51">
        <v>2025</v>
      </c>
      <c r="K13" s="51">
        <v>2026</v>
      </c>
      <c r="L13" s="51">
        <v>2027</v>
      </c>
      <c r="M13" s="52" t="s">
        <v>12</v>
      </c>
    </row>
    <row r="14" spans="1:16" x14ac:dyDescent="0.45">
      <c r="A14" s="48" t="s">
        <v>13</v>
      </c>
      <c r="B14" s="39">
        <v>2877</v>
      </c>
      <c r="C14" s="39">
        <v>2766</v>
      </c>
      <c r="D14" s="39">
        <v>2577</v>
      </c>
      <c r="E14" s="39">
        <v>2432</v>
      </c>
      <c r="F14" s="39">
        <v>2352</v>
      </c>
      <c r="G14" s="68">
        <v>2219</v>
      </c>
      <c r="H14" s="69">
        <f>H15*$M$14</f>
        <v>3127.7009729214456</v>
      </c>
      <c r="I14" s="69">
        <f>I15*$M$14</f>
        <v>3426.8282678061514</v>
      </c>
      <c r="J14" s="69">
        <f>J15*$M$14</f>
        <v>3754.5635208427725</v>
      </c>
      <c r="K14" s="69">
        <f>K15*$M$14</f>
        <v>4113.642742029785</v>
      </c>
      <c r="L14" s="69">
        <f>L15*$M$14</f>
        <v>4507.0636080904287</v>
      </c>
      <c r="M14" s="49">
        <f>AVERAGE(C16:G16)</f>
        <v>4.8036825888369314E-2</v>
      </c>
    </row>
    <row r="15" spans="1:16" x14ac:dyDescent="0.45">
      <c r="A15" s="48" t="s">
        <v>14</v>
      </c>
      <c r="B15" s="69">
        <f>'2017 Income'!B5</f>
        <v>45462</v>
      </c>
      <c r="C15" s="69">
        <f>'2018 Income'!B3</f>
        <v>54722</v>
      </c>
      <c r="D15" s="69">
        <f>'2019 Income'!B3</f>
        <v>53800</v>
      </c>
      <c r="E15" s="69">
        <f>'2020 Income'!B3</f>
        <v>41748</v>
      </c>
      <c r="F15" s="69">
        <f>'2021 Income'!C3</f>
        <v>50971</v>
      </c>
      <c r="G15" s="69">
        <f>FCF!B21</f>
        <v>59427</v>
      </c>
      <c r="H15" s="69">
        <f>FCF!C21</f>
        <v>65110.483781542389</v>
      </c>
      <c r="I15" s="69">
        <f>FCF!D21</f>
        <v>71337.525001539616</v>
      </c>
      <c r="J15" s="69">
        <f>FCF!E21</f>
        <v>78160.108446129205</v>
      </c>
      <c r="K15" s="69">
        <f>FCF!F21</f>
        <v>85635.190626235388</v>
      </c>
      <c r="L15" s="69">
        <f>FCF!G21</f>
        <v>93825.175263748635</v>
      </c>
      <c r="M15" s="108"/>
    </row>
    <row r="16" spans="1:16" x14ac:dyDescent="0.45">
      <c r="A16" s="48" t="s">
        <v>15</v>
      </c>
      <c r="B16" s="70">
        <f t="shared" ref="B16:K16" si="9">B14/B15</f>
        <v>6.3283621486076289E-2</v>
      </c>
      <c r="C16" s="70">
        <f t="shared" si="9"/>
        <v>5.0546398157962059E-2</v>
      </c>
      <c r="D16" s="70">
        <f>D14/D15</f>
        <v>4.7899628252788103E-2</v>
      </c>
      <c r="E16" s="70">
        <f t="shared" si="9"/>
        <v>5.8254287630545173E-2</v>
      </c>
      <c r="F16" s="70">
        <f t="shared" si="9"/>
        <v>4.6143885738949598E-2</v>
      </c>
      <c r="G16" s="70">
        <f t="shared" si="9"/>
        <v>3.7339929661601629E-2</v>
      </c>
      <c r="H16" s="70">
        <f t="shared" si="9"/>
        <v>4.8036825888369314E-2</v>
      </c>
      <c r="I16" s="70">
        <f t="shared" si="9"/>
        <v>4.8036825888369314E-2</v>
      </c>
      <c r="J16" s="70">
        <f t="shared" si="9"/>
        <v>4.8036825888369314E-2</v>
      </c>
      <c r="K16" s="70">
        <f t="shared" si="9"/>
        <v>4.8036825888369314E-2</v>
      </c>
      <c r="L16" s="70">
        <f>L14/L15</f>
        <v>4.8036825888369314E-2</v>
      </c>
      <c r="M16" s="109">
        <f>AVERAGE(B16:L16)</f>
        <v>4.9422898215433594E-2</v>
      </c>
    </row>
    <row r="17" spans="1:13" x14ac:dyDescent="0.45">
      <c r="A17" s="48"/>
      <c r="M17" s="54"/>
    </row>
    <row r="18" spans="1:13" x14ac:dyDescent="0.45">
      <c r="A18" s="48"/>
      <c r="D18" s="15"/>
      <c r="M18" s="54" t="s">
        <v>12</v>
      </c>
    </row>
    <row r="19" spans="1:13" x14ac:dyDescent="0.45">
      <c r="A19" s="48"/>
      <c r="B19">
        <v>2017</v>
      </c>
      <c r="C19">
        <v>2018</v>
      </c>
      <c r="D19">
        <v>2019</v>
      </c>
      <c r="E19">
        <v>2020</v>
      </c>
      <c r="F19">
        <v>2021</v>
      </c>
      <c r="G19">
        <v>2022</v>
      </c>
      <c r="H19">
        <v>2023</v>
      </c>
      <c r="I19">
        <v>2024</v>
      </c>
      <c r="J19">
        <v>2025</v>
      </c>
      <c r="K19">
        <v>2026</v>
      </c>
      <c r="L19">
        <v>2027</v>
      </c>
      <c r="M19" s="54"/>
    </row>
    <row r="20" spans="1:13" x14ac:dyDescent="0.45">
      <c r="A20" s="48" t="s">
        <v>16</v>
      </c>
      <c r="B20" s="71">
        <f>'2017 Balance'!B9+B14</f>
        <v>17032</v>
      </c>
      <c r="C20" s="71">
        <f>'2018 Balance'!B9+C14</f>
        <v>16340</v>
      </c>
      <c r="D20" s="71">
        <f>'2019 Balance'!B9+D14</f>
        <v>15481</v>
      </c>
      <c r="E20" s="71">
        <f>'2020 Balance'!B9+E14</f>
        <v>14833</v>
      </c>
      <c r="F20" s="71">
        <f>'2021 Balance'!B9+F14</f>
        <v>14442</v>
      </c>
      <c r="G20" s="71">
        <f>'2022 Balance'!B8+G14</f>
        <v>14247</v>
      </c>
      <c r="H20" s="114">
        <f>_xlfn.FORECAST.LINEAR($H$19,C20:G20,$C$19:$G$19)</f>
        <v>13501.100000000093</v>
      </c>
      <c r="I20" s="110">
        <f>FORECAST($I$1,C20:H20,$C$1:$H$1)</f>
        <v>12978.600000000326</v>
      </c>
      <c r="J20" s="110">
        <f>FORECAST($J$1,C20:I20,$C$1:$I$1)</f>
        <v>12456.100000000326</v>
      </c>
      <c r="K20" s="110">
        <f>FORECAST($K$1,C20:J20,$C$1:$J$1)</f>
        <v>11933.600000000326</v>
      </c>
      <c r="L20" s="110">
        <f>FORECAST($L$1,C20:K20,$C$1:$K$1)</f>
        <v>11411.100000000326</v>
      </c>
      <c r="M20" s="54"/>
    </row>
    <row r="21" spans="1:13" ht="16.3" thickBot="1" x14ac:dyDescent="0.5">
      <c r="A21" s="50" t="s">
        <v>17</v>
      </c>
      <c r="B21" s="58"/>
      <c r="C21" s="112">
        <f>(C20-B20)/B20</f>
        <v>-4.062940347581024E-2</v>
      </c>
      <c r="D21" s="112">
        <f t="shared" ref="D21:G21" si="10">(D20-C20)/C20</f>
        <v>-5.2570379436964507E-2</v>
      </c>
      <c r="E21" s="112">
        <f t="shared" si="10"/>
        <v>-4.1857761126542214E-2</v>
      </c>
      <c r="F21" s="112">
        <f t="shared" si="10"/>
        <v>-2.6360142924560102E-2</v>
      </c>
      <c r="G21" s="112">
        <f t="shared" si="10"/>
        <v>-1.3502285002077275E-2</v>
      </c>
      <c r="H21" s="111">
        <f>_xlfn.FORECAST.LINEAR($H$19,C21:G21,$C$19:$G$19)</f>
        <v>-1.0844652355231688E-2</v>
      </c>
      <c r="I21" s="111">
        <f>FORECAST($I$1,C21:H21,$C$1:$H$1)</f>
        <v>-2.7982050092454358E-3</v>
      </c>
      <c r="J21" s="111">
        <f>FORECAST($J$1,C21:I21,$C$1:$I$1)</f>
        <v>5.2482423367443687E-3</v>
      </c>
      <c r="K21" s="111">
        <f>FORECAST($K$1,C21:J21,$C$1:$J$1)</f>
        <v>1.3294689682734173E-2</v>
      </c>
      <c r="L21" s="111">
        <f>FORECAST($L$1,C21:K21,$C$1:$K$1)</f>
        <v>2.1341137028716872E-2</v>
      </c>
      <c r="M21" s="113">
        <f>AVERAGE(C21:G21)</f>
        <v>-3.4983994393190873E-2</v>
      </c>
    </row>
    <row r="23" spans="1:13" ht="16" customHeight="1" x14ac:dyDescent="0.45">
      <c r="A23" t="s">
        <v>18</v>
      </c>
      <c r="H23" s="185" t="s">
        <v>19</v>
      </c>
      <c r="I23" s="185"/>
      <c r="J23" s="185"/>
      <c r="K23" s="185"/>
      <c r="L23" s="185"/>
    </row>
    <row r="24" spans="1:13" x14ac:dyDescent="0.45">
      <c r="A24" t="s">
        <v>20</v>
      </c>
      <c r="B24" s="2">
        <v>2017</v>
      </c>
      <c r="C24" s="2">
        <v>2018</v>
      </c>
      <c r="D24" s="2">
        <v>2019</v>
      </c>
      <c r="E24" s="2">
        <v>2020</v>
      </c>
      <c r="F24" s="2">
        <v>2021</v>
      </c>
      <c r="G24" s="2">
        <v>2022</v>
      </c>
      <c r="H24" s="73">
        <v>2023</v>
      </c>
      <c r="I24" s="73">
        <v>2024</v>
      </c>
      <c r="J24" s="73">
        <v>2025</v>
      </c>
      <c r="K24" s="73">
        <v>2026</v>
      </c>
      <c r="L24" s="73">
        <v>2027</v>
      </c>
    </row>
    <row r="25" spans="1:13" x14ac:dyDescent="0.45">
      <c r="B25" s="72">
        <v>1831</v>
      </c>
      <c r="C25" s="72">
        <v>1951</v>
      </c>
      <c r="D25" s="72">
        <v>2132</v>
      </c>
      <c r="E25" s="72">
        <v>2243</v>
      </c>
      <c r="F25" s="72">
        <v>2332</v>
      </c>
      <c r="G25" s="72">
        <v>2440</v>
      </c>
      <c r="H25" s="74">
        <f>_xlfn.FORECAST.LINEAR(H24,$B25:G25,$B24:G24)</f>
        <v>2584.7333333333372</v>
      </c>
      <c r="I25" s="74">
        <f>_xlfn.FORECAST.LINEAR(I24,$B25:H25,$B24:H24)</f>
        <v>2707.5619047619111</v>
      </c>
      <c r="J25" s="74">
        <f>_xlfn.FORECAST.LINEAR(J24,$B25:I25,$B24:I24)</f>
        <v>2830.3904761904851</v>
      </c>
      <c r="K25" s="74">
        <f>_xlfn.FORECAST.LINEAR(K24,$B25:J25,$B24:J24)</f>
        <v>2953.219047619059</v>
      </c>
      <c r="L25" s="74">
        <f>_xlfn.FORECAST.LINEAR(L24,$B25:K25,$B24:K24)</f>
        <v>3076.0476190476329</v>
      </c>
    </row>
    <row r="28" spans="1:13" x14ac:dyDescent="0.45">
      <c r="A28" t="s">
        <v>21</v>
      </c>
    </row>
    <row r="31" spans="1:13" x14ac:dyDescent="0.45">
      <c r="B31" s="2">
        <v>2017</v>
      </c>
      <c r="C31" s="2">
        <v>2018</v>
      </c>
      <c r="D31" s="2">
        <v>2019</v>
      </c>
      <c r="E31" s="2">
        <v>2020</v>
      </c>
      <c r="F31" s="2">
        <v>2021</v>
      </c>
      <c r="G31" s="2">
        <v>2022</v>
      </c>
    </row>
    <row r="32" spans="1:13" x14ac:dyDescent="0.45">
      <c r="A32" t="s">
        <v>22</v>
      </c>
      <c r="B32" s="39">
        <f>'2017 Income'!B8-'Ratio Analysis'!B14</f>
        <v>2300</v>
      </c>
      <c r="C32" s="72">
        <f>'2018 Income'!B6-'Ratio Analysis'!C14</f>
        <v>2712</v>
      </c>
      <c r="D32" s="39">
        <f>'2019 Income'!B6-'Ratio Analysis'!D14</f>
        <v>2585</v>
      </c>
      <c r="E32" s="39">
        <f>'2020 Income'!B6-'Ratio Analysis'!E14</f>
        <v>2210</v>
      </c>
      <c r="F32" s="39">
        <f>'2021 Income'!C6-'Ratio Analysis'!F14</f>
        <v>3013</v>
      </c>
      <c r="G32" s="72">
        <f>'2022 Income'!C7-'Ratio Analysis'!G14</f>
        <v>3432</v>
      </c>
    </row>
    <row r="33" spans="1:8" x14ac:dyDescent="0.45">
      <c r="C33" s="44">
        <f>(C32-B32)/B32</f>
        <v>0.17913043478260871</v>
      </c>
      <c r="D33" s="44">
        <f t="shared" ref="D33:G33" si="11">(D32-C32)/C32</f>
        <v>-4.6828908554572272E-2</v>
      </c>
      <c r="E33" s="44">
        <f t="shared" si="11"/>
        <v>-0.14506769825918761</v>
      </c>
      <c r="F33" s="44">
        <f t="shared" si="11"/>
        <v>0.36334841628959275</v>
      </c>
      <c r="G33" s="44">
        <f t="shared" si="11"/>
        <v>0.13906405575838035</v>
      </c>
      <c r="H33" s="115">
        <f>AVERAGE(C33:G33)</f>
        <v>9.7929260003364368E-2</v>
      </c>
    </row>
    <row r="34" spans="1:8" x14ac:dyDescent="0.45">
      <c r="A34" t="s">
        <v>23</v>
      </c>
      <c r="B34" s="110">
        <f>'2017 Income'!B13-'2017 Income'!B7-'2017 Income'!B8-'2017 Income'!B10</f>
        <v>4184</v>
      </c>
      <c r="C34" s="72">
        <f>'2018 Income'!B11-'2018 Income'!B4-'2018 Income'!B6-'2018 Income'!B8</f>
        <v>3232</v>
      </c>
      <c r="D34" s="72">
        <f>'2019 Income'!B11-'2019 Income'!B4-'2019 Income'!B6-'2019 Income'!B8</f>
        <v>2964</v>
      </c>
      <c r="E34" s="72">
        <f>'2020 Income'!B9-'2020 Income'!B5-'2020 Income'!B6-'2020 Income'!B31</f>
        <v>2882</v>
      </c>
      <c r="F34" s="71">
        <f>'2021 Income'!C9-'2021 Income'!C6-'2021 Income'!C5-'2021 Income'!C31</f>
        <v>2760</v>
      </c>
      <c r="G34" s="110">
        <f>'2022 Income'!C11-'2022 Income'!C6-'2022 Income'!C7-'2022 Income'!C33</f>
        <v>3957</v>
      </c>
    </row>
    <row r="35" spans="1:8" x14ac:dyDescent="0.45">
      <c r="C35" s="44">
        <f>(C34-B34)/B34</f>
        <v>-0.22753346080305928</v>
      </c>
      <c r="D35" s="44">
        <f t="shared" ref="D35:F35" si="12">(D34-C34)/C34</f>
        <v>-8.2920792079207925E-2</v>
      </c>
      <c r="E35" s="44">
        <f t="shared" si="12"/>
        <v>-2.766531713900135E-2</v>
      </c>
      <c r="F35" s="44">
        <f t="shared" si="12"/>
        <v>-4.2331714087439277E-2</v>
      </c>
      <c r="G35" s="44">
        <f>(G34-F34)/F34</f>
        <v>0.43369565217391304</v>
      </c>
      <c r="H35" s="116">
        <f>AVERAGE(C35:G35)</f>
        <v>1.0648873613041043E-2</v>
      </c>
    </row>
    <row r="36" spans="1:8" x14ac:dyDescent="0.45">
      <c r="A36" t="s">
        <v>24</v>
      </c>
      <c r="B36" s="44">
        <f>('2017 Income'!B23+'2017 Income'!B18-'2017 Income'!B14)/'2017 Income'!B14</f>
        <v>-7.1039491602360422E-2</v>
      </c>
      <c r="C36" s="44">
        <f>('2018 Income'!B21+'2018 Income'!B16-'2018 Income'!B12)/'2018 Income'!B12</f>
        <v>-5.4021463885204388E-2</v>
      </c>
      <c r="D36" s="44">
        <f>('2019 Income'!B21+'2019 Income'!B16-'2019 Income'!B12)/'2019 Income'!B12</f>
        <v>-5.4402895054282266E-2</v>
      </c>
      <c r="E36" s="44">
        <f>('2020 Income'!B18+'2020 Income'!B13-'2020 Income'!B10)/'2020 Income'!B10</f>
        <v>-0.12057983746980014</v>
      </c>
      <c r="F36" s="44">
        <f>('2021 Income'!C18+'2021 Income'!C13-'2021 Income'!C10)/'2021 Income'!C10</f>
        <v>0.19671416109334108</v>
      </c>
      <c r="G36" s="44">
        <f>('2022 Income'!C20+'2022 Income'!C15-'2022 Income'!C12)/'2022 Income'!C12</f>
        <v>0.10981781376518218</v>
      </c>
      <c r="H36" s="118">
        <f>AVERAGE(B36:G36)</f>
        <v>1.0813811411460178E-3</v>
      </c>
    </row>
    <row r="37" spans="1:8" x14ac:dyDescent="0.45">
      <c r="B37" s="44"/>
      <c r="C37" s="44">
        <f>-(C36-B36)/B36</f>
        <v>0.23955728473415169</v>
      </c>
      <c r="D37" s="44">
        <f>-(D36-C36)/C36</f>
        <v>-7.060733672238491E-3</v>
      </c>
      <c r="E37" s="44">
        <f>-(E36-D36)/D36</f>
        <v>-1.2164231765513152</v>
      </c>
      <c r="F37" s="44">
        <f>-(F36-E36)/E36</f>
        <v>2.6314017767904954</v>
      </c>
      <c r="G37" s="44">
        <f>(G36-F36)/F36</f>
        <v>-0.44173915515378931</v>
      </c>
      <c r="H37" s="117">
        <f>AVERAGE(B37:G37)</f>
        <v>0.24114719922946085</v>
      </c>
    </row>
  </sheetData>
  <mergeCells count="1">
    <mergeCell ref="H23:L23"/>
  </mergeCells>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0E9FD-A13B-C740-9DF2-68114C8B0A5D}">
  <dimension ref="A1:L101"/>
  <sheetViews>
    <sheetView topLeftCell="A77" zoomScale="106" workbookViewId="0">
      <selection activeCell="C50" sqref="C50"/>
    </sheetView>
  </sheetViews>
  <sheetFormatPr defaultColWidth="11" defaultRowHeight="15.9" x14ac:dyDescent="0.45"/>
  <cols>
    <col min="1" max="1" width="46" bestFit="1" customWidth="1"/>
    <col min="2" max="2" width="14.35546875" bestFit="1" customWidth="1"/>
    <col min="3" max="6" width="12.640625" bestFit="1" customWidth="1"/>
    <col min="7" max="7" width="13.640625" bestFit="1" customWidth="1"/>
    <col min="9" max="9" width="33" bestFit="1" customWidth="1"/>
    <col min="12" max="12" width="27.640625" bestFit="1" customWidth="1"/>
  </cols>
  <sheetData>
    <row r="1" spans="1:2" x14ac:dyDescent="0.45">
      <c r="A1" s="57" t="s">
        <v>25</v>
      </c>
    </row>
    <row r="3" spans="1:2" s="46" customFormat="1" x14ac:dyDescent="0.45">
      <c r="A3" s="46" t="s">
        <v>26</v>
      </c>
    </row>
    <row r="4" spans="1:2" x14ac:dyDescent="0.45">
      <c r="A4" t="s">
        <v>2</v>
      </c>
      <c r="B4" s="45">
        <f>'Ratio Analysis'!M2</f>
        <v>9.5638073292314801E-2</v>
      </c>
    </row>
    <row r="5" spans="1:2" x14ac:dyDescent="0.45">
      <c r="A5" t="s">
        <v>27</v>
      </c>
      <c r="B5" s="45">
        <f>'Ratio Analysis'!M7</f>
        <v>0.68921889509714762</v>
      </c>
    </row>
    <row r="6" spans="1:2" x14ac:dyDescent="0.45">
      <c r="A6" t="s">
        <v>28</v>
      </c>
      <c r="B6" s="45">
        <f>'Ratio Analysis'!M4</f>
        <v>0.79371070527264476</v>
      </c>
    </row>
    <row r="7" spans="1:2" x14ac:dyDescent="0.45">
      <c r="A7" t="s">
        <v>29</v>
      </c>
      <c r="B7" s="45">
        <f>'Ratio Analysis'!M5</f>
        <v>0.54852653331082302</v>
      </c>
    </row>
    <row r="8" spans="1:2" x14ac:dyDescent="0.45">
      <c r="A8" t="s">
        <v>30</v>
      </c>
      <c r="B8" s="45">
        <f>'Ratio Analysis'!M3</f>
        <v>0.16419636150287922</v>
      </c>
    </row>
    <row r="9" spans="1:2" x14ac:dyDescent="0.45">
      <c r="A9" t="s">
        <v>23</v>
      </c>
      <c r="B9" s="45">
        <f>'Ratio Analysis'!H35</f>
        <v>1.0648873613041043E-2</v>
      </c>
    </row>
    <row r="10" spans="1:2" x14ac:dyDescent="0.45">
      <c r="A10" t="s">
        <v>31</v>
      </c>
      <c r="B10" s="45">
        <f>'Ratio Analysis'!H33</f>
        <v>9.7929260003364368E-2</v>
      </c>
    </row>
    <row r="11" spans="1:2" x14ac:dyDescent="0.45">
      <c r="B11" s="45"/>
    </row>
    <row r="12" spans="1:2" x14ac:dyDescent="0.45">
      <c r="B12" s="45"/>
    </row>
    <row r="13" spans="1:2" x14ac:dyDescent="0.45">
      <c r="A13" t="s">
        <v>32</v>
      </c>
      <c r="B13" s="45">
        <f>'Ratio Analysis'!M21</f>
        <v>-3.4983994393190873E-2</v>
      </c>
    </row>
    <row r="14" spans="1:2" x14ac:dyDescent="0.45">
      <c r="A14" t="s">
        <v>33</v>
      </c>
      <c r="B14" s="45">
        <f>'Ratio Analysis'!M10</f>
        <v>0.19572355860846297</v>
      </c>
    </row>
    <row r="15" spans="1:2" x14ac:dyDescent="0.45">
      <c r="A15" t="s">
        <v>34</v>
      </c>
      <c r="B15" s="45">
        <f>'Ratio Analysis'!M9</f>
        <v>0.42775014255241023</v>
      </c>
    </row>
    <row r="16" spans="1:2" x14ac:dyDescent="0.45">
      <c r="A16" t="s">
        <v>35</v>
      </c>
      <c r="B16" s="45">
        <f>'Ratio Analysis'!M8</f>
        <v>0.1490500903485153</v>
      </c>
    </row>
    <row r="17" spans="1:12" x14ac:dyDescent="0.45">
      <c r="A17" t="s">
        <v>36</v>
      </c>
      <c r="B17" s="45">
        <v>4.5499999999999999E-2</v>
      </c>
    </row>
    <row r="18" spans="1:12" ht="16.3" thickBot="1" x14ac:dyDescent="0.5">
      <c r="A18" t="s">
        <v>37</v>
      </c>
      <c r="B18" s="45">
        <v>0.25</v>
      </c>
      <c r="H18" s="53"/>
      <c r="I18" s="53"/>
      <c r="J18" s="53"/>
      <c r="K18" s="53"/>
      <c r="L18" s="53"/>
    </row>
    <row r="19" spans="1:12" ht="16.3" thickBot="1" x14ac:dyDescent="0.5">
      <c r="A19" s="58"/>
      <c r="B19" s="65"/>
      <c r="C19" s="186" t="s">
        <v>38</v>
      </c>
      <c r="D19" s="186"/>
      <c r="E19" s="186"/>
      <c r="F19" s="186"/>
      <c r="G19" s="186"/>
      <c r="H19" s="53"/>
      <c r="I19" s="53"/>
      <c r="J19" s="53"/>
      <c r="K19" s="53"/>
      <c r="L19" s="53"/>
    </row>
    <row r="20" spans="1:12" x14ac:dyDescent="0.45">
      <c r="A20" s="57" t="s">
        <v>39</v>
      </c>
      <c r="B20" s="167">
        <v>2022</v>
      </c>
      <c r="C20" s="168">
        <v>2023</v>
      </c>
      <c r="D20" s="168">
        <v>2024</v>
      </c>
      <c r="E20" s="168">
        <v>2025</v>
      </c>
      <c r="F20" s="168">
        <v>2026</v>
      </c>
      <c r="G20" s="169">
        <v>2027</v>
      </c>
      <c r="H20" s="53"/>
      <c r="I20" s="53"/>
      <c r="J20" s="53"/>
      <c r="K20" s="53"/>
      <c r="L20" s="53"/>
    </row>
    <row r="21" spans="1:12" x14ac:dyDescent="0.45">
      <c r="A21" t="s">
        <v>40</v>
      </c>
      <c r="B21" s="139">
        <f>'2022 Income'!C4</f>
        <v>59427</v>
      </c>
      <c r="C21" s="138">
        <f>B21*(1+$B$4)</f>
        <v>65110.483781542389</v>
      </c>
      <c r="D21" s="138">
        <f>C21*(1+$B$4)</f>
        <v>71337.525001539616</v>
      </c>
      <c r="E21" s="138">
        <f>D21*(1+$B$4)</f>
        <v>78160.108446129205</v>
      </c>
      <c r="F21" s="138">
        <f>E21*(1+$B$4)</f>
        <v>85635.190626235388</v>
      </c>
      <c r="G21" s="139">
        <f>F21*(1+$B$4)</f>
        <v>93825.175263748635</v>
      </c>
      <c r="J21" s="72"/>
      <c r="L21" s="53"/>
    </row>
    <row r="22" spans="1:12" x14ac:dyDescent="0.45">
      <c r="A22" t="s">
        <v>41</v>
      </c>
      <c r="B22" s="135">
        <f>'2022 Income'!C6</f>
        <v>41350</v>
      </c>
      <c r="C22" s="89">
        <f>C21*$B$5</f>
        <v>44875.375691155394</v>
      </c>
      <c r="D22" s="89">
        <f t="shared" ref="D22:G22" si="0">D21*$B$5</f>
        <v>49167.170160526279</v>
      </c>
      <c r="E22" s="89">
        <f t="shared" si="0"/>
        <v>53869.423583914409</v>
      </c>
      <c r="F22" s="89">
        <f t="shared" si="0"/>
        <v>59021.391464847569</v>
      </c>
      <c r="G22" s="135">
        <f t="shared" si="0"/>
        <v>64666.083627577063</v>
      </c>
      <c r="J22" s="72"/>
    </row>
    <row r="23" spans="1:12" x14ac:dyDescent="0.45">
      <c r="A23" t="s">
        <v>42</v>
      </c>
      <c r="B23" s="135">
        <f>'2022 Income'!C7-'Ratio Analysis'!G14</f>
        <v>3432</v>
      </c>
      <c r="C23" s="89">
        <f>B23*(1+$B$10)</f>
        <v>3768.0932203315465</v>
      </c>
      <c r="D23" s="89">
        <f>C23*(1+$B$10)</f>
        <v>4137.0998010223093</v>
      </c>
      <c r="E23" s="89">
        <f>D23*(1+$B$10)</f>
        <v>4542.2429230964899</v>
      </c>
      <c r="F23" s="89">
        <f>E23*(1+$B$10)</f>
        <v>4987.0614113108477</v>
      </c>
      <c r="G23" s="89">
        <f>F23*(1+$B$10)</f>
        <v>5475.4406449118524</v>
      </c>
      <c r="H23" s="48"/>
      <c r="J23" s="72"/>
    </row>
    <row r="24" spans="1:12" x14ac:dyDescent="0.45">
      <c r="A24" t="s">
        <v>43</v>
      </c>
      <c r="B24" s="135">
        <f>'Ratio Analysis'!G14</f>
        <v>2219</v>
      </c>
      <c r="C24" s="89">
        <f>'Ratio Analysis'!H14</f>
        <v>3127.7009729214456</v>
      </c>
      <c r="D24" s="89">
        <f>'Ratio Analysis'!I14</f>
        <v>3426.8282678061514</v>
      </c>
      <c r="E24" s="89">
        <f>'Ratio Analysis'!J14</f>
        <v>3754.5635208427725</v>
      </c>
      <c r="F24" s="89">
        <f>'Ratio Analysis'!K14</f>
        <v>4113.642742029785</v>
      </c>
      <c r="G24" s="89">
        <f>'Ratio Analysis'!L14</f>
        <v>4507.0636080904287</v>
      </c>
      <c r="H24" s="48"/>
      <c r="J24" s="72"/>
    </row>
    <row r="25" spans="1:12" x14ac:dyDescent="0.45">
      <c r="A25" t="s">
        <v>44</v>
      </c>
      <c r="B25" s="135">
        <f>'2022 Income'!C33</f>
        <v>565</v>
      </c>
      <c r="C25" s="89">
        <f>C46*$B$16</f>
        <v>5145.3581689210969</v>
      </c>
      <c r="D25" s="89">
        <f>D46*$B$16</f>
        <v>5145.3581689210969</v>
      </c>
      <c r="E25" s="89">
        <f>E46*$B$16</f>
        <v>5145.3581689210969</v>
      </c>
      <c r="F25" s="89">
        <f>F46*$B$16</f>
        <v>5145.3581689210969</v>
      </c>
      <c r="G25" s="89">
        <f>G46*$B$16</f>
        <v>5145.3581689210969</v>
      </c>
      <c r="H25" s="48"/>
      <c r="J25" s="72"/>
    </row>
    <row r="26" spans="1:12" x14ac:dyDescent="0.45">
      <c r="A26" t="s">
        <v>45</v>
      </c>
      <c r="B26" s="135">
        <f>'2022 Income'!C11-SUM(B22:B25)</f>
        <v>3957</v>
      </c>
      <c r="C26" s="89">
        <f>B26*(1+$B$9)</f>
        <v>3999.1375928868033</v>
      </c>
      <c r="D26" s="89">
        <f>C26*(1+$B$9)</f>
        <v>4041.7239036746159</v>
      </c>
      <c r="E26" s="89">
        <f>D26*(1+$B$9)</f>
        <v>4084.7637107036535</v>
      </c>
      <c r="F26" s="89">
        <f>E26*(1+$B$9)</f>
        <v>4128.2618431980727</v>
      </c>
      <c r="G26" s="89">
        <f>F26*(1+$B$9)</f>
        <v>4172.223181807829</v>
      </c>
      <c r="H26" s="48"/>
      <c r="J26" s="72"/>
    </row>
    <row r="27" spans="1:12" x14ac:dyDescent="0.45">
      <c r="A27" s="58" t="s">
        <v>46</v>
      </c>
      <c r="B27" s="137">
        <v>0</v>
      </c>
      <c r="C27" s="136">
        <v>0</v>
      </c>
      <c r="D27" s="136">
        <v>0</v>
      </c>
      <c r="E27" s="136">
        <v>0</v>
      </c>
      <c r="F27" s="136">
        <v>0</v>
      </c>
      <c r="G27" s="136">
        <v>0</v>
      </c>
      <c r="H27" s="64"/>
      <c r="I27" s="55"/>
      <c r="J27" s="72"/>
      <c r="K27" s="55"/>
      <c r="L27" s="55"/>
    </row>
    <row r="28" spans="1:12" x14ac:dyDescent="0.45">
      <c r="A28" t="s">
        <v>47</v>
      </c>
      <c r="B28" s="139">
        <f>B21-B22-B24-B25+B27-B26-B23</f>
        <v>7904</v>
      </c>
      <c r="C28" s="138">
        <f>C21-C22-C24-C25+C2</f>
        <v>11962.048948544454</v>
      </c>
      <c r="D28" s="138">
        <f>D21-D22-D24-D25+D27</f>
        <v>13598.168404286089</v>
      </c>
      <c r="E28" s="138">
        <f>E21-E22-E24-E25+E27</f>
        <v>15390.763172450925</v>
      </c>
      <c r="F28" s="138">
        <f>F21-F22-F24-F25+F27</f>
        <v>17354.798250436936</v>
      </c>
      <c r="G28" s="138">
        <f>G21-G22-G24-G25+G27</f>
        <v>19506.669859160043</v>
      </c>
      <c r="H28" s="64"/>
      <c r="I28" s="55"/>
      <c r="J28" s="72"/>
      <c r="K28" s="55"/>
      <c r="L28" s="55"/>
    </row>
    <row r="29" spans="1:12" ht="16.3" thickBot="1" x14ac:dyDescent="0.5">
      <c r="A29" s="58" t="s">
        <v>48</v>
      </c>
      <c r="B29" s="140">
        <f>0.35*B28</f>
        <v>2766.3999999999996</v>
      </c>
      <c r="C29" s="136">
        <f t="shared" ref="C29:G29" si="1">0.35*C28</f>
        <v>4186.7171319905583</v>
      </c>
      <c r="D29" s="136">
        <f t="shared" si="1"/>
        <v>4759.3589415001306</v>
      </c>
      <c r="E29" s="136">
        <f t="shared" si="1"/>
        <v>5386.7671103578232</v>
      </c>
      <c r="F29" s="136">
        <f t="shared" si="1"/>
        <v>6074.1793876529273</v>
      </c>
      <c r="G29" s="140">
        <f t="shared" si="1"/>
        <v>6827.3344507060146</v>
      </c>
      <c r="H29" s="55"/>
      <c r="I29" s="55"/>
      <c r="J29" s="55"/>
      <c r="K29" s="55"/>
      <c r="L29" s="55"/>
    </row>
    <row r="30" spans="1:12" x14ac:dyDescent="0.45">
      <c r="A30" t="s">
        <v>49</v>
      </c>
      <c r="B30" s="135">
        <f>B28-B29</f>
        <v>5137.6000000000004</v>
      </c>
      <c r="C30" s="89">
        <f t="shared" ref="C30:G30" si="2">C28-C29</f>
        <v>7775.3318165538958</v>
      </c>
      <c r="D30" s="89">
        <f t="shared" si="2"/>
        <v>8838.8094627859573</v>
      </c>
      <c r="E30" s="89">
        <f t="shared" si="2"/>
        <v>10003.996062093102</v>
      </c>
      <c r="F30" s="89">
        <f t="shared" si="2"/>
        <v>11280.618862784009</v>
      </c>
      <c r="G30" s="135">
        <f t="shared" si="2"/>
        <v>12679.33540845403</v>
      </c>
      <c r="H30" s="45"/>
      <c r="I30" s="55"/>
      <c r="J30" s="55"/>
      <c r="K30" s="55"/>
      <c r="L30" s="55"/>
    </row>
    <row r="31" spans="1:12" x14ac:dyDescent="0.45">
      <c r="A31" t="s">
        <v>50</v>
      </c>
      <c r="B31" s="135">
        <f>'Ratio Analysis'!G25</f>
        <v>2440</v>
      </c>
      <c r="C31" s="89">
        <f>C30*$B$15</f>
        <v>3325.8992929232195</v>
      </c>
      <c r="D31" s="89">
        <f t="shared" ref="D31:G31" si="3">D30*$B$15</f>
        <v>3780.8020077002857</v>
      </c>
      <c r="E31" s="89">
        <f t="shared" si="3"/>
        <v>4279.2107416540748</v>
      </c>
      <c r="F31" s="89">
        <f t="shared" si="3"/>
        <v>4825.2863266352679</v>
      </c>
      <c r="G31" s="135">
        <f t="shared" si="3"/>
        <v>5423.5875284360336</v>
      </c>
      <c r="H31" s="53"/>
      <c r="I31" s="53"/>
      <c r="J31" s="53"/>
      <c r="K31" s="53"/>
      <c r="L31" s="53"/>
    </row>
    <row r="32" spans="1:12" ht="16.3" thickBot="1" x14ac:dyDescent="0.5">
      <c r="A32" s="58" t="s">
        <v>51</v>
      </c>
      <c r="B32" s="142">
        <f>B30-B31</f>
        <v>2697.6000000000004</v>
      </c>
      <c r="C32" s="141">
        <f t="shared" ref="C32:G32" si="4">C30-C31</f>
        <v>4449.4325236306759</v>
      </c>
      <c r="D32" s="141">
        <f t="shared" si="4"/>
        <v>5058.0074550856716</v>
      </c>
      <c r="E32" s="141">
        <f t="shared" si="4"/>
        <v>5724.7853204390267</v>
      </c>
      <c r="F32" s="141">
        <f t="shared" si="4"/>
        <v>6455.3325361487414</v>
      </c>
      <c r="G32" s="142">
        <f t="shared" si="4"/>
        <v>7255.7478800179961</v>
      </c>
      <c r="H32" s="55"/>
      <c r="I32" s="55"/>
      <c r="J32" s="55"/>
      <c r="K32" s="55"/>
      <c r="L32" s="55"/>
    </row>
    <row r="33" spans="1:12" ht="16.3" thickBot="1" x14ac:dyDescent="0.5">
      <c r="B33" s="119"/>
      <c r="C33" s="119"/>
      <c r="D33" s="119"/>
      <c r="E33" s="119"/>
      <c r="F33" s="119"/>
      <c r="G33" s="119"/>
      <c r="H33" s="55"/>
      <c r="I33" s="55"/>
      <c r="J33" s="55"/>
      <c r="K33" s="55"/>
      <c r="L33" s="55"/>
    </row>
    <row r="34" spans="1:12" ht="16.3" thickBot="1" x14ac:dyDescent="0.5">
      <c r="A34" s="120" t="s">
        <v>52</v>
      </c>
      <c r="B34" s="121">
        <v>2022</v>
      </c>
      <c r="C34" s="120">
        <v>2023</v>
      </c>
      <c r="D34" s="120">
        <v>2024</v>
      </c>
      <c r="E34" s="120">
        <v>2025</v>
      </c>
      <c r="F34" s="120">
        <v>2026</v>
      </c>
      <c r="G34" s="121">
        <v>2027</v>
      </c>
      <c r="H34" s="55"/>
      <c r="I34" s="55"/>
      <c r="J34" s="55"/>
      <c r="K34" s="55"/>
      <c r="L34" s="55"/>
    </row>
    <row r="35" spans="1:12" x14ac:dyDescent="0.45">
      <c r="A35" s="66" t="s">
        <v>53</v>
      </c>
      <c r="B35" s="139">
        <f>'2022 Balance'!B2</f>
        <v>7004</v>
      </c>
      <c r="C35" s="138">
        <f>C78</f>
        <v>19630.820799878187</v>
      </c>
      <c r="D35" s="138">
        <f>D78</f>
        <v>29886.947095438172</v>
      </c>
      <c r="E35" s="138">
        <f>E78</f>
        <v>41253.948060570234</v>
      </c>
      <c r="F35" s="138">
        <f>F78</f>
        <v>53839.921203708844</v>
      </c>
      <c r="G35" s="138">
        <f>G78</f>
        <v>67763.237354584897</v>
      </c>
      <c r="H35" s="122"/>
      <c r="I35" s="53"/>
      <c r="J35" s="53"/>
      <c r="K35" s="53"/>
      <c r="L35" s="53"/>
    </row>
    <row r="36" spans="1:12" x14ac:dyDescent="0.45">
      <c r="A36" s="66" t="s">
        <v>54</v>
      </c>
      <c r="B36" s="89">
        <f>SUM('2022 Balance'!B3:B4)</f>
        <v>17869</v>
      </c>
      <c r="C36" s="143">
        <f>($B$36/$B$21)*C21</f>
        <v>19577.956731660375</v>
      </c>
      <c r="D36" s="89">
        <f>($B$36/$B$21)*D21</f>
        <v>21450.354792476675</v>
      </c>
      <c r="E36" s="89">
        <f>($B$36/$B$21)*E21</f>
        <v>23501.825396265718</v>
      </c>
      <c r="F36" s="89">
        <f>($B$36/$B$21)*F21</f>
        <v>25749.494696016965</v>
      </c>
      <c r="G36" s="135">
        <f>($B$36/$B$21)*G21</f>
        <v>28212.126756994709</v>
      </c>
      <c r="H36" s="53"/>
      <c r="I36" s="53"/>
      <c r="J36" s="53"/>
      <c r="K36" s="53"/>
      <c r="L36" s="53"/>
    </row>
    <row r="37" spans="1:12" x14ac:dyDescent="0.45">
      <c r="A37" s="66" t="s">
        <v>55</v>
      </c>
      <c r="B37" s="89">
        <f>'2022 Balance'!B5</f>
        <v>2642</v>
      </c>
      <c r="C37" s="143">
        <f>C39-C38-C36-C35</f>
        <v>-5355.9209811134169</v>
      </c>
      <c r="D37" s="89">
        <f t="shared" ref="D37:G37" si="5">D39-D38-D36-D35</f>
        <v>-14246.823361565923</v>
      </c>
      <c r="E37" s="89">
        <f t="shared" si="5"/>
        <v>-24118.033026737037</v>
      </c>
      <c r="F37" s="89">
        <f t="shared" si="5"/>
        <v>-35065.160271939021</v>
      </c>
      <c r="G37" s="89">
        <f t="shared" si="5"/>
        <v>-47192.894460776792</v>
      </c>
      <c r="H37" s="122"/>
      <c r="I37" s="53"/>
      <c r="J37" s="53"/>
      <c r="K37" s="53"/>
      <c r="L37" s="53"/>
    </row>
    <row r="38" spans="1:12" x14ac:dyDescent="0.45">
      <c r="A38" s="67" t="s">
        <v>56</v>
      </c>
      <c r="B38" s="136">
        <f>'2022 Balance'!B6</f>
        <v>16270</v>
      </c>
      <c r="C38" s="144">
        <f>($B$38/$B$21)*C21</f>
        <v>17826.031452465963</v>
      </c>
      <c r="D38" s="136">
        <f>($B$38/$B$21)*D21</f>
        <v>19530.87875502801</v>
      </c>
      <c r="E38" s="136">
        <f>($B$38/$B$21)*E21</f>
        <v>21398.774368864695</v>
      </c>
      <c r="F38" s="136">
        <f>($B$38/$B$21)*F21</f>
        <v>23445.311920319884</v>
      </c>
      <c r="G38" s="140">
        <f>($B$38/$B$21)*G21</f>
        <v>25687.576380116618</v>
      </c>
      <c r="H38" s="53"/>
      <c r="I38" s="53"/>
      <c r="J38" s="53"/>
      <c r="K38" s="53"/>
      <c r="L38" s="53"/>
    </row>
    <row r="39" spans="1:12" x14ac:dyDescent="0.45">
      <c r="A39" s="126" t="s">
        <v>57</v>
      </c>
      <c r="B39" s="165">
        <f>'2022 Balance'!B7</f>
        <v>43785</v>
      </c>
      <c r="C39" s="149">
        <f>$B$6*C21</f>
        <v>51678.888002891108</v>
      </c>
      <c r="D39" s="149">
        <f>$B$6*D21</f>
        <v>56621.357281376935</v>
      </c>
      <c r="E39" s="149">
        <f>$B$6*E21</f>
        <v>62036.51479896361</v>
      </c>
      <c r="F39" s="149">
        <f t="shared" ref="F39" si="6">$B$6*F21</f>
        <v>67969.567548106672</v>
      </c>
      <c r="G39" s="149">
        <f>$B$6*G21</f>
        <v>74470.046030919431</v>
      </c>
      <c r="H39" s="48"/>
      <c r="L39" s="53"/>
    </row>
    <row r="40" spans="1:12" x14ac:dyDescent="0.45">
      <c r="A40" s="66" t="s">
        <v>58</v>
      </c>
      <c r="B40" s="146">
        <f>'2022 Balance'!B8</f>
        <v>12028</v>
      </c>
      <c r="C40" s="145">
        <f>B40*(1+$B$13)</f>
        <v>11607.212515438699</v>
      </c>
      <c r="D40" s="145">
        <f t="shared" ref="D40:G40" si="7">C40*(1+$B$13)</f>
        <v>11201.145857878017</v>
      </c>
      <c r="E40" s="145">
        <f t="shared" si="7"/>
        <v>10809.285033988699</v>
      </c>
      <c r="F40" s="145">
        <f t="shared" si="7"/>
        <v>10431.133066965236</v>
      </c>
      <c r="G40" s="146">
        <f t="shared" si="7"/>
        <v>10066.210366235897</v>
      </c>
      <c r="H40" s="53"/>
      <c r="I40" s="53"/>
      <c r="J40" s="53"/>
      <c r="K40" s="53"/>
      <c r="L40" s="53"/>
    </row>
    <row r="41" spans="1:12" x14ac:dyDescent="0.45">
      <c r="A41" s="127" t="s">
        <v>59</v>
      </c>
      <c r="B41" s="140">
        <f>'2022 Balance'!B9+'2022 Balance'!B10+'2022 Balance'!B11+'2022 Balance'!B13+'2022 Balance'!B12+'2022 Balance'!B14</f>
        <v>26130</v>
      </c>
      <c r="C41" s="136">
        <f>$B$41</f>
        <v>26130</v>
      </c>
      <c r="D41" s="136">
        <f t="shared" ref="D41:G41" si="8">$B$41</f>
        <v>26130</v>
      </c>
      <c r="E41" s="136">
        <f t="shared" si="8"/>
        <v>26130</v>
      </c>
      <c r="F41" s="136">
        <f t="shared" si="8"/>
        <v>26130</v>
      </c>
      <c r="G41" s="140">
        <f t="shared" si="8"/>
        <v>26130</v>
      </c>
      <c r="H41" s="53"/>
      <c r="I41" s="53"/>
      <c r="J41" s="53"/>
      <c r="K41" s="53"/>
      <c r="L41" s="53"/>
    </row>
    <row r="42" spans="1:12" x14ac:dyDescent="0.45">
      <c r="A42" s="128" t="s">
        <v>60</v>
      </c>
      <c r="B42" s="136">
        <f t="shared" ref="B42:G42" si="9">SUM(B40:B41)</f>
        <v>38158</v>
      </c>
      <c r="C42" s="144">
        <f t="shared" si="9"/>
        <v>37737.212515438703</v>
      </c>
      <c r="D42" s="147">
        <f t="shared" si="9"/>
        <v>37331.145857878015</v>
      </c>
      <c r="E42" s="147">
        <f t="shared" si="9"/>
        <v>36939.285033988701</v>
      </c>
      <c r="F42" s="147">
        <f t="shared" si="9"/>
        <v>36561.133066965238</v>
      </c>
      <c r="G42" s="148">
        <f t="shared" si="9"/>
        <v>36196.2103662359</v>
      </c>
    </row>
    <row r="43" spans="1:12" s="46" customFormat="1" x14ac:dyDescent="0.45">
      <c r="A43" s="125" t="s">
        <v>61</v>
      </c>
      <c r="B43" s="151">
        <f t="shared" ref="B43:G43" si="10">B39+B42</f>
        <v>81943</v>
      </c>
      <c r="C43" s="150">
        <f>C39+C42</f>
        <v>89416.100518329811</v>
      </c>
      <c r="D43" s="151">
        <f t="shared" si="10"/>
        <v>93952.503139254957</v>
      </c>
      <c r="E43" s="151">
        <f t="shared" si="10"/>
        <v>98975.799832952311</v>
      </c>
      <c r="F43" s="151">
        <f t="shared" si="10"/>
        <v>104530.70061507191</v>
      </c>
      <c r="G43" s="151">
        <f t="shared" si="10"/>
        <v>110666.25639715533</v>
      </c>
      <c r="H43" s="124"/>
    </row>
    <row r="44" spans="1:12" s="46" customFormat="1" ht="16.75" thickTop="1" thickBot="1" x14ac:dyDescent="0.5">
      <c r="A44" s="131"/>
      <c r="B44" s="132"/>
      <c r="C44" s="133"/>
      <c r="D44" s="132"/>
      <c r="E44" s="132"/>
      <c r="F44" s="132"/>
      <c r="G44" s="134"/>
      <c r="H44" s="124"/>
    </row>
    <row r="45" spans="1:12" x14ac:dyDescent="0.45">
      <c r="A45" s="66" t="s">
        <v>62</v>
      </c>
      <c r="B45" s="138">
        <f>'2022 Balance'!B25</f>
        <v>31531</v>
      </c>
      <c r="C45" s="155">
        <f>'Ratio Analysis'!$M$5*FCF!C21</f>
        <v>35714.827950880011</v>
      </c>
      <c r="D45" s="138">
        <f>'Ratio Analysis'!$M$5*FCF!D21</f>
        <v>39130.525284068688</v>
      </c>
      <c r="E45" s="138">
        <f>'Ratio Analysis'!$M$5*FCF!E21</f>
        <v>42872.89332915323</v>
      </c>
      <c r="F45" s="138">
        <f>'Ratio Analysis'!$M$5*FCF!F21</f>
        <v>46973.174243620386</v>
      </c>
      <c r="G45" s="139">
        <f>'Ratio Analysis'!$M$5*FCF!G21</f>
        <v>51465.598124704426</v>
      </c>
    </row>
    <row r="46" spans="1:12" x14ac:dyDescent="0.45">
      <c r="A46" s="66" t="s">
        <v>63</v>
      </c>
      <c r="B46" s="136">
        <f>B47-B45</f>
        <v>34521</v>
      </c>
      <c r="C46" s="144">
        <f>$B$46</f>
        <v>34521</v>
      </c>
      <c r="D46" s="136">
        <f t="shared" ref="D46:G46" si="11">$B$46</f>
        <v>34521</v>
      </c>
      <c r="E46" s="136">
        <f t="shared" si="11"/>
        <v>34521</v>
      </c>
      <c r="F46" s="136">
        <f t="shared" si="11"/>
        <v>34521</v>
      </c>
      <c r="G46" s="140">
        <f t="shared" si="11"/>
        <v>34521</v>
      </c>
      <c r="H46" s="48"/>
    </row>
    <row r="47" spans="1:12" s="46" customFormat="1" x14ac:dyDescent="0.45">
      <c r="A47" s="123" t="s">
        <v>64</v>
      </c>
      <c r="B47" s="153">
        <f>'2022 Balance'!B29</f>
        <v>66052</v>
      </c>
      <c r="C47" s="152">
        <f t="shared" ref="C47:G47" si="12">C45+C46</f>
        <v>70235.827950880019</v>
      </c>
      <c r="D47" s="153">
        <f t="shared" si="12"/>
        <v>73651.525284068688</v>
      </c>
      <c r="E47" s="153">
        <f t="shared" si="12"/>
        <v>77393.89332915323</v>
      </c>
      <c r="F47" s="153">
        <f t="shared" si="12"/>
        <v>81494.174243620393</v>
      </c>
      <c r="G47" s="154">
        <f t="shared" si="12"/>
        <v>85986.598124704426</v>
      </c>
    </row>
    <row r="48" spans="1:12" x14ac:dyDescent="0.45">
      <c r="A48" s="66" t="s">
        <v>65</v>
      </c>
      <c r="B48" s="135">
        <f>'2022 Balance'!B31</f>
        <v>6560</v>
      </c>
      <c r="C48" s="89">
        <f>$B$48</f>
        <v>6560</v>
      </c>
      <c r="D48" s="89">
        <f t="shared" ref="D48:G48" si="13">$B$48</f>
        <v>6560</v>
      </c>
      <c r="E48" s="89">
        <f t="shared" si="13"/>
        <v>6560</v>
      </c>
      <c r="F48" s="89">
        <f t="shared" si="13"/>
        <v>6560</v>
      </c>
      <c r="G48" s="135">
        <f t="shared" si="13"/>
        <v>6560</v>
      </c>
    </row>
    <row r="49" spans="1:7" x14ac:dyDescent="0.45">
      <c r="A49" s="66" t="s">
        <v>66</v>
      </c>
      <c r="B49" s="135">
        <f>'2022 Balance'!B32</f>
        <v>-31748</v>
      </c>
      <c r="C49" s="89">
        <f>$B$49</f>
        <v>-31748</v>
      </c>
      <c r="D49" s="89">
        <f t="shared" ref="D49:G49" si="14">$B$49</f>
        <v>-31748</v>
      </c>
      <c r="E49" s="89">
        <f t="shared" si="14"/>
        <v>-31748</v>
      </c>
      <c r="F49" s="89">
        <f t="shared" si="14"/>
        <v>-31748</v>
      </c>
      <c r="G49" s="135">
        <f t="shared" si="14"/>
        <v>-31748</v>
      </c>
    </row>
    <row r="50" spans="1:7" ht="16.3" thickBot="1" x14ac:dyDescent="0.5">
      <c r="A50" s="66" t="s">
        <v>67</v>
      </c>
      <c r="B50" s="135">
        <f>B51-B48-B49</f>
        <v>41079</v>
      </c>
      <c r="C50" s="89">
        <f>C51-C49-C48</f>
        <v>44368.272567449792</v>
      </c>
      <c r="D50" s="89">
        <f t="shared" ref="D50:G50" si="15">D51-D49-D48</f>
        <v>45488.977855186269</v>
      </c>
      <c r="E50" s="89">
        <f t="shared" si="15"/>
        <v>46769.90650379908</v>
      </c>
      <c r="F50" s="89">
        <f t="shared" si="15"/>
        <v>48224.526371451517</v>
      </c>
      <c r="G50" s="135">
        <f t="shared" si="15"/>
        <v>49867.658272450906</v>
      </c>
    </row>
    <row r="51" spans="1:7" s="46" customFormat="1" x14ac:dyDescent="0.45">
      <c r="A51" s="129" t="s">
        <v>68</v>
      </c>
      <c r="B51" s="157">
        <f>'2022 Balance'!B36</f>
        <v>15891</v>
      </c>
      <c r="C51" s="156">
        <f>C43-C47</f>
        <v>19180.272567449792</v>
      </c>
      <c r="D51" s="156">
        <f>D43-D47</f>
        <v>20300.977855186269</v>
      </c>
      <c r="E51" s="156">
        <f>E43-E47</f>
        <v>21581.90650379908</v>
      </c>
      <c r="F51" s="156">
        <f>F43-F47</f>
        <v>23036.526371451517</v>
      </c>
      <c r="G51" s="157">
        <f>G43-G47</f>
        <v>24679.658272450906</v>
      </c>
    </row>
    <row r="52" spans="1:7" x14ac:dyDescent="0.45">
      <c r="C52" s="48"/>
      <c r="G52" s="54"/>
    </row>
    <row r="53" spans="1:7" s="46" customFormat="1" ht="16.3" thickBot="1" x14ac:dyDescent="0.5">
      <c r="A53" s="130" t="s">
        <v>69</v>
      </c>
      <c r="B53" s="159">
        <f t="shared" ref="B53:G53" si="16">B47+B51</f>
        <v>81943</v>
      </c>
      <c r="C53" s="158">
        <f>C47+C51</f>
        <v>89416.100518329811</v>
      </c>
      <c r="D53" s="159">
        <f t="shared" si="16"/>
        <v>93952.503139254957</v>
      </c>
      <c r="E53" s="159">
        <f t="shared" si="16"/>
        <v>98975.799832952311</v>
      </c>
      <c r="F53" s="159">
        <f t="shared" si="16"/>
        <v>104530.70061507191</v>
      </c>
      <c r="G53" s="160">
        <f t="shared" si="16"/>
        <v>110666.25639715533</v>
      </c>
    </row>
    <row r="54" spans="1:7" ht="16.3" thickTop="1" x14ac:dyDescent="0.45"/>
    <row r="55" spans="1:7" x14ac:dyDescent="0.45">
      <c r="A55" s="57" t="s">
        <v>70</v>
      </c>
      <c r="B55" s="166">
        <v>2022</v>
      </c>
      <c r="C55" s="166">
        <v>2023</v>
      </c>
      <c r="D55" s="166">
        <v>2024</v>
      </c>
      <c r="E55" s="166">
        <v>2025</v>
      </c>
      <c r="F55" s="166">
        <v>2026</v>
      </c>
      <c r="G55" s="166">
        <v>2027</v>
      </c>
    </row>
    <row r="56" spans="1:7" x14ac:dyDescent="0.45">
      <c r="A56" s="59" t="s">
        <v>71</v>
      </c>
    </row>
    <row r="57" spans="1:7" x14ac:dyDescent="0.45">
      <c r="A57" t="s">
        <v>49</v>
      </c>
      <c r="C57" s="138">
        <f>C30</f>
        <v>7775.3318165538958</v>
      </c>
      <c r="D57" s="138">
        <f>D30</f>
        <v>8838.8094627859573</v>
      </c>
      <c r="E57" s="138">
        <f>E30</f>
        <v>10003.996062093102</v>
      </c>
      <c r="F57" s="138">
        <f>F30</f>
        <v>11280.618862784009</v>
      </c>
      <c r="G57" s="138">
        <f>G30</f>
        <v>12679.33540845403</v>
      </c>
    </row>
    <row r="58" spans="1:7" x14ac:dyDescent="0.45">
      <c r="A58" t="s">
        <v>72</v>
      </c>
      <c r="C58" s="89">
        <f>C24</f>
        <v>3127.7009729214456</v>
      </c>
      <c r="D58" s="89">
        <f>D24</f>
        <v>3426.8282678061514</v>
      </c>
      <c r="E58" s="89">
        <f>E24</f>
        <v>3754.5635208427725</v>
      </c>
      <c r="F58" s="89">
        <f>F24</f>
        <v>4113.642742029785</v>
      </c>
      <c r="G58" s="89">
        <f>G24</f>
        <v>4507.0636080904287</v>
      </c>
    </row>
    <row r="59" spans="1:7" x14ac:dyDescent="0.45">
      <c r="A59" t="s">
        <v>73</v>
      </c>
      <c r="B59" s="89"/>
      <c r="C59" s="89">
        <f>(C39-C45)-(B39-B45)</f>
        <v>3710.0600520110966</v>
      </c>
      <c r="D59" s="89">
        <f t="shared" ref="D59:F59" si="17">(D39-D45)-(C39-C45)</f>
        <v>1526.7719452971505</v>
      </c>
      <c r="E59" s="89">
        <f t="shared" si="17"/>
        <v>1672.7894725021324</v>
      </c>
      <c r="F59" s="89">
        <f t="shared" si="17"/>
        <v>1832.7718346759066</v>
      </c>
      <c r="G59" s="89">
        <f>(G39-G45)-(F39-F45)</f>
        <v>2008.0546017287197</v>
      </c>
    </row>
    <row r="60" spans="1:7" x14ac:dyDescent="0.45">
      <c r="A60" t="s">
        <v>74</v>
      </c>
      <c r="C60" s="89">
        <f>-(C38+C36-B36-B38)</f>
        <v>-3264.9881841263414</v>
      </c>
      <c r="D60" s="89">
        <f>-(D38+D36-C36-C38)</f>
        <v>-3577.245363378348</v>
      </c>
      <c r="E60" s="89">
        <f>-(E38+E36-D36-D38)</f>
        <v>-3919.3662176257276</v>
      </c>
      <c r="F60" s="89">
        <f>-(F38+F36-E36-E38)</f>
        <v>-4294.2068512064361</v>
      </c>
      <c r="G60" s="89">
        <f>-(G38+G36-F36-F38)</f>
        <v>-4704.8965207744768</v>
      </c>
    </row>
    <row r="61" spans="1:7" ht="16.3" thickBot="1" x14ac:dyDescent="0.5">
      <c r="A61" s="58" t="s">
        <v>75</v>
      </c>
      <c r="B61" s="58"/>
      <c r="C61" s="136">
        <f>(C45-B45)</f>
        <v>4183.8279508800115</v>
      </c>
      <c r="D61" s="136">
        <f>(D45-C45)</f>
        <v>3415.6973331886766</v>
      </c>
      <c r="E61" s="136">
        <f>(E45-D45)</f>
        <v>3742.3680450845422</v>
      </c>
      <c r="F61" s="136">
        <f>(F45-E45)</f>
        <v>4100.2809144671555</v>
      </c>
      <c r="G61" s="136">
        <f>(G45-F45)</f>
        <v>4492.4238810840397</v>
      </c>
    </row>
    <row r="62" spans="1:7" x14ac:dyDescent="0.45">
      <c r="A62" t="s">
        <v>76</v>
      </c>
      <c r="C62" s="138">
        <f>SUM(C57:C61)</f>
        <v>15531.932608240108</v>
      </c>
      <c r="D62" s="138">
        <f t="shared" ref="D62:G62" si="18">SUM(D57:D61)</f>
        <v>13630.861645699588</v>
      </c>
      <c r="E62" s="138">
        <f t="shared" si="18"/>
        <v>15254.350882896821</v>
      </c>
      <c r="F62" s="138">
        <f t="shared" si="18"/>
        <v>17033.107502750419</v>
      </c>
      <c r="G62" s="138">
        <f t="shared" si="18"/>
        <v>18981.980978582742</v>
      </c>
    </row>
    <row r="64" spans="1:7" x14ac:dyDescent="0.45">
      <c r="A64" s="59" t="s">
        <v>77</v>
      </c>
    </row>
    <row r="65" spans="1:7" x14ac:dyDescent="0.45">
      <c r="A65" t="s">
        <v>78</v>
      </c>
      <c r="C65" s="138">
        <f>-(C40-B40)</f>
        <v>420.78748456130052</v>
      </c>
      <c r="D65" s="138">
        <f>-(D40-C40)</f>
        <v>406.06665756068287</v>
      </c>
      <c r="E65" s="138">
        <f>-(E40-D40)</f>
        <v>391.86082388931754</v>
      </c>
      <c r="F65" s="138">
        <f>-(F40-E40)</f>
        <v>378.15196702346293</v>
      </c>
      <c r="G65" s="138">
        <f>-(G40-F40)</f>
        <v>364.92270072933934</v>
      </c>
    </row>
    <row r="66" spans="1:7" x14ac:dyDescent="0.45">
      <c r="A66" t="s">
        <v>79</v>
      </c>
      <c r="C66" s="89">
        <v>0</v>
      </c>
      <c r="D66" s="89">
        <v>0</v>
      </c>
      <c r="E66" s="89">
        <v>0</v>
      </c>
      <c r="F66" s="89">
        <v>0</v>
      </c>
      <c r="G66" s="89">
        <v>0</v>
      </c>
    </row>
    <row r="67" spans="1:7" ht="16.3" thickBot="1" x14ac:dyDescent="0.5">
      <c r="A67" s="58" t="s">
        <v>80</v>
      </c>
      <c r="B67" s="58"/>
      <c r="C67" s="136">
        <v>0</v>
      </c>
      <c r="D67" s="136">
        <v>0</v>
      </c>
      <c r="E67" s="136">
        <v>0</v>
      </c>
      <c r="F67" s="136">
        <v>0</v>
      </c>
      <c r="G67" s="136">
        <v>0</v>
      </c>
    </row>
    <row r="68" spans="1:7" x14ac:dyDescent="0.45">
      <c r="A68" t="s">
        <v>81</v>
      </c>
      <c r="C68" s="138">
        <f>SUM(C65:C67)</f>
        <v>420.78748456130052</v>
      </c>
      <c r="D68" s="138">
        <f t="shared" ref="D68:G68" si="19">SUM(D65:D67)</f>
        <v>406.06665756068287</v>
      </c>
      <c r="E68" s="138">
        <f t="shared" si="19"/>
        <v>391.86082388931754</v>
      </c>
      <c r="F68" s="138">
        <f t="shared" si="19"/>
        <v>378.15196702346293</v>
      </c>
      <c r="G68" s="138">
        <f t="shared" si="19"/>
        <v>364.92270072933934</v>
      </c>
    </row>
    <row r="70" spans="1:7" x14ac:dyDescent="0.45">
      <c r="A70" s="59" t="s">
        <v>82</v>
      </c>
    </row>
    <row r="71" spans="1:7" x14ac:dyDescent="0.45">
      <c r="A71" t="s">
        <v>83</v>
      </c>
      <c r="C71" s="138">
        <f>(C46-B46)</f>
        <v>0</v>
      </c>
      <c r="D71" s="138">
        <f>(D46-C46)</f>
        <v>0</v>
      </c>
      <c r="E71" s="138">
        <f>(E46-D46)</f>
        <v>0</v>
      </c>
      <c r="F71" s="138">
        <f>(F46-E46)</f>
        <v>0</v>
      </c>
      <c r="G71" s="138">
        <f>(G46-F46)</f>
        <v>0</v>
      </c>
    </row>
    <row r="72" spans="1:7" x14ac:dyDescent="0.45">
      <c r="A72" t="s">
        <v>84</v>
      </c>
      <c r="C72" s="89">
        <v>0</v>
      </c>
      <c r="D72" s="89">
        <v>0</v>
      </c>
      <c r="E72" s="89">
        <v>0</v>
      </c>
      <c r="F72" s="89">
        <v>0</v>
      </c>
      <c r="G72" s="89">
        <v>0</v>
      </c>
    </row>
    <row r="73" spans="1:7" ht="16.3" thickBot="1" x14ac:dyDescent="0.5">
      <c r="A73" s="58" t="s">
        <v>85</v>
      </c>
      <c r="B73" s="58"/>
      <c r="C73" s="136">
        <f>-C31</f>
        <v>-3325.8992929232195</v>
      </c>
      <c r="D73" s="136">
        <f>-D31</f>
        <v>-3780.8020077002857</v>
      </c>
      <c r="E73" s="136">
        <f>-E31</f>
        <v>-4279.2107416540748</v>
      </c>
      <c r="F73" s="136">
        <f>-F31</f>
        <v>-4825.2863266352679</v>
      </c>
      <c r="G73" s="136">
        <f>-G31</f>
        <v>-5423.5875284360336</v>
      </c>
    </row>
    <row r="74" spans="1:7" x14ac:dyDescent="0.45">
      <c r="A74" t="s">
        <v>86</v>
      </c>
      <c r="C74" s="138">
        <f>SUM(C71:C73)</f>
        <v>-3325.8992929232195</v>
      </c>
      <c r="D74" s="138">
        <f t="shared" ref="D74:G74" si="20">SUM(D71:D73)</f>
        <v>-3780.8020077002857</v>
      </c>
      <c r="E74" s="138">
        <f t="shared" si="20"/>
        <v>-4279.2107416540748</v>
      </c>
      <c r="F74" s="138">
        <f t="shared" si="20"/>
        <v>-4825.2863266352679</v>
      </c>
      <c r="G74" s="138">
        <f t="shared" si="20"/>
        <v>-5423.5875284360336</v>
      </c>
    </row>
    <row r="76" spans="1:7" x14ac:dyDescent="0.45">
      <c r="A76" t="s">
        <v>87</v>
      </c>
      <c r="C76" s="138">
        <f>C62+C68+C74</f>
        <v>12626.820799878189</v>
      </c>
      <c r="D76" s="138">
        <f t="shared" ref="D76:G76" si="21">D62+D68+D74</f>
        <v>10256.126295559985</v>
      </c>
      <c r="E76" s="138">
        <f t="shared" si="21"/>
        <v>11367.000965132063</v>
      </c>
      <c r="F76" s="138">
        <f t="shared" si="21"/>
        <v>12585.973143138614</v>
      </c>
      <c r="G76" s="138">
        <f t="shared" si="21"/>
        <v>13923.31615087605</v>
      </c>
    </row>
    <row r="77" spans="1:7" ht="16.3" thickBot="1" x14ac:dyDescent="0.5">
      <c r="A77" s="58" t="s">
        <v>88</v>
      </c>
      <c r="B77" s="58"/>
      <c r="C77" s="136">
        <f>B35</f>
        <v>7004</v>
      </c>
      <c r="D77" s="136">
        <f>C35</f>
        <v>19630.820799878187</v>
      </c>
      <c r="E77" s="136">
        <f>D35</f>
        <v>29886.947095438172</v>
      </c>
      <c r="F77" s="136">
        <f>E35</f>
        <v>41253.948060570234</v>
      </c>
      <c r="G77" s="136">
        <f>F35</f>
        <v>53839.921203708844</v>
      </c>
    </row>
    <row r="78" spans="1:7" x14ac:dyDescent="0.45">
      <c r="A78" t="s">
        <v>89</v>
      </c>
      <c r="C78" s="138">
        <f>C76+C77</f>
        <v>19630.820799878187</v>
      </c>
      <c r="D78" s="138">
        <f t="shared" ref="D78:G78" si="22">D76+D77</f>
        <v>29886.947095438172</v>
      </c>
      <c r="E78" s="138">
        <f t="shared" si="22"/>
        <v>41253.948060570234</v>
      </c>
      <c r="F78" s="138">
        <f t="shared" si="22"/>
        <v>53839.921203708844</v>
      </c>
      <c r="G78" s="138">
        <f t="shared" si="22"/>
        <v>67763.237354584897</v>
      </c>
    </row>
    <row r="80" spans="1:7" x14ac:dyDescent="0.45">
      <c r="A80" s="57" t="s">
        <v>90</v>
      </c>
      <c r="B80" s="166">
        <v>2022</v>
      </c>
      <c r="C80" s="166">
        <v>2023</v>
      </c>
      <c r="D80" s="166">
        <v>2024</v>
      </c>
      <c r="E80" s="166">
        <v>2025</v>
      </c>
      <c r="F80" s="166">
        <v>2026</v>
      </c>
      <c r="G80" s="166">
        <v>2027</v>
      </c>
    </row>
    <row r="81" spans="1:9" x14ac:dyDescent="0.45">
      <c r="A81" t="s">
        <v>91</v>
      </c>
      <c r="C81" s="138">
        <f>(C21-C22--C24)*(1-$B$18)</f>
        <v>17522.10679748133</v>
      </c>
      <c r="D81" s="138">
        <f t="shared" ref="D81:G81" si="23">(D21-D22--D24)*(1-$B$18)</f>
        <v>19197.887331614616</v>
      </c>
      <c r="E81" s="138">
        <f t="shared" si="23"/>
        <v>21033.936287293178</v>
      </c>
      <c r="F81" s="138">
        <f t="shared" si="23"/>
        <v>23045.5814275632</v>
      </c>
      <c r="G81" s="138">
        <f t="shared" si="23"/>
        <v>25249.616433196501</v>
      </c>
    </row>
    <row r="82" spans="1:9" x14ac:dyDescent="0.45">
      <c r="A82" t="s">
        <v>72</v>
      </c>
      <c r="C82" s="89">
        <f>C24</f>
        <v>3127.7009729214456</v>
      </c>
      <c r="D82" s="89">
        <f>D24</f>
        <v>3426.8282678061514</v>
      </c>
      <c r="E82" s="89">
        <f>E24</f>
        <v>3754.5635208427725</v>
      </c>
      <c r="F82" s="89">
        <f>F24</f>
        <v>4113.642742029785</v>
      </c>
      <c r="G82" s="89">
        <f>G24</f>
        <v>4507.0636080904287</v>
      </c>
    </row>
    <row r="83" spans="1:9" x14ac:dyDescent="0.45">
      <c r="A83" t="s">
        <v>74</v>
      </c>
      <c r="C83" s="89">
        <f>C60</f>
        <v>-3264.9881841263414</v>
      </c>
      <c r="D83" s="89">
        <f t="shared" ref="D83:G84" si="24">D60</f>
        <v>-3577.245363378348</v>
      </c>
      <c r="E83" s="89">
        <f t="shared" si="24"/>
        <v>-3919.3662176257276</v>
      </c>
      <c r="F83" s="89">
        <f t="shared" si="24"/>
        <v>-4294.2068512064361</v>
      </c>
      <c r="G83" s="89">
        <f t="shared" si="24"/>
        <v>-4704.8965207744768</v>
      </c>
    </row>
    <row r="84" spans="1:9" x14ac:dyDescent="0.45">
      <c r="A84" t="s">
        <v>75</v>
      </c>
      <c r="C84" s="89">
        <f>C61</f>
        <v>4183.8279508800115</v>
      </c>
      <c r="D84" s="89">
        <f t="shared" si="24"/>
        <v>3415.6973331886766</v>
      </c>
      <c r="E84" s="89">
        <f t="shared" si="24"/>
        <v>3742.3680450845422</v>
      </c>
      <c r="F84" s="89">
        <f t="shared" si="24"/>
        <v>4100.2809144671555</v>
      </c>
      <c r="G84" s="89">
        <f t="shared" si="24"/>
        <v>4492.4238810840397</v>
      </c>
    </row>
    <row r="85" spans="1:9" ht="16.3" thickBot="1" x14ac:dyDescent="0.5">
      <c r="A85" s="58" t="s">
        <v>92</v>
      </c>
      <c r="B85" s="58"/>
      <c r="C85" s="136">
        <f>C65</f>
        <v>420.78748456130052</v>
      </c>
      <c r="D85" s="136">
        <f t="shared" ref="D85:G85" si="25">D65</f>
        <v>406.06665756068287</v>
      </c>
      <c r="E85" s="136">
        <f t="shared" si="25"/>
        <v>391.86082388931754</v>
      </c>
      <c r="F85" s="136">
        <f t="shared" si="25"/>
        <v>378.15196702346293</v>
      </c>
      <c r="G85" s="136">
        <f t="shared" si="25"/>
        <v>364.92270072933934</v>
      </c>
    </row>
    <row r="86" spans="1:9" x14ac:dyDescent="0.45">
      <c r="A86" s="60" t="s">
        <v>93</v>
      </c>
      <c r="C86" s="138">
        <f>SUM(C81:C85)</f>
        <v>21989.435021717745</v>
      </c>
      <c r="D86" s="138">
        <f t="shared" ref="D86:G86" si="26">SUM(D81:D85)</f>
        <v>22869.234226791777</v>
      </c>
      <c r="E86" s="138">
        <f t="shared" si="26"/>
        <v>25003.362459484084</v>
      </c>
      <c r="F86" s="138">
        <f t="shared" si="26"/>
        <v>27343.450199877167</v>
      </c>
      <c r="G86" s="138">
        <f t="shared" si="26"/>
        <v>29909.130102325835</v>
      </c>
    </row>
    <row r="89" spans="1:9" x14ac:dyDescent="0.45">
      <c r="A89" t="s">
        <v>94</v>
      </c>
      <c r="B89" s="166">
        <v>2022</v>
      </c>
      <c r="C89" s="166">
        <v>2023</v>
      </c>
      <c r="D89" s="166">
        <v>2024</v>
      </c>
      <c r="E89" s="166">
        <v>2025</v>
      </c>
      <c r="F89" s="166">
        <v>2026</v>
      </c>
      <c r="G89" s="166">
        <v>2027</v>
      </c>
    </row>
    <row r="90" spans="1:9" x14ac:dyDescent="0.45">
      <c r="A90" t="s">
        <v>95</v>
      </c>
      <c r="C90" s="138">
        <f>C86</f>
        <v>21989.435021717745</v>
      </c>
      <c r="D90" s="138">
        <f t="shared" ref="D90:G90" si="27">D86</f>
        <v>22869.234226791777</v>
      </c>
      <c r="E90" s="138">
        <f t="shared" si="27"/>
        <v>25003.362459484084</v>
      </c>
      <c r="F90" s="138">
        <f t="shared" si="27"/>
        <v>27343.450199877167</v>
      </c>
      <c r="G90" s="138">
        <f t="shared" si="27"/>
        <v>29909.130102325835</v>
      </c>
      <c r="I90" s="138">
        <f>G90*1000000</f>
        <v>29909130102.325836</v>
      </c>
    </row>
    <row r="91" spans="1:9" x14ac:dyDescent="0.45">
      <c r="A91" t="s">
        <v>96</v>
      </c>
      <c r="C91" s="138"/>
      <c r="D91" s="138"/>
      <c r="E91" s="138"/>
      <c r="F91" s="138"/>
      <c r="G91" s="138">
        <f>G90*(1+B94)/(B93-B94)</f>
        <v>381341.40880465438</v>
      </c>
      <c r="I91" s="138">
        <f>F90*1000000</f>
        <v>27343450199.877167</v>
      </c>
    </row>
    <row r="93" spans="1:9" x14ac:dyDescent="0.45">
      <c r="A93" t="s">
        <v>97</v>
      </c>
      <c r="B93" s="43">
        <v>0.1</v>
      </c>
    </row>
    <row r="94" spans="1:9" x14ac:dyDescent="0.45">
      <c r="A94" t="s">
        <v>98</v>
      </c>
      <c r="B94" s="43">
        <v>0.02</v>
      </c>
    </row>
    <row r="95" spans="1:9" ht="16.3" thickBot="1" x14ac:dyDescent="0.5"/>
    <row r="96" spans="1:9" x14ac:dyDescent="0.45">
      <c r="A96" s="61" t="s">
        <v>99</v>
      </c>
      <c r="B96" s="163">
        <f>NPV(B93,C90:F90,G90+G91)</f>
        <v>331706.15846780053</v>
      </c>
    </row>
    <row r="97" spans="1:2" x14ac:dyDescent="0.45">
      <c r="A97" s="62" t="s">
        <v>100</v>
      </c>
      <c r="B97" s="161">
        <f>B35</f>
        <v>7004</v>
      </c>
    </row>
    <row r="98" spans="1:2" x14ac:dyDescent="0.45">
      <c r="A98" s="62" t="s">
        <v>101</v>
      </c>
      <c r="B98" s="161">
        <f>B46</f>
        <v>34521</v>
      </c>
    </row>
    <row r="99" spans="1:2" x14ac:dyDescent="0.45">
      <c r="A99" s="62" t="s">
        <v>102</v>
      </c>
      <c r="B99" s="161">
        <f>B96+B97-B98</f>
        <v>304189.15846780053</v>
      </c>
    </row>
    <row r="100" spans="1:2" x14ac:dyDescent="0.45">
      <c r="A100" s="62" t="s">
        <v>103</v>
      </c>
      <c r="B100" s="162">
        <v>526900000</v>
      </c>
    </row>
    <row r="101" spans="1:2" ht="16.3" thickBot="1" x14ac:dyDescent="0.5">
      <c r="A101" s="63" t="s">
        <v>104</v>
      </c>
      <c r="B101" s="164">
        <f>(B99*1000000)/B100</f>
        <v>577.31857746783169</v>
      </c>
    </row>
  </sheetData>
  <mergeCells count="1">
    <mergeCell ref="C19:G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68CEE-074A-E146-A5C9-EC8395048C45}">
  <dimension ref="A1:O213"/>
  <sheetViews>
    <sheetView topLeftCell="A33" zoomScale="86" workbookViewId="0">
      <selection activeCell="I34" sqref="I34"/>
    </sheetView>
  </sheetViews>
  <sheetFormatPr defaultColWidth="11" defaultRowHeight="15.9" x14ac:dyDescent="0.45"/>
  <cols>
    <col min="1" max="1" width="43.35546875" bestFit="1" customWidth="1"/>
    <col min="2" max="2" width="13.140625" bestFit="1" customWidth="1"/>
    <col min="3" max="3" width="9.5" bestFit="1" customWidth="1"/>
    <col min="4" max="7" width="10.5" bestFit="1" customWidth="1"/>
    <col min="9" max="9" width="17" bestFit="1" customWidth="1"/>
    <col min="11" max="11" width="24.640625" bestFit="1" customWidth="1"/>
    <col min="12" max="12" width="10" bestFit="1" customWidth="1"/>
    <col min="13" max="13" width="20.640625" bestFit="1" customWidth="1"/>
    <col min="14" max="14" width="18.85546875" bestFit="1" customWidth="1"/>
    <col min="15" max="15" width="13.140625" bestFit="1" customWidth="1"/>
  </cols>
  <sheetData>
    <row r="1" spans="1:15" x14ac:dyDescent="0.45">
      <c r="A1" s="57" t="s">
        <v>25</v>
      </c>
    </row>
    <row r="3" spans="1:15" s="46" customFormat="1" x14ac:dyDescent="0.45">
      <c r="A3" s="46" t="s">
        <v>26</v>
      </c>
    </row>
    <row r="4" spans="1:15" x14ac:dyDescent="0.45">
      <c r="A4" t="s">
        <v>2</v>
      </c>
      <c r="B4" s="45">
        <f ca="1">N5</f>
        <v>-0.33071527936031608</v>
      </c>
      <c r="K4" s="171" t="s">
        <v>105</v>
      </c>
      <c r="L4" s="180" t="s">
        <v>106</v>
      </c>
      <c r="M4" s="180" t="s">
        <v>107</v>
      </c>
      <c r="N4" s="178" t="s">
        <v>108</v>
      </c>
    </row>
    <row r="5" spans="1:15" x14ac:dyDescent="0.45">
      <c r="A5" t="s">
        <v>27</v>
      </c>
      <c r="B5" s="45">
        <f ca="1">N6</f>
        <v>0.68118022515639476</v>
      </c>
      <c r="K5" s="181" t="s">
        <v>2</v>
      </c>
      <c r="L5" s="45">
        <f>AVERAGE('Ratio Analysis'!C2:G2)</f>
        <v>9.5638073292314801E-2</v>
      </c>
      <c r="M5" s="45">
        <f>_xlfn.STDEV.S('Ratio Analysis'!C2:G2)</f>
        <v>0.2444886213667577</v>
      </c>
      <c r="N5" s="109">
        <f ca="1">NORMINV(RAND(),L5,M5)</f>
        <v>-0.33071527936031608</v>
      </c>
    </row>
    <row r="6" spans="1:15" x14ac:dyDescent="0.45">
      <c r="A6" t="s">
        <v>28</v>
      </c>
      <c r="B6" s="45">
        <f>'Ratio Analysis'!M4</f>
        <v>0.79371070527264476</v>
      </c>
      <c r="K6" s="181" t="s">
        <v>109</v>
      </c>
      <c r="L6" s="45">
        <f>AVERAGE('Ratio Analysis'!C7:G7)</f>
        <v>0.68921889509714762</v>
      </c>
      <c r="M6" s="45">
        <f>_xlfn.STDEV.S('Ratio Analysis'!C7:G7)</f>
        <v>9.9598824828716192E-3</v>
      </c>
      <c r="N6" s="109">
        <f ca="1">NORMINV(RAND(),L6,M6)</f>
        <v>0.68118022515639476</v>
      </c>
    </row>
    <row r="7" spans="1:15" x14ac:dyDescent="0.45">
      <c r="A7" t="s">
        <v>29</v>
      </c>
      <c r="B7" s="45">
        <f>'Ratio Analysis'!M5</f>
        <v>0.54852653331082302</v>
      </c>
      <c r="K7" s="181" t="s">
        <v>30</v>
      </c>
      <c r="L7" s="45">
        <f>AVERAGE('Ratio Analysis'!C3:G3)</f>
        <v>0.16419636150287922</v>
      </c>
      <c r="M7" s="45">
        <f>_xlfn.STDEV.S('Ratio Analysis'!C3:G3)</f>
        <v>4.0483514053287512E-2</v>
      </c>
      <c r="N7" s="109">
        <f ca="1">NORMINV(RAND(),L7,M7)</f>
        <v>0.11029593866512941</v>
      </c>
    </row>
    <row r="8" spans="1:15" x14ac:dyDescent="0.45">
      <c r="A8" t="s">
        <v>30</v>
      </c>
      <c r="B8" s="45">
        <f ca="1">N7</f>
        <v>0.11029593866512941</v>
      </c>
      <c r="K8" s="182" t="s">
        <v>17</v>
      </c>
      <c r="L8" s="179">
        <f>AVERAGE('Ratio Analysis'!C21:G21)</f>
        <v>-3.4983994393190873E-2</v>
      </c>
      <c r="M8" s="179">
        <f>_xlfn.STDEV.S('Ratio Analysis'!C21:G21)</f>
        <v>1.5200615976332803E-2</v>
      </c>
      <c r="N8" s="113">
        <f t="shared" ref="N8" ca="1" si="0">NORMINV(RAND(),L8,M8)</f>
        <v>-1.3354006237477831E-3</v>
      </c>
    </row>
    <row r="9" spans="1:15" x14ac:dyDescent="0.45">
      <c r="A9" t="s">
        <v>23</v>
      </c>
      <c r="B9" s="45">
        <f>'Ratio Analysis'!H35</f>
        <v>1.0648873613041043E-2</v>
      </c>
      <c r="L9" s="45"/>
      <c r="M9" s="45"/>
      <c r="N9" s="45"/>
    </row>
    <row r="10" spans="1:15" x14ac:dyDescent="0.45">
      <c r="A10" t="s">
        <v>31</v>
      </c>
      <c r="B10" s="45">
        <f>'Ratio Analysis'!H33</f>
        <v>9.7929260003364368E-2</v>
      </c>
      <c r="L10" s="45"/>
      <c r="M10" s="45"/>
      <c r="N10" s="45"/>
    </row>
    <row r="11" spans="1:15" x14ac:dyDescent="0.45">
      <c r="B11" s="45"/>
    </row>
    <row r="12" spans="1:15" x14ac:dyDescent="0.45">
      <c r="B12" s="45"/>
    </row>
    <row r="13" spans="1:15" x14ac:dyDescent="0.45">
      <c r="A13" t="s">
        <v>32</v>
      </c>
      <c r="B13" s="45">
        <f ca="1">N8</f>
        <v>-1.3354006237477831E-3</v>
      </c>
      <c r="K13" s="187" t="s">
        <v>110</v>
      </c>
      <c r="L13" s="188"/>
    </row>
    <row r="14" spans="1:15" x14ac:dyDescent="0.45">
      <c r="A14" t="s">
        <v>33</v>
      </c>
      <c r="B14" s="45">
        <f>'Ratio Analysis'!M10</f>
        <v>0.19572355860846297</v>
      </c>
      <c r="K14">
        <v>1</v>
      </c>
      <c r="L14" s="183">
        <f ca="1">B101</f>
        <v>186.0060432101042</v>
      </c>
    </row>
    <row r="15" spans="1:15" x14ac:dyDescent="0.45">
      <c r="A15" t="s">
        <v>34</v>
      </c>
      <c r="B15" s="45">
        <f>'Ratio Analysis'!M9</f>
        <v>0.42775014255241023</v>
      </c>
      <c r="K15">
        <v>2</v>
      </c>
      <c r="L15" s="72">
        <f t="dataTable" ref="L15:L213" dt2D="0" dtr="0" r1="I15" ca="1"/>
        <v>958.61180630034164</v>
      </c>
      <c r="N15" s="187" t="s">
        <v>111</v>
      </c>
      <c r="O15" s="188"/>
    </row>
    <row r="16" spans="1:15" x14ac:dyDescent="0.45">
      <c r="A16" t="s">
        <v>35</v>
      </c>
      <c r="B16" s="45">
        <f>'Ratio Analysis'!M8</f>
        <v>0.1490500903485153</v>
      </c>
      <c r="K16">
        <v>3</v>
      </c>
      <c r="L16" s="72">
        <v>335.42217077694727</v>
      </c>
      <c r="N16" s="172" t="s">
        <v>12</v>
      </c>
      <c r="O16" s="170">
        <f ca="1">AVERAGE(L14:L213)</f>
        <v>722.08329652489556</v>
      </c>
    </row>
    <row r="17" spans="1:15" x14ac:dyDescent="0.45">
      <c r="A17" t="s">
        <v>36</v>
      </c>
      <c r="B17" s="45">
        <v>4.5499999999999999E-2</v>
      </c>
      <c r="K17">
        <v>4</v>
      </c>
      <c r="L17" s="72">
        <v>1323.51713418744</v>
      </c>
      <c r="N17" s="173" t="s">
        <v>112</v>
      </c>
      <c r="O17" s="184">
        <f ca="1">_xlfn.STDEV.S(L14:L213)</f>
        <v>546.91060382670685</v>
      </c>
    </row>
    <row r="18" spans="1:15" x14ac:dyDescent="0.45">
      <c r="A18" t="s">
        <v>37</v>
      </c>
      <c r="B18" s="45">
        <v>0.25</v>
      </c>
      <c r="H18" s="53"/>
      <c r="I18" s="53"/>
      <c r="J18" s="53"/>
      <c r="K18">
        <v>5</v>
      </c>
      <c r="L18" s="72">
        <v>645.01459564440347</v>
      </c>
    </row>
    <row r="19" spans="1:15" x14ac:dyDescent="0.45">
      <c r="A19" s="58"/>
      <c r="B19" s="65"/>
      <c r="C19" s="186" t="s">
        <v>38</v>
      </c>
      <c r="D19" s="186"/>
      <c r="E19" s="186"/>
      <c r="F19" s="186"/>
      <c r="G19" s="186"/>
      <c r="H19" s="53"/>
      <c r="I19" s="53"/>
      <c r="J19" s="53"/>
      <c r="K19">
        <v>6</v>
      </c>
      <c r="L19" s="72">
        <v>558.02089074073865</v>
      </c>
      <c r="N19" s="187" t="s">
        <v>113</v>
      </c>
      <c r="O19" s="188"/>
    </row>
    <row r="20" spans="1:15" x14ac:dyDescent="0.45">
      <c r="A20" s="57" t="s">
        <v>39</v>
      </c>
      <c r="B20" s="167">
        <v>2022</v>
      </c>
      <c r="C20" s="168">
        <v>2023</v>
      </c>
      <c r="D20" s="168">
        <v>2024</v>
      </c>
      <c r="E20" s="168">
        <v>2025</v>
      </c>
      <c r="F20" s="168">
        <v>2026</v>
      </c>
      <c r="G20" s="169">
        <v>2027</v>
      </c>
      <c r="H20" s="53"/>
      <c r="I20" s="53"/>
      <c r="J20" s="53"/>
      <c r="K20">
        <v>7</v>
      </c>
      <c r="L20" s="72">
        <v>394.09114165017291</v>
      </c>
      <c r="N20" s="175" t="s">
        <v>114</v>
      </c>
      <c r="O20" s="54">
        <f ca="1">3*O17</f>
        <v>1640.7318114801205</v>
      </c>
    </row>
    <row r="21" spans="1:15" x14ac:dyDescent="0.45">
      <c r="A21" t="s">
        <v>40</v>
      </c>
      <c r="B21" s="139">
        <f>'2022 Income'!C4</f>
        <v>59427</v>
      </c>
      <c r="C21" s="138">
        <f ca="1">B21*(1+$B$4)</f>
        <v>39773.583093454494</v>
      </c>
      <c r="D21" s="138">
        <f ca="1">C21*(1+$B$4)</f>
        <v>26619.851449541948</v>
      </c>
      <c r="E21" s="138">
        <f ca="1">D21*(1+$B$4)</f>
        <v>17816.259840876566</v>
      </c>
      <c r="F21" s="138">
        <f ca="1">E21*(1+$B$4)</f>
        <v>11924.150490445092</v>
      </c>
      <c r="G21" s="139">
        <f ca="1">F21*(1+$B$4)</f>
        <v>7980.6517298630934</v>
      </c>
      <c r="J21" s="72"/>
      <c r="K21">
        <v>8</v>
      </c>
      <c r="L21" s="72">
        <v>665.74418809478163</v>
      </c>
      <c r="N21" s="172" t="s">
        <v>115</v>
      </c>
      <c r="O21" s="170">
        <f ca="1">O16-O20</f>
        <v>-918.64851495522498</v>
      </c>
    </row>
    <row r="22" spans="1:15" x14ac:dyDescent="0.45">
      <c r="A22" t="s">
        <v>41</v>
      </c>
      <c r="B22" s="135">
        <f>'2022 Income'!C6</f>
        <v>41350</v>
      </c>
      <c r="C22" s="89">
        <f ca="1">C21*$B$5</f>
        <v>27092.978286875907</v>
      </c>
      <c r="D22" s="89">
        <f t="shared" ref="D22:G22" ca="1" si="1">D21*$B$5</f>
        <v>18132.916404028765</v>
      </c>
      <c r="E22" s="89">
        <f t="shared" ca="1" si="1"/>
        <v>12136.083889853133</v>
      </c>
      <c r="F22" s="89">
        <f t="shared" ca="1" si="1"/>
        <v>8122.4955158801231</v>
      </c>
      <c r="G22" s="135">
        <f t="shared" ca="1" si="1"/>
        <v>5436.2621422429129</v>
      </c>
      <c r="J22" s="72"/>
      <c r="K22">
        <v>9</v>
      </c>
      <c r="L22" s="72">
        <v>922.18031257697157</v>
      </c>
      <c r="N22" s="172" t="s">
        <v>116</v>
      </c>
      <c r="O22" s="170">
        <f ca="1">O16+O20</f>
        <v>2362.8151080050161</v>
      </c>
    </row>
    <row r="23" spans="1:15" x14ac:dyDescent="0.45">
      <c r="A23" t="s">
        <v>42</v>
      </c>
      <c r="B23" s="135">
        <f>'2022 Income'!C7-'Ratio Analysis'!G14</f>
        <v>3432</v>
      </c>
      <c r="C23" s="89">
        <f>B23*(1+$B$10)</f>
        <v>3768.0932203315465</v>
      </c>
      <c r="D23" s="89">
        <f>C23*(1+$B$10)</f>
        <v>4137.0998010223093</v>
      </c>
      <c r="E23" s="89">
        <f>D23*(1+$B$10)</f>
        <v>4542.2429230964899</v>
      </c>
      <c r="F23" s="89">
        <f>E23*(1+$B$10)</f>
        <v>4987.0614113108477</v>
      </c>
      <c r="G23" s="135">
        <f>F23*(1+$B$10)</f>
        <v>5475.4406449118524</v>
      </c>
      <c r="J23" s="72"/>
      <c r="K23">
        <v>10</v>
      </c>
      <c r="L23" s="72">
        <v>454.50078256397387</v>
      </c>
      <c r="N23" s="172" t="s">
        <v>117</v>
      </c>
      <c r="O23" s="54">
        <v>200</v>
      </c>
    </row>
    <row r="24" spans="1:15" x14ac:dyDescent="0.45">
      <c r="A24" t="s">
        <v>43</v>
      </c>
      <c r="B24" s="135">
        <f>'Ratio Analysis'!G14</f>
        <v>2219</v>
      </c>
      <c r="C24" s="89">
        <f>'Ratio Analysis'!H14</f>
        <v>3127.7009729214456</v>
      </c>
      <c r="D24" s="89">
        <f>'Ratio Analysis'!I14</f>
        <v>3426.8282678061514</v>
      </c>
      <c r="E24" s="89">
        <f>'Ratio Analysis'!J14</f>
        <v>3754.5635208427725</v>
      </c>
      <c r="F24" s="89">
        <f>'Ratio Analysis'!K14</f>
        <v>4113.642742029785</v>
      </c>
      <c r="G24" s="89">
        <f>'Ratio Analysis'!L14</f>
        <v>4507.0636080904287</v>
      </c>
      <c r="H24" s="48"/>
      <c r="J24" s="72"/>
      <c r="K24">
        <v>11</v>
      </c>
      <c r="L24" s="72">
        <v>682.24761338230803</v>
      </c>
      <c r="N24" s="172" t="s">
        <v>118</v>
      </c>
      <c r="O24" s="54">
        <f>SQRT(O23)</f>
        <v>14.142135623730951</v>
      </c>
    </row>
    <row r="25" spans="1:15" x14ac:dyDescent="0.45">
      <c r="A25" t="s">
        <v>44</v>
      </c>
      <c r="B25" s="135">
        <f>'2022 Income'!C33</f>
        <v>565</v>
      </c>
      <c r="C25" s="89">
        <f>C46*$B$16</f>
        <v>5145.3581689210969</v>
      </c>
      <c r="D25" s="89">
        <f>D46*$B$16</f>
        <v>5145.3581689210969</v>
      </c>
      <c r="E25" s="89">
        <f>E46*$B$16</f>
        <v>5145.3581689210969</v>
      </c>
      <c r="F25" s="89">
        <f>F46*$B$16</f>
        <v>5145.3581689210969</v>
      </c>
      <c r="G25" s="89">
        <f>G46*$B$16</f>
        <v>5145.3581689210969</v>
      </c>
      <c r="H25" s="48"/>
      <c r="J25" s="72"/>
      <c r="K25">
        <v>12</v>
      </c>
      <c r="L25" s="72">
        <v>848.94962798286781</v>
      </c>
      <c r="N25" s="173" t="s">
        <v>119</v>
      </c>
      <c r="O25" s="174">
        <f ca="1">(O22-O21)/O24</f>
        <v>232.03451800121627</v>
      </c>
    </row>
    <row r="26" spans="1:15" x14ac:dyDescent="0.45">
      <c r="A26" t="s">
        <v>45</v>
      </c>
      <c r="B26" s="135">
        <f>'2022 Income'!C11-SUM(B22:B25)</f>
        <v>3957</v>
      </c>
      <c r="C26" s="89">
        <f>B26*(1+$B$9)</f>
        <v>3999.1375928868033</v>
      </c>
      <c r="D26" s="89">
        <f>C26*(1+$B$9)</f>
        <v>4041.7239036746159</v>
      </c>
      <c r="E26" s="89">
        <f>D26*(1+$B$9)</f>
        <v>4084.7637107036535</v>
      </c>
      <c r="F26" s="89">
        <f>E26*(1+$B$9)</f>
        <v>4128.2618431980727</v>
      </c>
      <c r="G26" s="89">
        <f>F26*(1+$B$9)</f>
        <v>4172.223181807829</v>
      </c>
      <c r="H26" s="48"/>
      <c r="J26" s="72"/>
      <c r="K26">
        <v>13</v>
      </c>
      <c r="L26" s="72">
        <v>1026.3685310859607</v>
      </c>
    </row>
    <row r="27" spans="1:15" x14ac:dyDescent="0.45">
      <c r="A27" s="58" t="s">
        <v>46</v>
      </c>
      <c r="B27" s="137">
        <v>0</v>
      </c>
      <c r="C27" s="136">
        <v>0</v>
      </c>
      <c r="D27" s="136">
        <v>0</v>
      </c>
      <c r="E27" s="136">
        <v>0</v>
      </c>
      <c r="F27" s="136">
        <v>0</v>
      </c>
      <c r="G27" s="136">
        <v>0</v>
      </c>
      <c r="H27" s="64"/>
      <c r="I27" s="55"/>
      <c r="J27" s="72"/>
      <c r="K27">
        <v>14</v>
      </c>
      <c r="L27" s="72">
        <v>1557.2536935857988</v>
      </c>
    </row>
    <row r="28" spans="1:15" x14ac:dyDescent="0.45">
      <c r="A28" t="s">
        <v>47</v>
      </c>
      <c r="B28" s="139">
        <f>B21-B22-B24-B25+B27-B26-B23</f>
        <v>7904</v>
      </c>
      <c r="C28" s="138">
        <f ca="1">C21-C22-C24-C25+C2</f>
        <v>4407.5456647360443</v>
      </c>
      <c r="D28" s="138">
        <f ca="1">D21-D22-D24-D25+D27</f>
        <v>-85.251391214065734</v>
      </c>
      <c r="E28" s="138">
        <f ca="1">E21-E22-E24-E25+E27</f>
        <v>-3219.7457387404361</v>
      </c>
      <c r="F28" s="138">
        <f ca="1">F21-F22-F24-F25+F27</f>
        <v>-5457.3459363859129</v>
      </c>
      <c r="G28" s="138">
        <f ca="1">G21-G22-G24-G25+G27</f>
        <v>-7108.0321893913451</v>
      </c>
      <c r="H28" s="64"/>
      <c r="I28" s="55"/>
      <c r="J28" s="72"/>
      <c r="K28">
        <v>15</v>
      </c>
      <c r="L28" s="72">
        <v>321.65414887548184</v>
      </c>
      <c r="N28" s="171" t="s">
        <v>120</v>
      </c>
      <c r="O28" s="178" t="s">
        <v>121</v>
      </c>
    </row>
    <row r="29" spans="1:15" x14ac:dyDescent="0.45">
      <c r="A29" s="58" t="s">
        <v>48</v>
      </c>
      <c r="B29" s="140">
        <f>0.35*B28</f>
        <v>2766.3999999999996</v>
      </c>
      <c r="C29" s="136">
        <f t="shared" ref="C29:G29" ca="1" si="2">0.35*C28</f>
        <v>1542.6409826576155</v>
      </c>
      <c r="D29" s="136">
        <f t="shared" ca="1" si="2"/>
        <v>-29.837986924923005</v>
      </c>
      <c r="E29" s="136">
        <f t="shared" ca="1" si="2"/>
        <v>-1126.9110085591526</v>
      </c>
      <c r="F29" s="136">
        <f t="shared" ca="1" si="2"/>
        <v>-1910.0710777350694</v>
      </c>
      <c r="G29" s="140">
        <f t="shared" ca="1" si="2"/>
        <v>-2487.8112662869707</v>
      </c>
      <c r="H29" s="55"/>
      <c r="I29" s="55"/>
      <c r="J29" s="55"/>
      <c r="K29">
        <v>16</v>
      </c>
      <c r="L29" s="72">
        <v>2386.3487895635717</v>
      </c>
      <c r="N29" s="176">
        <f ca="1">O21</f>
        <v>-918.64851495522498</v>
      </c>
      <c r="O29" s="54">
        <f t="array" aca="1" ref="O29" ca="1">FREQUENCY(L14:L213,N29:N44)</f>
        <v>0</v>
      </c>
    </row>
    <row r="30" spans="1:15" x14ac:dyDescent="0.45">
      <c r="A30" t="s">
        <v>49</v>
      </c>
      <c r="B30" s="135">
        <f>B28-B29</f>
        <v>5137.6000000000004</v>
      </c>
      <c r="C30" s="89">
        <f t="shared" ref="C30:G30" ca="1" si="3">C28-C29</f>
        <v>2864.9046820784288</v>
      </c>
      <c r="D30" s="89">
        <f t="shared" ca="1" si="3"/>
        <v>-55.413404289142733</v>
      </c>
      <c r="E30" s="89">
        <f t="shared" ca="1" si="3"/>
        <v>-2092.8347301812837</v>
      </c>
      <c r="F30" s="89">
        <f t="shared" ca="1" si="3"/>
        <v>-3547.2748586508433</v>
      </c>
      <c r="G30" s="135">
        <f t="shared" ca="1" si="3"/>
        <v>-4620.2209231043744</v>
      </c>
      <c r="H30" s="45"/>
      <c r="I30" s="55"/>
      <c r="J30" s="55"/>
      <c r="K30">
        <v>17</v>
      </c>
      <c r="L30" s="72">
        <v>569.85034715869324</v>
      </c>
      <c r="N30" s="176">
        <f ca="1">N29+$O$25</f>
        <v>-686.61399695400871</v>
      </c>
      <c r="O30" s="54">
        <f t="array" aca="1" ref="O30" ca="1">FREQUENCY(L15:L214,N30:N45)</f>
        <v>0</v>
      </c>
    </row>
    <row r="31" spans="1:15" x14ac:dyDescent="0.45">
      <c r="A31" t="s">
        <v>50</v>
      </c>
      <c r="B31" s="135">
        <f>'Ratio Analysis'!G25</f>
        <v>2440</v>
      </c>
      <c r="C31" s="89">
        <f ca="1">C30*$B$15</f>
        <v>1225.4633861581153</v>
      </c>
      <c r="D31" s="89">
        <f t="shared" ref="D31:G31" ca="1" si="4">D30*$B$15</f>
        <v>-23.703091583995143</v>
      </c>
      <c r="E31" s="89">
        <f t="shared" ca="1" si="4"/>
        <v>-895.21035417367909</v>
      </c>
      <c r="F31" s="89">
        <f t="shared" ca="1" si="4"/>
        <v>-1517.3473264604791</v>
      </c>
      <c r="G31" s="135">
        <f t="shared" ca="1" si="4"/>
        <v>-1976.3001584815245</v>
      </c>
      <c r="H31" s="53"/>
      <c r="I31" s="53"/>
      <c r="J31" s="53"/>
      <c r="K31">
        <v>18</v>
      </c>
      <c r="L31" s="72">
        <v>1529.8919136896438</v>
      </c>
      <c r="N31" s="176">
        <f t="shared" ref="N31:N44" ca="1" si="5">N30+$O$25</f>
        <v>-454.57947895279244</v>
      </c>
      <c r="O31" s="54">
        <f t="array" aca="1" ref="O31" ca="1">FREQUENCY(L16:L215,N31:N46)</f>
        <v>0</v>
      </c>
    </row>
    <row r="32" spans="1:15" x14ac:dyDescent="0.45">
      <c r="A32" s="58" t="s">
        <v>51</v>
      </c>
      <c r="B32" s="142">
        <f>B30-B31</f>
        <v>2697.6000000000004</v>
      </c>
      <c r="C32" s="141">
        <f t="shared" ref="C32:G32" ca="1" si="6">C30-C31</f>
        <v>1639.4412959203135</v>
      </c>
      <c r="D32" s="141">
        <f t="shared" ca="1" si="6"/>
        <v>-31.71031270514759</v>
      </c>
      <c r="E32" s="141">
        <f t="shared" ca="1" si="6"/>
        <v>-1197.6243760076045</v>
      </c>
      <c r="F32" s="141">
        <f t="shared" ca="1" si="6"/>
        <v>-2029.9275321903642</v>
      </c>
      <c r="G32" s="142">
        <f t="shared" ca="1" si="6"/>
        <v>-2643.9207646228497</v>
      </c>
      <c r="H32" s="55"/>
      <c r="I32" s="55"/>
      <c r="J32" s="55"/>
      <c r="K32">
        <v>19</v>
      </c>
      <c r="L32" s="72">
        <v>141.18712496466816</v>
      </c>
      <c r="N32" s="176">
        <f t="shared" ca="1" si="5"/>
        <v>-222.54496095157617</v>
      </c>
      <c r="O32" s="54">
        <f t="array" aca="1" ref="O32" ca="1">FREQUENCY(L17:L216,N32:N47)</f>
        <v>0</v>
      </c>
    </row>
    <row r="33" spans="1:15" x14ac:dyDescent="0.45">
      <c r="B33" s="119"/>
      <c r="C33" s="119"/>
      <c r="D33" s="119"/>
      <c r="E33" s="119"/>
      <c r="F33" s="119"/>
      <c r="G33" s="119"/>
      <c r="H33" s="55"/>
      <c r="I33" s="55"/>
      <c r="J33" s="55"/>
      <c r="K33">
        <v>20</v>
      </c>
      <c r="L33" s="72">
        <v>236.42360692032244</v>
      </c>
      <c r="N33" s="176">
        <f t="shared" ca="1" si="5"/>
        <v>9.4895570496400978</v>
      </c>
      <c r="O33" s="54">
        <f t="array" aca="1" ref="O33" ca="1">FREQUENCY(L18:L217,N33:N48)</f>
        <v>0</v>
      </c>
    </row>
    <row r="34" spans="1:15" x14ac:dyDescent="0.45">
      <c r="A34" s="120" t="s">
        <v>52</v>
      </c>
      <c r="B34" s="121">
        <v>2022</v>
      </c>
      <c r="C34" s="120">
        <v>2023</v>
      </c>
      <c r="D34" s="120">
        <v>2024</v>
      </c>
      <c r="E34" s="120">
        <v>2025</v>
      </c>
      <c r="F34" s="120">
        <v>2026</v>
      </c>
      <c r="G34" s="121">
        <v>2027</v>
      </c>
      <c r="H34" s="55"/>
      <c r="I34" s="55"/>
      <c r="J34" s="55"/>
      <c r="K34">
        <v>21</v>
      </c>
      <c r="L34" s="72">
        <v>1341.3327538561452</v>
      </c>
      <c r="N34" s="176">
        <f t="shared" ca="1" si="5"/>
        <v>241.52407505085637</v>
      </c>
      <c r="O34" s="54">
        <f t="array" aca="1" ref="O34" ca="1">FREQUENCY(L19:L218,N34:N49)</f>
        <v>25</v>
      </c>
    </row>
    <row r="35" spans="1:15" x14ac:dyDescent="0.45">
      <c r="A35" s="66" t="s">
        <v>53</v>
      </c>
      <c r="B35" s="139">
        <f>'2022 Balance'!B2</f>
        <v>7004</v>
      </c>
      <c r="C35" s="138">
        <f ca="1">C78</f>
        <v>10861.212077951935</v>
      </c>
      <c r="D35" s="138">
        <f ca="1">D78</f>
        <v>11388.531029385136</v>
      </c>
      <c r="E35" s="138">
        <f ca="1">E78</f>
        <v>12031.379619236703</v>
      </c>
      <c r="F35" s="138">
        <f ca="1">F78</f>
        <v>12839.299711152591</v>
      </c>
      <c r="G35" s="138">
        <f ca="1">G78</f>
        <v>13853.841773807764</v>
      </c>
      <c r="H35" s="122"/>
      <c r="I35" s="53"/>
      <c r="J35" s="53"/>
      <c r="K35">
        <v>22</v>
      </c>
      <c r="L35" s="72">
        <v>535.9775632051128</v>
      </c>
      <c r="N35" s="176">
        <f t="shared" ca="1" si="5"/>
        <v>473.55859305207264</v>
      </c>
      <c r="O35" s="54">
        <f t="array" aca="1" ref="O35" ca="1">FREQUENCY(L20:L219,N35:N50)</f>
        <v>81</v>
      </c>
    </row>
    <row r="36" spans="1:15" x14ac:dyDescent="0.45">
      <c r="A36" s="66" t="s">
        <v>54</v>
      </c>
      <c r="B36" s="89">
        <f>SUM('2022 Balance'!B3:B4)</f>
        <v>17869</v>
      </c>
      <c r="C36" s="143">
        <f ca="1">($B$36/$B$21)*C21</f>
        <v>11959.448673110512</v>
      </c>
      <c r="D36" s="89">
        <f ca="1">($B$36/$B$21)*D21</f>
        <v>8004.2762641874078</v>
      </c>
      <c r="E36" s="89">
        <f ca="1">($B$36/$B$21)*E21</f>
        <v>5357.139803399522</v>
      </c>
      <c r="F36" s="89">
        <f ca="1">($B$36/$B$21)*F21</f>
        <v>3585.4518167459801</v>
      </c>
      <c r="G36" s="135">
        <f ca="1">($B$36/$B$21)*G21</f>
        <v>2399.6881175378803</v>
      </c>
      <c r="H36" s="53"/>
      <c r="I36" s="53"/>
      <c r="J36" s="53"/>
      <c r="K36">
        <v>23</v>
      </c>
      <c r="L36" s="72">
        <v>1024.9360878677455</v>
      </c>
      <c r="N36" s="176">
        <f t="shared" ca="1" si="5"/>
        <v>705.59311105328891</v>
      </c>
      <c r="O36" s="54">
        <f t="array" aca="1" ref="O36" ca="1">FREQUENCY(L21:L220,N36:N51)</f>
        <v>118</v>
      </c>
    </row>
    <row r="37" spans="1:15" x14ac:dyDescent="0.45">
      <c r="A37" s="66" t="s">
        <v>55</v>
      </c>
      <c r="B37" s="89">
        <f>'2022 Balance'!B5</f>
        <v>2642</v>
      </c>
      <c r="C37" s="143">
        <f ca="1">C39-C38-C36-C35</f>
        <v>-2141.2044675441957</v>
      </c>
      <c r="D37" s="89">
        <f t="shared" ref="D37:G37" ca="1" si="7">D39-D38-D36-D35</f>
        <v>-5552.363171877475</v>
      </c>
      <c r="E37" s="89">
        <f t="shared" ca="1" si="7"/>
        <v>-8125.3216451183862</v>
      </c>
      <c r="F37" s="89">
        <f t="shared" ca="1" si="7"/>
        <v>-10225.034791142403</v>
      </c>
      <c r="G37" s="89">
        <f t="shared" ca="1" si="7"/>
        <v>-12104.15420714062</v>
      </c>
      <c r="H37" s="122"/>
      <c r="I37" s="53"/>
      <c r="J37" s="53"/>
      <c r="K37">
        <v>24</v>
      </c>
      <c r="L37" s="72">
        <v>648.74463382570661</v>
      </c>
      <c r="N37" s="176">
        <f t="shared" ca="1" si="5"/>
        <v>937.62762905450518</v>
      </c>
      <c r="O37" s="54">
        <f t="array" aca="1" ref="O37" ca="1">FREQUENCY(L22:L221,N37:N52)</f>
        <v>148</v>
      </c>
    </row>
    <row r="38" spans="1:15" x14ac:dyDescent="0.45">
      <c r="A38" s="67" t="s">
        <v>56</v>
      </c>
      <c r="B38" s="136">
        <f>'2022 Balance'!B6</f>
        <v>16270</v>
      </c>
      <c r="C38" s="144">
        <f ca="1">($B$38/$B$21)*C21</f>
        <v>10889.262404807656</v>
      </c>
      <c r="D38" s="136">
        <f ca="1">($B$38/$B$21)*D21</f>
        <v>7288.0169465739054</v>
      </c>
      <c r="E38" s="136">
        <f ca="1">($B$38/$B$21)*E21</f>
        <v>4877.758386104998</v>
      </c>
      <c r="F38" s="136">
        <f ca="1">($B$38/$B$21)*F21</f>
        <v>3264.6091587921592</v>
      </c>
      <c r="G38" s="140">
        <f ca="1">($B$38/$B$21)*G21</f>
        <v>2184.9530288399637</v>
      </c>
      <c r="H38" s="53"/>
      <c r="I38" s="53"/>
      <c r="J38" s="53"/>
      <c r="K38">
        <v>25</v>
      </c>
      <c r="L38" s="72">
        <v>160.63097204347528</v>
      </c>
      <c r="N38" s="176">
        <f t="shared" ca="1" si="5"/>
        <v>1169.6621470557216</v>
      </c>
      <c r="O38" s="54">
        <f t="array" aca="1" ref="O38" ca="1">FREQUENCY(L23:L222,N38:N53)</f>
        <v>163</v>
      </c>
    </row>
    <row r="39" spans="1:15" x14ac:dyDescent="0.45">
      <c r="A39" s="126" t="s">
        <v>57</v>
      </c>
      <c r="B39" s="165">
        <f>'2022 Balance'!B7</f>
        <v>43785</v>
      </c>
      <c r="C39" s="149">
        <f ca="1">$B$6*C21</f>
        <v>31568.718688325906</v>
      </c>
      <c r="D39" s="149">
        <f ca="1">$B$6*D21</f>
        <v>21128.461068268974</v>
      </c>
      <c r="E39" s="149">
        <f ca="1">$B$6*E21</f>
        <v>14140.956163622837</v>
      </c>
      <c r="F39" s="149">
        <f t="shared" ref="F39" ca="1" si="8">$B$6*F21</f>
        <v>9464.325895548327</v>
      </c>
      <c r="G39" s="149">
        <f ca="1">$B$6*G21</f>
        <v>6334.328713044988</v>
      </c>
      <c r="H39" s="48"/>
      <c r="K39">
        <v>26</v>
      </c>
      <c r="L39" s="72">
        <v>225.42572272424621</v>
      </c>
      <c r="N39" s="176">
        <f t="shared" ca="1" si="5"/>
        <v>1401.6966650569379</v>
      </c>
      <c r="O39" s="54">
        <f t="array" aca="1" ref="O39" ca="1">FREQUENCY(L24:L223,N39:N54)</f>
        <v>166</v>
      </c>
    </row>
    <row r="40" spans="1:15" x14ac:dyDescent="0.45">
      <c r="A40" s="66" t="s">
        <v>58</v>
      </c>
      <c r="B40" s="146">
        <f>'2022 Balance'!B8</f>
        <v>12028</v>
      </c>
      <c r="C40" s="145">
        <f ca="1">B40*(1+$B$13)</f>
        <v>12011.937801297561</v>
      </c>
      <c r="D40" s="145">
        <f t="shared" ref="D40:G40" ca="1" si="9">C40*(1+$B$13)</f>
        <v>11995.897052065289</v>
      </c>
      <c r="E40" s="145">
        <f t="shared" ca="1" si="9"/>
        <v>11979.877723659547</v>
      </c>
      <c r="F40" s="145">
        <f t="shared" ca="1" si="9"/>
        <v>11963.879787474949</v>
      </c>
      <c r="G40" s="146">
        <f t="shared" ca="1" si="9"/>
        <v>11947.90321494431</v>
      </c>
      <c r="H40" s="53"/>
      <c r="I40" s="53"/>
      <c r="J40" s="53"/>
      <c r="K40">
        <v>27</v>
      </c>
      <c r="L40" s="72">
        <v>820.19936222102388</v>
      </c>
      <c r="N40" s="176">
        <f ca="1">N39+$O$25</f>
        <v>1633.7311830581543</v>
      </c>
      <c r="O40" s="54">
        <f t="array" aca="1" ref="O40" ca="1">FREQUENCY(L25:L224,N40:N55)</f>
        <v>178</v>
      </c>
    </row>
    <row r="41" spans="1:15" x14ac:dyDescent="0.45">
      <c r="A41" s="127" t="s">
        <v>59</v>
      </c>
      <c r="B41" s="140">
        <f>'2022 Balance'!B9+'2022 Balance'!B10+'2022 Balance'!B11+'2022 Balance'!B13+'2022 Balance'!B12+'2022 Balance'!B14</f>
        <v>26130</v>
      </c>
      <c r="C41" s="136">
        <f>$B$41</f>
        <v>26130</v>
      </c>
      <c r="D41" s="136">
        <f t="shared" ref="D41:G41" si="10">$B$41</f>
        <v>26130</v>
      </c>
      <c r="E41" s="136">
        <f t="shared" si="10"/>
        <v>26130</v>
      </c>
      <c r="F41" s="136">
        <f t="shared" si="10"/>
        <v>26130</v>
      </c>
      <c r="G41" s="140">
        <f t="shared" si="10"/>
        <v>26130</v>
      </c>
      <c r="H41" s="53"/>
      <c r="I41" s="53"/>
      <c r="J41" s="53"/>
      <c r="K41">
        <v>28</v>
      </c>
      <c r="L41" s="72">
        <v>1116.1304409509103</v>
      </c>
      <c r="N41" s="176">
        <f t="shared" ca="1" si="5"/>
        <v>1865.7657010593707</v>
      </c>
      <c r="O41" s="54">
        <f t="array" aca="1" ref="O41" ca="1">FREQUENCY(L26:L225,N41:N56)</f>
        <v>178</v>
      </c>
    </row>
    <row r="42" spans="1:15" x14ac:dyDescent="0.45">
      <c r="A42" s="128" t="s">
        <v>60</v>
      </c>
      <c r="B42" s="136">
        <f t="shared" ref="B42:G42" si="11">SUM(B40:B41)</f>
        <v>38158</v>
      </c>
      <c r="C42" s="144">
        <f t="shared" ca="1" si="11"/>
        <v>38141.937801297565</v>
      </c>
      <c r="D42" s="147">
        <f t="shared" ca="1" si="11"/>
        <v>38125.897052065287</v>
      </c>
      <c r="E42" s="147">
        <f t="shared" ca="1" si="11"/>
        <v>38109.877723659549</v>
      </c>
      <c r="F42" s="147">
        <f t="shared" ca="1" si="11"/>
        <v>38093.879787474951</v>
      </c>
      <c r="G42" s="148">
        <f t="shared" ca="1" si="11"/>
        <v>38077.903214944308</v>
      </c>
      <c r="K42">
        <v>29</v>
      </c>
      <c r="L42" s="72">
        <v>135.73804459584451</v>
      </c>
      <c r="N42" s="176">
        <f t="shared" ca="1" si="5"/>
        <v>2097.8002190605871</v>
      </c>
      <c r="O42" s="54">
        <f t="array" aca="1" ref="O42" ca="1">FREQUENCY(L27:L226,N42:N57)</f>
        <v>181</v>
      </c>
    </row>
    <row r="43" spans="1:15" s="46" customFormat="1" x14ac:dyDescent="0.45">
      <c r="A43" s="125" t="s">
        <v>61</v>
      </c>
      <c r="B43" s="151">
        <f t="shared" ref="B43:G43" si="12">B39+B42</f>
        <v>81943</v>
      </c>
      <c r="C43" s="150">
        <f ca="1">C39+C42</f>
        <v>69710.656489623478</v>
      </c>
      <c r="D43" s="151">
        <f t="shared" ca="1" si="12"/>
        <v>59254.358120334262</v>
      </c>
      <c r="E43" s="151">
        <f t="shared" ca="1" si="12"/>
        <v>52250.833887282388</v>
      </c>
      <c r="F43" s="151">
        <f t="shared" ca="1" si="12"/>
        <v>47558.205683023276</v>
      </c>
      <c r="G43" s="151">
        <f t="shared" ca="1" si="12"/>
        <v>44412.231927989298</v>
      </c>
      <c r="H43" s="124"/>
      <c r="K43">
        <v>30</v>
      </c>
      <c r="L43" s="72">
        <v>675.13379512943402</v>
      </c>
      <c r="N43" s="176">
        <f t="shared" ca="1" si="5"/>
        <v>2329.8347370618035</v>
      </c>
      <c r="O43" s="54">
        <f t="array" aca="1" ref="O43" ca="1">FREQUENCY(L28:L227,N43:N58)</f>
        <v>181</v>
      </c>
    </row>
    <row r="44" spans="1:15" s="46" customFormat="1" x14ac:dyDescent="0.45">
      <c r="A44" s="131"/>
      <c r="B44" s="132"/>
      <c r="C44" s="133"/>
      <c r="D44" s="132"/>
      <c r="E44" s="132"/>
      <c r="F44" s="132"/>
      <c r="G44" s="134"/>
      <c r="H44" s="124"/>
      <c r="K44">
        <v>31</v>
      </c>
      <c r="L44" s="72">
        <v>147.0891319372887</v>
      </c>
      <c r="N44" s="177">
        <f t="shared" ca="1" si="5"/>
        <v>2561.8692550630199</v>
      </c>
      <c r="O44" s="65">
        <f t="array" aca="1" ref="O44" ca="1">FREQUENCY(L29:L228,N44:N59)</f>
        <v>183</v>
      </c>
    </row>
    <row r="45" spans="1:15" x14ac:dyDescent="0.45">
      <c r="A45" s="66" t="s">
        <v>62</v>
      </c>
      <c r="B45" s="138">
        <f>'2022 Balance'!B25</f>
        <v>31531</v>
      </c>
      <c r="C45" s="155">
        <f ca="1">'Ratio Analysis'!$M$5*'MONTE CARLO'!C21</f>
        <v>21816.865651602555</v>
      </c>
      <c r="D45" s="138">
        <f ca="1">'Ratio Analysis'!$M$5*'MONTE CARLO'!D21</f>
        <v>14601.694832866331</v>
      </c>
      <c r="E45" s="138">
        <f ca="1">'Ratio Analysis'!$M$5*'MONTE CARLO'!E21</f>
        <v>9772.6912470808584</v>
      </c>
      <c r="F45" s="138">
        <f ca="1">'Ratio Analysis'!$M$5*'MONTE CARLO'!F21</f>
        <v>6540.7129312003963</v>
      </c>
      <c r="G45" s="139">
        <f ca="1">'Ratio Analysis'!$M$5*'MONTE CARLO'!G21</f>
        <v>4377.5992269428252</v>
      </c>
      <c r="K45">
        <v>32</v>
      </c>
      <c r="L45" s="72">
        <v>1429.9302300286656</v>
      </c>
    </row>
    <row r="46" spans="1:15" x14ac:dyDescent="0.45">
      <c r="A46" s="66" t="s">
        <v>63</v>
      </c>
      <c r="B46" s="136">
        <f>B47-B45</f>
        <v>34521</v>
      </c>
      <c r="C46" s="144">
        <f>$B$46</f>
        <v>34521</v>
      </c>
      <c r="D46" s="136">
        <f t="shared" ref="D46:G46" si="13">$B$46</f>
        <v>34521</v>
      </c>
      <c r="E46" s="136">
        <f t="shared" si="13"/>
        <v>34521</v>
      </c>
      <c r="F46" s="136">
        <f t="shared" si="13"/>
        <v>34521</v>
      </c>
      <c r="G46" s="140">
        <f t="shared" si="13"/>
        <v>34521</v>
      </c>
      <c r="H46" s="48"/>
      <c r="K46">
        <v>33</v>
      </c>
      <c r="L46" s="72">
        <v>1176.2412064935829</v>
      </c>
    </row>
    <row r="47" spans="1:15" s="46" customFormat="1" x14ac:dyDescent="0.45">
      <c r="A47" s="123" t="s">
        <v>64</v>
      </c>
      <c r="B47" s="153">
        <f>'2022 Balance'!B29</f>
        <v>66052</v>
      </c>
      <c r="C47" s="152">
        <f t="shared" ref="C47:G47" ca="1" si="14">C45+C46</f>
        <v>56337.865651602551</v>
      </c>
      <c r="D47" s="153">
        <f t="shared" ca="1" si="14"/>
        <v>49122.694832866327</v>
      </c>
      <c r="E47" s="153">
        <f t="shared" ca="1" si="14"/>
        <v>44293.69124708086</v>
      </c>
      <c r="F47" s="153">
        <f t="shared" ca="1" si="14"/>
        <v>41061.712931200396</v>
      </c>
      <c r="G47" s="154">
        <f t="shared" ca="1" si="14"/>
        <v>38898.599226942824</v>
      </c>
      <c r="K47">
        <v>34</v>
      </c>
      <c r="L47" s="72">
        <v>190.02059346363035</v>
      </c>
    </row>
    <row r="48" spans="1:15" x14ac:dyDescent="0.45">
      <c r="A48" s="66" t="s">
        <v>65</v>
      </c>
      <c r="B48" s="135">
        <f>'2022 Balance'!B31</f>
        <v>6560</v>
      </c>
      <c r="C48" s="89">
        <f>$B$48</f>
        <v>6560</v>
      </c>
      <c r="D48" s="89">
        <f t="shared" ref="D48:G48" si="15">$B$48</f>
        <v>6560</v>
      </c>
      <c r="E48" s="89">
        <f t="shared" si="15"/>
        <v>6560</v>
      </c>
      <c r="F48" s="89">
        <f t="shared" si="15"/>
        <v>6560</v>
      </c>
      <c r="G48" s="135">
        <f t="shared" si="15"/>
        <v>6560</v>
      </c>
      <c r="K48">
        <v>35</v>
      </c>
      <c r="L48" s="72">
        <v>359.04326583200395</v>
      </c>
    </row>
    <row r="49" spans="1:12" x14ac:dyDescent="0.45">
      <c r="A49" s="66" t="s">
        <v>66</v>
      </c>
      <c r="B49" s="135">
        <f>'2022 Balance'!B32</f>
        <v>-31748</v>
      </c>
      <c r="C49" s="89">
        <f>$B$49</f>
        <v>-31748</v>
      </c>
      <c r="D49" s="89">
        <f t="shared" ref="D49:G49" si="16">$B$49</f>
        <v>-31748</v>
      </c>
      <c r="E49" s="89">
        <f t="shared" si="16"/>
        <v>-31748</v>
      </c>
      <c r="F49" s="89">
        <f t="shared" si="16"/>
        <v>-31748</v>
      </c>
      <c r="G49" s="135">
        <f t="shared" si="16"/>
        <v>-31748</v>
      </c>
      <c r="K49">
        <v>36</v>
      </c>
      <c r="L49" s="72">
        <v>688.91530438116547</v>
      </c>
    </row>
    <row r="50" spans="1:12" x14ac:dyDescent="0.45">
      <c r="A50" s="66" t="s">
        <v>67</v>
      </c>
      <c r="B50" s="135">
        <f>B51-B48-B49</f>
        <v>41079</v>
      </c>
      <c r="C50" s="89">
        <f ca="1">C51-C49-C48</f>
        <v>38560.790838020926</v>
      </c>
      <c r="D50" s="89">
        <f t="shared" ref="D50:G50" ca="1" si="17">D51-D49-D48</f>
        <v>35319.663287467934</v>
      </c>
      <c r="E50" s="89">
        <f t="shared" ca="1" si="17"/>
        <v>33145.142640201528</v>
      </c>
      <c r="F50" s="89">
        <f t="shared" ca="1" si="17"/>
        <v>31684.49275182288</v>
      </c>
      <c r="G50" s="135">
        <f t="shared" ca="1" si="17"/>
        <v>30701.632701046474</v>
      </c>
      <c r="K50">
        <v>37</v>
      </c>
      <c r="L50" s="72">
        <v>1542.9064562583808</v>
      </c>
    </row>
    <row r="51" spans="1:12" s="46" customFormat="1" x14ac:dyDescent="0.45">
      <c r="A51" s="129" t="s">
        <v>68</v>
      </c>
      <c r="B51" s="157">
        <f>'2022 Balance'!B36</f>
        <v>15891</v>
      </c>
      <c r="C51" s="156">
        <f ca="1">C43-C47</f>
        <v>13372.790838020926</v>
      </c>
      <c r="D51" s="156">
        <f ca="1">D43-D47</f>
        <v>10131.663287467934</v>
      </c>
      <c r="E51" s="156">
        <f ca="1">E43-E47</f>
        <v>7957.1426402015277</v>
      </c>
      <c r="F51" s="156">
        <f ca="1">F43-F47</f>
        <v>6496.4927518228797</v>
      </c>
      <c r="G51" s="157">
        <f ca="1">G43-G47</f>
        <v>5513.6327010464738</v>
      </c>
      <c r="K51">
        <v>38</v>
      </c>
      <c r="L51" s="72">
        <v>555.730373153649</v>
      </c>
    </row>
    <row r="52" spans="1:12" x14ac:dyDescent="0.45">
      <c r="C52" s="48"/>
      <c r="G52" s="54"/>
      <c r="K52">
        <v>39</v>
      </c>
      <c r="L52" s="72">
        <v>328.48856166609829</v>
      </c>
    </row>
    <row r="53" spans="1:12" s="46" customFormat="1" x14ac:dyDescent="0.45">
      <c r="A53" s="130" t="s">
        <v>69</v>
      </c>
      <c r="B53" s="159">
        <f t="shared" ref="B53:G53" si="18">B47+B51</f>
        <v>81943</v>
      </c>
      <c r="C53" s="158">
        <f t="shared" ca="1" si="18"/>
        <v>69710.656489623478</v>
      </c>
      <c r="D53" s="159">
        <f t="shared" ca="1" si="18"/>
        <v>59254.358120334262</v>
      </c>
      <c r="E53" s="159">
        <f t="shared" ca="1" si="18"/>
        <v>52250.833887282388</v>
      </c>
      <c r="F53" s="159">
        <f t="shared" ca="1" si="18"/>
        <v>47558.205683023276</v>
      </c>
      <c r="G53" s="160">
        <f t="shared" ca="1" si="18"/>
        <v>44412.231927989298</v>
      </c>
      <c r="K53">
        <v>40</v>
      </c>
      <c r="L53" s="72">
        <v>1470.8145929292355</v>
      </c>
    </row>
    <row r="54" spans="1:12" x14ac:dyDescent="0.45">
      <c r="K54">
        <v>41</v>
      </c>
      <c r="L54" s="72">
        <v>1937.831386080722</v>
      </c>
    </row>
    <row r="55" spans="1:12" x14ac:dyDescent="0.45">
      <c r="A55" s="57" t="s">
        <v>70</v>
      </c>
      <c r="B55" s="166">
        <v>2022</v>
      </c>
      <c r="C55" s="166">
        <v>2023</v>
      </c>
      <c r="D55" s="166">
        <v>2024</v>
      </c>
      <c r="E55" s="166">
        <v>2025</v>
      </c>
      <c r="F55" s="166">
        <v>2026</v>
      </c>
      <c r="G55" s="166">
        <v>2027</v>
      </c>
      <c r="K55">
        <v>42</v>
      </c>
      <c r="L55" s="72">
        <v>2981.1319983583703</v>
      </c>
    </row>
    <row r="56" spans="1:12" x14ac:dyDescent="0.45">
      <c r="A56" s="59" t="s">
        <v>71</v>
      </c>
      <c r="K56">
        <v>43</v>
      </c>
      <c r="L56" s="72">
        <v>425.20466351088447</v>
      </c>
    </row>
    <row r="57" spans="1:12" x14ac:dyDescent="0.45">
      <c r="A57" t="s">
        <v>49</v>
      </c>
      <c r="C57" s="138">
        <f ca="1">C30</f>
        <v>2864.9046820784288</v>
      </c>
      <c r="D57" s="138">
        <f ca="1">D30</f>
        <v>-55.413404289142733</v>
      </c>
      <c r="E57" s="138">
        <f ca="1">E30</f>
        <v>-2092.8347301812837</v>
      </c>
      <c r="F57" s="138">
        <f ca="1">F30</f>
        <v>-3547.2748586508433</v>
      </c>
      <c r="G57" s="138">
        <f ca="1">G30</f>
        <v>-4620.2209231043744</v>
      </c>
      <c r="K57">
        <v>44</v>
      </c>
      <c r="L57" s="72">
        <v>460.71731384416887</v>
      </c>
    </row>
    <row r="58" spans="1:12" x14ac:dyDescent="0.45">
      <c r="A58" t="s">
        <v>72</v>
      </c>
      <c r="C58" s="89">
        <f>C24</f>
        <v>3127.7009729214456</v>
      </c>
      <c r="D58" s="89">
        <f>D24</f>
        <v>3426.8282678061514</v>
      </c>
      <c r="E58" s="89">
        <f>E24</f>
        <v>3754.5635208427725</v>
      </c>
      <c r="F58" s="89">
        <f>F24</f>
        <v>4113.642742029785</v>
      </c>
      <c r="G58" s="89">
        <f>G24</f>
        <v>4507.0636080904287</v>
      </c>
      <c r="K58">
        <v>45</v>
      </c>
      <c r="L58" s="72">
        <v>1905.0132100587957</v>
      </c>
    </row>
    <row r="59" spans="1:12" x14ac:dyDescent="0.45">
      <c r="A59" t="s">
        <v>73</v>
      </c>
      <c r="B59" s="89"/>
      <c r="C59" s="89">
        <f ca="1">(C39-C45)-(B39-B45)</f>
        <v>-2502.1469632766493</v>
      </c>
      <c r="D59" s="89">
        <f t="shared" ref="D59:F59" ca="1" si="19">(D39-D45)-(C39-C45)</f>
        <v>-3225.0868013207073</v>
      </c>
      <c r="E59" s="89">
        <f t="shared" ca="1" si="19"/>
        <v>-2158.5013188606645</v>
      </c>
      <c r="F59" s="89">
        <f t="shared" ca="1" si="19"/>
        <v>-1444.6519521940481</v>
      </c>
      <c r="G59" s="89">
        <f ca="1">(G39-G45)-(F39-F45)</f>
        <v>-966.88347824576795</v>
      </c>
      <c r="K59">
        <v>46</v>
      </c>
      <c r="L59" s="72">
        <v>558.14146562667554</v>
      </c>
    </row>
    <row r="60" spans="1:12" x14ac:dyDescent="0.45">
      <c r="A60" t="s">
        <v>74</v>
      </c>
      <c r="C60" s="89">
        <f ca="1">-(C38+C36-B36-B38)</f>
        <v>11290.288922081832</v>
      </c>
      <c r="D60" s="89">
        <f ca="1">-(D38+D36-C36-C38)</f>
        <v>7556.4178671568552</v>
      </c>
      <c r="E60" s="89">
        <f ca="1">-(E38+E36-D36-D38)</f>
        <v>5057.3950212567934</v>
      </c>
      <c r="F60" s="89">
        <f ca="1">-(F38+F36-E36-E38)</f>
        <v>3384.8372139663807</v>
      </c>
      <c r="G60" s="89">
        <f ca="1">-(G38+G36-F36-F38)</f>
        <v>2265.4198291602952</v>
      </c>
      <c r="K60">
        <v>47</v>
      </c>
      <c r="L60" s="72">
        <v>1631.0335309484042</v>
      </c>
    </row>
    <row r="61" spans="1:12" x14ac:dyDescent="0.45">
      <c r="A61" s="58" t="s">
        <v>75</v>
      </c>
      <c r="B61" s="58"/>
      <c r="C61" s="136">
        <f ca="1">(C45-B45)</f>
        <v>-9714.1343483974451</v>
      </c>
      <c r="D61" s="136">
        <f ca="1">(D45-C45)</f>
        <v>-7215.1708187362237</v>
      </c>
      <c r="E61" s="136">
        <f ca="1">(E45-D45)</f>
        <v>-4829.0035857854728</v>
      </c>
      <c r="F61" s="136">
        <f ca="1">(F45-E45)</f>
        <v>-3231.9783158804621</v>
      </c>
      <c r="G61" s="136">
        <f ca="1">(G45-F45)</f>
        <v>-2163.113704257571</v>
      </c>
      <c r="K61">
        <v>48</v>
      </c>
      <c r="L61" s="72">
        <v>207.25929019569995</v>
      </c>
    </row>
    <row r="62" spans="1:12" x14ac:dyDescent="0.45">
      <c r="A62" t="s">
        <v>76</v>
      </c>
      <c r="C62" s="138">
        <f ca="1">SUM(C57:C61)</f>
        <v>5066.6132654076118</v>
      </c>
      <c r="D62" s="138">
        <f t="shared" ref="D62:G62" ca="1" si="20">SUM(D57:D61)</f>
        <v>487.57511061693276</v>
      </c>
      <c r="E62" s="138">
        <f t="shared" ca="1" si="20"/>
        <v>-268.3810927278555</v>
      </c>
      <c r="F62" s="138">
        <f t="shared" ca="1" si="20"/>
        <v>-725.42517072918781</v>
      </c>
      <c r="G62" s="138">
        <f t="shared" ca="1" si="20"/>
        <v>-977.73466835698946</v>
      </c>
      <c r="K62">
        <v>49</v>
      </c>
      <c r="L62" s="72">
        <v>477.59834861692758</v>
      </c>
    </row>
    <row r="63" spans="1:12" x14ac:dyDescent="0.45">
      <c r="K63">
        <v>50</v>
      </c>
      <c r="L63" s="72">
        <v>626.37357871709514</v>
      </c>
    </row>
    <row r="64" spans="1:12" x14ac:dyDescent="0.45">
      <c r="A64" s="59" t="s">
        <v>77</v>
      </c>
      <c r="K64">
        <v>51</v>
      </c>
      <c r="L64" s="72">
        <v>850.29526734626643</v>
      </c>
    </row>
    <row r="65" spans="1:12" x14ac:dyDescent="0.45">
      <c r="A65" t="s">
        <v>78</v>
      </c>
      <c r="C65" s="138">
        <f ca="1">-(C40-B40)</f>
        <v>16.062198702438764</v>
      </c>
      <c r="D65" s="138">
        <f ca="1">-(D40-C40)</f>
        <v>16.040749232271992</v>
      </c>
      <c r="E65" s="138">
        <f ca="1">-(E40-D40)</f>
        <v>16.019328405742272</v>
      </c>
      <c r="F65" s="138">
        <f ca="1">-(F40-E40)</f>
        <v>15.997936184598075</v>
      </c>
      <c r="G65" s="138">
        <f ca="1">-(G40-F40)</f>
        <v>15.976572530638805</v>
      </c>
      <c r="K65">
        <v>52</v>
      </c>
      <c r="L65" s="72">
        <v>1159.5026992250134</v>
      </c>
    </row>
    <row r="66" spans="1:12" x14ac:dyDescent="0.45">
      <c r="A66" t="s">
        <v>79</v>
      </c>
      <c r="C66" s="89">
        <v>0</v>
      </c>
      <c r="D66" s="89">
        <v>0</v>
      </c>
      <c r="E66" s="89">
        <v>0</v>
      </c>
      <c r="F66" s="89">
        <v>0</v>
      </c>
      <c r="G66" s="89">
        <v>0</v>
      </c>
      <c r="K66">
        <v>53</v>
      </c>
      <c r="L66" s="72">
        <v>852.23291540095477</v>
      </c>
    </row>
    <row r="67" spans="1:12" x14ac:dyDescent="0.45">
      <c r="A67" s="58" t="s">
        <v>80</v>
      </c>
      <c r="B67" s="58"/>
      <c r="C67" s="136">
        <v>0</v>
      </c>
      <c r="D67" s="136">
        <v>0</v>
      </c>
      <c r="E67" s="136">
        <v>0</v>
      </c>
      <c r="F67" s="136">
        <v>0</v>
      </c>
      <c r="G67" s="136">
        <v>0</v>
      </c>
      <c r="K67">
        <v>54</v>
      </c>
      <c r="L67" s="72">
        <v>294.63929692712924</v>
      </c>
    </row>
    <row r="68" spans="1:12" x14ac:dyDescent="0.45">
      <c r="A68" t="s">
        <v>81</v>
      </c>
      <c r="C68" s="138">
        <f ca="1">SUM(C65:C67)</f>
        <v>16.062198702438764</v>
      </c>
      <c r="D68" s="138">
        <f t="shared" ref="D68:G68" ca="1" si="21">SUM(D65:D67)</f>
        <v>16.040749232271992</v>
      </c>
      <c r="E68" s="138">
        <f t="shared" ca="1" si="21"/>
        <v>16.019328405742272</v>
      </c>
      <c r="F68" s="138">
        <f t="shared" ca="1" si="21"/>
        <v>15.997936184598075</v>
      </c>
      <c r="G68" s="138">
        <f t="shared" ca="1" si="21"/>
        <v>15.976572530638805</v>
      </c>
      <c r="K68">
        <v>55</v>
      </c>
      <c r="L68" s="72">
        <v>370.5284910664339</v>
      </c>
    </row>
    <row r="69" spans="1:12" x14ac:dyDescent="0.45">
      <c r="K69">
        <v>56</v>
      </c>
      <c r="L69" s="72">
        <v>1027.8074575906383</v>
      </c>
    </row>
    <row r="70" spans="1:12" x14ac:dyDescent="0.45">
      <c r="A70" s="59" t="s">
        <v>82</v>
      </c>
      <c r="K70">
        <v>57</v>
      </c>
      <c r="L70" s="72">
        <v>277.73618134225438</v>
      </c>
    </row>
    <row r="71" spans="1:12" x14ac:dyDescent="0.45">
      <c r="A71" t="s">
        <v>83</v>
      </c>
      <c r="C71" s="138">
        <f>(C46-B46)</f>
        <v>0</v>
      </c>
      <c r="D71" s="138">
        <f>(D46-C46)</f>
        <v>0</v>
      </c>
      <c r="E71" s="138">
        <f>(E46-D46)</f>
        <v>0</v>
      </c>
      <c r="F71" s="138">
        <f>(F46-E46)</f>
        <v>0</v>
      </c>
      <c r="G71" s="138">
        <f>(G46-F46)</f>
        <v>0</v>
      </c>
      <c r="K71">
        <v>58</v>
      </c>
      <c r="L71" s="72">
        <v>752.99359594753491</v>
      </c>
    </row>
    <row r="72" spans="1:12" x14ac:dyDescent="0.45">
      <c r="A72" t="s">
        <v>84</v>
      </c>
      <c r="C72" s="89">
        <v>0</v>
      </c>
      <c r="D72" s="89">
        <v>0</v>
      </c>
      <c r="E72" s="89">
        <v>0</v>
      </c>
      <c r="F72" s="89">
        <v>0</v>
      </c>
      <c r="G72" s="89">
        <v>0</v>
      </c>
      <c r="K72">
        <v>59</v>
      </c>
      <c r="L72" s="72">
        <v>680.27480762544485</v>
      </c>
    </row>
    <row r="73" spans="1:12" x14ac:dyDescent="0.45">
      <c r="A73" s="58" t="s">
        <v>85</v>
      </c>
      <c r="B73" s="58"/>
      <c r="C73" s="136">
        <f ca="1">-C31</f>
        <v>-1225.4633861581153</v>
      </c>
      <c r="D73" s="136">
        <f ca="1">-D31</f>
        <v>23.703091583995143</v>
      </c>
      <c r="E73" s="136">
        <f ca="1">-E31</f>
        <v>895.21035417367909</v>
      </c>
      <c r="F73" s="136">
        <f ca="1">-F31</f>
        <v>1517.3473264604791</v>
      </c>
      <c r="G73" s="136">
        <f ca="1">-G31</f>
        <v>1976.3001584815245</v>
      </c>
      <c r="K73">
        <v>60</v>
      </c>
      <c r="L73" s="72">
        <v>1485.0070842223777</v>
      </c>
    </row>
    <row r="74" spans="1:12" x14ac:dyDescent="0.45">
      <c r="A74" t="s">
        <v>86</v>
      </c>
      <c r="C74" s="138">
        <f ca="1">SUM(C71:C73)</f>
        <v>-1225.4633861581153</v>
      </c>
      <c r="D74" s="138">
        <f t="shared" ref="D74:G74" ca="1" si="22">SUM(D71:D73)</f>
        <v>23.703091583995143</v>
      </c>
      <c r="E74" s="138">
        <f t="shared" ca="1" si="22"/>
        <v>895.21035417367909</v>
      </c>
      <c r="F74" s="138">
        <f t="shared" ca="1" si="22"/>
        <v>1517.3473264604791</v>
      </c>
      <c r="G74" s="138">
        <f t="shared" ca="1" si="22"/>
        <v>1976.3001584815245</v>
      </c>
      <c r="K74">
        <v>61</v>
      </c>
      <c r="L74" s="72">
        <v>263.22407604211583</v>
      </c>
    </row>
    <row r="75" spans="1:12" x14ac:dyDescent="0.45">
      <c r="K75">
        <v>62</v>
      </c>
      <c r="L75" s="72">
        <v>789.61638664698421</v>
      </c>
    </row>
    <row r="76" spans="1:12" x14ac:dyDescent="0.45">
      <c r="A76" t="s">
        <v>87</v>
      </c>
      <c r="C76" s="138">
        <f ca="1">C62+C68+C74</f>
        <v>3857.2120779519355</v>
      </c>
      <c r="D76" s="138">
        <f t="shared" ref="D76:G76" ca="1" si="23">D62+D68+D74</f>
        <v>527.31895143319991</v>
      </c>
      <c r="E76" s="138">
        <f t="shared" ca="1" si="23"/>
        <v>642.84858985156586</v>
      </c>
      <c r="F76" s="138">
        <f t="shared" ca="1" si="23"/>
        <v>807.92009191588932</v>
      </c>
      <c r="G76" s="138">
        <f t="shared" ca="1" si="23"/>
        <v>1014.5420626551738</v>
      </c>
      <c r="K76">
        <v>63</v>
      </c>
      <c r="L76" s="72">
        <v>300.90846218624534</v>
      </c>
    </row>
    <row r="77" spans="1:12" x14ac:dyDescent="0.45">
      <c r="A77" s="58" t="s">
        <v>88</v>
      </c>
      <c r="B77" s="58"/>
      <c r="C77" s="136">
        <f>B35</f>
        <v>7004</v>
      </c>
      <c r="D77" s="136">
        <f ca="1">C35</f>
        <v>10861.212077951935</v>
      </c>
      <c r="E77" s="136">
        <f ca="1">D35</f>
        <v>11388.531029385136</v>
      </c>
      <c r="F77" s="136">
        <f ca="1">E35</f>
        <v>12031.379619236703</v>
      </c>
      <c r="G77" s="136">
        <f ca="1">F35</f>
        <v>12839.299711152591</v>
      </c>
      <c r="K77">
        <v>64</v>
      </c>
      <c r="L77" s="72">
        <v>1508.5197869016513</v>
      </c>
    </row>
    <row r="78" spans="1:12" x14ac:dyDescent="0.45">
      <c r="A78" t="s">
        <v>89</v>
      </c>
      <c r="C78" s="138">
        <f ca="1">C76+C77</f>
        <v>10861.212077951935</v>
      </c>
      <c r="D78" s="138">
        <f t="shared" ref="D78:G78" ca="1" si="24">D76+D77</f>
        <v>11388.531029385136</v>
      </c>
      <c r="E78" s="138">
        <f t="shared" ca="1" si="24"/>
        <v>12031.379619236703</v>
      </c>
      <c r="F78" s="138">
        <f t="shared" ca="1" si="24"/>
        <v>12839.299711152591</v>
      </c>
      <c r="G78" s="138">
        <f t="shared" ca="1" si="24"/>
        <v>13853.841773807764</v>
      </c>
      <c r="K78">
        <v>65</v>
      </c>
      <c r="L78" s="72">
        <v>257.77306541732395</v>
      </c>
    </row>
    <row r="79" spans="1:12" x14ac:dyDescent="0.45">
      <c r="K79">
        <v>66</v>
      </c>
      <c r="L79" s="72">
        <v>1005.2777717835938</v>
      </c>
    </row>
    <row r="80" spans="1:12" x14ac:dyDescent="0.45">
      <c r="A80" s="57" t="s">
        <v>90</v>
      </c>
      <c r="B80" s="166">
        <v>2022</v>
      </c>
      <c r="C80" s="166">
        <v>2023</v>
      </c>
      <c r="D80" s="166">
        <v>2024</v>
      </c>
      <c r="E80" s="166">
        <v>2025</v>
      </c>
      <c r="F80" s="166">
        <v>2026</v>
      </c>
      <c r="G80" s="166">
        <v>2027</v>
      </c>
      <c r="K80">
        <v>67</v>
      </c>
      <c r="L80" s="72">
        <v>2061.5151979620537</v>
      </c>
    </row>
    <row r="81" spans="1:12" x14ac:dyDescent="0.45">
      <c r="A81" t="s">
        <v>91</v>
      </c>
      <c r="C81" s="138">
        <f ca="1">(C21-C22--C24)*(1-$B$18)</f>
        <v>11856.229334625024</v>
      </c>
      <c r="D81" s="138">
        <f t="shared" ref="D81:G81" ca="1" si="25">(D21-D22--D24)*(1-$B$18)</f>
        <v>8935.3224849895014</v>
      </c>
      <c r="E81" s="138">
        <f t="shared" ca="1" si="25"/>
        <v>7076.0546038996545</v>
      </c>
      <c r="F81" s="138">
        <f t="shared" ca="1" si="25"/>
        <v>5936.473287446066</v>
      </c>
      <c r="G81" s="138">
        <f t="shared" ca="1" si="25"/>
        <v>5288.5898967829571</v>
      </c>
      <c r="K81">
        <v>68</v>
      </c>
      <c r="L81" s="72">
        <v>440.00529574279057</v>
      </c>
    </row>
    <row r="82" spans="1:12" x14ac:dyDescent="0.45">
      <c r="A82" t="s">
        <v>72</v>
      </c>
      <c r="C82" s="89">
        <f>C24</f>
        <v>3127.7009729214456</v>
      </c>
      <c r="D82" s="89">
        <f>D24</f>
        <v>3426.8282678061514</v>
      </c>
      <c r="E82" s="89">
        <f>E24</f>
        <v>3754.5635208427725</v>
      </c>
      <c r="F82" s="89">
        <f>F24</f>
        <v>4113.642742029785</v>
      </c>
      <c r="G82" s="89">
        <f>G24</f>
        <v>4507.0636080904287</v>
      </c>
      <c r="K82">
        <v>69</v>
      </c>
      <c r="L82" s="72">
        <v>943.7573804095158</v>
      </c>
    </row>
    <row r="83" spans="1:12" x14ac:dyDescent="0.45">
      <c r="A83" t="s">
        <v>74</v>
      </c>
      <c r="C83" s="89">
        <f ca="1">C60</f>
        <v>11290.288922081832</v>
      </c>
      <c r="D83" s="89">
        <f t="shared" ref="D83:G84" ca="1" si="26">D60</f>
        <v>7556.4178671568552</v>
      </c>
      <c r="E83" s="89">
        <f t="shared" ca="1" si="26"/>
        <v>5057.3950212567934</v>
      </c>
      <c r="F83" s="89">
        <f t="shared" ca="1" si="26"/>
        <v>3384.8372139663807</v>
      </c>
      <c r="G83" s="89">
        <f t="shared" ca="1" si="26"/>
        <v>2265.4198291602952</v>
      </c>
      <c r="K83">
        <v>70</v>
      </c>
      <c r="L83" s="72">
        <v>222.75957120223873</v>
      </c>
    </row>
    <row r="84" spans="1:12" x14ac:dyDescent="0.45">
      <c r="A84" t="s">
        <v>75</v>
      </c>
      <c r="C84" s="89">
        <f ca="1">C61</f>
        <v>-9714.1343483974451</v>
      </c>
      <c r="D84" s="89">
        <f t="shared" ca="1" si="26"/>
        <v>-7215.1708187362237</v>
      </c>
      <c r="E84" s="89">
        <f t="shared" ca="1" si="26"/>
        <v>-4829.0035857854728</v>
      </c>
      <c r="F84" s="89">
        <f t="shared" ca="1" si="26"/>
        <v>-3231.9783158804621</v>
      </c>
      <c r="G84" s="89">
        <f t="shared" ca="1" si="26"/>
        <v>-2163.113704257571</v>
      </c>
      <c r="K84">
        <v>71</v>
      </c>
      <c r="L84" s="72">
        <v>653.34026995263059</v>
      </c>
    </row>
    <row r="85" spans="1:12" x14ac:dyDescent="0.45">
      <c r="A85" s="58" t="s">
        <v>92</v>
      </c>
      <c r="B85" s="58"/>
      <c r="C85" s="136">
        <f ca="1">C65</f>
        <v>16.062198702438764</v>
      </c>
      <c r="D85" s="136">
        <f t="shared" ref="D85:G85" ca="1" si="27">D65</f>
        <v>16.040749232271992</v>
      </c>
      <c r="E85" s="136">
        <f t="shared" ca="1" si="27"/>
        <v>16.019328405742272</v>
      </c>
      <c r="F85" s="136">
        <f t="shared" ca="1" si="27"/>
        <v>15.997936184598075</v>
      </c>
      <c r="G85" s="136">
        <f t="shared" ca="1" si="27"/>
        <v>15.976572530638805</v>
      </c>
      <c r="K85">
        <v>72</v>
      </c>
      <c r="L85" s="72">
        <v>215.51018695561649</v>
      </c>
    </row>
    <row r="86" spans="1:12" x14ac:dyDescent="0.45">
      <c r="A86" s="60" t="s">
        <v>93</v>
      </c>
      <c r="C86" s="138">
        <f ca="1">SUM(C81:C85)</f>
        <v>16576.147079933296</v>
      </c>
      <c r="D86" s="138">
        <f t="shared" ref="D86:G86" ca="1" si="28">SUM(D81:D85)</f>
        <v>12719.438550448556</v>
      </c>
      <c r="E86" s="138">
        <f t="shared" ca="1" si="28"/>
        <v>11075.028888619488</v>
      </c>
      <c r="F86" s="138">
        <f t="shared" ca="1" si="28"/>
        <v>10218.972863746369</v>
      </c>
      <c r="G86" s="138">
        <f t="shared" ca="1" si="28"/>
        <v>9913.9362023067479</v>
      </c>
      <c r="K86">
        <v>73</v>
      </c>
      <c r="L86" s="72">
        <v>296.20415913118973</v>
      </c>
    </row>
    <row r="87" spans="1:12" x14ac:dyDescent="0.45">
      <c r="K87">
        <v>74</v>
      </c>
      <c r="L87" s="72">
        <v>212.90012180671764</v>
      </c>
    </row>
    <row r="88" spans="1:12" x14ac:dyDescent="0.45">
      <c r="K88">
        <v>75</v>
      </c>
      <c r="L88" s="72">
        <v>1492.6456998984165</v>
      </c>
    </row>
    <row r="89" spans="1:12" x14ac:dyDescent="0.45">
      <c r="A89" t="s">
        <v>94</v>
      </c>
      <c r="B89" s="166">
        <v>2022</v>
      </c>
      <c r="C89" s="166">
        <v>2023</v>
      </c>
      <c r="D89" s="166">
        <v>2024</v>
      </c>
      <c r="E89" s="166">
        <v>2025</v>
      </c>
      <c r="F89" s="166">
        <v>2026</v>
      </c>
      <c r="G89" s="166">
        <v>2027</v>
      </c>
      <c r="K89">
        <v>76</v>
      </c>
      <c r="L89" s="72">
        <v>327.26710716273283</v>
      </c>
    </row>
    <row r="90" spans="1:12" x14ac:dyDescent="0.45">
      <c r="A90" t="s">
        <v>95</v>
      </c>
      <c r="C90" s="138">
        <f ca="1">C86</f>
        <v>16576.147079933296</v>
      </c>
      <c r="D90" s="138">
        <f t="shared" ref="D90:G90" ca="1" si="29">D86</f>
        <v>12719.438550448556</v>
      </c>
      <c r="E90" s="138">
        <f t="shared" ca="1" si="29"/>
        <v>11075.028888619488</v>
      </c>
      <c r="F90" s="138">
        <f t="shared" ca="1" si="29"/>
        <v>10218.972863746369</v>
      </c>
      <c r="G90" s="138">
        <f t="shared" ca="1" si="29"/>
        <v>9913.9362023067479</v>
      </c>
      <c r="I90" s="138">
        <f ca="1">G90*1000000</f>
        <v>9913936202.3067474</v>
      </c>
      <c r="K90">
        <v>77</v>
      </c>
      <c r="L90" s="72">
        <v>240.68019103983261</v>
      </c>
    </row>
    <row r="91" spans="1:12" x14ac:dyDescent="0.45">
      <c r="A91" t="s">
        <v>96</v>
      </c>
      <c r="C91" s="138"/>
      <c r="D91" s="138"/>
      <c r="E91" s="138"/>
      <c r="F91" s="138"/>
      <c r="G91" s="138">
        <f ca="1">G90*(1+B94)/(B93-B94)</f>
        <v>126402.68657941103</v>
      </c>
      <c r="I91" s="138">
        <f ca="1">F90*1000000</f>
        <v>10218972863.746368</v>
      </c>
      <c r="K91">
        <v>78</v>
      </c>
      <c r="L91" s="72">
        <v>371.12892600866275</v>
      </c>
    </row>
    <row r="92" spans="1:12" x14ac:dyDescent="0.45">
      <c r="K92">
        <v>79</v>
      </c>
      <c r="L92" s="72">
        <v>157.60120245813715</v>
      </c>
    </row>
    <row r="93" spans="1:12" x14ac:dyDescent="0.45">
      <c r="A93" t="s">
        <v>97</v>
      </c>
      <c r="B93" s="43">
        <v>0.1</v>
      </c>
      <c r="K93">
        <v>80</v>
      </c>
      <c r="L93" s="72">
        <v>757.92997820999869</v>
      </c>
    </row>
    <row r="94" spans="1:12" x14ac:dyDescent="0.45">
      <c r="A94" t="s">
        <v>98</v>
      </c>
      <c r="B94" s="43">
        <v>0.02</v>
      </c>
      <c r="K94">
        <v>81</v>
      </c>
      <c r="L94" s="72">
        <v>449.58254324727773</v>
      </c>
    </row>
    <row r="95" spans="1:12" x14ac:dyDescent="0.45">
      <c r="K95">
        <v>82</v>
      </c>
      <c r="L95" s="72">
        <v>522.47740987734971</v>
      </c>
    </row>
    <row r="96" spans="1:12" x14ac:dyDescent="0.45">
      <c r="A96" s="61" t="s">
        <v>99</v>
      </c>
      <c r="B96" s="163">
        <f ca="1">NPV(B93,C90:F90,G90+G91)</f>
        <v>125523.5841674039</v>
      </c>
      <c r="K96">
        <v>83</v>
      </c>
      <c r="L96" s="72">
        <v>339.89000820159947</v>
      </c>
    </row>
    <row r="97" spans="1:12" x14ac:dyDescent="0.45">
      <c r="A97" s="62" t="s">
        <v>100</v>
      </c>
      <c r="B97" s="161">
        <f>B35</f>
        <v>7004</v>
      </c>
      <c r="K97">
        <v>84</v>
      </c>
      <c r="L97" s="72">
        <v>531.46475727896302</v>
      </c>
    </row>
    <row r="98" spans="1:12" x14ac:dyDescent="0.45">
      <c r="A98" s="62" t="s">
        <v>101</v>
      </c>
      <c r="B98" s="161">
        <f>B46</f>
        <v>34521</v>
      </c>
      <c r="K98">
        <v>85</v>
      </c>
      <c r="L98" s="72">
        <v>1068.9216940903855</v>
      </c>
    </row>
    <row r="99" spans="1:12" x14ac:dyDescent="0.45">
      <c r="A99" s="62" t="s">
        <v>102</v>
      </c>
      <c r="B99" s="161">
        <f ca="1">B96+B97-B98</f>
        <v>98006.584167403897</v>
      </c>
      <c r="K99">
        <v>86</v>
      </c>
      <c r="L99" s="72">
        <v>419.53684925559054</v>
      </c>
    </row>
    <row r="100" spans="1:12" x14ac:dyDescent="0.45">
      <c r="A100" s="62" t="s">
        <v>103</v>
      </c>
      <c r="B100" s="162">
        <v>526900000</v>
      </c>
      <c r="K100">
        <v>87</v>
      </c>
      <c r="L100" s="72">
        <v>161.96831865225823</v>
      </c>
    </row>
    <row r="101" spans="1:12" x14ac:dyDescent="0.45">
      <c r="A101" s="63" t="s">
        <v>104</v>
      </c>
      <c r="B101" s="164">
        <f ca="1">(B99*1000000)/B100</f>
        <v>186.0060432101042</v>
      </c>
      <c r="K101">
        <v>88</v>
      </c>
      <c r="L101" s="72">
        <v>321.04621260893146</v>
      </c>
    </row>
    <row r="102" spans="1:12" x14ac:dyDescent="0.45">
      <c r="K102">
        <v>89</v>
      </c>
      <c r="L102" s="72">
        <v>332.12676574287241</v>
      </c>
    </row>
    <row r="103" spans="1:12" x14ac:dyDescent="0.45">
      <c r="K103">
        <v>90</v>
      </c>
      <c r="L103" s="72">
        <v>2156.4215629033729</v>
      </c>
    </row>
    <row r="104" spans="1:12" x14ac:dyDescent="0.45">
      <c r="K104">
        <v>91</v>
      </c>
      <c r="L104" s="72">
        <v>921.69264165384641</v>
      </c>
    </row>
    <row r="105" spans="1:12" x14ac:dyDescent="0.45">
      <c r="K105">
        <v>92</v>
      </c>
      <c r="L105" s="72">
        <v>1075.8397029231187</v>
      </c>
    </row>
    <row r="106" spans="1:12" x14ac:dyDescent="0.45">
      <c r="K106">
        <v>93</v>
      </c>
      <c r="L106" s="72">
        <v>1148.498468752025</v>
      </c>
    </row>
    <row r="107" spans="1:12" x14ac:dyDescent="0.45">
      <c r="K107">
        <v>94</v>
      </c>
      <c r="L107" s="72">
        <v>466.25992888047119</v>
      </c>
    </row>
    <row r="108" spans="1:12" x14ac:dyDescent="0.45">
      <c r="K108">
        <v>95</v>
      </c>
      <c r="L108" s="72">
        <v>1112.4022148775441</v>
      </c>
    </row>
    <row r="109" spans="1:12" x14ac:dyDescent="0.45">
      <c r="K109">
        <v>96</v>
      </c>
      <c r="L109" s="72">
        <v>516.63497390525083</v>
      </c>
    </row>
    <row r="110" spans="1:12" x14ac:dyDescent="0.45">
      <c r="K110">
        <v>97</v>
      </c>
      <c r="L110" s="72">
        <v>196.83913786110145</v>
      </c>
    </row>
    <row r="111" spans="1:12" x14ac:dyDescent="0.45">
      <c r="K111">
        <v>98</v>
      </c>
      <c r="L111" s="72">
        <v>786.46003343604343</v>
      </c>
    </row>
    <row r="112" spans="1:12" x14ac:dyDescent="0.45">
      <c r="K112">
        <v>99</v>
      </c>
      <c r="L112" s="72">
        <v>242.44349276367768</v>
      </c>
    </row>
    <row r="113" spans="11:12" x14ac:dyDescent="0.45">
      <c r="K113">
        <v>100</v>
      </c>
      <c r="L113" s="72">
        <v>1643.5017035815238</v>
      </c>
    </row>
    <row r="114" spans="11:12" x14ac:dyDescent="0.45">
      <c r="K114">
        <v>101</v>
      </c>
      <c r="L114" s="72">
        <v>279.83540312315597</v>
      </c>
    </row>
    <row r="115" spans="11:12" x14ac:dyDescent="0.45">
      <c r="K115">
        <v>102</v>
      </c>
      <c r="L115" s="72">
        <v>368.12641498020605</v>
      </c>
    </row>
    <row r="116" spans="11:12" x14ac:dyDescent="0.45">
      <c r="K116">
        <v>103</v>
      </c>
      <c r="L116" s="72">
        <v>521.77276061224222</v>
      </c>
    </row>
    <row r="117" spans="11:12" x14ac:dyDescent="0.45">
      <c r="K117">
        <v>104</v>
      </c>
      <c r="L117" s="72">
        <v>1603.7395560049542</v>
      </c>
    </row>
    <row r="118" spans="11:12" x14ac:dyDescent="0.45">
      <c r="K118">
        <v>105</v>
      </c>
      <c r="L118" s="72">
        <v>807.47579792189947</v>
      </c>
    </row>
    <row r="119" spans="11:12" x14ac:dyDescent="0.45">
      <c r="K119">
        <v>106</v>
      </c>
      <c r="L119" s="72">
        <v>849.23384163529897</v>
      </c>
    </row>
    <row r="120" spans="11:12" x14ac:dyDescent="0.45">
      <c r="K120">
        <v>107</v>
      </c>
      <c r="L120" s="72">
        <v>176.484210997833</v>
      </c>
    </row>
    <row r="121" spans="11:12" x14ac:dyDescent="0.45">
      <c r="K121">
        <v>108</v>
      </c>
      <c r="L121" s="72">
        <v>900.45126868627631</v>
      </c>
    </row>
    <row r="122" spans="11:12" x14ac:dyDescent="0.45">
      <c r="K122">
        <v>109</v>
      </c>
      <c r="L122" s="72">
        <v>283.40027468429713</v>
      </c>
    </row>
    <row r="123" spans="11:12" x14ac:dyDescent="0.45">
      <c r="K123">
        <v>110</v>
      </c>
      <c r="L123" s="72">
        <v>585.88290472198742</v>
      </c>
    </row>
    <row r="124" spans="11:12" x14ac:dyDescent="0.45">
      <c r="K124">
        <v>111</v>
      </c>
      <c r="L124" s="72">
        <v>548.02513098215161</v>
      </c>
    </row>
    <row r="125" spans="11:12" x14ac:dyDescent="0.45">
      <c r="K125">
        <v>112</v>
      </c>
      <c r="L125" s="72">
        <v>247.08387374251726</v>
      </c>
    </row>
    <row r="126" spans="11:12" x14ac:dyDescent="0.45">
      <c r="K126">
        <v>113</v>
      </c>
      <c r="L126" s="72">
        <v>3496.6651103777917</v>
      </c>
    </row>
    <row r="127" spans="11:12" x14ac:dyDescent="0.45">
      <c r="K127">
        <v>114</v>
      </c>
      <c r="L127" s="72">
        <v>243.46204330394161</v>
      </c>
    </row>
    <row r="128" spans="11:12" x14ac:dyDescent="0.45">
      <c r="K128">
        <v>115</v>
      </c>
      <c r="L128" s="72">
        <v>372.51885469686272</v>
      </c>
    </row>
    <row r="129" spans="11:12" x14ac:dyDescent="0.45">
      <c r="K129">
        <v>116</v>
      </c>
      <c r="L129" s="72">
        <v>619.84096503881153</v>
      </c>
    </row>
    <row r="130" spans="11:12" x14ac:dyDescent="0.45">
      <c r="K130">
        <v>117</v>
      </c>
      <c r="L130" s="72">
        <v>904.62219842980164</v>
      </c>
    </row>
    <row r="131" spans="11:12" x14ac:dyDescent="0.45">
      <c r="K131">
        <v>118</v>
      </c>
      <c r="L131" s="72">
        <v>433.34864130435682</v>
      </c>
    </row>
    <row r="132" spans="11:12" x14ac:dyDescent="0.45">
      <c r="K132">
        <v>119</v>
      </c>
      <c r="L132" s="72">
        <v>729.32703539792021</v>
      </c>
    </row>
    <row r="133" spans="11:12" x14ac:dyDescent="0.45">
      <c r="K133">
        <v>120</v>
      </c>
      <c r="L133" s="72">
        <v>312.11445020850056</v>
      </c>
    </row>
    <row r="134" spans="11:12" x14ac:dyDescent="0.45">
      <c r="K134">
        <v>121</v>
      </c>
      <c r="L134" s="72">
        <v>315.85992128606938</v>
      </c>
    </row>
    <row r="135" spans="11:12" x14ac:dyDescent="0.45">
      <c r="K135">
        <v>122</v>
      </c>
      <c r="L135" s="72">
        <v>444.5489903464769</v>
      </c>
    </row>
    <row r="136" spans="11:12" x14ac:dyDescent="0.45">
      <c r="K136">
        <v>123</v>
      </c>
      <c r="L136" s="72">
        <v>2504.3974902579853</v>
      </c>
    </row>
    <row r="137" spans="11:12" x14ac:dyDescent="0.45">
      <c r="K137">
        <v>124</v>
      </c>
      <c r="L137" s="72">
        <v>558.04854355904433</v>
      </c>
    </row>
    <row r="138" spans="11:12" x14ac:dyDescent="0.45">
      <c r="K138">
        <v>125</v>
      </c>
      <c r="L138" s="72">
        <v>1108.9931695560331</v>
      </c>
    </row>
    <row r="139" spans="11:12" x14ac:dyDescent="0.45">
      <c r="K139">
        <v>126</v>
      </c>
      <c r="L139" s="72">
        <v>600.69087791042887</v>
      </c>
    </row>
    <row r="140" spans="11:12" x14ac:dyDescent="0.45">
      <c r="K140">
        <v>127</v>
      </c>
      <c r="L140" s="72">
        <v>1401.3799638224659</v>
      </c>
    </row>
    <row r="141" spans="11:12" x14ac:dyDescent="0.45">
      <c r="K141">
        <v>128</v>
      </c>
      <c r="L141" s="72">
        <v>289.31498733676563</v>
      </c>
    </row>
    <row r="142" spans="11:12" x14ac:dyDescent="0.45">
      <c r="K142">
        <v>129</v>
      </c>
      <c r="L142" s="72">
        <v>288.26671860758643</v>
      </c>
    </row>
    <row r="143" spans="11:12" x14ac:dyDescent="0.45">
      <c r="K143">
        <v>130</v>
      </c>
      <c r="L143" s="72">
        <v>225.82193354838154</v>
      </c>
    </row>
    <row r="144" spans="11:12" x14ac:dyDescent="0.45">
      <c r="K144">
        <v>131</v>
      </c>
      <c r="L144" s="72">
        <v>702.72829818791297</v>
      </c>
    </row>
    <row r="145" spans="11:12" x14ac:dyDescent="0.45">
      <c r="K145">
        <v>132</v>
      </c>
      <c r="L145" s="72">
        <v>535.67808197452439</v>
      </c>
    </row>
    <row r="146" spans="11:12" x14ac:dyDescent="0.45">
      <c r="K146">
        <v>133</v>
      </c>
      <c r="L146" s="72">
        <v>357.04656367720332</v>
      </c>
    </row>
    <row r="147" spans="11:12" x14ac:dyDescent="0.45">
      <c r="K147">
        <v>134</v>
      </c>
      <c r="L147" s="72">
        <v>645.80586232408439</v>
      </c>
    </row>
    <row r="148" spans="11:12" x14ac:dyDescent="0.45">
      <c r="K148">
        <v>135</v>
      </c>
      <c r="L148" s="72">
        <v>1266.3654623970626</v>
      </c>
    </row>
    <row r="149" spans="11:12" x14ac:dyDescent="0.45">
      <c r="K149">
        <v>136</v>
      </c>
      <c r="L149" s="72">
        <v>674.28407185226013</v>
      </c>
    </row>
    <row r="150" spans="11:12" x14ac:dyDescent="0.45">
      <c r="K150">
        <v>137</v>
      </c>
      <c r="L150" s="72">
        <v>894.86499617748234</v>
      </c>
    </row>
    <row r="151" spans="11:12" x14ac:dyDescent="0.45">
      <c r="K151">
        <v>138</v>
      </c>
      <c r="L151" s="72">
        <v>827.32128869695816</v>
      </c>
    </row>
    <row r="152" spans="11:12" x14ac:dyDescent="0.45">
      <c r="K152">
        <v>139</v>
      </c>
      <c r="L152" s="72">
        <v>436.81996692459177</v>
      </c>
    </row>
    <row r="153" spans="11:12" x14ac:dyDescent="0.45">
      <c r="K153">
        <v>140</v>
      </c>
      <c r="L153" s="72">
        <v>409.87140499408446</v>
      </c>
    </row>
    <row r="154" spans="11:12" x14ac:dyDescent="0.45">
      <c r="K154">
        <v>141</v>
      </c>
      <c r="L154" s="72">
        <v>356.72228339785863</v>
      </c>
    </row>
    <row r="155" spans="11:12" x14ac:dyDescent="0.45">
      <c r="K155">
        <v>142</v>
      </c>
      <c r="L155" s="72">
        <v>228.14089945832299</v>
      </c>
    </row>
    <row r="156" spans="11:12" x14ac:dyDescent="0.45">
      <c r="K156">
        <v>143</v>
      </c>
      <c r="L156" s="72">
        <v>558.74893268252833</v>
      </c>
    </row>
    <row r="157" spans="11:12" x14ac:dyDescent="0.45">
      <c r="K157">
        <v>144</v>
      </c>
      <c r="L157" s="72">
        <v>156.93472189144811</v>
      </c>
    </row>
    <row r="158" spans="11:12" x14ac:dyDescent="0.45">
      <c r="K158">
        <v>145</v>
      </c>
      <c r="L158" s="72">
        <v>1410.2429614421305</v>
      </c>
    </row>
    <row r="159" spans="11:12" x14ac:dyDescent="0.45">
      <c r="K159">
        <v>146</v>
      </c>
      <c r="L159" s="72">
        <v>2393.8750833750205</v>
      </c>
    </row>
    <row r="160" spans="11:12" x14ac:dyDescent="0.45">
      <c r="K160">
        <v>147</v>
      </c>
      <c r="L160" s="72">
        <v>1083.9177733576826</v>
      </c>
    </row>
    <row r="161" spans="11:12" x14ac:dyDescent="0.45">
      <c r="K161">
        <v>148</v>
      </c>
      <c r="L161" s="72">
        <v>349.75911982571517</v>
      </c>
    </row>
    <row r="162" spans="11:12" x14ac:dyDescent="0.45">
      <c r="K162">
        <v>149</v>
      </c>
      <c r="L162" s="72">
        <v>232.47544021331711</v>
      </c>
    </row>
    <row r="163" spans="11:12" x14ac:dyDescent="0.45">
      <c r="K163">
        <v>150</v>
      </c>
      <c r="L163" s="72">
        <v>186.33662223015693</v>
      </c>
    </row>
    <row r="164" spans="11:12" x14ac:dyDescent="0.45">
      <c r="K164">
        <v>151</v>
      </c>
      <c r="L164" s="72">
        <v>209.80443683662833</v>
      </c>
    </row>
    <row r="165" spans="11:12" x14ac:dyDescent="0.45">
      <c r="K165">
        <v>152</v>
      </c>
      <c r="L165" s="72">
        <v>505.30018113146889</v>
      </c>
    </row>
    <row r="166" spans="11:12" x14ac:dyDescent="0.45">
      <c r="K166">
        <v>153</v>
      </c>
      <c r="L166" s="72">
        <v>331.98569009438108</v>
      </c>
    </row>
    <row r="167" spans="11:12" x14ac:dyDescent="0.45">
      <c r="K167">
        <v>154</v>
      </c>
      <c r="L167" s="72">
        <v>857.14282149819849</v>
      </c>
    </row>
    <row r="168" spans="11:12" x14ac:dyDescent="0.45">
      <c r="K168">
        <v>155</v>
      </c>
      <c r="L168" s="72">
        <v>701.75045681495283</v>
      </c>
    </row>
    <row r="169" spans="11:12" x14ac:dyDescent="0.45">
      <c r="K169">
        <v>156</v>
      </c>
      <c r="L169" s="72">
        <v>618.04113794155819</v>
      </c>
    </row>
    <row r="170" spans="11:12" x14ac:dyDescent="0.45">
      <c r="K170">
        <v>157</v>
      </c>
      <c r="L170" s="72">
        <v>461.83669733199736</v>
      </c>
    </row>
    <row r="171" spans="11:12" x14ac:dyDescent="0.45">
      <c r="K171">
        <v>158</v>
      </c>
      <c r="L171" s="72">
        <v>1503.7163172694361</v>
      </c>
    </row>
    <row r="172" spans="11:12" x14ac:dyDescent="0.45">
      <c r="K172">
        <v>159</v>
      </c>
      <c r="L172" s="72">
        <v>438.67637203460083</v>
      </c>
    </row>
    <row r="173" spans="11:12" x14ac:dyDescent="0.45">
      <c r="K173">
        <v>160</v>
      </c>
      <c r="L173" s="72">
        <v>1616.7765376811262</v>
      </c>
    </row>
    <row r="174" spans="11:12" x14ac:dyDescent="0.45">
      <c r="K174">
        <v>161</v>
      </c>
      <c r="L174" s="72">
        <v>926.76467643649437</v>
      </c>
    </row>
    <row r="175" spans="11:12" x14ac:dyDescent="0.45">
      <c r="K175">
        <v>162</v>
      </c>
      <c r="L175" s="72">
        <v>502.02125823186594</v>
      </c>
    </row>
    <row r="176" spans="11:12" x14ac:dyDescent="0.45">
      <c r="K176">
        <v>163</v>
      </c>
      <c r="L176" s="72">
        <v>745.4272018056879</v>
      </c>
    </row>
    <row r="177" spans="11:12" x14ac:dyDescent="0.45">
      <c r="K177">
        <v>164</v>
      </c>
      <c r="L177" s="72">
        <v>275.90338726634275</v>
      </c>
    </row>
    <row r="178" spans="11:12" x14ac:dyDescent="0.45">
      <c r="K178">
        <v>165</v>
      </c>
      <c r="L178" s="72">
        <v>299.58791515912725</v>
      </c>
    </row>
    <row r="179" spans="11:12" x14ac:dyDescent="0.45">
      <c r="K179">
        <v>166</v>
      </c>
      <c r="L179" s="72">
        <v>219.18744617329978</v>
      </c>
    </row>
    <row r="180" spans="11:12" x14ac:dyDescent="0.45">
      <c r="K180">
        <v>167</v>
      </c>
      <c r="L180" s="72">
        <v>769.29448154666352</v>
      </c>
    </row>
    <row r="181" spans="11:12" x14ac:dyDescent="0.45">
      <c r="K181">
        <v>168</v>
      </c>
      <c r="L181" s="72">
        <v>1035.0258695240955</v>
      </c>
    </row>
    <row r="182" spans="11:12" x14ac:dyDescent="0.45">
      <c r="K182">
        <v>169</v>
      </c>
      <c r="L182" s="72">
        <v>850.50181416029727</v>
      </c>
    </row>
    <row r="183" spans="11:12" x14ac:dyDescent="0.45">
      <c r="K183">
        <v>170</v>
      </c>
      <c r="L183" s="72">
        <v>704.79886828509007</v>
      </c>
    </row>
    <row r="184" spans="11:12" x14ac:dyDescent="0.45">
      <c r="K184">
        <v>171</v>
      </c>
      <c r="L184" s="72">
        <v>723.107855092195</v>
      </c>
    </row>
    <row r="185" spans="11:12" x14ac:dyDescent="0.45">
      <c r="K185">
        <v>172</v>
      </c>
      <c r="L185" s="72">
        <v>839.4055889264655</v>
      </c>
    </row>
    <row r="186" spans="11:12" x14ac:dyDescent="0.45">
      <c r="K186">
        <v>173</v>
      </c>
      <c r="L186" s="72">
        <v>765.9584779258621</v>
      </c>
    </row>
    <row r="187" spans="11:12" x14ac:dyDescent="0.45">
      <c r="K187">
        <v>174</v>
      </c>
      <c r="L187" s="72">
        <v>402.30483689633633</v>
      </c>
    </row>
    <row r="188" spans="11:12" x14ac:dyDescent="0.45">
      <c r="K188">
        <v>175</v>
      </c>
      <c r="L188" s="72">
        <v>912.11521356999401</v>
      </c>
    </row>
    <row r="189" spans="11:12" x14ac:dyDescent="0.45">
      <c r="K189">
        <v>176</v>
      </c>
      <c r="L189" s="72">
        <v>462.17353762466178</v>
      </c>
    </row>
    <row r="190" spans="11:12" x14ac:dyDescent="0.45">
      <c r="K190">
        <v>177</v>
      </c>
      <c r="L190" s="72">
        <v>622.03794665642056</v>
      </c>
    </row>
    <row r="191" spans="11:12" x14ac:dyDescent="0.45">
      <c r="K191">
        <v>178</v>
      </c>
      <c r="L191" s="72">
        <v>279.09155459012112</v>
      </c>
    </row>
    <row r="192" spans="11:12" x14ac:dyDescent="0.45">
      <c r="K192">
        <v>179</v>
      </c>
      <c r="L192" s="72">
        <v>755.47059087998525</v>
      </c>
    </row>
    <row r="193" spans="11:12" x14ac:dyDescent="0.45">
      <c r="K193">
        <v>180</v>
      </c>
      <c r="L193" s="72">
        <v>584.28280293797661</v>
      </c>
    </row>
    <row r="194" spans="11:12" x14ac:dyDescent="0.45">
      <c r="K194">
        <v>181</v>
      </c>
      <c r="L194" s="72">
        <v>1110.1613932068617</v>
      </c>
    </row>
    <row r="195" spans="11:12" x14ac:dyDescent="0.45">
      <c r="K195">
        <v>182</v>
      </c>
      <c r="L195" s="72">
        <v>174.70218886680854</v>
      </c>
    </row>
    <row r="196" spans="11:12" x14ac:dyDescent="0.45">
      <c r="K196">
        <v>183</v>
      </c>
      <c r="L196" s="72">
        <v>735.36703327211069</v>
      </c>
    </row>
    <row r="197" spans="11:12" x14ac:dyDescent="0.45">
      <c r="K197">
        <v>184</v>
      </c>
      <c r="L197" s="72">
        <v>251.978325902704</v>
      </c>
    </row>
    <row r="198" spans="11:12" x14ac:dyDescent="0.45">
      <c r="K198">
        <v>185</v>
      </c>
      <c r="L198" s="72">
        <v>343.28512528012266</v>
      </c>
    </row>
    <row r="199" spans="11:12" x14ac:dyDescent="0.45">
      <c r="K199">
        <v>186</v>
      </c>
      <c r="L199" s="72">
        <v>283.40648144119285</v>
      </c>
    </row>
    <row r="200" spans="11:12" x14ac:dyDescent="0.45">
      <c r="K200">
        <v>187</v>
      </c>
      <c r="L200" s="72">
        <v>1034.6822941699979</v>
      </c>
    </row>
    <row r="201" spans="11:12" x14ac:dyDescent="0.45">
      <c r="K201">
        <v>188</v>
      </c>
      <c r="L201" s="72">
        <v>166.19981941889523</v>
      </c>
    </row>
    <row r="202" spans="11:12" x14ac:dyDescent="0.45">
      <c r="K202">
        <v>189</v>
      </c>
      <c r="L202" s="72">
        <v>532.87709240905212</v>
      </c>
    </row>
    <row r="203" spans="11:12" x14ac:dyDescent="0.45">
      <c r="K203">
        <v>190</v>
      </c>
      <c r="L203" s="72">
        <v>454.28116080220809</v>
      </c>
    </row>
    <row r="204" spans="11:12" x14ac:dyDescent="0.45">
      <c r="K204">
        <v>191</v>
      </c>
      <c r="L204" s="72">
        <v>800.46930516398686</v>
      </c>
    </row>
    <row r="205" spans="11:12" x14ac:dyDescent="0.45">
      <c r="K205">
        <v>192</v>
      </c>
      <c r="L205" s="72">
        <v>646.58714571554106</v>
      </c>
    </row>
    <row r="206" spans="11:12" x14ac:dyDescent="0.45">
      <c r="K206">
        <v>193</v>
      </c>
      <c r="L206" s="72">
        <v>510.2679554412386</v>
      </c>
    </row>
    <row r="207" spans="11:12" x14ac:dyDescent="0.45">
      <c r="K207">
        <v>194</v>
      </c>
      <c r="L207" s="72">
        <v>663.9608554868953</v>
      </c>
    </row>
    <row r="208" spans="11:12" x14ac:dyDescent="0.45">
      <c r="K208">
        <v>195</v>
      </c>
      <c r="L208" s="72">
        <v>332.38822287989632</v>
      </c>
    </row>
    <row r="209" spans="11:12" x14ac:dyDescent="0.45">
      <c r="K209">
        <v>196</v>
      </c>
      <c r="L209" s="72">
        <v>413.69945173279251</v>
      </c>
    </row>
    <row r="210" spans="11:12" x14ac:dyDescent="0.45">
      <c r="K210">
        <v>197</v>
      </c>
      <c r="L210" s="72">
        <v>889.5053332961736</v>
      </c>
    </row>
    <row r="211" spans="11:12" x14ac:dyDescent="0.45">
      <c r="K211">
        <v>198</v>
      </c>
      <c r="L211" s="72">
        <v>2017.6461840131515</v>
      </c>
    </row>
    <row r="212" spans="11:12" x14ac:dyDescent="0.45">
      <c r="K212">
        <v>199</v>
      </c>
      <c r="L212" s="72">
        <v>814.37071512189527</v>
      </c>
    </row>
    <row r="213" spans="11:12" x14ac:dyDescent="0.45">
      <c r="K213">
        <v>200</v>
      </c>
      <c r="L213" s="72">
        <v>382.04868528997162</v>
      </c>
    </row>
  </sheetData>
  <mergeCells count="4">
    <mergeCell ref="C19:G19"/>
    <mergeCell ref="N15:O15"/>
    <mergeCell ref="N19:O19"/>
    <mergeCell ref="K13:L1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F12A4-5D51-4B4F-B59A-A36517DED518}">
  <dimension ref="A1:G2"/>
  <sheetViews>
    <sheetView workbookViewId="0">
      <selection sqref="A1:G2"/>
    </sheetView>
  </sheetViews>
  <sheetFormatPr defaultColWidth="8.85546875" defaultRowHeight="15.9" x14ac:dyDescent="0.45"/>
  <sheetData>
    <row r="1" spans="1:7" x14ac:dyDescent="0.45">
      <c r="A1" s="189" t="s">
        <v>122</v>
      </c>
      <c r="B1" s="189"/>
      <c r="C1" s="189"/>
      <c r="D1" s="189"/>
      <c r="E1" s="189"/>
      <c r="F1" s="189"/>
      <c r="G1" s="189"/>
    </row>
    <row r="2" spans="1:7" ht="106.5" customHeight="1" x14ac:dyDescent="0.45">
      <c r="A2" s="189"/>
      <c r="B2" s="189"/>
      <c r="C2" s="189"/>
      <c r="D2" s="189"/>
      <c r="E2" s="189"/>
      <c r="F2" s="189"/>
      <c r="G2" s="189"/>
    </row>
  </sheetData>
  <mergeCells count="1">
    <mergeCell ref="A1:G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15361-34B2-A843-84CE-A0D0D4142907}">
  <dimension ref="A1:B29"/>
  <sheetViews>
    <sheetView workbookViewId="0">
      <selection sqref="A1:B1"/>
    </sheetView>
  </sheetViews>
  <sheetFormatPr defaultColWidth="11" defaultRowHeight="15.9" x14ac:dyDescent="0.45"/>
  <cols>
    <col min="1" max="1" width="50.140625" bestFit="1" customWidth="1"/>
  </cols>
  <sheetData>
    <row r="1" spans="1:2" x14ac:dyDescent="0.45">
      <c r="A1" s="190" t="s">
        <v>123</v>
      </c>
      <c r="B1" s="190"/>
    </row>
    <row r="2" spans="1:2" x14ac:dyDescent="0.45">
      <c r="A2" s="24" t="s">
        <v>124</v>
      </c>
      <c r="B2" s="29">
        <v>43100</v>
      </c>
    </row>
    <row r="3" spans="1:2" x14ac:dyDescent="0.45">
      <c r="A3" s="26" t="s">
        <v>125</v>
      </c>
      <c r="B3" s="6">
        <v>42676</v>
      </c>
    </row>
    <row r="4" spans="1:2" x14ac:dyDescent="0.45">
      <c r="A4" s="26" t="s">
        <v>126</v>
      </c>
      <c r="B4" s="7">
        <v>2786</v>
      </c>
    </row>
    <row r="5" spans="1:2" x14ac:dyDescent="0.45">
      <c r="A5" s="26" t="s">
        <v>127</v>
      </c>
      <c r="B5" s="7">
        <v>45462</v>
      </c>
    </row>
    <row r="6" spans="1:2" x14ac:dyDescent="0.45">
      <c r="A6" s="24" t="s">
        <v>128</v>
      </c>
      <c r="B6" s="25"/>
    </row>
    <row r="7" spans="1:2" x14ac:dyDescent="0.45">
      <c r="A7" s="26" t="s">
        <v>129</v>
      </c>
      <c r="B7" s="7">
        <v>31049</v>
      </c>
    </row>
    <row r="8" spans="1:2" x14ac:dyDescent="0.45">
      <c r="A8" s="26" t="s">
        <v>130</v>
      </c>
      <c r="B8" s="7">
        <v>5177</v>
      </c>
    </row>
    <row r="9" spans="1:2" x14ac:dyDescent="0.45">
      <c r="A9" s="26" t="s">
        <v>131</v>
      </c>
      <c r="B9" s="7">
        <v>1905</v>
      </c>
    </row>
    <row r="10" spans="1:2" x14ac:dyDescent="0.45">
      <c r="A10" s="26" t="s">
        <v>132</v>
      </c>
      <c r="B10" s="7">
        <v>646</v>
      </c>
    </row>
    <row r="11" spans="1:2" x14ac:dyDescent="0.45">
      <c r="A11" s="26" t="s">
        <v>133</v>
      </c>
      <c r="B11" s="7">
        <v>0</v>
      </c>
    </row>
    <row r="12" spans="1:2" x14ac:dyDescent="0.45">
      <c r="A12" s="26" t="s">
        <v>134</v>
      </c>
      <c r="B12" s="7">
        <v>2279</v>
      </c>
    </row>
    <row r="13" spans="1:2" x14ac:dyDescent="0.45">
      <c r="A13" s="26" t="s">
        <v>135</v>
      </c>
      <c r="B13" s="7">
        <v>41056</v>
      </c>
    </row>
    <row r="14" spans="1:2" x14ac:dyDescent="0.45">
      <c r="A14" s="26" t="s">
        <v>136</v>
      </c>
      <c r="B14" s="7">
        <v>4406</v>
      </c>
    </row>
    <row r="15" spans="1:2" x14ac:dyDescent="0.45">
      <c r="A15" s="26" t="s">
        <v>137</v>
      </c>
      <c r="B15" s="7">
        <v>531</v>
      </c>
    </row>
    <row r="16" spans="1:2" x14ac:dyDescent="0.45">
      <c r="A16" s="26" t="s">
        <v>138</v>
      </c>
      <c r="B16" s="7">
        <v>207</v>
      </c>
    </row>
    <row r="17" spans="1:2" x14ac:dyDescent="0.45">
      <c r="A17" s="26" t="s">
        <v>139</v>
      </c>
      <c r="B17" s="7">
        <v>4082</v>
      </c>
    </row>
    <row r="18" spans="1:2" x14ac:dyDescent="0.45">
      <c r="A18" s="26" t="s">
        <v>140</v>
      </c>
      <c r="B18" s="7">
        <v>3339</v>
      </c>
    </row>
    <row r="19" spans="1:2" x14ac:dyDescent="0.45">
      <c r="A19" s="26" t="s">
        <v>141</v>
      </c>
      <c r="B19" s="7">
        <v>743</v>
      </c>
    </row>
    <row r="20" spans="1:2" x14ac:dyDescent="0.45">
      <c r="A20" s="26" t="s">
        <v>142</v>
      </c>
      <c r="B20" s="7">
        <v>16</v>
      </c>
    </row>
    <row r="21" spans="1:2" x14ac:dyDescent="0.45">
      <c r="A21" s="26" t="s">
        <v>143</v>
      </c>
      <c r="B21" s="7">
        <v>759</v>
      </c>
    </row>
    <row r="22" spans="1:2" x14ac:dyDescent="0.45">
      <c r="A22" s="26" t="s">
        <v>144</v>
      </c>
      <c r="B22" s="7">
        <v>5</v>
      </c>
    </row>
    <row r="23" spans="1:2" x14ac:dyDescent="0.45">
      <c r="A23" s="26" t="s">
        <v>145</v>
      </c>
      <c r="B23" s="6">
        <v>754</v>
      </c>
    </row>
    <row r="24" spans="1:2" x14ac:dyDescent="0.45">
      <c r="A24" s="26" t="s">
        <v>146</v>
      </c>
      <c r="B24" s="8">
        <v>1.27</v>
      </c>
    </row>
    <row r="25" spans="1:2" x14ac:dyDescent="0.45">
      <c r="A25" s="26" t="s">
        <v>147</v>
      </c>
      <c r="B25" s="8">
        <v>1.26</v>
      </c>
    </row>
    <row r="26" spans="1:2" x14ac:dyDescent="0.45">
      <c r="A26" s="24" t="s">
        <v>148</v>
      </c>
      <c r="B26" s="25"/>
    </row>
    <row r="27" spans="1:2" x14ac:dyDescent="0.45">
      <c r="A27" s="26" t="s">
        <v>149</v>
      </c>
      <c r="B27" s="9">
        <v>591.79999999999995</v>
      </c>
    </row>
    <row r="28" spans="1:2" x14ac:dyDescent="0.45">
      <c r="A28" s="26" t="s">
        <v>150</v>
      </c>
      <c r="B28" s="9">
        <v>599.29999999999995</v>
      </c>
    </row>
    <row r="29" spans="1:2" x14ac:dyDescent="0.45">
      <c r="A29" s="26" t="s">
        <v>151</v>
      </c>
      <c r="B29" s="8">
        <v>3.11</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38D86-8FBA-A849-819E-D52C8000F45A}">
  <dimension ref="A1:B44"/>
  <sheetViews>
    <sheetView workbookViewId="0"/>
  </sheetViews>
  <sheetFormatPr defaultColWidth="11" defaultRowHeight="15.9" x14ac:dyDescent="0.45"/>
  <cols>
    <col min="1" max="1" width="67.5" customWidth="1"/>
    <col min="2" max="2" width="11.640625" bestFit="1" customWidth="1"/>
  </cols>
  <sheetData>
    <row r="1" spans="1:2" x14ac:dyDescent="0.45">
      <c r="A1" s="22" t="s">
        <v>152</v>
      </c>
      <c r="B1" s="23" t="s">
        <v>153</v>
      </c>
    </row>
    <row r="2" spans="1:2" x14ac:dyDescent="0.45">
      <c r="A2" s="18" t="s">
        <v>154</v>
      </c>
    </row>
    <row r="3" spans="1:2" x14ac:dyDescent="0.45">
      <c r="A3" s="19" t="s">
        <v>155</v>
      </c>
      <c r="B3" s="14">
        <v>8261</v>
      </c>
    </row>
    <row r="4" spans="1:2" x14ac:dyDescent="0.45">
      <c r="A4" s="19" t="s">
        <v>156</v>
      </c>
      <c r="B4" s="15">
        <v>7436</v>
      </c>
    </row>
    <row r="5" spans="1:2" x14ac:dyDescent="0.45">
      <c r="A5" s="19" t="s">
        <v>157</v>
      </c>
      <c r="B5" s="15">
        <v>8757</v>
      </c>
    </row>
    <row r="6" spans="1:2" x14ac:dyDescent="0.45">
      <c r="A6" s="19" t="s">
        <v>158</v>
      </c>
      <c r="B6" s="15">
        <v>1772</v>
      </c>
    </row>
    <row r="7" spans="1:2" x14ac:dyDescent="0.45">
      <c r="A7" s="19" t="s">
        <v>159</v>
      </c>
      <c r="B7" s="15">
        <v>10018</v>
      </c>
    </row>
    <row r="8" spans="1:2" x14ac:dyDescent="0.45">
      <c r="A8" s="19" t="s">
        <v>160</v>
      </c>
      <c r="B8" s="15">
        <v>36244</v>
      </c>
    </row>
    <row r="9" spans="1:2" x14ac:dyDescent="0.45">
      <c r="A9" s="19" t="s">
        <v>161</v>
      </c>
      <c r="B9" s="15">
        <v>14155</v>
      </c>
    </row>
    <row r="10" spans="1:2" x14ac:dyDescent="0.45">
      <c r="A10" s="19" t="s">
        <v>162</v>
      </c>
      <c r="B10" s="15">
        <v>990</v>
      </c>
    </row>
    <row r="11" spans="1:2" x14ac:dyDescent="0.45">
      <c r="A11" s="19" t="s">
        <v>163</v>
      </c>
      <c r="B11" s="15">
        <v>13542</v>
      </c>
    </row>
    <row r="12" spans="1:2" x14ac:dyDescent="0.45">
      <c r="A12" s="19" t="s">
        <v>164</v>
      </c>
      <c r="B12" s="15">
        <v>1693</v>
      </c>
    </row>
    <row r="13" spans="1:2" x14ac:dyDescent="0.45">
      <c r="A13" s="19" t="s">
        <v>165</v>
      </c>
      <c r="B13" s="15">
        <v>2111</v>
      </c>
    </row>
    <row r="14" spans="1:2" x14ac:dyDescent="0.45">
      <c r="A14" s="19" t="s">
        <v>166</v>
      </c>
      <c r="B14" s="15">
        <v>6200</v>
      </c>
    </row>
    <row r="15" spans="1:2" x14ac:dyDescent="0.45">
      <c r="A15" s="19" t="s">
        <v>167</v>
      </c>
      <c r="B15" s="15">
        <v>2027</v>
      </c>
    </row>
    <row r="16" spans="1:2" x14ac:dyDescent="0.45">
      <c r="A16" s="19" t="s">
        <v>168</v>
      </c>
      <c r="B16" s="15">
        <v>76962</v>
      </c>
    </row>
    <row r="17" spans="1:2" x14ac:dyDescent="0.45">
      <c r="A17" s="18" t="s">
        <v>169</v>
      </c>
    </row>
    <row r="18" spans="1:2" x14ac:dyDescent="0.45">
      <c r="A18" s="19" t="s">
        <v>170</v>
      </c>
      <c r="B18" s="15">
        <v>1</v>
      </c>
    </row>
    <row r="19" spans="1:2" x14ac:dyDescent="0.45">
      <c r="A19" s="19" t="s">
        <v>171</v>
      </c>
      <c r="B19" s="15">
        <v>4836</v>
      </c>
    </row>
    <row r="20" spans="1:2" x14ac:dyDescent="0.45">
      <c r="A20" s="19" t="s">
        <v>172</v>
      </c>
      <c r="B20" s="15">
        <v>6487</v>
      </c>
    </row>
    <row r="21" spans="1:2" x14ac:dyDescent="0.45">
      <c r="A21" s="19" t="s">
        <v>173</v>
      </c>
      <c r="B21" s="15">
        <v>3220</v>
      </c>
    </row>
    <row r="22" spans="1:2" x14ac:dyDescent="0.45">
      <c r="A22" s="19" t="s">
        <v>174</v>
      </c>
      <c r="B22" s="15">
        <v>2559</v>
      </c>
    </row>
    <row r="23" spans="1:2" x14ac:dyDescent="0.45">
      <c r="A23" s="19" t="s">
        <v>175</v>
      </c>
      <c r="B23" s="15">
        <v>1193</v>
      </c>
    </row>
    <row r="24" spans="1:2" x14ac:dyDescent="0.45">
      <c r="A24" s="19" t="s">
        <v>176</v>
      </c>
      <c r="B24" s="15">
        <v>466</v>
      </c>
    </row>
    <row r="25" spans="1:2" x14ac:dyDescent="0.45">
      <c r="A25" s="19" t="s">
        <v>177</v>
      </c>
      <c r="B25" s="15">
        <v>1975</v>
      </c>
    </row>
    <row r="26" spans="1:2" x14ac:dyDescent="0.45">
      <c r="A26" s="18" t="s">
        <v>178</v>
      </c>
    </row>
    <row r="27" spans="1:2" x14ac:dyDescent="0.45">
      <c r="A27" s="19" t="s">
        <v>170</v>
      </c>
      <c r="B27" s="15">
        <v>6</v>
      </c>
    </row>
    <row r="28" spans="1:2" x14ac:dyDescent="0.45">
      <c r="A28" s="19" t="s">
        <v>171</v>
      </c>
      <c r="B28" s="15">
        <v>6188</v>
      </c>
    </row>
    <row r="29" spans="1:2" x14ac:dyDescent="0.45">
      <c r="A29" s="19" t="s">
        <v>179</v>
      </c>
      <c r="B29" s="15">
        <v>26931</v>
      </c>
    </row>
    <row r="30" spans="1:2" x14ac:dyDescent="0.45">
      <c r="A30" s="92" t="s">
        <v>180</v>
      </c>
      <c r="B30" s="93"/>
    </row>
    <row r="31" spans="1:2" x14ac:dyDescent="0.45">
      <c r="A31" s="98" t="s">
        <v>170</v>
      </c>
      <c r="B31" s="99">
        <v>7929</v>
      </c>
    </row>
    <row r="32" spans="1:2" x14ac:dyDescent="0.45">
      <c r="A32" s="100" t="s">
        <v>171</v>
      </c>
      <c r="B32" s="101">
        <v>15918</v>
      </c>
    </row>
    <row r="33" spans="1:2" x14ac:dyDescent="0.45">
      <c r="A33" s="19" t="s">
        <v>181</v>
      </c>
      <c r="B33" s="15">
        <v>8365</v>
      </c>
    </row>
    <row r="34" spans="1:2" x14ac:dyDescent="0.45">
      <c r="A34" s="19" t="s">
        <v>182</v>
      </c>
      <c r="B34" s="15">
        <v>4053</v>
      </c>
    </row>
    <row r="35" spans="1:2" x14ac:dyDescent="0.45">
      <c r="A35" s="19" t="s">
        <v>183</v>
      </c>
      <c r="B35" s="15">
        <v>63196</v>
      </c>
    </row>
    <row r="36" spans="1:2" x14ac:dyDescent="0.45">
      <c r="A36" s="19" t="s">
        <v>184</v>
      </c>
      <c r="B36" s="19" t="s">
        <v>185</v>
      </c>
    </row>
    <row r="37" spans="1:2" x14ac:dyDescent="0.45">
      <c r="A37" s="18" t="s">
        <v>186</v>
      </c>
    </row>
    <row r="38" spans="1:2" x14ac:dyDescent="0.45">
      <c r="A38" s="19" t="s">
        <v>187</v>
      </c>
      <c r="B38" s="15">
        <v>5593</v>
      </c>
    </row>
    <row r="39" spans="1:2" x14ac:dyDescent="0.45">
      <c r="A39" s="19" t="s">
        <v>188</v>
      </c>
      <c r="B39" s="15">
        <v>-17005</v>
      </c>
    </row>
    <row r="40" spans="1:2" x14ac:dyDescent="0.45">
      <c r="A40" s="19" t="s">
        <v>189</v>
      </c>
      <c r="B40" s="15">
        <v>26301</v>
      </c>
    </row>
    <row r="41" spans="1:2" x14ac:dyDescent="0.45">
      <c r="A41" s="19" t="s">
        <v>190</v>
      </c>
      <c r="B41" s="15">
        <v>-1192</v>
      </c>
    </row>
    <row r="42" spans="1:2" x14ac:dyDescent="0.45">
      <c r="A42" s="19" t="s">
        <v>191</v>
      </c>
      <c r="B42" s="15">
        <v>69</v>
      </c>
    </row>
    <row r="43" spans="1:2" x14ac:dyDescent="0.45">
      <c r="A43" s="19" t="s">
        <v>192</v>
      </c>
      <c r="B43" s="15">
        <v>13766</v>
      </c>
    </row>
    <row r="44" spans="1:2" x14ac:dyDescent="0.45">
      <c r="A44" s="19" t="s">
        <v>193</v>
      </c>
      <c r="B44" s="14">
        <v>76962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02A6F-1159-4E48-8845-37A9D7E62F3F}">
  <dimension ref="A1:C32"/>
  <sheetViews>
    <sheetView workbookViewId="0">
      <selection sqref="A1:B1"/>
    </sheetView>
  </sheetViews>
  <sheetFormatPr defaultColWidth="11" defaultRowHeight="15.9" x14ac:dyDescent="0.45"/>
  <cols>
    <col min="1" max="1" width="37.140625" customWidth="1"/>
    <col min="2" max="2" width="10.640625" bestFit="1" customWidth="1"/>
  </cols>
  <sheetData>
    <row r="1" spans="1:3" x14ac:dyDescent="0.45">
      <c r="A1" s="190" t="s">
        <v>123</v>
      </c>
      <c r="B1" s="190"/>
    </row>
    <row r="2" spans="1:3" x14ac:dyDescent="0.45">
      <c r="A2" s="12" t="s">
        <v>124</v>
      </c>
      <c r="B2" s="34">
        <v>43465</v>
      </c>
      <c r="C2" s="30"/>
    </row>
    <row r="3" spans="1:3" x14ac:dyDescent="0.45">
      <c r="A3" s="13" t="s">
        <v>194</v>
      </c>
      <c r="B3" s="20">
        <v>54722</v>
      </c>
      <c r="C3" s="14"/>
    </row>
    <row r="4" spans="1:3" x14ac:dyDescent="0.45">
      <c r="A4" s="13" t="s">
        <v>129</v>
      </c>
      <c r="B4" s="21">
        <v>36997</v>
      </c>
      <c r="C4" s="15"/>
    </row>
    <row r="5" spans="1:3" x14ac:dyDescent="0.45">
      <c r="A5" s="12" t="s">
        <v>128</v>
      </c>
      <c r="B5" s="1"/>
    </row>
    <row r="6" spans="1:3" x14ac:dyDescent="0.45">
      <c r="A6" s="13" t="s">
        <v>130</v>
      </c>
      <c r="B6" s="21">
        <v>5478</v>
      </c>
      <c r="C6" s="15"/>
    </row>
    <row r="7" spans="1:3" x14ac:dyDescent="0.45">
      <c r="A7" s="13" t="s">
        <v>131</v>
      </c>
      <c r="B7" s="21">
        <v>1850</v>
      </c>
      <c r="C7" s="15"/>
    </row>
    <row r="8" spans="1:3" x14ac:dyDescent="0.45">
      <c r="A8" s="13" t="s">
        <v>132</v>
      </c>
      <c r="B8" s="21">
        <v>722</v>
      </c>
      <c r="C8" s="15"/>
    </row>
    <row r="9" spans="1:3" x14ac:dyDescent="0.45">
      <c r="A9" s="13" t="s">
        <v>133</v>
      </c>
      <c r="B9" s="21">
        <v>0</v>
      </c>
      <c r="C9" s="15"/>
    </row>
    <row r="10" spans="1:3" x14ac:dyDescent="0.45">
      <c r="A10" s="13" t="s">
        <v>134</v>
      </c>
      <c r="B10" s="21">
        <v>1382</v>
      </c>
      <c r="C10" s="15"/>
    </row>
    <row r="11" spans="1:3" x14ac:dyDescent="0.45">
      <c r="A11" s="13" t="s">
        <v>135</v>
      </c>
      <c r="B11" s="21">
        <v>46429</v>
      </c>
      <c r="C11" s="15"/>
    </row>
    <row r="12" spans="1:3" x14ac:dyDescent="0.45">
      <c r="A12" s="13" t="s">
        <v>136</v>
      </c>
      <c r="B12" s="21">
        <v>8293</v>
      </c>
      <c r="C12" s="15"/>
    </row>
    <row r="13" spans="1:3" x14ac:dyDescent="0.45">
      <c r="A13" s="13" t="s">
        <v>137</v>
      </c>
      <c r="B13" s="21">
        <v>404</v>
      </c>
      <c r="C13" s="15"/>
    </row>
    <row r="14" spans="1:3" x14ac:dyDescent="0.45">
      <c r="A14" s="13" t="s">
        <v>138</v>
      </c>
      <c r="B14" s="21">
        <v>-67</v>
      </c>
      <c r="C14" s="15"/>
    </row>
    <row r="15" spans="1:3" x14ac:dyDescent="0.45">
      <c r="A15" s="13" t="s">
        <v>139</v>
      </c>
      <c r="B15" s="21">
        <v>7822</v>
      </c>
      <c r="C15" s="15"/>
    </row>
    <row r="16" spans="1:3" x14ac:dyDescent="0.45">
      <c r="A16" s="13" t="s">
        <v>140</v>
      </c>
      <c r="B16" s="21">
        <v>1698</v>
      </c>
      <c r="C16" s="15"/>
    </row>
    <row r="17" spans="1:3" x14ac:dyDescent="0.45">
      <c r="A17" s="13" t="s">
        <v>141</v>
      </c>
      <c r="B17" s="21">
        <v>6124</v>
      </c>
      <c r="C17" s="15"/>
    </row>
    <row r="18" spans="1:3" ht="29.15" x14ac:dyDescent="0.45">
      <c r="A18" s="13" t="s">
        <v>142</v>
      </c>
      <c r="B18" s="21">
        <v>24</v>
      </c>
      <c r="C18" s="15"/>
    </row>
    <row r="19" spans="1:3" ht="29.15" x14ac:dyDescent="0.45">
      <c r="A19" s="13" t="s">
        <v>143</v>
      </c>
      <c r="B19" s="21">
        <v>6148</v>
      </c>
      <c r="C19" s="15"/>
    </row>
    <row r="20" spans="1:3" ht="29.15" x14ac:dyDescent="0.45">
      <c r="A20" s="13" t="s">
        <v>144</v>
      </c>
      <c r="B20" s="21">
        <v>1</v>
      </c>
      <c r="C20" s="15"/>
    </row>
    <row r="21" spans="1:3" x14ac:dyDescent="0.45">
      <c r="A21" s="13" t="s">
        <v>145</v>
      </c>
      <c r="B21" s="20">
        <v>6147</v>
      </c>
      <c r="C21" s="14"/>
    </row>
    <row r="22" spans="1:3" ht="29.15" x14ac:dyDescent="0.45">
      <c r="A22" s="13" t="s">
        <v>146</v>
      </c>
      <c r="B22" s="27">
        <v>10.39</v>
      </c>
      <c r="C22" s="16"/>
    </row>
    <row r="23" spans="1:3" ht="29.15" x14ac:dyDescent="0.45">
      <c r="A23" s="13" t="s">
        <v>147</v>
      </c>
      <c r="B23" s="27">
        <v>10.26</v>
      </c>
      <c r="C23" s="16"/>
    </row>
    <row r="24" spans="1:3" ht="29.15" x14ac:dyDescent="0.45">
      <c r="A24" s="12" t="s">
        <v>148</v>
      </c>
      <c r="B24" s="1"/>
    </row>
    <row r="25" spans="1:3" x14ac:dyDescent="0.45">
      <c r="A25" s="13" t="s">
        <v>149</v>
      </c>
      <c r="B25" s="28">
        <v>591.4</v>
      </c>
      <c r="C25" s="17"/>
    </row>
    <row r="26" spans="1:3" x14ac:dyDescent="0.45">
      <c r="A26" s="13" t="s">
        <v>150</v>
      </c>
      <c r="B26" s="28">
        <v>599.4</v>
      </c>
      <c r="C26" s="17"/>
    </row>
    <row r="27" spans="1:3" x14ac:dyDescent="0.45">
      <c r="A27" s="13" t="s">
        <v>170</v>
      </c>
      <c r="B27" s="1"/>
    </row>
    <row r="28" spans="1:3" x14ac:dyDescent="0.45">
      <c r="A28" s="12" t="s">
        <v>124</v>
      </c>
      <c r="B28" s="1"/>
    </row>
    <row r="29" spans="1:3" x14ac:dyDescent="0.45">
      <c r="A29" s="13" t="s">
        <v>194</v>
      </c>
      <c r="B29" s="20">
        <v>51822</v>
      </c>
      <c r="C29" s="14"/>
    </row>
    <row r="30" spans="1:3" x14ac:dyDescent="0.45">
      <c r="A30" s="13" t="s">
        <v>195</v>
      </c>
      <c r="B30" s="1"/>
    </row>
    <row r="31" spans="1:3" x14ac:dyDescent="0.45">
      <c r="A31" s="12" t="s">
        <v>124</v>
      </c>
      <c r="B31" s="1"/>
    </row>
    <row r="32" spans="1:3" x14ac:dyDescent="0.45">
      <c r="A32" s="13" t="s">
        <v>194</v>
      </c>
      <c r="B32" s="20">
        <v>2900</v>
      </c>
      <c r="C32" s="14"/>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0BC9-B54F-B444-9033-4512DC879EC4}">
  <dimension ref="A1:B44"/>
  <sheetViews>
    <sheetView workbookViewId="0">
      <selection sqref="A1:B1"/>
    </sheetView>
  </sheetViews>
  <sheetFormatPr defaultColWidth="11" defaultRowHeight="15.9" x14ac:dyDescent="0.45"/>
  <cols>
    <col min="1" max="1" width="44.35546875" customWidth="1"/>
  </cols>
  <sheetData>
    <row r="1" spans="1:2" x14ac:dyDescent="0.45">
      <c r="A1" s="190" t="s">
        <v>152</v>
      </c>
      <c r="B1" s="190"/>
    </row>
    <row r="2" spans="1:2" x14ac:dyDescent="0.45">
      <c r="A2" s="18" t="s">
        <v>154</v>
      </c>
      <c r="B2" s="30">
        <v>43465</v>
      </c>
    </row>
    <row r="3" spans="1:2" x14ac:dyDescent="0.45">
      <c r="A3" s="19" t="s">
        <v>155</v>
      </c>
      <c r="B3" s="14">
        <v>7857</v>
      </c>
    </row>
    <row r="4" spans="1:2" x14ac:dyDescent="0.45">
      <c r="A4" s="19" t="s">
        <v>156</v>
      </c>
      <c r="B4" s="15">
        <v>8802</v>
      </c>
    </row>
    <row r="5" spans="1:2" x14ac:dyDescent="0.45">
      <c r="A5" s="19" t="s">
        <v>157</v>
      </c>
      <c r="B5" s="15">
        <v>8650</v>
      </c>
    </row>
    <row r="6" spans="1:2" x14ac:dyDescent="0.45">
      <c r="A6" s="19" t="s">
        <v>158</v>
      </c>
      <c r="B6" s="15">
        <v>1765</v>
      </c>
    </row>
    <row r="7" spans="1:2" x14ac:dyDescent="0.45">
      <c r="A7" s="19" t="s">
        <v>159</v>
      </c>
      <c r="B7" s="15">
        <v>11529</v>
      </c>
    </row>
    <row r="8" spans="1:2" x14ac:dyDescent="0.45">
      <c r="A8" s="19" t="s">
        <v>160</v>
      </c>
      <c r="B8" s="15">
        <v>38603</v>
      </c>
    </row>
    <row r="9" spans="1:2" x14ac:dyDescent="0.45">
      <c r="A9" s="19" t="s">
        <v>161</v>
      </c>
      <c r="B9" s="15">
        <v>13574</v>
      </c>
    </row>
    <row r="10" spans="1:2" x14ac:dyDescent="0.45">
      <c r="A10" s="19" t="s">
        <v>162</v>
      </c>
      <c r="B10" s="15">
        <v>1161</v>
      </c>
    </row>
    <row r="11" spans="1:2" x14ac:dyDescent="0.45">
      <c r="A11" s="19" t="s">
        <v>163</v>
      </c>
      <c r="B11" s="15">
        <v>13286</v>
      </c>
    </row>
    <row r="12" spans="1:2" x14ac:dyDescent="0.45">
      <c r="A12" s="19" t="s">
        <v>164</v>
      </c>
      <c r="B12" s="15">
        <v>1439</v>
      </c>
    </row>
    <row r="13" spans="1:2" x14ac:dyDescent="0.45">
      <c r="A13" s="19" t="s">
        <v>165</v>
      </c>
      <c r="B13" s="15">
        <v>1897</v>
      </c>
    </row>
    <row r="14" spans="1:2" x14ac:dyDescent="0.45">
      <c r="A14" s="19" t="s">
        <v>166</v>
      </c>
      <c r="B14" s="15">
        <v>6217</v>
      </c>
    </row>
    <row r="15" spans="1:2" x14ac:dyDescent="0.45">
      <c r="A15" s="19" t="s">
        <v>167</v>
      </c>
      <c r="B15" s="15">
        <v>2332</v>
      </c>
    </row>
    <row r="16" spans="1:2" x14ac:dyDescent="0.45">
      <c r="A16" s="19" t="s">
        <v>168</v>
      </c>
      <c r="B16" s="15">
        <v>78509</v>
      </c>
    </row>
    <row r="17" spans="1:2" x14ac:dyDescent="0.45">
      <c r="A17" s="18" t="s">
        <v>169</v>
      </c>
    </row>
    <row r="18" spans="1:2" x14ac:dyDescent="0.45">
      <c r="A18" s="19" t="s">
        <v>170</v>
      </c>
      <c r="B18" s="15">
        <v>0</v>
      </c>
    </row>
    <row r="19" spans="1:2" x14ac:dyDescent="0.45">
      <c r="A19" s="19" t="s">
        <v>171</v>
      </c>
      <c r="B19" s="15">
        <v>5723</v>
      </c>
    </row>
    <row r="20" spans="1:2" x14ac:dyDescent="0.45">
      <c r="A20" s="19" t="s">
        <v>172</v>
      </c>
      <c r="B20" s="15">
        <v>7051</v>
      </c>
    </row>
    <row r="21" spans="1:2" x14ac:dyDescent="0.45">
      <c r="A21" s="19" t="s">
        <v>173</v>
      </c>
      <c r="B21" s="15">
        <v>3573</v>
      </c>
    </row>
    <row r="22" spans="1:2" x14ac:dyDescent="0.45">
      <c r="A22" s="19" t="s">
        <v>174</v>
      </c>
      <c r="B22" s="15">
        <v>2384</v>
      </c>
    </row>
    <row r="23" spans="1:2" x14ac:dyDescent="0.45">
      <c r="A23" s="19" t="s">
        <v>175</v>
      </c>
      <c r="B23" s="15">
        <v>1243</v>
      </c>
    </row>
    <row r="24" spans="1:2" x14ac:dyDescent="0.45">
      <c r="A24" s="19" t="s">
        <v>176</v>
      </c>
      <c r="B24" s="15">
        <v>495</v>
      </c>
    </row>
    <row r="25" spans="1:2" x14ac:dyDescent="0.45">
      <c r="A25" s="19" t="s">
        <v>177</v>
      </c>
      <c r="B25" s="15">
        <v>1919</v>
      </c>
    </row>
    <row r="26" spans="1:2" x14ac:dyDescent="0.45">
      <c r="A26" s="18" t="s">
        <v>178</v>
      </c>
    </row>
    <row r="27" spans="1:2" x14ac:dyDescent="0.45">
      <c r="A27" s="86" t="s">
        <v>170</v>
      </c>
      <c r="B27" s="15">
        <v>10</v>
      </c>
    </row>
    <row r="28" spans="1:2" x14ac:dyDescent="0.45">
      <c r="A28" s="86" t="s">
        <v>171</v>
      </c>
      <c r="B28" s="15">
        <v>5820</v>
      </c>
    </row>
    <row r="29" spans="1:2" x14ac:dyDescent="0.45">
      <c r="A29" s="19" t="s">
        <v>179</v>
      </c>
      <c r="B29" s="15">
        <v>28218</v>
      </c>
    </row>
    <row r="30" spans="1:2" x14ac:dyDescent="0.45">
      <c r="A30" s="92" t="s">
        <v>180</v>
      </c>
      <c r="B30" s="93"/>
    </row>
    <row r="31" spans="1:2" x14ac:dyDescent="0.45">
      <c r="A31" s="98" t="s">
        <v>170</v>
      </c>
      <c r="B31" s="99">
        <v>8005</v>
      </c>
    </row>
    <row r="32" spans="1:2" x14ac:dyDescent="0.45">
      <c r="A32" s="100" t="s">
        <v>171</v>
      </c>
      <c r="B32" s="101">
        <v>16995</v>
      </c>
    </row>
    <row r="33" spans="1:2" x14ac:dyDescent="0.45">
      <c r="A33" s="19" t="s">
        <v>181</v>
      </c>
      <c r="B33" s="15">
        <v>7455</v>
      </c>
    </row>
    <row r="34" spans="1:2" x14ac:dyDescent="0.45">
      <c r="A34" s="19" t="s">
        <v>182</v>
      </c>
      <c r="B34" s="15">
        <v>3756</v>
      </c>
    </row>
    <row r="35" spans="1:2" x14ac:dyDescent="0.45">
      <c r="A35" s="19" t="s">
        <v>183</v>
      </c>
      <c r="B35" s="15">
        <v>64429</v>
      </c>
    </row>
    <row r="36" spans="1:2" x14ac:dyDescent="0.45">
      <c r="A36" s="19" t="s">
        <v>184</v>
      </c>
      <c r="B36" s="13" t="s">
        <v>185</v>
      </c>
    </row>
    <row r="37" spans="1:2" x14ac:dyDescent="0.45">
      <c r="A37" s="18" t="s">
        <v>186</v>
      </c>
    </row>
    <row r="38" spans="1:2" x14ac:dyDescent="0.45">
      <c r="A38" s="19" t="s">
        <v>196</v>
      </c>
      <c r="B38" s="15">
        <v>5827</v>
      </c>
    </row>
    <row r="39" spans="1:2" x14ac:dyDescent="0.45">
      <c r="A39" s="19" t="s">
        <v>197</v>
      </c>
      <c r="B39" s="15">
        <v>-20531</v>
      </c>
    </row>
    <row r="40" spans="1:2" x14ac:dyDescent="0.45">
      <c r="A40" s="19" t="s">
        <v>189</v>
      </c>
      <c r="B40" s="15">
        <v>30427</v>
      </c>
    </row>
    <row r="41" spans="1:2" x14ac:dyDescent="0.45">
      <c r="A41" s="19" t="s">
        <v>190</v>
      </c>
      <c r="B41" s="15">
        <v>-1684</v>
      </c>
    </row>
    <row r="42" spans="1:2" x14ac:dyDescent="0.45">
      <c r="A42" s="19" t="s">
        <v>191</v>
      </c>
      <c r="B42" s="15">
        <v>41</v>
      </c>
    </row>
    <row r="43" spans="1:2" x14ac:dyDescent="0.45">
      <c r="A43" s="19" t="s">
        <v>192</v>
      </c>
      <c r="B43" s="15">
        <v>14080</v>
      </c>
    </row>
    <row r="44" spans="1:2" x14ac:dyDescent="0.45">
      <c r="A44" s="19" t="s">
        <v>193</v>
      </c>
      <c r="B44" s="14">
        <v>78509</v>
      </c>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A0E57-2E55-884C-A90D-C483F735B746}">
  <dimension ref="A1:B33"/>
  <sheetViews>
    <sheetView workbookViewId="0"/>
  </sheetViews>
  <sheetFormatPr defaultColWidth="11" defaultRowHeight="15.9" x14ac:dyDescent="0.45"/>
  <cols>
    <col min="1" max="1" width="36.35546875" customWidth="1"/>
    <col min="2" max="2" width="12.85546875" customWidth="1"/>
  </cols>
  <sheetData>
    <row r="1" spans="1:2" x14ac:dyDescent="0.45">
      <c r="A1" s="18"/>
      <c r="B1" s="11" t="s">
        <v>198</v>
      </c>
    </row>
    <row r="2" spans="1:2" s="1" customFormat="1" x14ac:dyDescent="0.45">
      <c r="A2" s="12" t="s">
        <v>124</v>
      </c>
    </row>
    <row r="3" spans="1:2" x14ac:dyDescent="0.45">
      <c r="A3" s="19" t="s">
        <v>194</v>
      </c>
      <c r="B3" s="14">
        <v>53800</v>
      </c>
    </row>
    <row r="4" spans="1:2" x14ac:dyDescent="0.45">
      <c r="A4" s="19" t="s">
        <v>129</v>
      </c>
      <c r="B4" s="15">
        <v>36630</v>
      </c>
    </row>
    <row r="5" spans="1:2" x14ac:dyDescent="0.45">
      <c r="A5" s="18" t="s">
        <v>128</v>
      </c>
    </row>
    <row r="6" spans="1:2" x14ac:dyDescent="0.45">
      <c r="A6" s="19" t="s">
        <v>130</v>
      </c>
      <c r="B6" s="15">
        <v>5162</v>
      </c>
    </row>
    <row r="7" spans="1:2" x14ac:dyDescent="0.45">
      <c r="A7" s="19" t="s">
        <v>131</v>
      </c>
      <c r="B7" s="15">
        <v>1693</v>
      </c>
    </row>
    <row r="8" spans="1:2" x14ac:dyDescent="0.45">
      <c r="A8" s="19" t="s">
        <v>132</v>
      </c>
      <c r="B8" s="15">
        <v>754</v>
      </c>
    </row>
    <row r="9" spans="1:2" x14ac:dyDescent="0.45">
      <c r="A9" s="19" t="s">
        <v>133</v>
      </c>
      <c r="B9" s="15">
        <v>0</v>
      </c>
    </row>
    <row r="10" spans="1:2" x14ac:dyDescent="0.45">
      <c r="A10" s="19" t="s">
        <v>134</v>
      </c>
      <c r="B10" s="15">
        <v>1271</v>
      </c>
    </row>
    <row r="11" spans="1:2" x14ac:dyDescent="0.45">
      <c r="A11" s="19" t="s">
        <v>135</v>
      </c>
      <c r="B11" s="15">
        <v>45510</v>
      </c>
    </row>
    <row r="12" spans="1:2" x14ac:dyDescent="0.45">
      <c r="A12" s="19" t="s">
        <v>136</v>
      </c>
      <c r="B12" s="15">
        <v>8290</v>
      </c>
    </row>
    <row r="13" spans="1:2" x14ac:dyDescent="0.45">
      <c r="A13" s="19" t="s">
        <v>199</v>
      </c>
      <c r="B13" s="15">
        <v>421</v>
      </c>
    </row>
    <row r="14" spans="1:2" x14ac:dyDescent="0.45">
      <c r="A14" s="19" t="s">
        <v>138</v>
      </c>
      <c r="B14" s="15">
        <v>-57</v>
      </c>
    </row>
    <row r="15" spans="1:2" x14ac:dyDescent="0.45">
      <c r="A15" s="19" t="s">
        <v>139</v>
      </c>
      <c r="B15" s="15">
        <v>7812</v>
      </c>
    </row>
    <row r="16" spans="1:2" x14ac:dyDescent="0.45">
      <c r="A16" s="19" t="s">
        <v>140</v>
      </c>
      <c r="B16" s="15">
        <v>1746</v>
      </c>
    </row>
    <row r="17" spans="1:2" x14ac:dyDescent="0.45">
      <c r="A17" s="19" t="s">
        <v>141</v>
      </c>
      <c r="B17" s="15">
        <v>6066</v>
      </c>
    </row>
    <row r="18" spans="1:2" x14ac:dyDescent="0.45">
      <c r="A18" s="19" t="s">
        <v>142</v>
      </c>
      <c r="B18" s="15">
        <v>28</v>
      </c>
    </row>
    <row r="19" spans="1:2" x14ac:dyDescent="0.45">
      <c r="A19" s="19" t="s">
        <v>143</v>
      </c>
      <c r="B19" s="15">
        <v>6094</v>
      </c>
    </row>
    <row r="20" spans="1:2" x14ac:dyDescent="0.45">
      <c r="A20" s="19" t="s">
        <v>144</v>
      </c>
      <c r="B20" s="15">
        <v>1</v>
      </c>
    </row>
    <row r="21" spans="1:2" x14ac:dyDescent="0.45">
      <c r="A21" s="19" t="s">
        <v>145</v>
      </c>
      <c r="B21" s="14">
        <v>6093</v>
      </c>
    </row>
    <row r="22" spans="1:2" x14ac:dyDescent="0.45">
      <c r="A22" s="19" t="s">
        <v>146</v>
      </c>
      <c r="B22" s="16">
        <v>10.85</v>
      </c>
    </row>
    <row r="23" spans="1:2" x14ac:dyDescent="0.45">
      <c r="A23" s="19" t="s">
        <v>147</v>
      </c>
      <c r="B23" s="16">
        <v>10.74</v>
      </c>
    </row>
    <row r="24" spans="1:2" x14ac:dyDescent="0.45">
      <c r="A24" s="18" t="s">
        <v>148</v>
      </c>
    </row>
    <row r="25" spans="1:2" x14ac:dyDescent="0.45">
      <c r="A25" s="19" t="s">
        <v>149</v>
      </c>
      <c r="B25" s="17">
        <v>561.6</v>
      </c>
    </row>
    <row r="26" spans="1:2" x14ac:dyDescent="0.45">
      <c r="A26" s="19" t="s">
        <v>150</v>
      </c>
      <c r="B26" s="17">
        <v>567.5</v>
      </c>
    </row>
    <row r="27" spans="1:2" x14ac:dyDescent="0.45">
      <c r="A27" s="19" t="s">
        <v>170</v>
      </c>
    </row>
    <row r="28" spans="1:2" x14ac:dyDescent="0.45">
      <c r="A28" s="18" t="s">
        <v>124</v>
      </c>
    </row>
    <row r="29" spans="1:2" x14ac:dyDescent="0.45">
      <c r="A29" s="19" t="s">
        <v>194</v>
      </c>
      <c r="B29" s="14">
        <v>50755</v>
      </c>
    </row>
    <row r="30" spans="1:2" x14ac:dyDescent="0.45">
      <c r="A30" s="19" t="s">
        <v>171</v>
      </c>
    </row>
    <row r="31" spans="1:2" x14ac:dyDescent="0.45">
      <c r="A31" s="18" t="s">
        <v>124</v>
      </c>
    </row>
    <row r="32" spans="1:2" x14ac:dyDescent="0.45">
      <c r="A32" s="19" t="s">
        <v>194</v>
      </c>
      <c r="B32" s="14">
        <v>3045</v>
      </c>
    </row>
    <row r="33" spans="2:2" x14ac:dyDescent="0.45">
      <c r="B33" s="1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267C8-531E-F742-B1F8-4457A3D24E28}">
  <dimension ref="A1:B43"/>
  <sheetViews>
    <sheetView workbookViewId="0"/>
  </sheetViews>
  <sheetFormatPr defaultColWidth="11" defaultRowHeight="15.9" x14ac:dyDescent="0.45"/>
  <cols>
    <col min="1" max="1" width="56.5" customWidth="1"/>
    <col min="2" max="2" width="14" customWidth="1"/>
  </cols>
  <sheetData>
    <row r="1" spans="1:2" x14ac:dyDescent="0.45">
      <c r="A1" s="10" t="s">
        <v>152</v>
      </c>
      <c r="B1" s="11" t="s">
        <v>198</v>
      </c>
    </row>
    <row r="2" spans="1:2" x14ac:dyDescent="0.45">
      <c r="A2" s="12" t="s">
        <v>154</v>
      </c>
    </row>
    <row r="3" spans="1:2" x14ac:dyDescent="0.45">
      <c r="A3" s="13" t="s">
        <v>155</v>
      </c>
      <c r="B3" s="14">
        <v>8284</v>
      </c>
    </row>
    <row r="4" spans="1:2" x14ac:dyDescent="0.45">
      <c r="A4" s="13" t="s">
        <v>156</v>
      </c>
      <c r="B4" s="15">
        <v>8568</v>
      </c>
    </row>
    <row r="5" spans="1:2" x14ac:dyDescent="0.45">
      <c r="A5" s="13" t="s">
        <v>157</v>
      </c>
      <c r="B5" s="15">
        <v>9336</v>
      </c>
    </row>
    <row r="6" spans="1:2" x14ac:dyDescent="0.45">
      <c r="A6" s="13" t="s">
        <v>200</v>
      </c>
      <c r="B6" s="15">
        <v>1739</v>
      </c>
    </row>
    <row r="7" spans="1:2" x14ac:dyDescent="0.45">
      <c r="A7" s="13" t="s">
        <v>159</v>
      </c>
      <c r="B7" s="15">
        <v>11266</v>
      </c>
    </row>
    <row r="8" spans="1:2" x14ac:dyDescent="0.45">
      <c r="A8" s="13" t="s">
        <v>160</v>
      </c>
      <c r="B8" s="15">
        <v>39193</v>
      </c>
    </row>
    <row r="9" spans="1:2" x14ac:dyDescent="0.45">
      <c r="A9" s="13" t="s">
        <v>201</v>
      </c>
      <c r="B9" s="15">
        <v>12904</v>
      </c>
    </row>
    <row r="10" spans="1:2" x14ac:dyDescent="0.45">
      <c r="A10" s="13" t="s">
        <v>162</v>
      </c>
      <c r="B10" s="15">
        <v>1193</v>
      </c>
    </row>
    <row r="11" spans="1:2" x14ac:dyDescent="0.45">
      <c r="A11" s="13" t="s">
        <v>163</v>
      </c>
      <c r="B11" s="15">
        <v>12651</v>
      </c>
    </row>
    <row r="12" spans="1:2" x14ac:dyDescent="0.45">
      <c r="A12" s="13" t="s">
        <v>164</v>
      </c>
      <c r="B12" s="15">
        <v>1411</v>
      </c>
    </row>
    <row r="13" spans="1:2" x14ac:dyDescent="0.45">
      <c r="A13" s="13" t="s">
        <v>165</v>
      </c>
      <c r="B13" s="15">
        <v>1565</v>
      </c>
    </row>
    <row r="14" spans="1:2" x14ac:dyDescent="0.45">
      <c r="A14" s="13" t="s">
        <v>166</v>
      </c>
      <c r="B14" s="15">
        <v>6196</v>
      </c>
    </row>
    <row r="15" spans="1:2" x14ac:dyDescent="0.45">
      <c r="A15" s="13" t="s">
        <v>167</v>
      </c>
      <c r="B15" s="15">
        <v>3340</v>
      </c>
    </row>
    <row r="16" spans="1:2" x14ac:dyDescent="0.45">
      <c r="A16" s="13" t="s">
        <v>168</v>
      </c>
      <c r="B16" s="15">
        <v>78453</v>
      </c>
    </row>
    <row r="17" spans="1:2" x14ac:dyDescent="0.45">
      <c r="A17" s="12" t="s">
        <v>169</v>
      </c>
    </row>
    <row r="18" spans="1:2" x14ac:dyDescent="0.45">
      <c r="A18" s="13" t="s">
        <v>170</v>
      </c>
      <c r="B18" s="15">
        <v>5</v>
      </c>
    </row>
    <row r="19" spans="1:2" x14ac:dyDescent="0.45">
      <c r="A19" s="13" t="s">
        <v>171</v>
      </c>
      <c r="B19" s="15">
        <v>5161</v>
      </c>
    </row>
    <row r="20" spans="1:2" x14ac:dyDescent="0.45">
      <c r="A20" s="13" t="s">
        <v>172</v>
      </c>
      <c r="B20" s="15">
        <v>5957</v>
      </c>
    </row>
    <row r="21" spans="1:2" x14ac:dyDescent="0.45">
      <c r="A21" s="13" t="s">
        <v>173</v>
      </c>
      <c r="B21" s="15">
        <v>3750</v>
      </c>
    </row>
    <row r="22" spans="1:2" x14ac:dyDescent="0.45">
      <c r="A22" s="13" t="s">
        <v>174</v>
      </c>
      <c r="B22" s="15">
        <v>1629</v>
      </c>
    </row>
    <row r="23" spans="1:2" x14ac:dyDescent="0.45">
      <c r="A23" s="13" t="s">
        <v>175</v>
      </c>
      <c r="B23" s="15">
        <v>1187</v>
      </c>
    </row>
    <row r="24" spans="1:2" x14ac:dyDescent="0.45">
      <c r="A24" s="13" t="s">
        <v>176</v>
      </c>
      <c r="B24" s="15">
        <v>567</v>
      </c>
    </row>
    <row r="25" spans="1:2" x14ac:dyDescent="0.45">
      <c r="A25" s="13" t="s">
        <v>177</v>
      </c>
      <c r="B25" s="15">
        <v>2155</v>
      </c>
    </row>
    <row r="26" spans="1:2" x14ac:dyDescent="0.45">
      <c r="A26" s="12" t="s">
        <v>178</v>
      </c>
    </row>
    <row r="27" spans="1:2" x14ac:dyDescent="0.45">
      <c r="A27" s="87" t="s">
        <v>170</v>
      </c>
      <c r="B27" s="15">
        <v>16</v>
      </c>
    </row>
    <row r="28" spans="1:2" x14ac:dyDescent="0.45">
      <c r="A28" s="87" t="s">
        <v>171</v>
      </c>
      <c r="B28" s="15">
        <v>6194</v>
      </c>
    </row>
    <row r="29" spans="1:2" x14ac:dyDescent="0.45">
      <c r="A29" s="13" t="s">
        <v>179</v>
      </c>
      <c r="B29" s="15">
        <v>26621</v>
      </c>
    </row>
    <row r="30" spans="1:2" x14ac:dyDescent="0.45">
      <c r="A30" s="102" t="s">
        <v>180</v>
      </c>
      <c r="B30" s="93"/>
    </row>
    <row r="31" spans="1:2" x14ac:dyDescent="0.45">
      <c r="A31" s="103" t="s">
        <v>170</v>
      </c>
      <c r="B31" s="99">
        <v>9141</v>
      </c>
    </row>
    <row r="32" spans="1:2" x14ac:dyDescent="0.45">
      <c r="A32" s="104" t="s">
        <v>171</v>
      </c>
      <c r="B32" s="101">
        <v>17140</v>
      </c>
    </row>
    <row r="33" spans="1:2" x14ac:dyDescent="0.45">
      <c r="A33" s="13" t="s">
        <v>181</v>
      </c>
      <c r="B33" s="15">
        <v>6599</v>
      </c>
    </row>
    <row r="34" spans="1:2" x14ac:dyDescent="0.45">
      <c r="A34" s="13" t="s">
        <v>182</v>
      </c>
      <c r="B34" s="15">
        <v>4323</v>
      </c>
    </row>
    <row r="35" spans="1:2" x14ac:dyDescent="0.45">
      <c r="A35" s="13" t="s">
        <v>183</v>
      </c>
      <c r="B35" s="15">
        <v>63824</v>
      </c>
    </row>
    <row r="36" spans="1:2" x14ac:dyDescent="0.45">
      <c r="A36" s="12" t="s">
        <v>186</v>
      </c>
    </row>
    <row r="37" spans="1:2" ht="29.15" x14ac:dyDescent="0.45">
      <c r="A37" s="13" t="s">
        <v>202</v>
      </c>
      <c r="B37" s="15">
        <v>5935</v>
      </c>
    </row>
    <row r="38" spans="1:2" ht="29.15" x14ac:dyDescent="0.45">
      <c r="A38" s="13" t="s">
        <v>203</v>
      </c>
      <c r="B38" s="15">
        <v>-24217</v>
      </c>
    </row>
    <row r="39" spans="1:2" x14ac:dyDescent="0.45">
      <c r="A39" s="13" t="s">
        <v>189</v>
      </c>
      <c r="B39" s="15">
        <v>34437</v>
      </c>
    </row>
    <row r="40" spans="1:2" x14ac:dyDescent="0.45">
      <c r="A40" s="13" t="s">
        <v>190</v>
      </c>
      <c r="B40" s="15">
        <v>-1567</v>
      </c>
    </row>
    <row r="41" spans="1:2" x14ac:dyDescent="0.45">
      <c r="A41" s="13" t="s">
        <v>191</v>
      </c>
      <c r="B41" s="15">
        <v>41</v>
      </c>
    </row>
    <row r="42" spans="1:2" x14ac:dyDescent="0.45">
      <c r="A42" s="13" t="s">
        <v>192</v>
      </c>
      <c r="B42" s="15">
        <v>14629</v>
      </c>
    </row>
    <row r="43" spans="1:2" x14ac:dyDescent="0.45">
      <c r="A43" s="13" t="s">
        <v>193</v>
      </c>
      <c r="B43" s="14">
        <v>78453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02223-6D38-4540-A0FD-6FA1D05A2F18}">
  <dimension ref="A1:B34"/>
  <sheetViews>
    <sheetView workbookViewId="0">
      <selection sqref="A1:B1"/>
    </sheetView>
  </sheetViews>
  <sheetFormatPr defaultColWidth="11" defaultRowHeight="15.9" x14ac:dyDescent="0.45"/>
  <cols>
    <col min="1" max="1" width="56.85546875" bestFit="1" customWidth="1"/>
    <col min="2" max="2" width="9" bestFit="1" customWidth="1"/>
  </cols>
  <sheetData>
    <row r="1" spans="1:2" x14ac:dyDescent="0.45">
      <c r="A1" s="191" t="s">
        <v>123</v>
      </c>
      <c r="B1" s="191"/>
    </row>
    <row r="2" spans="1:2" x14ac:dyDescent="0.45">
      <c r="A2" s="18" t="s">
        <v>124</v>
      </c>
      <c r="B2" s="23" t="s">
        <v>204</v>
      </c>
    </row>
    <row r="3" spans="1:2" x14ac:dyDescent="0.45">
      <c r="A3" s="19" t="s">
        <v>194</v>
      </c>
      <c r="B3" s="14">
        <v>41748</v>
      </c>
    </row>
    <row r="4" spans="1:2" x14ac:dyDescent="0.45">
      <c r="A4" s="18" t="s">
        <v>128</v>
      </c>
    </row>
    <row r="5" spans="1:2" x14ac:dyDescent="0.45">
      <c r="A5" s="19" t="s">
        <v>129</v>
      </c>
      <c r="B5" s="15">
        <v>29082</v>
      </c>
    </row>
    <row r="6" spans="1:2" x14ac:dyDescent="0.45">
      <c r="A6" s="19" t="s">
        <v>130</v>
      </c>
      <c r="B6" s="15">
        <v>4642</v>
      </c>
    </row>
    <row r="7" spans="1:2" x14ac:dyDescent="0.45">
      <c r="A7" s="19" t="s">
        <v>131</v>
      </c>
      <c r="B7" s="15">
        <v>1415</v>
      </c>
    </row>
    <row r="8" spans="1:2" x14ac:dyDescent="0.45">
      <c r="A8" s="19" t="s">
        <v>134</v>
      </c>
      <c r="B8" s="15">
        <v>1467</v>
      </c>
    </row>
    <row r="9" spans="1:2" x14ac:dyDescent="0.45">
      <c r="A9" s="19" t="s">
        <v>135</v>
      </c>
      <c r="B9" s="15">
        <v>37195</v>
      </c>
    </row>
    <row r="10" spans="1:2" x14ac:dyDescent="0.45">
      <c r="A10" s="19" t="s">
        <v>136</v>
      </c>
      <c r="B10" s="15">
        <v>4553</v>
      </c>
    </row>
    <row r="11" spans="1:2" x14ac:dyDescent="0.45">
      <c r="A11" s="19" t="s">
        <v>138</v>
      </c>
      <c r="B11" s="15">
        <v>-44</v>
      </c>
    </row>
    <row r="12" spans="1:2" x14ac:dyDescent="0.45">
      <c r="A12" s="19" t="s">
        <v>139</v>
      </c>
      <c r="B12" s="15">
        <v>3995</v>
      </c>
    </row>
    <row r="13" spans="1:2" x14ac:dyDescent="0.45">
      <c r="A13" s="19" t="s">
        <v>140</v>
      </c>
      <c r="B13" s="15">
        <v>1006</v>
      </c>
    </row>
    <row r="14" spans="1:2" x14ac:dyDescent="0.45">
      <c r="A14" s="19" t="s">
        <v>141</v>
      </c>
      <c r="B14" s="15">
        <v>2989</v>
      </c>
    </row>
    <row r="15" spans="1:2" x14ac:dyDescent="0.45">
      <c r="A15" s="19" t="s">
        <v>142</v>
      </c>
      <c r="B15" s="15">
        <v>14</v>
      </c>
    </row>
    <row r="16" spans="1:2" x14ac:dyDescent="0.45">
      <c r="A16" s="19" t="s">
        <v>143</v>
      </c>
      <c r="B16" s="15">
        <v>3003</v>
      </c>
    </row>
    <row r="17" spans="1:2" x14ac:dyDescent="0.45">
      <c r="A17" s="19" t="s">
        <v>205</v>
      </c>
      <c r="B17" s="15">
        <v>5</v>
      </c>
    </row>
    <row r="18" spans="1:2" x14ac:dyDescent="0.45">
      <c r="A18" s="19" t="s">
        <v>145</v>
      </c>
      <c r="B18" s="14">
        <v>2998</v>
      </c>
    </row>
    <row r="19" spans="1:2" x14ac:dyDescent="0.45">
      <c r="A19" s="19" t="s">
        <v>146</v>
      </c>
      <c r="B19" s="16">
        <v>5.51</v>
      </c>
    </row>
    <row r="20" spans="1:2" x14ac:dyDescent="0.45">
      <c r="A20" s="19" t="s">
        <v>147</v>
      </c>
      <c r="B20" s="16">
        <v>5.46</v>
      </c>
    </row>
    <row r="21" spans="1:2" x14ac:dyDescent="0.45">
      <c r="A21" s="18" t="s">
        <v>148</v>
      </c>
    </row>
    <row r="22" spans="1:2" x14ac:dyDescent="0.45">
      <c r="A22" s="19" t="s">
        <v>149</v>
      </c>
      <c r="B22" s="17">
        <v>544.1</v>
      </c>
    </row>
    <row r="23" spans="1:2" x14ac:dyDescent="0.45">
      <c r="A23" s="19" t="s">
        <v>150</v>
      </c>
      <c r="B23" s="17">
        <v>548.6</v>
      </c>
    </row>
    <row r="24" spans="1:2" x14ac:dyDescent="0.45">
      <c r="A24" s="19" t="s">
        <v>170</v>
      </c>
    </row>
    <row r="25" spans="1:2" x14ac:dyDescent="0.45">
      <c r="A25" s="18" t="s">
        <v>124</v>
      </c>
    </row>
    <row r="26" spans="1:2" x14ac:dyDescent="0.45">
      <c r="A26" s="19" t="s">
        <v>194</v>
      </c>
      <c r="B26" s="14">
        <v>39022</v>
      </c>
    </row>
    <row r="27" spans="1:2" x14ac:dyDescent="0.45">
      <c r="A27" s="19" t="s">
        <v>171</v>
      </c>
    </row>
    <row r="28" spans="1:2" x14ac:dyDescent="0.45">
      <c r="A28" s="18" t="s">
        <v>124</v>
      </c>
    </row>
    <row r="29" spans="1:2" x14ac:dyDescent="0.45">
      <c r="A29" s="19" t="s">
        <v>194</v>
      </c>
      <c r="B29" s="15">
        <v>2726</v>
      </c>
    </row>
    <row r="30" spans="1:2" x14ac:dyDescent="0.45">
      <c r="A30" s="18" t="s">
        <v>128</v>
      </c>
    </row>
    <row r="31" spans="1:2" x14ac:dyDescent="0.45">
      <c r="A31" s="19" t="s">
        <v>206</v>
      </c>
      <c r="B31" s="15">
        <v>589</v>
      </c>
    </row>
    <row r="32" spans="1:2" x14ac:dyDescent="0.45">
      <c r="A32" s="19" t="s">
        <v>207</v>
      </c>
    </row>
    <row r="33" spans="1:2" x14ac:dyDescent="0.45">
      <c r="A33" s="18" t="s">
        <v>128</v>
      </c>
    </row>
    <row r="34" spans="1:2" x14ac:dyDescent="0.45">
      <c r="A34" s="19" t="s">
        <v>206</v>
      </c>
      <c r="B34" s="14">
        <v>514</v>
      </c>
    </row>
  </sheetData>
  <mergeCells count="1">
    <mergeCell ref="A1:B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96C05-FF38-C745-9DC1-63F3DF1F9F26}">
  <dimension ref="A1:B58"/>
  <sheetViews>
    <sheetView workbookViewId="0"/>
  </sheetViews>
  <sheetFormatPr defaultColWidth="11" defaultRowHeight="15.9" x14ac:dyDescent="0.45"/>
  <cols>
    <col min="1" max="1" width="39" customWidth="1"/>
    <col min="2" max="2" width="17.140625" bestFit="1" customWidth="1"/>
  </cols>
  <sheetData>
    <row r="1" spans="1:2" x14ac:dyDescent="0.45">
      <c r="A1" s="22" t="s">
        <v>152</v>
      </c>
    </row>
    <row r="2" spans="1:2" x14ac:dyDescent="0.45">
      <c r="A2" s="18" t="s">
        <v>154</v>
      </c>
      <c r="B2" s="35">
        <v>44196</v>
      </c>
    </row>
    <row r="3" spans="1:2" x14ac:dyDescent="0.45">
      <c r="A3" s="19" t="s">
        <v>155</v>
      </c>
      <c r="B3" s="90">
        <v>9352</v>
      </c>
    </row>
    <row r="4" spans="1:2" x14ac:dyDescent="0.45">
      <c r="A4" s="19" t="s">
        <v>156</v>
      </c>
      <c r="B4" s="88">
        <v>7317</v>
      </c>
    </row>
    <row r="5" spans="1:2" x14ac:dyDescent="0.45">
      <c r="A5" s="19" t="s">
        <v>157</v>
      </c>
      <c r="B5" s="88">
        <v>9463</v>
      </c>
    </row>
    <row r="6" spans="1:2" x14ac:dyDescent="0.45">
      <c r="A6" s="19" t="s">
        <v>200</v>
      </c>
      <c r="B6" s="88">
        <v>1930</v>
      </c>
    </row>
    <row r="7" spans="1:2" x14ac:dyDescent="0.45">
      <c r="A7" s="19" t="s">
        <v>159</v>
      </c>
      <c r="B7" s="88">
        <v>11402</v>
      </c>
    </row>
    <row r="8" spans="1:2" x14ac:dyDescent="0.45">
      <c r="A8" s="19" t="s">
        <v>160</v>
      </c>
      <c r="B8" s="88">
        <v>39464</v>
      </c>
    </row>
    <row r="9" spans="1:2" x14ac:dyDescent="0.45">
      <c r="A9" s="19" t="s">
        <v>201</v>
      </c>
      <c r="B9" s="88">
        <v>12401</v>
      </c>
    </row>
    <row r="10" spans="1:2" x14ac:dyDescent="0.45">
      <c r="A10" s="19" t="s">
        <v>162</v>
      </c>
      <c r="B10" s="88">
        <v>1185</v>
      </c>
    </row>
    <row r="11" spans="1:2" x14ac:dyDescent="0.45">
      <c r="A11" s="19" t="s">
        <v>163</v>
      </c>
      <c r="B11" s="88">
        <v>12222</v>
      </c>
    </row>
    <row r="12" spans="1:2" x14ac:dyDescent="0.45">
      <c r="A12" s="19" t="s">
        <v>164</v>
      </c>
      <c r="B12" s="88">
        <v>1523</v>
      </c>
    </row>
    <row r="13" spans="1:2" x14ac:dyDescent="0.45">
      <c r="A13" s="19" t="s">
        <v>165</v>
      </c>
      <c r="B13" s="88">
        <v>1308</v>
      </c>
    </row>
    <row r="14" spans="1:2" x14ac:dyDescent="0.45">
      <c r="A14" s="19" t="s">
        <v>166</v>
      </c>
      <c r="B14" s="88">
        <v>6394</v>
      </c>
    </row>
    <row r="15" spans="1:2" x14ac:dyDescent="0.45">
      <c r="A15" s="19" t="s">
        <v>167</v>
      </c>
      <c r="B15" s="88">
        <v>3827</v>
      </c>
    </row>
    <row r="16" spans="1:2" x14ac:dyDescent="0.45">
      <c r="A16" s="19" t="s">
        <v>168</v>
      </c>
      <c r="B16" s="88">
        <v>78324</v>
      </c>
    </row>
    <row r="17" spans="1:2" x14ac:dyDescent="0.45">
      <c r="A17" s="18" t="s">
        <v>169</v>
      </c>
      <c r="B17" s="89"/>
    </row>
    <row r="18" spans="1:2" x14ac:dyDescent="0.45">
      <c r="A18" s="19" t="s">
        <v>208</v>
      </c>
      <c r="B18" s="88">
        <v>2015</v>
      </c>
    </row>
    <row r="19" spans="1:2" x14ac:dyDescent="0.45">
      <c r="A19" s="19" t="s">
        <v>172</v>
      </c>
      <c r="B19" s="88">
        <v>6128</v>
      </c>
    </row>
    <row r="20" spans="1:2" x14ac:dyDescent="0.45">
      <c r="A20" s="19" t="s">
        <v>173</v>
      </c>
      <c r="B20" s="88">
        <v>3642</v>
      </c>
    </row>
    <row r="21" spans="1:2" x14ac:dyDescent="0.45">
      <c r="A21" s="19" t="s">
        <v>174</v>
      </c>
      <c r="B21" s="88">
        <v>1096</v>
      </c>
    </row>
    <row r="22" spans="1:2" x14ac:dyDescent="0.45">
      <c r="A22" s="19" t="s">
        <v>175</v>
      </c>
      <c r="B22" s="88">
        <v>1108</v>
      </c>
    </row>
    <row r="23" spans="1:2" x14ac:dyDescent="0.45">
      <c r="A23" s="19" t="s">
        <v>176</v>
      </c>
      <c r="B23" s="88">
        <v>562</v>
      </c>
    </row>
    <row r="24" spans="1:2" x14ac:dyDescent="0.45">
      <c r="A24" s="19" t="s">
        <v>177</v>
      </c>
      <c r="B24" s="88">
        <v>2017</v>
      </c>
    </row>
    <row r="25" spans="1:2" x14ac:dyDescent="0.45">
      <c r="A25" s="18" t="s">
        <v>178</v>
      </c>
      <c r="B25" s="89"/>
    </row>
    <row r="26" spans="1:2" x14ac:dyDescent="0.45">
      <c r="A26" s="19" t="s">
        <v>179</v>
      </c>
      <c r="B26" s="88">
        <v>25717</v>
      </c>
    </row>
    <row r="27" spans="1:2" x14ac:dyDescent="0.45">
      <c r="A27" s="92" t="s">
        <v>180</v>
      </c>
      <c r="B27" s="105"/>
    </row>
    <row r="28" spans="1:2" x14ac:dyDescent="0.45">
      <c r="A28" s="98" t="s">
        <v>170</v>
      </c>
      <c r="B28" s="106">
        <v>9749</v>
      </c>
    </row>
    <row r="29" spans="1:2" x14ac:dyDescent="0.45">
      <c r="A29" s="100" t="s">
        <v>171</v>
      </c>
      <c r="B29" s="97">
        <v>16250</v>
      </c>
    </row>
    <row r="30" spans="1:2" x14ac:dyDescent="0.45">
      <c r="A30" s="19" t="s">
        <v>181</v>
      </c>
      <c r="B30" s="88">
        <v>6872</v>
      </c>
    </row>
    <row r="31" spans="1:2" x14ac:dyDescent="0.45">
      <c r="A31" s="19" t="s">
        <v>182</v>
      </c>
      <c r="B31" s="88">
        <v>4358</v>
      </c>
    </row>
    <row r="32" spans="1:2" x14ac:dyDescent="0.45">
      <c r="A32" s="19" t="s">
        <v>209</v>
      </c>
      <c r="B32" s="88">
        <v>62946</v>
      </c>
    </row>
    <row r="33" spans="1:2" x14ac:dyDescent="0.45">
      <c r="A33" s="18" t="s">
        <v>186</v>
      </c>
      <c r="B33" s="89"/>
    </row>
    <row r="34" spans="1:2" x14ac:dyDescent="0.45">
      <c r="A34" s="19" t="s">
        <v>210</v>
      </c>
      <c r="B34" s="88">
        <v>6230</v>
      </c>
    </row>
    <row r="35" spans="1:2" x14ac:dyDescent="0.45">
      <c r="A35" s="19" t="s">
        <v>211</v>
      </c>
      <c r="B35" s="88">
        <v>-25178</v>
      </c>
    </row>
    <row r="36" spans="1:2" x14ac:dyDescent="0.45">
      <c r="A36" s="19" t="s">
        <v>189</v>
      </c>
      <c r="B36" s="88">
        <v>35167</v>
      </c>
    </row>
    <row r="37" spans="1:2" x14ac:dyDescent="0.45">
      <c r="A37" s="19" t="s">
        <v>190</v>
      </c>
      <c r="B37" s="88">
        <v>-888</v>
      </c>
    </row>
    <row r="38" spans="1:2" x14ac:dyDescent="0.45">
      <c r="A38" s="19" t="s">
        <v>191</v>
      </c>
      <c r="B38" s="88">
        <v>47</v>
      </c>
    </row>
    <row r="39" spans="1:2" x14ac:dyDescent="0.45">
      <c r="A39" s="19" t="s">
        <v>192</v>
      </c>
      <c r="B39" s="88">
        <v>15378</v>
      </c>
    </row>
    <row r="40" spans="1:2" x14ac:dyDescent="0.45">
      <c r="A40" s="19" t="s">
        <v>193</v>
      </c>
      <c r="B40" s="88">
        <v>78324</v>
      </c>
    </row>
    <row r="41" spans="1:2" x14ac:dyDescent="0.45">
      <c r="A41" s="19" t="s">
        <v>212</v>
      </c>
      <c r="B41" s="88">
        <v>1</v>
      </c>
    </row>
    <row r="42" spans="1:2" x14ac:dyDescent="0.45">
      <c r="A42" s="19" t="s">
        <v>213</v>
      </c>
      <c r="B42" s="88">
        <v>2000000000</v>
      </c>
    </row>
    <row r="43" spans="1:2" x14ac:dyDescent="0.45">
      <c r="A43" s="19" t="s">
        <v>214</v>
      </c>
      <c r="B43" s="88">
        <v>814894624</v>
      </c>
    </row>
    <row r="44" spans="1:2" x14ac:dyDescent="0.45">
      <c r="A44" s="19" t="s">
        <v>215</v>
      </c>
      <c r="B44" s="88">
        <v>269590777</v>
      </c>
    </row>
    <row r="45" spans="1:2" x14ac:dyDescent="0.45">
      <c r="A45" s="91" t="s">
        <v>170</v>
      </c>
      <c r="B45" s="89"/>
    </row>
    <row r="46" spans="1:2" x14ac:dyDescent="0.45">
      <c r="A46" s="18" t="s">
        <v>169</v>
      </c>
      <c r="B46" s="89"/>
    </row>
    <row r="47" spans="1:2" x14ac:dyDescent="0.45">
      <c r="A47" s="19" t="s">
        <v>208</v>
      </c>
      <c r="B47" s="88">
        <v>10</v>
      </c>
    </row>
    <row r="48" spans="1:2" x14ac:dyDescent="0.45">
      <c r="A48" s="18" t="s">
        <v>178</v>
      </c>
      <c r="B48" s="89"/>
    </row>
    <row r="49" spans="1:2" x14ac:dyDescent="0.45">
      <c r="A49" s="19" t="s">
        <v>216</v>
      </c>
      <c r="B49" s="88">
        <v>1420</v>
      </c>
    </row>
    <row r="50" spans="1:2" x14ac:dyDescent="0.45">
      <c r="A50" s="92" t="s">
        <v>180</v>
      </c>
      <c r="B50" s="105"/>
    </row>
    <row r="51" spans="1:2" x14ac:dyDescent="0.45">
      <c r="A51" s="94" t="s">
        <v>217</v>
      </c>
      <c r="B51" s="95">
        <v>9749</v>
      </c>
    </row>
    <row r="52" spans="1:2" x14ac:dyDescent="0.45">
      <c r="A52" s="96" t="s">
        <v>171</v>
      </c>
      <c r="B52" s="107">
        <v>16250</v>
      </c>
    </row>
    <row r="53" spans="1:2" x14ac:dyDescent="0.45">
      <c r="A53" s="18" t="s">
        <v>169</v>
      </c>
      <c r="B53" s="89"/>
    </row>
    <row r="54" spans="1:2" x14ac:dyDescent="0.45">
      <c r="A54" s="19" t="s">
        <v>208</v>
      </c>
      <c r="B54" s="88">
        <v>2005</v>
      </c>
    </row>
    <row r="55" spans="1:2" x14ac:dyDescent="0.45">
      <c r="A55" s="18" t="s">
        <v>178</v>
      </c>
      <c r="B55" s="89"/>
    </row>
    <row r="56" spans="1:2" x14ac:dyDescent="0.45">
      <c r="A56" s="19" t="s">
        <v>216</v>
      </c>
      <c r="B56" s="88">
        <v>7729</v>
      </c>
    </row>
    <row r="57" spans="1:2" x14ac:dyDescent="0.45">
      <c r="A57" s="18" t="s">
        <v>180</v>
      </c>
      <c r="B57" s="89"/>
    </row>
    <row r="58" spans="1:2" x14ac:dyDescent="0.45">
      <c r="A58" s="19" t="s">
        <v>217</v>
      </c>
      <c r="B58" s="88">
        <v>16250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5DE21-E735-664D-BF11-AD1396002D7B}">
  <dimension ref="A1:C34"/>
  <sheetViews>
    <sheetView workbookViewId="0">
      <selection sqref="A1:C1"/>
    </sheetView>
  </sheetViews>
  <sheetFormatPr defaultColWidth="11" defaultRowHeight="15.9" x14ac:dyDescent="0.45"/>
  <cols>
    <col min="1" max="1" width="54.140625" customWidth="1"/>
    <col min="2" max="2" width="3.140625" bestFit="1" customWidth="1"/>
  </cols>
  <sheetData>
    <row r="1" spans="1:3" x14ac:dyDescent="0.45">
      <c r="A1" s="192" t="s">
        <v>152</v>
      </c>
      <c r="B1" s="192"/>
      <c r="C1" s="192"/>
    </row>
    <row r="2" spans="1:3" x14ac:dyDescent="0.45">
      <c r="A2" s="18" t="s">
        <v>124</v>
      </c>
      <c r="C2" s="36">
        <v>44561</v>
      </c>
    </row>
    <row r="3" spans="1:3" x14ac:dyDescent="0.45">
      <c r="A3" s="19" t="s">
        <v>194</v>
      </c>
      <c r="C3" s="14">
        <v>50971</v>
      </c>
    </row>
    <row r="4" spans="1:3" x14ac:dyDescent="0.45">
      <c r="A4" s="18" t="s">
        <v>128</v>
      </c>
    </row>
    <row r="5" spans="1:3" x14ac:dyDescent="0.45">
      <c r="A5" s="19" t="s">
        <v>129</v>
      </c>
      <c r="C5" s="15">
        <v>35513</v>
      </c>
    </row>
    <row r="6" spans="1:3" x14ac:dyDescent="0.45">
      <c r="A6" s="19" t="s">
        <v>130</v>
      </c>
      <c r="C6" s="15">
        <v>5365</v>
      </c>
    </row>
    <row r="7" spans="1:3" x14ac:dyDescent="0.45">
      <c r="A7" s="19" t="s">
        <v>131</v>
      </c>
      <c r="C7" s="15">
        <v>1686</v>
      </c>
    </row>
    <row r="8" spans="1:3" x14ac:dyDescent="0.45">
      <c r="A8" s="19" t="s">
        <v>134</v>
      </c>
      <c r="C8" s="15">
        <v>1074</v>
      </c>
    </row>
    <row r="9" spans="1:3" x14ac:dyDescent="0.45">
      <c r="A9" s="19" t="s">
        <v>135</v>
      </c>
      <c r="C9" s="15">
        <v>44093</v>
      </c>
    </row>
    <row r="10" spans="1:3" x14ac:dyDescent="0.45">
      <c r="A10" s="19" t="s">
        <v>136</v>
      </c>
      <c r="C10" s="15">
        <v>6878</v>
      </c>
    </row>
    <row r="11" spans="1:3" x14ac:dyDescent="0.45">
      <c r="A11" s="19" t="s">
        <v>138</v>
      </c>
      <c r="C11" s="15">
        <v>1814</v>
      </c>
    </row>
    <row r="12" spans="1:3" x14ac:dyDescent="0.45">
      <c r="A12" s="19" t="s">
        <v>218</v>
      </c>
      <c r="C12" s="15">
        <v>8204</v>
      </c>
    </row>
    <row r="13" spans="1:3" x14ac:dyDescent="0.45">
      <c r="A13" s="19" t="s">
        <v>140</v>
      </c>
      <c r="C13" s="15">
        <v>1742</v>
      </c>
    </row>
    <row r="14" spans="1:3" x14ac:dyDescent="0.45">
      <c r="A14" s="19" t="s">
        <v>141</v>
      </c>
      <c r="C14" s="15">
        <v>6462</v>
      </c>
    </row>
    <row r="15" spans="1:3" x14ac:dyDescent="0.45">
      <c r="A15" s="19" t="s">
        <v>142</v>
      </c>
      <c r="C15" s="15">
        <v>31</v>
      </c>
    </row>
    <row r="16" spans="1:3" x14ac:dyDescent="0.45">
      <c r="A16" s="19" t="s">
        <v>143</v>
      </c>
      <c r="C16" s="15">
        <v>6493</v>
      </c>
    </row>
    <row r="17" spans="1:3" x14ac:dyDescent="0.45">
      <c r="A17" s="19" t="s">
        <v>205</v>
      </c>
      <c r="C17" s="15">
        <v>4</v>
      </c>
    </row>
    <row r="18" spans="1:3" x14ac:dyDescent="0.45">
      <c r="A18" s="19" t="s">
        <v>145</v>
      </c>
      <c r="B18" s="19" t="s">
        <v>219</v>
      </c>
      <c r="C18" s="14">
        <v>6489</v>
      </c>
    </row>
    <row r="19" spans="1:3" x14ac:dyDescent="0.45">
      <c r="A19" s="19" t="s">
        <v>146</v>
      </c>
      <c r="C19" s="16">
        <v>11.93</v>
      </c>
    </row>
    <row r="20" spans="1:3" x14ac:dyDescent="0.45">
      <c r="A20" s="19" t="s">
        <v>147</v>
      </c>
      <c r="B20" s="19" t="s">
        <v>220</v>
      </c>
      <c r="C20" s="16">
        <v>11.83</v>
      </c>
    </row>
    <row r="21" spans="1:3" x14ac:dyDescent="0.45">
      <c r="A21" s="18" t="s">
        <v>148</v>
      </c>
    </row>
    <row r="22" spans="1:3" x14ac:dyDescent="0.45">
      <c r="A22" s="19" t="s">
        <v>149</v>
      </c>
      <c r="C22" s="15">
        <v>544</v>
      </c>
    </row>
    <row r="23" spans="1:3" x14ac:dyDescent="0.45">
      <c r="A23" s="19" t="s">
        <v>150</v>
      </c>
      <c r="B23" s="19" t="s">
        <v>220</v>
      </c>
      <c r="C23" s="17">
        <v>548.5</v>
      </c>
    </row>
    <row r="24" spans="1:3" x14ac:dyDescent="0.45">
      <c r="A24" s="19" t="s">
        <v>170</v>
      </c>
    </row>
    <row r="25" spans="1:3" x14ac:dyDescent="0.45">
      <c r="A25" s="18" t="s">
        <v>124</v>
      </c>
    </row>
    <row r="26" spans="1:3" x14ac:dyDescent="0.45">
      <c r="A26" s="19" t="s">
        <v>194</v>
      </c>
      <c r="C26" s="14">
        <v>48188</v>
      </c>
    </row>
    <row r="27" spans="1:3" x14ac:dyDescent="0.45">
      <c r="A27" s="19" t="s">
        <v>171</v>
      </c>
    </row>
    <row r="28" spans="1:3" x14ac:dyDescent="0.45">
      <c r="A28" s="18" t="s">
        <v>124</v>
      </c>
    </row>
    <row r="29" spans="1:3" x14ac:dyDescent="0.45">
      <c r="A29" s="19" t="s">
        <v>194</v>
      </c>
      <c r="C29" s="15">
        <v>2783</v>
      </c>
    </row>
    <row r="30" spans="1:3" x14ac:dyDescent="0.45">
      <c r="A30" s="18" t="s">
        <v>128</v>
      </c>
    </row>
    <row r="31" spans="1:3" x14ac:dyDescent="0.45">
      <c r="A31" s="19" t="s">
        <v>221</v>
      </c>
      <c r="C31" s="15">
        <v>455</v>
      </c>
    </row>
    <row r="32" spans="1:3" x14ac:dyDescent="0.45">
      <c r="A32" s="19" t="s">
        <v>207</v>
      </c>
    </row>
    <row r="33" spans="1:3" x14ac:dyDescent="0.45">
      <c r="A33" s="18" t="s">
        <v>128</v>
      </c>
    </row>
    <row r="34" spans="1:3" x14ac:dyDescent="0.45">
      <c r="A34" s="19" t="s">
        <v>222</v>
      </c>
      <c r="C34" s="14">
        <v>488</v>
      </c>
    </row>
  </sheetData>
  <mergeCells count="1">
    <mergeCell ref="A1:C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A2FA9-BBA6-E84A-AE36-4E53DCF5B316}">
  <dimension ref="A1:B56"/>
  <sheetViews>
    <sheetView workbookViewId="0">
      <selection activeCell="E12" sqref="E12"/>
    </sheetView>
  </sheetViews>
  <sheetFormatPr defaultColWidth="11" defaultRowHeight="15.9" x14ac:dyDescent="0.45"/>
  <cols>
    <col min="1" max="1" width="81.85546875" bestFit="1" customWidth="1"/>
    <col min="2" max="2" width="12.5" bestFit="1" customWidth="1"/>
  </cols>
  <sheetData>
    <row r="1" spans="1:2" x14ac:dyDescent="0.45">
      <c r="A1" s="192" t="s">
        <v>152</v>
      </c>
      <c r="B1" s="192"/>
    </row>
    <row r="2" spans="1:2" x14ac:dyDescent="0.45">
      <c r="A2" s="18" t="s">
        <v>154</v>
      </c>
      <c r="B2" s="30">
        <v>44561</v>
      </c>
    </row>
    <row r="3" spans="1:2" x14ac:dyDescent="0.45">
      <c r="A3" s="19" t="s">
        <v>223</v>
      </c>
      <c r="B3" s="14">
        <v>9254</v>
      </c>
    </row>
    <row r="4" spans="1:2" x14ac:dyDescent="0.45">
      <c r="A4" s="19" t="s">
        <v>156</v>
      </c>
      <c r="B4" s="15">
        <v>8477</v>
      </c>
    </row>
    <row r="5" spans="1:2" x14ac:dyDescent="0.45">
      <c r="A5" s="19" t="s">
        <v>157</v>
      </c>
      <c r="B5" s="15">
        <v>8898</v>
      </c>
    </row>
    <row r="6" spans="1:2" x14ac:dyDescent="0.45">
      <c r="A6" s="19" t="s">
        <v>200</v>
      </c>
      <c r="B6" s="15">
        <v>2788</v>
      </c>
    </row>
    <row r="7" spans="1:2" x14ac:dyDescent="0.45">
      <c r="A7" s="19" t="s">
        <v>159</v>
      </c>
      <c r="B7" s="15">
        <v>14038</v>
      </c>
    </row>
    <row r="8" spans="1:2" x14ac:dyDescent="0.45">
      <c r="A8" s="19" t="s">
        <v>160</v>
      </c>
      <c r="B8" s="15">
        <v>43455</v>
      </c>
    </row>
    <row r="9" spans="1:2" x14ac:dyDescent="0.45">
      <c r="A9" s="19" t="s">
        <v>201</v>
      </c>
      <c r="B9" s="15">
        <v>12090</v>
      </c>
    </row>
    <row r="10" spans="1:2" x14ac:dyDescent="0.45">
      <c r="A10" s="19" t="s">
        <v>162</v>
      </c>
      <c r="B10" s="15">
        <v>1204</v>
      </c>
    </row>
    <row r="11" spans="1:2" x14ac:dyDescent="0.45">
      <c r="A11" s="19" t="s">
        <v>163</v>
      </c>
      <c r="B11" s="15">
        <v>12707</v>
      </c>
    </row>
    <row r="12" spans="1:2" x14ac:dyDescent="0.45">
      <c r="A12" s="19" t="s">
        <v>164</v>
      </c>
      <c r="B12" s="15">
        <v>1840</v>
      </c>
    </row>
    <row r="13" spans="1:2" x14ac:dyDescent="0.45">
      <c r="A13" s="19" t="s">
        <v>165</v>
      </c>
      <c r="B13" s="15">
        <v>1042</v>
      </c>
    </row>
    <row r="14" spans="1:2" x14ac:dyDescent="0.45">
      <c r="A14" s="19" t="s">
        <v>166</v>
      </c>
      <c r="B14" s="15">
        <v>6324</v>
      </c>
    </row>
    <row r="15" spans="1:2" x14ac:dyDescent="0.45">
      <c r="A15" s="19" t="s">
        <v>167</v>
      </c>
      <c r="B15" s="15">
        <v>4131</v>
      </c>
    </row>
    <row r="16" spans="1:2" x14ac:dyDescent="0.45">
      <c r="A16" s="19" t="s">
        <v>224</v>
      </c>
      <c r="B16" s="15">
        <v>82793</v>
      </c>
    </row>
    <row r="17" spans="1:2" x14ac:dyDescent="0.45">
      <c r="A17" s="18" t="s">
        <v>169</v>
      </c>
    </row>
    <row r="18" spans="1:2" x14ac:dyDescent="0.45">
      <c r="A18" s="19" t="s">
        <v>208</v>
      </c>
      <c r="B18" s="15">
        <v>5404</v>
      </c>
    </row>
    <row r="19" spans="1:2" x14ac:dyDescent="0.45">
      <c r="A19" s="19" t="s">
        <v>172</v>
      </c>
      <c r="B19" s="15">
        <v>8154</v>
      </c>
    </row>
    <row r="20" spans="1:2" x14ac:dyDescent="0.45">
      <c r="A20" s="19" t="s">
        <v>173</v>
      </c>
      <c r="B20" s="15">
        <v>3757</v>
      </c>
    </row>
    <row r="21" spans="1:2" x14ac:dyDescent="0.45">
      <c r="A21" s="19" t="s">
        <v>174</v>
      </c>
      <c r="B21" s="15">
        <v>2242</v>
      </c>
    </row>
    <row r="22" spans="1:2" x14ac:dyDescent="0.45">
      <c r="A22" s="19" t="s">
        <v>175</v>
      </c>
      <c r="B22" s="15">
        <v>1087</v>
      </c>
    </row>
    <row r="23" spans="1:2" x14ac:dyDescent="0.45">
      <c r="A23" s="19" t="s">
        <v>176</v>
      </c>
      <c r="B23" s="15">
        <v>595</v>
      </c>
    </row>
    <row r="24" spans="1:2" x14ac:dyDescent="0.45">
      <c r="A24" s="19" t="s">
        <v>177</v>
      </c>
      <c r="B24" s="15">
        <v>2256</v>
      </c>
    </row>
    <row r="25" spans="1:2" x14ac:dyDescent="0.45">
      <c r="A25" s="18" t="s">
        <v>178</v>
      </c>
    </row>
    <row r="26" spans="1:2" x14ac:dyDescent="0.45">
      <c r="A26" s="19" t="s">
        <v>179</v>
      </c>
      <c r="B26" s="15">
        <v>29847</v>
      </c>
    </row>
    <row r="27" spans="1:2" x14ac:dyDescent="0.45">
      <c r="A27" s="18" t="s">
        <v>180</v>
      </c>
    </row>
    <row r="28" spans="1:2" x14ac:dyDescent="0.45">
      <c r="A28" s="19" t="s">
        <v>181</v>
      </c>
      <c r="B28" s="15">
        <v>5592</v>
      </c>
    </row>
    <row r="29" spans="1:2" x14ac:dyDescent="0.45">
      <c r="A29" s="19" t="s">
        <v>182</v>
      </c>
      <c r="B29" s="15">
        <v>4805</v>
      </c>
    </row>
    <row r="30" spans="1:2" x14ac:dyDescent="0.45">
      <c r="A30" s="19" t="s">
        <v>209</v>
      </c>
      <c r="B30" s="15">
        <v>66277</v>
      </c>
    </row>
    <row r="31" spans="1:2" x14ac:dyDescent="0.45">
      <c r="A31" s="18" t="s">
        <v>186</v>
      </c>
    </row>
    <row r="32" spans="1:2" x14ac:dyDescent="0.45">
      <c r="A32" s="19" t="s">
        <v>225</v>
      </c>
      <c r="B32" s="15">
        <v>6398</v>
      </c>
    </row>
    <row r="33" spans="1:2" x14ac:dyDescent="0.45">
      <c r="A33" s="19" t="s">
        <v>226</v>
      </c>
      <c r="B33" s="15">
        <v>-27643</v>
      </c>
    </row>
    <row r="34" spans="1:2" x14ac:dyDescent="0.45">
      <c r="A34" s="19" t="s">
        <v>189</v>
      </c>
      <c r="B34" s="15">
        <v>39282</v>
      </c>
    </row>
    <row r="35" spans="1:2" x14ac:dyDescent="0.45">
      <c r="A35" s="19" t="s">
        <v>190</v>
      </c>
      <c r="B35" s="15">
        <v>-1553</v>
      </c>
    </row>
    <row r="36" spans="1:2" x14ac:dyDescent="0.45">
      <c r="A36" s="19" t="s">
        <v>191</v>
      </c>
      <c r="B36" s="15">
        <v>32</v>
      </c>
    </row>
    <row r="37" spans="1:2" x14ac:dyDescent="0.45">
      <c r="A37" s="19" t="s">
        <v>192</v>
      </c>
      <c r="B37" s="15">
        <v>16516</v>
      </c>
    </row>
    <row r="38" spans="1:2" x14ac:dyDescent="0.45">
      <c r="A38" s="19" t="s">
        <v>193</v>
      </c>
      <c r="B38" s="14">
        <v>82793</v>
      </c>
    </row>
    <row r="39" spans="1:2" x14ac:dyDescent="0.45">
      <c r="A39" s="19" t="s">
        <v>212</v>
      </c>
      <c r="B39" s="14">
        <v>1</v>
      </c>
    </row>
    <row r="40" spans="1:2" x14ac:dyDescent="0.45">
      <c r="A40" s="19" t="s">
        <v>213</v>
      </c>
      <c r="B40" s="15">
        <v>2000000000</v>
      </c>
    </row>
    <row r="41" spans="1:2" x14ac:dyDescent="0.45">
      <c r="A41" s="19" t="s">
        <v>214</v>
      </c>
      <c r="B41" s="15">
        <v>814894624</v>
      </c>
    </row>
    <row r="42" spans="1:2" x14ac:dyDescent="0.45">
      <c r="A42" s="19" t="s">
        <v>215</v>
      </c>
      <c r="B42" s="15">
        <v>279006573</v>
      </c>
    </row>
    <row r="43" spans="1:2" x14ac:dyDescent="0.45">
      <c r="A43" s="19" t="s">
        <v>170</v>
      </c>
    </row>
    <row r="44" spans="1:2" x14ac:dyDescent="0.45">
      <c r="A44" s="18" t="s">
        <v>169</v>
      </c>
    </row>
    <row r="45" spans="1:2" x14ac:dyDescent="0.45">
      <c r="A45" s="19" t="s">
        <v>208</v>
      </c>
      <c r="B45" s="14">
        <v>9</v>
      </c>
    </row>
    <row r="46" spans="1:2" x14ac:dyDescent="0.45">
      <c r="A46" s="18" t="s">
        <v>178</v>
      </c>
    </row>
    <row r="47" spans="1:2" x14ac:dyDescent="0.45">
      <c r="A47" s="19" t="s">
        <v>216</v>
      </c>
      <c r="B47" s="15">
        <v>45</v>
      </c>
    </row>
    <row r="48" spans="1:2" x14ac:dyDescent="0.45">
      <c r="A48" s="92" t="s">
        <v>180</v>
      </c>
      <c r="B48" s="93"/>
    </row>
    <row r="49" spans="1:2" x14ac:dyDescent="0.45">
      <c r="A49" s="94" t="s">
        <v>217</v>
      </c>
      <c r="B49" s="95">
        <v>9746</v>
      </c>
    </row>
    <row r="50" spans="1:2" x14ac:dyDescent="0.45">
      <c r="A50" s="96" t="s">
        <v>171</v>
      </c>
      <c r="B50" s="97">
        <v>16287</v>
      </c>
    </row>
    <row r="51" spans="1:2" x14ac:dyDescent="0.45">
      <c r="A51" s="18" t="s">
        <v>169</v>
      </c>
    </row>
    <row r="52" spans="1:2" x14ac:dyDescent="0.45">
      <c r="A52" s="19" t="s">
        <v>208</v>
      </c>
      <c r="B52" s="15">
        <v>5395</v>
      </c>
    </row>
    <row r="53" spans="1:2" x14ac:dyDescent="0.45">
      <c r="A53" s="18" t="s">
        <v>178</v>
      </c>
    </row>
    <row r="54" spans="1:2" x14ac:dyDescent="0.45">
      <c r="A54" s="19" t="s">
        <v>216</v>
      </c>
      <c r="B54" s="15">
        <v>6307</v>
      </c>
    </row>
    <row r="55" spans="1:2" x14ac:dyDescent="0.45">
      <c r="A55" s="18" t="s">
        <v>180</v>
      </c>
    </row>
    <row r="56" spans="1:2" x14ac:dyDescent="0.45">
      <c r="A56" s="19" t="s">
        <v>217</v>
      </c>
      <c r="B56" s="14">
        <v>16287</v>
      </c>
    </row>
  </sheetData>
  <mergeCells count="1">
    <mergeCell ref="A1:B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BE8FC-2276-A945-9272-5B89466960CB}">
  <dimension ref="A1:B55"/>
  <sheetViews>
    <sheetView topLeftCell="A4" zoomScaleNormal="100" workbookViewId="0"/>
  </sheetViews>
  <sheetFormatPr defaultColWidth="11" defaultRowHeight="15.9" x14ac:dyDescent="0.45"/>
  <cols>
    <col min="1" max="1" width="80" customWidth="1"/>
    <col min="2" max="2" width="14" customWidth="1"/>
  </cols>
  <sheetData>
    <row r="1" spans="1:2" x14ac:dyDescent="0.45">
      <c r="A1" s="12" t="s">
        <v>154</v>
      </c>
      <c r="B1" s="31">
        <v>44926</v>
      </c>
    </row>
    <row r="2" spans="1:2" x14ac:dyDescent="0.45">
      <c r="A2" s="13" t="s">
        <v>223</v>
      </c>
      <c r="B2" s="14">
        <v>7004</v>
      </c>
    </row>
    <row r="3" spans="1:2" x14ac:dyDescent="0.45">
      <c r="A3" s="13" t="s">
        <v>156</v>
      </c>
      <c r="B3" s="15">
        <v>8856</v>
      </c>
    </row>
    <row r="4" spans="1:2" x14ac:dyDescent="0.45">
      <c r="A4" s="13" t="s">
        <v>157</v>
      </c>
      <c r="B4" s="15">
        <v>9013</v>
      </c>
    </row>
    <row r="5" spans="1:2" x14ac:dyDescent="0.45">
      <c r="A5" s="13" t="s">
        <v>200</v>
      </c>
      <c r="B5" s="15">
        <v>2642</v>
      </c>
    </row>
    <row r="6" spans="1:2" x14ac:dyDescent="0.45">
      <c r="A6" s="13" t="s">
        <v>159</v>
      </c>
      <c r="B6" s="15">
        <v>16270</v>
      </c>
    </row>
    <row r="7" spans="1:2" x14ac:dyDescent="0.45">
      <c r="A7" s="12" t="s">
        <v>160</v>
      </c>
      <c r="B7" s="15">
        <v>43785</v>
      </c>
    </row>
    <row r="8" spans="1:2" x14ac:dyDescent="0.45">
      <c r="A8" s="13" t="s">
        <v>201</v>
      </c>
      <c r="B8" s="15">
        <v>12028</v>
      </c>
    </row>
    <row r="9" spans="1:2" x14ac:dyDescent="0.45">
      <c r="A9" s="13" t="s">
        <v>162</v>
      </c>
      <c r="B9" s="15">
        <v>1265</v>
      </c>
    </row>
    <row r="10" spans="1:2" x14ac:dyDescent="0.45">
      <c r="A10" s="13" t="s">
        <v>163</v>
      </c>
      <c r="B10" s="15">
        <v>12013</v>
      </c>
    </row>
    <row r="11" spans="1:2" x14ac:dyDescent="0.45">
      <c r="A11" s="13" t="s">
        <v>164</v>
      </c>
      <c r="B11" s="15">
        <v>2213</v>
      </c>
    </row>
    <row r="12" spans="1:2" x14ac:dyDescent="0.45">
      <c r="A12" s="13" t="s">
        <v>165</v>
      </c>
      <c r="B12" s="15">
        <v>758</v>
      </c>
    </row>
    <row r="13" spans="1:2" x14ac:dyDescent="0.45">
      <c r="A13" s="13" t="s">
        <v>166</v>
      </c>
      <c r="B13" s="15">
        <v>5288</v>
      </c>
    </row>
    <row r="14" spans="1:2" x14ac:dyDescent="0.45">
      <c r="A14" s="13" t="s">
        <v>167</v>
      </c>
      <c r="B14" s="15">
        <v>4593</v>
      </c>
    </row>
    <row r="15" spans="1:2" x14ac:dyDescent="0.45">
      <c r="A15" s="12" t="s">
        <v>227</v>
      </c>
      <c r="B15" s="15">
        <v>81943</v>
      </c>
    </row>
    <row r="16" spans="1:2" x14ac:dyDescent="0.45">
      <c r="A16" s="12" t="s">
        <v>169</v>
      </c>
      <c r="B16" s="13" t="s">
        <v>228</v>
      </c>
    </row>
    <row r="17" spans="1:2" x14ac:dyDescent="0.45">
      <c r="A17" s="13" t="s">
        <v>208</v>
      </c>
      <c r="B17" s="15">
        <v>5957</v>
      </c>
    </row>
    <row r="18" spans="1:2" x14ac:dyDescent="0.45">
      <c r="A18" s="13" t="s">
        <v>172</v>
      </c>
      <c r="B18" s="15">
        <v>8689</v>
      </c>
    </row>
    <row r="19" spans="1:2" x14ac:dyDescent="0.45">
      <c r="A19" s="13" t="s">
        <v>173</v>
      </c>
      <c r="B19" s="15">
        <v>4080</v>
      </c>
    </row>
    <row r="20" spans="1:2" x14ac:dyDescent="0.45">
      <c r="A20" s="13" t="s">
        <v>174</v>
      </c>
      <c r="B20" s="15">
        <v>2313</v>
      </c>
    </row>
    <row r="21" spans="1:2" x14ac:dyDescent="0.45">
      <c r="A21" s="13" t="s">
        <v>175</v>
      </c>
      <c r="B21" s="15">
        <v>1860</v>
      </c>
    </row>
    <row r="22" spans="1:2" x14ac:dyDescent="0.45">
      <c r="A22" s="13" t="s">
        <v>176</v>
      </c>
      <c r="B22" s="15">
        <v>620</v>
      </c>
    </row>
    <row r="23" spans="1:2" x14ac:dyDescent="0.45">
      <c r="A23" s="13" t="s">
        <v>177</v>
      </c>
      <c r="B23" s="15">
        <v>2690</v>
      </c>
    </row>
    <row r="24" spans="1:2" x14ac:dyDescent="0.45">
      <c r="A24" s="12" t="s">
        <v>178</v>
      </c>
      <c r="B24">
        <v>5322</v>
      </c>
    </row>
    <row r="25" spans="1:2" x14ac:dyDescent="0.45">
      <c r="A25" s="13" t="s">
        <v>179</v>
      </c>
      <c r="B25" s="15">
        <v>31531</v>
      </c>
    </row>
    <row r="26" spans="1:2" x14ac:dyDescent="0.45">
      <c r="A26" s="12" t="s">
        <v>180</v>
      </c>
      <c r="B26">
        <v>25714</v>
      </c>
    </row>
    <row r="27" spans="1:2" x14ac:dyDescent="0.45">
      <c r="A27" s="13" t="s">
        <v>181</v>
      </c>
      <c r="B27" s="15">
        <v>4203</v>
      </c>
    </row>
    <row r="28" spans="1:2" x14ac:dyDescent="0.45">
      <c r="A28" s="13" t="s">
        <v>182</v>
      </c>
      <c r="B28" s="15">
        <v>4604</v>
      </c>
    </row>
    <row r="29" spans="1:2" x14ac:dyDescent="0.45">
      <c r="A29" s="13" t="s">
        <v>209</v>
      </c>
      <c r="B29" s="15">
        <v>66052</v>
      </c>
    </row>
    <row r="30" spans="1:2" x14ac:dyDescent="0.45">
      <c r="A30" s="12" t="s">
        <v>186</v>
      </c>
      <c r="B30" s="13" t="s">
        <v>228</v>
      </c>
    </row>
    <row r="31" spans="1:2" ht="29.15" x14ac:dyDescent="0.45">
      <c r="A31" s="13" t="s">
        <v>229</v>
      </c>
      <c r="B31" s="15">
        <v>6560</v>
      </c>
    </row>
    <row r="32" spans="1:2" x14ac:dyDescent="0.45">
      <c r="A32" s="13" t="s">
        <v>230</v>
      </c>
      <c r="B32" s="15">
        <v>-31748</v>
      </c>
    </row>
    <row r="33" spans="1:2" x14ac:dyDescent="0.45">
      <c r="A33" s="13" t="s">
        <v>189</v>
      </c>
      <c r="B33" s="15">
        <v>43514</v>
      </c>
    </row>
    <row r="34" spans="1:2" x14ac:dyDescent="0.45">
      <c r="A34" s="13" t="s">
        <v>190</v>
      </c>
      <c r="B34" s="15">
        <v>-2457</v>
      </c>
    </row>
    <row r="35" spans="1:2" x14ac:dyDescent="0.45">
      <c r="A35" s="13" t="s">
        <v>191</v>
      </c>
      <c r="B35" s="15">
        <v>22</v>
      </c>
    </row>
    <row r="36" spans="1:2" x14ac:dyDescent="0.45">
      <c r="A36" s="13" t="s">
        <v>192</v>
      </c>
      <c r="B36" s="15">
        <v>15891</v>
      </c>
    </row>
    <row r="37" spans="1:2" x14ac:dyDescent="0.45">
      <c r="A37" s="13" t="s">
        <v>193</v>
      </c>
      <c r="B37" s="14">
        <v>81943</v>
      </c>
    </row>
    <row r="38" spans="1:2" x14ac:dyDescent="0.45">
      <c r="A38" s="13" t="s">
        <v>212</v>
      </c>
      <c r="B38" s="14">
        <v>1</v>
      </c>
    </row>
    <row r="39" spans="1:2" x14ac:dyDescent="0.45">
      <c r="A39" s="13" t="s">
        <v>213</v>
      </c>
      <c r="B39" s="15">
        <v>2000000000</v>
      </c>
    </row>
    <row r="40" spans="1:2" x14ac:dyDescent="0.45">
      <c r="A40" s="13" t="s">
        <v>214</v>
      </c>
      <c r="B40" s="15">
        <v>814894624</v>
      </c>
    </row>
    <row r="41" spans="1:2" x14ac:dyDescent="0.45">
      <c r="A41" s="13" t="s">
        <v>215</v>
      </c>
      <c r="B41" s="15">
        <v>298549134</v>
      </c>
    </row>
    <row r="42" spans="1:2" x14ac:dyDescent="0.45">
      <c r="A42" s="13" t="s">
        <v>170</v>
      </c>
      <c r="B42" s="13" t="s">
        <v>228</v>
      </c>
    </row>
    <row r="43" spans="1:2" x14ac:dyDescent="0.45">
      <c r="A43" s="12" t="s">
        <v>169</v>
      </c>
      <c r="B43" s="13" t="s">
        <v>228</v>
      </c>
    </row>
    <row r="44" spans="1:2" x14ac:dyDescent="0.45">
      <c r="A44" s="13" t="s">
        <v>208</v>
      </c>
      <c r="B44" s="14">
        <v>3</v>
      </c>
    </row>
    <row r="45" spans="1:2" x14ac:dyDescent="0.45">
      <c r="A45" s="12" t="s">
        <v>178</v>
      </c>
      <c r="B45" s="13" t="s">
        <v>228</v>
      </c>
    </row>
    <row r="46" spans="1:2" x14ac:dyDescent="0.45">
      <c r="A46" s="13" t="s">
        <v>216</v>
      </c>
      <c r="B46" s="15">
        <v>120</v>
      </c>
    </row>
    <row r="47" spans="1:2" x14ac:dyDescent="0.45">
      <c r="A47" s="12" t="s">
        <v>180</v>
      </c>
      <c r="B47" s="13" t="s">
        <v>228</v>
      </c>
    </row>
    <row r="48" spans="1:2" x14ac:dyDescent="0.45">
      <c r="A48" s="13" t="s">
        <v>217</v>
      </c>
      <c r="B48" s="15">
        <v>9498</v>
      </c>
    </row>
    <row r="49" spans="1:2" x14ac:dyDescent="0.45">
      <c r="A49" s="13" t="s">
        <v>171</v>
      </c>
      <c r="B49" s="14">
        <v>16216</v>
      </c>
    </row>
    <row r="50" spans="1:2" x14ac:dyDescent="0.45">
      <c r="A50" s="12" t="s">
        <v>169</v>
      </c>
      <c r="B50" s="13" t="s">
        <v>228</v>
      </c>
    </row>
    <row r="51" spans="1:2" x14ac:dyDescent="0.45">
      <c r="A51" s="13" t="s">
        <v>208</v>
      </c>
      <c r="B51" s="15">
        <v>5954</v>
      </c>
    </row>
    <row r="52" spans="1:2" x14ac:dyDescent="0.45">
      <c r="A52" s="12" t="s">
        <v>178</v>
      </c>
      <c r="B52" s="13" t="s">
        <v>228</v>
      </c>
    </row>
    <row r="53" spans="1:2" x14ac:dyDescent="0.45">
      <c r="A53" s="13" t="s">
        <v>216</v>
      </c>
      <c r="B53" s="15">
        <v>5202</v>
      </c>
    </row>
    <row r="54" spans="1:2" x14ac:dyDescent="0.45">
      <c r="A54" s="12" t="s">
        <v>180</v>
      </c>
      <c r="B54" s="13" t="s">
        <v>228</v>
      </c>
    </row>
    <row r="55" spans="1:2" x14ac:dyDescent="0.45">
      <c r="A55" s="13" t="s">
        <v>217</v>
      </c>
      <c r="B55" s="14">
        <v>16216</v>
      </c>
    </row>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039A6-FE5E-DB4F-B495-1776E942BBDC}">
  <dimension ref="A1:E55"/>
  <sheetViews>
    <sheetView tabSelected="1" topLeftCell="A42" zoomScale="125" workbookViewId="0">
      <selection activeCell="D23" sqref="D23"/>
    </sheetView>
  </sheetViews>
  <sheetFormatPr defaultColWidth="11" defaultRowHeight="15.9" x14ac:dyDescent="0.45"/>
  <cols>
    <col min="1" max="1" width="38" customWidth="1"/>
    <col min="2" max="2" width="14" customWidth="1"/>
  </cols>
  <sheetData>
    <row r="1" spans="1:5" ht="16" customHeight="1" x14ac:dyDescent="0.45">
      <c r="A1" s="193" t="s">
        <v>231</v>
      </c>
      <c r="B1" s="194"/>
      <c r="C1" s="195" t="s">
        <v>232</v>
      </c>
      <c r="D1" s="194"/>
      <c r="E1" s="194"/>
    </row>
    <row r="2" spans="1:5" x14ac:dyDescent="0.45">
      <c r="A2" s="194"/>
      <c r="B2" s="194"/>
      <c r="C2" s="11" t="s">
        <v>233</v>
      </c>
      <c r="D2" s="11"/>
      <c r="E2" s="11"/>
    </row>
    <row r="3" spans="1:5" x14ac:dyDescent="0.45">
      <c r="A3" s="12" t="s">
        <v>124</v>
      </c>
      <c r="C3" s="13" t="s">
        <v>228</v>
      </c>
      <c r="D3" s="13"/>
      <c r="E3" s="13"/>
    </row>
    <row r="4" spans="1:5" x14ac:dyDescent="0.45">
      <c r="A4" s="13" t="s">
        <v>194</v>
      </c>
      <c r="C4" s="14">
        <v>59427</v>
      </c>
      <c r="D4" s="14"/>
      <c r="E4" s="14"/>
    </row>
    <row r="5" spans="1:5" x14ac:dyDescent="0.45">
      <c r="A5" s="12" t="s">
        <v>128</v>
      </c>
      <c r="C5" s="13" t="s">
        <v>228</v>
      </c>
      <c r="D5" s="13"/>
      <c r="E5" s="13"/>
    </row>
    <row r="6" spans="1:5" x14ac:dyDescent="0.45">
      <c r="A6" s="13" t="s">
        <v>129</v>
      </c>
      <c r="C6" s="15">
        <v>41350</v>
      </c>
      <c r="D6" s="15"/>
      <c r="E6" s="15"/>
    </row>
    <row r="7" spans="1:5" x14ac:dyDescent="0.45">
      <c r="A7" s="13" t="s">
        <v>130</v>
      </c>
      <c r="C7" s="15">
        <v>5651</v>
      </c>
      <c r="D7" s="15"/>
      <c r="E7" s="15"/>
    </row>
    <row r="8" spans="1:5" x14ac:dyDescent="0.45">
      <c r="A8" s="13" t="s">
        <v>131</v>
      </c>
      <c r="C8" s="15">
        <v>1814</v>
      </c>
      <c r="D8" s="15"/>
      <c r="E8" s="15"/>
    </row>
    <row r="9" spans="1:5" x14ac:dyDescent="0.45">
      <c r="A9" s="13" t="s">
        <v>133</v>
      </c>
      <c r="C9" s="15">
        <v>925</v>
      </c>
      <c r="D9" s="15"/>
      <c r="E9" s="15"/>
    </row>
    <row r="10" spans="1:5" x14ac:dyDescent="0.45">
      <c r="A10" s="13" t="s">
        <v>134</v>
      </c>
      <c r="C10" s="15">
        <v>1218</v>
      </c>
      <c r="D10" s="15"/>
      <c r="E10" s="15"/>
    </row>
    <row r="11" spans="1:5" x14ac:dyDescent="0.45">
      <c r="A11" s="13" t="s">
        <v>135</v>
      </c>
      <c r="C11" s="15">
        <v>51523</v>
      </c>
      <c r="D11" s="15"/>
      <c r="E11" s="15"/>
    </row>
    <row r="12" spans="1:5" x14ac:dyDescent="0.45">
      <c r="A12" s="13" t="s">
        <v>136</v>
      </c>
      <c r="C12" s="15">
        <v>7904</v>
      </c>
      <c r="D12" s="15"/>
      <c r="E12" s="15"/>
    </row>
    <row r="13" spans="1:5" x14ac:dyDescent="0.45">
      <c r="A13" s="13" t="s">
        <v>138</v>
      </c>
      <c r="C13" s="15">
        <v>1291</v>
      </c>
      <c r="D13" s="15"/>
      <c r="E13" s="15"/>
    </row>
    <row r="14" spans="1:5" x14ac:dyDescent="0.45">
      <c r="A14" s="13" t="s">
        <v>218</v>
      </c>
      <c r="C14" s="15">
        <v>8752</v>
      </c>
      <c r="D14" s="15"/>
      <c r="E14" s="15"/>
    </row>
    <row r="15" spans="1:5" x14ac:dyDescent="0.45">
      <c r="A15" s="13" t="s">
        <v>140</v>
      </c>
      <c r="C15" s="15">
        <v>2067</v>
      </c>
      <c r="D15" s="15"/>
      <c r="E15" s="15"/>
    </row>
    <row r="16" spans="1:5" x14ac:dyDescent="0.45">
      <c r="A16" s="13" t="s">
        <v>141</v>
      </c>
      <c r="C16" s="15">
        <v>6685</v>
      </c>
      <c r="D16" s="15"/>
      <c r="E16" s="15"/>
    </row>
    <row r="17" spans="1:5" ht="29.15" x14ac:dyDescent="0.45">
      <c r="A17" s="13" t="s">
        <v>142</v>
      </c>
      <c r="C17" s="15">
        <v>19</v>
      </c>
      <c r="D17" s="15"/>
      <c r="E17" s="15"/>
    </row>
    <row r="18" spans="1:5" ht="29.15" x14ac:dyDescent="0.45">
      <c r="A18" s="13" t="s">
        <v>143</v>
      </c>
      <c r="C18" s="15">
        <v>6704</v>
      </c>
      <c r="D18" s="15"/>
      <c r="E18" s="15"/>
    </row>
    <row r="19" spans="1:5" ht="29.15" x14ac:dyDescent="0.45">
      <c r="A19" s="13" t="s">
        <v>144</v>
      </c>
      <c r="C19" s="15">
        <v>-1</v>
      </c>
      <c r="D19" s="15"/>
      <c r="E19" s="15"/>
    </row>
    <row r="20" spans="1:5" x14ac:dyDescent="0.45">
      <c r="A20" s="13" t="s">
        <v>145</v>
      </c>
      <c r="B20" s="13" t="s">
        <v>219</v>
      </c>
      <c r="C20" s="14">
        <v>6705</v>
      </c>
      <c r="D20" s="14"/>
      <c r="E20" s="14"/>
    </row>
    <row r="21" spans="1:5" x14ac:dyDescent="0.45">
      <c r="A21" s="13" t="s">
        <v>234</v>
      </c>
      <c r="C21" s="16">
        <v>12.72</v>
      </c>
      <c r="D21" s="16"/>
      <c r="E21" s="16"/>
    </row>
    <row r="22" spans="1:5" x14ac:dyDescent="0.45">
      <c r="A22" s="13" t="s">
        <v>235</v>
      </c>
      <c r="B22" s="13" t="s">
        <v>220</v>
      </c>
      <c r="C22" s="16">
        <v>12.64</v>
      </c>
      <c r="D22" s="16"/>
      <c r="E22" s="16"/>
    </row>
    <row r="23" spans="1:5" ht="29.15" x14ac:dyDescent="0.45">
      <c r="A23" s="12" t="s">
        <v>148</v>
      </c>
      <c r="C23" s="13" t="s">
        <v>228</v>
      </c>
      <c r="D23" s="13"/>
      <c r="E23" s="13"/>
    </row>
    <row r="24" spans="1:5" x14ac:dyDescent="0.45">
      <c r="A24" s="13" t="s">
        <v>236</v>
      </c>
      <c r="C24" s="17">
        <v>526.9</v>
      </c>
      <c r="D24" s="15"/>
      <c r="E24" s="17"/>
    </row>
    <row r="25" spans="1:5" x14ac:dyDescent="0.45">
      <c r="A25" s="13" t="s">
        <v>237</v>
      </c>
      <c r="B25" s="13" t="s">
        <v>220</v>
      </c>
      <c r="C25" s="17">
        <v>530.4</v>
      </c>
      <c r="D25" s="17"/>
      <c r="E25" s="17"/>
    </row>
    <row r="26" spans="1:5" x14ac:dyDescent="0.45">
      <c r="A26" s="13" t="s">
        <v>170</v>
      </c>
      <c r="C26" s="13" t="s">
        <v>228</v>
      </c>
      <c r="D26" s="13"/>
      <c r="E26" s="13"/>
    </row>
    <row r="27" spans="1:5" x14ac:dyDescent="0.45">
      <c r="A27" s="12" t="s">
        <v>124</v>
      </c>
      <c r="C27" s="13" t="s">
        <v>228</v>
      </c>
      <c r="D27" s="13"/>
      <c r="E27" s="13"/>
    </row>
    <row r="28" spans="1:5" x14ac:dyDescent="0.45">
      <c r="A28" s="13" t="s">
        <v>194</v>
      </c>
      <c r="C28" s="14">
        <v>56574</v>
      </c>
      <c r="D28" s="14"/>
      <c r="E28" s="14"/>
    </row>
    <row r="29" spans="1:5" x14ac:dyDescent="0.45">
      <c r="A29" s="13" t="s">
        <v>171</v>
      </c>
      <c r="C29" s="13" t="s">
        <v>228</v>
      </c>
      <c r="D29" s="13"/>
      <c r="E29" s="13"/>
    </row>
    <row r="30" spans="1:5" x14ac:dyDescent="0.45">
      <c r="A30" s="12" t="s">
        <v>124</v>
      </c>
      <c r="C30" s="13" t="s">
        <v>228</v>
      </c>
      <c r="D30" s="13"/>
      <c r="E30" s="13"/>
    </row>
    <row r="31" spans="1:5" x14ac:dyDescent="0.45">
      <c r="A31" s="13" t="s">
        <v>194</v>
      </c>
      <c r="C31" s="15">
        <v>2853</v>
      </c>
      <c r="D31" s="15"/>
      <c r="E31" s="15"/>
    </row>
    <row r="32" spans="1:5" x14ac:dyDescent="0.45">
      <c r="A32" s="12" t="s">
        <v>128</v>
      </c>
      <c r="C32" s="13" t="s">
        <v>228</v>
      </c>
      <c r="D32" s="13"/>
      <c r="E32" s="13"/>
    </row>
    <row r="33" spans="1:5" x14ac:dyDescent="0.45">
      <c r="A33" s="13" t="s">
        <v>221</v>
      </c>
      <c r="C33" s="15">
        <v>565</v>
      </c>
      <c r="D33" s="15"/>
      <c r="E33" s="15"/>
    </row>
    <row r="34" spans="1:5" x14ac:dyDescent="0.45">
      <c r="A34" s="13" t="s">
        <v>207</v>
      </c>
      <c r="C34" s="13" t="s">
        <v>228</v>
      </c>
      <c r="D34" s="13"/>
      <c r="E34" s="13"/>
    </row>
    <row r="35" spans="1:5" x14ac:dyDescent="0.45">
      <c r="A35" s="12" t="s">
        <v>128</v>
      </c>
      <c r="C35" s="13" t="s">
        <v>228</v>
      </c>
      <c r="D35" s="13"/>
      <c r="E35" s="13"/>
    </row>
    <row r="36" spans="1:5" x14ac:dyDescent="0.45">
      <c r="A36" s="13" t="s">
        <v>222</v>
      </c>
      <c r="C36" s="14">
        <v>443</v>
      </c>
      <c r="D36" s="14"/>
      <c r="E36" s="14"/>
    </row>
    <row r="37" spans="1:5" x14ac:dyDescent="0.45">
      <c r="A37" s="13" t="s">
        <v>193</v>
      </c>
      <c r="B37" s="32">
        <v>81943</v>
      </c>
    </row>
    <row r="38" spans="1:5" x14ac:dyDescent="0.45">
      <c r="A38" s="13" t="s">
        <v>212</v>
      </c>
      <c r="B38" s="32">
        <v>1</v>
      </c>
    </row>
    <row r="39" spans="1:5" x14ac:dyDescent="0.45">
      <c r="A39" s="13" t="s">
        <v>213</v>
      </c>
      <c r="B39" s="32">
        <v>2000000000</v>
      </c>
    </row>
    <row r="40" spans="1:5" x14ac:dyDescent="0.45">
      <c r="A40" s="13" t="s">
        <v>214</v>
      </c>
      <c r="B40" s="32">
        <v>814894624</v>
      </c>
    </row>
    <row r="41" spans="1:5" x14ac:dyDescent="0.45">
      <c r="A41" s="13" t="s">
        <v>215</v>
      </c>
      <c r="B41" s="32">
        <v>298549134</v>
      </c>
    </row>
    <row r="42" spans="1:5" x14ac:dyDescent="0.45">
      <c r="A42" s="13" t="s">
        <v>170</v>
      </c>
      <c r="B42" s="33" t="s">
        <v>228</v>
      </c>
    </row>
    <row r="43" spans="1:5" x14ac:dyDescent="0.45">
      <c r="A43" s="12" t="s">
        <v>169</v>
      </c>
      <c r="B43" s="33" t="s">
        <v>228</v>
      </c>
    </row>
    <row r="44" spans="1:5" x14ac:dyDescent="0.45">
      <c r="A44" s="13" t="s">
        <v>208</v>
      </c>
      <c r="B44" s="32">
        <v>3</v>
      </c>
    </row>
    <row r="45" spans="1:5" x14ac:dyDescent="0.45">
      <c r="A45" s="12" t="s">
        <v>178</v>
      </c>
      <c r="B45" s="33" t="s">
        <v>228</v>
      </c>
    </row>
    <row r="46" spans="1:5" x14ac:dyDescent="0.45">
      <c r="A46" s="13" t="s">
        <v>216</v>
      </c>
      <c r="B46" s="32">
        <v>120</v>
      </c>
    </row>
    <row r="47" spans="1:5" x14ac:dyDescent="0.45">
      <c r="A47" s="12" t="s">
        <v>180</v>
      </c>
      <c r="B47" s="33" t="s">
        <v>228</v>
      </c>
    </row>
    <row r="48" spans="1:5" x14ac:dyDescent="0.45">
      <c r="A48" s="13" t="s">
        <v>217</v>
      </c>
      <c r="B48" s="32">
        <v>9498</v>
      </c>
    </row>
    <row r="49" spans="1:2" x14ac:dyDescent="0.45">
      <c r="A49" s="13" t="s">
        <v>171</v>
      </c>
      <c r="B49" s="33" t="s">
        <v>228</v>
      </c>
    </row>
    <row r="50" spans="1:2" x14ac:dyDescent="0.45">
      <c r="A50" s="12" t="s">
        <v>169</v>
      </c>
      <c r="B50" s="33" t="s">
        <v>228</v>
      </c>
    </row>
    <row r="51" spans="1:2" x14ac:dyDescent="0.45">
      <c r="A51" s="13" t="s">
        <v>208</v>
      </c>
      <c r="B51" s="32">
        <v>5954</v>
      </c>
    </row>
    <row r="52" spans="1:2" x14ac:dyDescent="0.45">
      <c r="A52" s="12" t="s">
        <v>178</v>
      </c>
      <c r="B52" s="33" t="s">
        <v>228</v>
      </c>
    </row>
    <row r="53" spans="1:2" x14ac:dyDescent="0.45">
      <c r="A53" s="13" t="s">
        <v>216</v>
      </c>
      <c r="B53" s="32">
        <v>5202</v>
      </c>
    </row>
    <row r="54" spans="1:2" x14ac:dyDescent="0.45">
      <c r="A54" s="12" t="s">
        <v>180</v>
      </c>
      <c r="B54" s="33" t="s">
        <v>228</v>
      </c>
    </row>
    <row r="55" spans="1:2" x14ac:dyDescent="0.45">
      <c r="A55" s="13" t="s">
        <v>217</v>
      </c>
      <c r="B55" s="32">
        <v>16216</v>
      </c>
    </row>
  </sheetData>
  <mergeCells count="2">
    <mergeCell ref="A1:B2"/>
    <mergeCell ref="C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Ratio Analysis</vt:lpstr>
      <vt:lpstr>FCF</vt:lpstr>
      <vt:lpstr>MONTE CARLO</vt:lpstr>
      <vt:lpstr>Depreciation</vt:lpstr>
      <vt:lpstr>2017 Income</vt:lpstr>
      <vt:lpstr>2017 Balance</vt:lpstr>
      <vt:lpstr>2018 Income</vt:lpstr>
      <vt:lpstr>2018 Balance</vt:lpstr>
      <vt:lpstr>2019 Income</vt:lpstr>
      <vt:lpstr>2019 Balance</vt:lpstr>
      <vt:lpstr>2020 Income</vt:lpstr>
      <vt:lpstr>2020 Balance</vt:lpstr>
      <vt:lpstr>2021 Income</vt:lpstr>
      <vt:lpstr>2021 Balance</vt:lpstr>
      <vt:lpstr>2022 Balance</vt:lpstr>
      <vt:lpstr>2022 Income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 Miskel</dc:creator>
  <cp:keywords/>
  <dc:description/>
  <cp:lastModifiedBy>John Joseph Hancotte</cp:lastModifiedBy>
  <cp:revision/>
  <dcterms:created xsi:type="dcterms:W3CDTF">2023-03-29T22:59:10Z</dcterms:created>
  <dcterms:modified xsi:type="dcterms:W3CDTF">2023-05-12T00:44:03Z</dcterms:modified>
  <cp:category/>
  <cp:contentStatus/>
</cp:coreProperties>
</file>