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ackhaywood/Desktop/"/>
    </mc:Choice>
  </mc:AlternateContent>
  <xr:revisionPtr revIDLastSave="0" documentId="8_{63F4E952-293A-4943-994D-970E06ABB41F}" xr6:coauthVersionLast="47" xr6:coauthVersionMax="47" xr10:uidLastSave="{00000000-0000-0000-0000-000000000000}"/>
  <bookViews>
    <workbookView xWindow="0" yWindow="660" windowWidth="28600" windowHeight="16120" tabRatio="727" activeTab="2" xr2:uid="{00000000-000D-0000-FFFF-FFFF00000000}"/>
  </bookViews>
  <sheets>
    <sheet name="Income Statement" sheetId="3" r:id="rId1"/>
    <sheet name="Capex &amp; Depreciation Schedule" sheetId="2" r:id="rId2"/>
    <sheet name="Balance Sheet" sheetId="1" r:id="rId3"/>
    <sheet name="Cash Flow Statement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E19" i="4"/>
  <c r="D19" i="4"/>
  <c r="C19" i="4"/>
  <c r="C20" i="4" s="1"/>
  <c r="E18" i="4"/>
  <c r="E20" i="4" s="1"/>
  <c r="D18" i="4"/>
  <c r="C18" i="4"/>
  <c r="B19" i="4"/>
  <c r="B18" i="4"/>
  <c r="B20" i="4" s="1"/>
  <c r="C13" i="4"/>
  <c r="B13" i="4"/>
  <c r="C27" i="1"/>
  <c r="D27" i="1" s="1"/>
  <c r="C21" i="1"/>
  <c r="D21" i="1" s="1"/>
  <c r="B13" i="1"/>
  <c r="E22" i="3"/>
  <c r="E12" i="3"/>
  <c r="E8" i="3"/>
  <c r="E5" i="3"/>
  <c r="E7" i="3" s="1"/>
  <c r="D5" i="3"/>
  <c r="D7" i="3"/>
  <c r="C5" i="3"/>
  <c r="C7" i="3" s="1"/>
  <c r="E6" i="3"/>
  <c r="D6" i="3"/>
  <c r="C6" i="3"/>
  <c r="C8" i="3" s="1"/>
  <c r="B5" i="3"/>
  <c r="B7" i="3" s="1"/>
  <c r="B19" i="1"/>
  <c r="B23" i="1" s="1"/>
  <c r="B29" i="1"/>
  <c r="B7" i="1"/>
  <c r="B11" i="1"/>
  <c r="D13" i="2"/>
  <c r="C23" i="3" s="1"/>
  <c r="F12" i="2"/>
  <c r="E12" i="2"/>
  <c r="E13" i="2" s="1"/>
  <c r="F11" i="2"/>
  <c r="E11" i="2"/>
  <c r="D11" i="2"/>
  <c r="C11" i="2"/>
  <c r="F10" i="2"/>
  <c r="F13" i="2" s="1"/>
  <c r="E6" i="4" s="1"/>
  <c r="E10" i="2"/>
  <c r="D10" i="2"/>
  <c r="C10" i="2"/>
  <c r="C13" i="2" s="1"/>
  <c r="F7" i="2"/>
  <c r="E13" i="4" s="1"/>
  <c r="E7" i="2"/>
  <c r="D13" i="4" s="1"/>
  <c r="D7" i="2"/>
  <c r="C7" i="2"/>
  <c r="C9" i="1" s="1"/>
  <c r="D6" i="4" l="1"/>
  <c r="D23" i="3"/>
  <c r="C12" i="3"/>
  <c r="D37" i="1"/>
  <c r="C22" i="3"/>
  <c r="C20" i="3"/>
  <c r="C24" i="3" s="1"/>
  <c r="C13" i="3"/>
  <c r="C21" i="3"/>
  <c r="C11" i="3"/>
  <c r="C10" i="1"/>
  <c r="D10" i="1" s="1"/>
  <c r="E10" i="1" s="1"/>
  <c r="F10" i="1" s="1"/>
  <c r="B23" i="3"/>
  <c r="B6" i="4"/>
  <c r="B33" i="1"/>
  <c r="B31" i="1"/>
  <c r="D8" i="3"/>
  <c r="E21" i="1"/>
  <c r="D45" i="1"/>
  <c r="C28" i="3" s="1"/>
  <c r="C45" i="1"/>
  <c r="B28" i="3" s="1"/>
  <c r="E11" i="3"/>
  <c r="E13" i="3"/>
  <c r="E20" i="3"/>
  <c r="E24" i="3" s="1"/>
  <c r="F37" i="1"/>
  <c r="E21" i="3"/>
  <c r="D9" i="1"/>
  <c r="E27" i="1"/>
  <c r="B6" i="3"/>
  <c r="B8" i="3"/>
  <c r="E23" i="3"/>
  <c r="C6" i="4"/>
  <c r="B13" i="3" l="1"/>
  <c r="B21" i="3"/>
  <c r="B12" i="3"/>
  <c r="B22" i="3"/>
  <c r="B11" i="3"/>
  <c r="C37" i="1"/>
  <c r="B20" i="3"/>
  <c r="B24" i="3" s="1"/>
  <c r="D11" i="1"/>
  <c r="E9" i="1"/>
  <c r="E45" i="1"/>
  <c r="D28" i="3" s="1"/>
  <c r="F21" i="1"/>
  <c r="F45" i="1" s="1"/>
  <c r="E28" i="3" s="1"/>
  <c r="C14" i="3"/>
  <c r="C16" i="3" s="1"/>
  <c r="E14" i="3"/>
  <c r="E16" i="3" s="1"/>
  <c r="E37" i="1"/>
  <c r="D22" i="3"/>
  <c r="D21" i="3"/>
  <c r="D20" i="3"/>
  <c r="D13" i="3"/>
  <c r="D12" i="3"/>
  <c r="D11" i="3"/>
  <c r="F27" i="1"/>
  <c r="F17" i="1"/>
  <c r="F18" i="1"/>
  <c r="F6" i="1"/>
  <c r="D17" i="1"/>
  <c r="D18" i="1"/>
  <c r="D6" i="1"/>
  <c r="C11" i="1"/>
  <c r="D19" i="1" l="1"/>
  <c r="D23" i="1" s="1"/>
  <c r="E18" i="1"/>
  <c r="D9" i="4" s="1"/>
  <c r="E6" i="1"/>
  <c r="E7" i="4" s="1"/>
  <c r="E17" i="1"/>
  <c r="C18" i="1"/>
  <c r="B9" i="4" s="1"/>
  <c r="C17" i="1"/>
  <c r="C6" i="1"/>
  <c r="D7" i="4"/>
  <c r="D14" i="3"/>
  <c r="D16" i="3" s="1"/>
  <c r="D24" i="3"/>
  <c r="E17" i="3"/>
  <c r="E26" i="3"/>
  <c r="F9" i="1"/>
  <c r="F11" i="1" s="1"/>
  <c r="E11" i="1"/>
  <c r="B14" i="3"/>
  <c r="B16" i="3" s="1"/>
  <c r="C9" i="4"/>
  <c r="E8" i="4"/>
  <c r="F19" i="1"/>
  <c r="F23" i="1" s="1"/>
  <c r="C17" i="3"/>
  <c r="C26" i="3"/>
  <c r="D26" i="3" l="1"/>
  <c r="D17" i="3"/>
  <c r="C19" i="1"/>
  <c r="C23" i="1" s="1"/>
  <c r="B8" i="4"/>
  <c r="C37" i="3"/>
  <c r="C30" i="3"/>
  <c r="E37" i="3"/>
  <c r="E30" i="3"/>
  <c r="E9" i="4"/>
  <c r="C8" i="4"/>
  <c r="B26" i="3"/>
  <c r="B17" i="3"/>
  <c r="E19" i="1"/>
  <c r="E23" i="1" s="1"/>
  <c r="D8" i="4"/>
  <c r="B7" i="4"/>
  <c r="C7" i="4"/>
  <c r="E32" i="3" l="1"/>
  <c r="E34" i="3" s="1"/>
  <c r="B37" i="3"/>
  <c r="B30" i="3"/>
  <c r="C32" i="3"/>
  <c r="C34" i="3" s="1"/>
  <c r="D30" i="3"/>
  <c r="D37" i="3"/>
  <c r="C3" i="4" l="1"/>
  <c r="C10" i="4" s="1"/>
  <c r="C15" i="4" s="1"/>
  <c r="C22" i="4" s="1"/>
  <c r="C35" i="3"/>
  <c r="E3" i="4"/>
  <c r="E10" i="4" s="1"/>
  <c r="E15" i="4" s="1"/>
  <c r="E22" i="4" s="1"/>
  <c r="E35" i="3"/>
  <c r="D32" i="3"/>
  <c r="D34" i="3" s="1"/>
  <c r="B32" i="3"/>
  <c r="B34" i="3" s="1"/>
  <c r="C28" i="1" l="1"/>
  <c r="B35" i="3"/>
  <c r="B3" i="4"/>
  <c r="B10" i="4" s="1"/>
  <c r="B15" i="4" s="1"/>
  <c r="B22" i="4" s="1"/>
  <c r="C5" i="1" s="1"/>
  <c r="D3" i="4"/>
  <c r="D10" i="4" s="1"/>
  <c r="D15" i="4" s="1"/>
  <c r="D22" i="4" s="1"/>
  <c r="D35" i="3"/>
  <c r="D5" i="1" l="1"/>
  <c r="C7" i="1"/>
  <c r="C13" i="1" s="1"/>
  <c r="D28" i="1"/>
  <c r="C29" i="1"/>
  <c r="C31" i="1" s="1"/>
  <c r="E28" i="1" l="1"/>
  <c r="D29" i="1"/>
  <c r="D31" i="1" s="1"/>
  <c r="C33" i="1"/>
  <c r="D7" i="1"/>
  <c r="D13" i="1" s="1"/>
  <c r="E5" i="1"/>
  <c r="E7" i="1" l="1"/>
  <c r="E13" i="1" s="1"/>
  <c r="F5" i="1"/>
  <c r="F7" i="1" s="1"/>
  <c r="F13" i="1" s="1"/>
  <c r="F28" i="1"/>
  <c r="F29" i="1" s="1"/>
  <c r="F31" i="1" s="1"/>
  <c r="E29" i="1"/>
  <c r="E31" i="1" s="1"/>
  <c r="D33" i="1"/>
  <c r="F33" i="1" l="1"/>
  <c r="E33" i="1"/>
</calcChain>
</file>

<file path=xl/sharedStrings.xml><?xml version="1.0" encoding="utf-8"?>
<sst xmlns="http://schemas.openxmlformats.org/spreadsheetml/2006/main" count="127" uniqueCount="89">
  <si>
    <t>Common Stock</t>
  </si>
  <si>
    <t>Retained Earnings</t>
  </si>
  <si>
    <t>Long Term Debt</t>
  </si>
  <si>
    <t>EQUITY</t>
  </si>
  <si>
    <t>ASSETS</t>
  </si>
  <si>
    <t>LIABILITIES</t>
  </si>
  <si>
    <t>Accounts Payable</t>
  </si>
  <si>
    <t>Liabilities &amp; Shareholders Equity</t>
  </si>
  <si>
    <t>Balance Check</t>
  </si>
  <si>
    <t>Year 1</t>
  </si>
  <si>
    <t>Year 2</t>
  </si>
  <si>
    <t>Year 3</t>
  </si>
  <si>
    <t>Year 4</t>
  </si>
  <si>
    <t xml:space="preserve">Cash </t>
  </si>
  <si>
    <t>Fixed Assets</t>
  </si>
  <si>
    <t>Accumulated Depreciation</t>
  </si>
  <si>
    <t>Total Current Assets</t>
  </si>
  <si>
    <t>Total Assets</t>
  </si>
  <si>
    <t>Net Fixed Assets</t>
  </si>
  <si>
    <t>Deferred Revenue</t>
  </si>
  <si>
    <t>Total Liabilities</t>
  </si>
  <si>
    <t>Total Shareholders Equity</t>
  </si>
  <si>
    <t>Dec 31, Year 0</t>
  </si>
  <si>
    <t>Income Statement</t>
  </si>
  <si>
    <t>Cash Flow Statement</t>
  </si>
  <si>
    <t>Balance Sheet</t>
  </si>
  <si>
    <t>Historicals</t>
  </si>
  <si>
    <t>Capex &amp; Depreciation</t>
  </si>
  <si>
    <t>Accounts Receivable</t>
  </si>
  <si>
    <t>ASSUMPTIONS</t>
  </si>
  <si>
    <t>Revenue</t>
  </si>
  <si>
    <t>New Customers</t>
  </si>
  <si>
    <t>AOV</t>
  </si>
  <si>
    <t>Refunds (as % of rev)</t>
  </si>
  <si>
    <t>Discounts</t>
  </si>
  <si>
    <t>COGS</t>
  </si>
  <si>
    <t>Product</t>
  </si>
  <si>
    <t>Fulfillment</t>
  </si>
  <si>
    <t>Merchant Services</t>
  </si>
  <si>
    <t>Operating Expenses</t>
  </si>
  <si>
    <t>Personnel</t>
  </si>
  <si>
    <t>Marketing</t>
  </si>
  <si>
    <t>Other</t>
  </si>
  <si>
    <t>Depreciation</t>
  </si>
  <si>
    <t>other model</t>
  </si>
  <si>
    <t>Interest</t>
  </si>
  <si>
    <t>Tax Rate</t>
  </si>
  <si>
    <t>Gross Revenue</t>
  </si>
  <si>
    <t>Net Revenue</t>
  </si>
  <si>
    <t>Total COGS</t>
  </si>
  <si>
    <t>GM %</t>
  </si>
  <si>
    <t>Total OPEX</t>
  </si>
  <si>
    <t>Taxes</t>
  </si>
  <si>
    <t>Net Income</t>
  </si>
  <si>
    <t>NI %</t>
  </si>
  <si>
    <t>Useful Life (Years)</t>
  </si>
  <si>
    <t>Capex</t>
  </si>
  <si>
    <t>Servers</t>
  </si>
  <si>
    <t>Custom Software</t>
  </si>
  <si>
    <t>Forklift</t>
  </si>
  <si>
    <t>Total Capex</t>
  </si>
  <si>
    <t>Total D&amp;A</t>
  </si>
  <si>
    <t>Interest Rate</t>
  </si>
  <si>
    <t>Refunds</t>
  </si>
  <si>
    <t>Cost of Goods Sold</t>
  </si>
  <si>
    <t>Gross Margin</t>
  </si>
  <si>
    <t>Operating Income</t>
  </si>
  <si>
    <t xml:space="preserve">Interest </t>
  </si>
  <si>
    <t>NI Before Taxes</t>
  </si>
  <si>
    <t xml:space="preserve">Net Income </t>
  </si>
  <si>
    <t>EBITDA</t>
  </si>
  <si>
    <t>Deferred Rev</t>
  </si>
  <si>
    <t xml:space="preserve">AP </t>
  </si>
  <si>
    <t>AR (% of revenue)</t>
  </si>
  <si>
    <t>Net Borrowing</t>
  </si>
  <si>
    <t>Debt Payments</t>
  </si>
  <si>
    <t>Interest Payments</t>
  </si>
  <si>
    <t>Operating Activities</t>
  </si>
  <si>
    <t>Investing Activities</t>
  </si>
  <si>
    <t>Financing Activities</t>
  </si>
  <si>
    <t>Chg in AR</t>
  </si>
  <si>
    <t>Chg in AP</t>
  </si>
  <si>
    <t>Chg in Def Rev</t>
  </si>
  <si>
    <t>Operating Cash Flow</t>
  </si>
  <si>
    <t>Free Cash Flow</t>
  </si>
  <si>
    <t>Debt Repayment</t>
  </si>
  <si>
    <t>Net Borrowings</t>
  </si>
  <si>
    <t>NCF from Financing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</si>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</sst>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164" fontId="2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165" fontId="6" fillId="0" borderId="0" xfId="2" applyNumberFormat="1" applyFont="1"/>
    <xf numFmtId="164" fontId="0" fillId="0" borderId="0" xfId="1" applyNumberFormat="1" applyFont="1"/>
    <xf numFmtId="165" fontId="6" fillId="0" borderId="2" xfId="2" applyNumberFormat="1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3" borderId="0" xfId="0" applyFill="1"/>
    <xf numFmtId="164" fontId="7" fillId="0" borderId="0" xfId="1" applyNumberFormat="1" applyFont="1"/>
    <xf numFmtId="165" fontId="7" fillId="0" borderId="0" xfId="2" applyNumberFormat="1" applyFont="1"/>
    <xf numFmtId="9" fontId="7" fillId="0" borderId="0" xfId="3" applyFont="1"/>
    <xf numFmtId="0" fontId="8" fillId="0" borderId="0" xfId="0" applyFont="1"/>
    <xf numFmtId="165" fontId="0" fillId="0" borderId="0" xfId="2" applyNumberFormat="1" applyFont="1"/>
    <xf numFmtId="165" fontId="0" fillId="0" borderId="0" xfId="0" applyNumberFormat="1"/>
    <xf numFmtId="164" fontId="0" fillId="0" borderId="2" xfId="1" applyNumberFormat="1" applyFont="1" applyBorder="1"/>
    <xf numFmtId="165" fontId="3" fillId="0" borderId="0" xfId="0" applyNumberFormat="1" applyFont="1"/>
    <xf numFmtId="165" fontId="3" fillId="0" borderId="1" xfId="0" applyNumberFormat="1" applyFont="1" applyBorder="1"/>
    <xf numFmtId="0" fontId="9" fillId="0" borderId="0" xfId="0" applyFont="1"/>
    <xf numFmtId="9" fontId="9" fillId="0" borderId="0" xfId="3" applyFont="1"/>
    <xf numFmtId="0" fontId="10" fillId="0" borderId="0" xfId="0" applyFont="1" applyAlignment="1">
      <alignment horizontal="center"/>
    </xf>
    <xf numFmtId="165" fontId="7" fillId="0" borderId="2" xfId="2" applyNumberFormat="1" applyFont="1" applyBorder="1"/>
    <xf numFmtId="165" fontId="0" fillId="0" borderId="2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Fill="1"/>
    <xf numFmtId="165" fontId="9" fillId="0" borderId="0" xfId="0" applyNumberFormat="1" applyFont="1"/>
    <xf numFmtId="164" fontId="0" fillId="0" borderId="2" xfId="1" applyNumberFormat="1" applyFont="1" applyFill="1" applyBorder="1"/>
    <xf numFmtId="9" fontId="7" fillId="0" borderId="0" xfId="0" applyNumberFormat="1" applyFont="1"/>
    <xf numFmtId="165" fontId="0" fillId="2" borderId="2" xfId="0" applyNumberFormat="1" applyFill="1" applyBorder="1"/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0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zoomScale="140" zoomScaleNormal="140" zoomScalePageLayoutView="140"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E60"/>
    </sheetView>
  </sheetViews>
  <sheetFormatPr baseColWidth="10" defaultColWidth="11" defaultRowHeight="16" x14ac:dyDescent="0.2"/>
  <cols>
    <col min="1" max="1" width="18.33203125" bestFit="1" customWidth="1"/>
    <col min="2" max="5" width="13.5" customWidth="1"/>
  </cols>
  <sheetData>
    <row r="1" spans="1:5" x14ac:dyDescent="0.2">
      <c r="A1" s="1" t="s">
        <v>23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2">
      <c r="A3" s="18" t="s">
        <v>30</v>
      </c>
    </row>
    <row r="5" spans="1:5" x14ac:dyDescent="0.2">
      <c r="A5" t="s">
        <v>47</v>
      </c>
      <c r="B5" s="29">
        <f>B42*B43</f>
        <v>3000000</v>
      </c>
      <c r="C5" s="29">
        <f t="shared" ref="C5:E5" si="0">C42*C43</f>
        <v>4800000</v>
      </c>
      <c r="D5" s="29">
        <f t="shared" si="0"/>
        <v>10000000</v>
      </c>
      <c r="E5" s="29">
        <f t="shared" si="0"/>
        <v>18000000</v>
      </c>
    </row>
    <row r="6" spans="1:5" x14ac:dyDescent="0.2">
      <c r="A6" t="s">
        <v>63</v>
      </c>
      <c r="B6" s="12">
        <f>-B$5*B44</f>
        <v>-150000</v>
      </c>
      <c r="C6" s="12">
        <f t="shared" ref="C6:E6" si="1">-C$5*C44</f>
        <v>-240000</v>
      </c>
      <c r="D6" s="12">
        <f t="shared" si="1"/>
        <v>-500000</v>
      </c>
      <c r="E6" s="12">
        <f t="shared" si="1"/>
        <v>-900000</v>
      </c>
    </row>
    <row r="7" spans="1:5" x14ac:dyDescent="0.2">
      <c r="A7" t="s">
        <v>34</v>
      </c>
      <c r="B7" s="21">
        <f>-B$5*B45</f>
        <v>-240000</v>
      </c>
      <c r="C7" s="21">
        <f t="shared" ref="C7:E7" si="2">-C$5*C45</f>
        <v>-384000</v>
      </c>
      <c r="D7" s="21">
        <f t="shared" si="2"/>
        <v>-800000</v>
      </c>
      <c r="E7" s="21">
        <f t="shared" si="2"/>
        <v>-1440000</v>
      </c>
    </row>
    <row r="8" spans="1:5" s="1" customFormat="1" x14ac:dyDescent="0.2">
      <c r="A8" s="1" t="s">
        <v>48</v>
      </c>
      <c r="B8" s="22">
        <f>SUM(B5:B7)</f>
        <v>2610000</v>
      </c>
      <c r="C8" s="22">
        <f t="shared" ref="C8:E8" si="3">SUM(C5:C7)</f>
        <v>4176000</v>
      </c>
      <c r="D8" s="22">
        <f t="shared" si="3"/>
        <v>8700000</v>
      </c>
      <c r="E8" s="22">
        <f t="shared" si="3"/>
        <v>15660000</v>
      </c>
    </row>
    <row r="10" spans="1:5" x14ac:dyDescent="0.2">
      <c r="A10" s="18" t="s">
        <v>64</v>
      </c>
    </row>
    <row r="11" spans="1:5" x14ac:dyDescent="0.2">
      <c r="A11" t="s">
        <v>36</v>
      </c>
      <c r="B11" s="20">
        <f>B$8*B48</f>
        <v>913500</v>
      </c>
      <c r="C11" s="20">
        <f t="shared" ref="C11:E11" si="4">C$8*C48</f>
        <v>1461600</v>
      </c>
      <c r="D11" s="20">
        <f t="shared" si="4"/>
        <v>3045000</v>
      </c>
      <c r="E11" s="20">
        <f t="shared" si="4"/>
        <v>5481000</v>
      </c>
    </row>
    <row r="12" spans="1:5" x14ac:dyDescent="0.2">
      <c r="A12" t="s">
        <v>37</v>
      </c>
      <c r="B12" s="7">
        <f>B$8*B49</f>
        <v>130500</v>
      </c>
      <c r="C12" s="7">
        <f t="shared" ref="C12:E12" si="5">C$8*C49</f>
        <v>208800</v>
      </c>
      <c r="D12" s="7">
        <f t="shared" si="5"/>
        <v>435000</v>
      </c>
      <c r="E12" s="7">
        <f t="shared" si="5"/>
        <v>783000</v>
      </c>
    </row>
    <row r="13" spans="1:5" x14ac:dyDescent="0.2">
      <c r="A13" t="s">
        <v>38</v>
      </c>
      <c r="B13" s="21">
        <f>B$8*B50</f>
        <v>78300</v>
      </c>
      <c r="C13" s="21">
        <f t="shared" ref="C13:E13" si="6">C$8*C50</f>
        <v>125280</v>
      </c>
      <c r="D13" s="21">
        <f t="shared" si="6"/>
        <v>261000</v>
      </c>
      <c r="E13" s="21">
        <f t="shared" si="6"/>
        <v>469800</v>
      </c>
    </row>
    <row r="14" spans="1:5" s="1" customFormat="1" x14ac:dyDescent="0.2">
      <c r="A14" s="1" t="s">
        <v>49</v>
      </c>
      <c r="B14" s="22">
        <f>SUM(B11:B13)</f>
        <v>1122300</v>
      </c>
      <c r="C14" s="22">
        <f>SUM(C11:C13)</f>
        <v>1795680</v>
      </c>
      <c r="D14" s="22">
        <f>SUM(D11:D13)</f>
        <v>3741000</v>
      </c>
      <c r="E14" s="22">
        <f>SUM(E11:E13)</f>
        <v>6733800</v>
      </c>
    </row>
    <row r="16" spans="1:5" s="1" customFormat="1" ht="16.5" thickBot="1" x14ac:dyDescent="0.3">
      <c r="A16" s="1" t="s">
        <v>65</v>
      </c>
      <c r="B16" s="23">
        <f>B8-B14</f>
        <v>1487700</v>
      </c>
      <c r="C16" s="23">
        <f t="shared" ref="C16:E16" si="7">C8-C14</f>
        <v>2380320</v>
      </c>
      <c r="D16" s="23">
        <f t="shared" si="7"/>
        <v>4959000</v>
      </c>
      <c r="E16" s="23">
        <f t="shared" si="7"/>
        <v>8926200</v>
      </c>
    </row>
    <row r="17" spans="1:5" s="24" customFormat="1" ht="16.5" thickTop="1" x14ac:dyDescent="0.25">
      <c r="A17" s="24" t="s">
        <v>50</v>
      </c>
      <c r="B17" s="25">
        <f>B16/B8</f>
        <v>0.56999999999999995</v>
      </c>
      <c r="C17" s="25">
        <f t="shared" ref="C17:E17" si="8">C16/C8</f>
        <v>0.56999999999999995</v>
      </c>
      <c r="D17" s="25">
        <f t="shared" si="8"/>
        <v>0.56999999999999995</v>
      </c>
      <c r="E17" s="25">
        <f t="shared" si="8"/>
        <v>0.56999999999999995</v>
      </c>
    </row>
    <row r="19" spans="1:5" x14ac:dyDescent="0.2">
      <c r="A19" s="18" t="s">
        <v>39</v>
      </c>
    </row>
    <row r="20" spans="1:5" x14ac:dyDescent="0.2">
      <c r="A20" t="s">
        <v>40</v>
      </c>
      <c r="B20" s="20">
        <f>B$8*B53</f>
        <v>522000</v>
      </c>
      <c r="C20" s="20">
        <f t="shared" ref="C20:E20" si="9">C$8*C53</f>
        <v>835200</v>
      </c>
      <c r="D20" s="20">
        <f t="shared" si="9"/>
        <v>1740000</v>
      </c>
      <c r="E20" s="20">
        <f t="shared" si="9"/>
        <v>3132000</v>
      </c>
    </row>
    <row r="21" spans="1:5" x14ac:dyDescent="0.2">
      <c r="A21" t="s">
        <v>41</v>
      </c>
      <c r="B21" s="30">
        <f t="shared" ref="B21:E21" si="10">B$8*B54</f>
        <v>261000</v>
      </c>
      <c r="C21" s="30">
        <f t="shared" si="10"/>
        <v>417600</v>
      </c>
      <c r="D21" s="30">
        <f t="shared" si="10"/>
        <v>870000</v>
      </c>
      <c r="E21" s="30">
        <f t="shared" si="10"/>
        <v>1566000</v>
      </c>
    </row>
    <row r="22" spans="1:5" x14ac:dyDescent="0.2">
      <c r="A22" t="s">
        <v>42</v>
      </c>
      <c r="B22" s="30">
        <f t="shared" ref="B22:E22" si="11">B$8*B55</f>
        <v>130500</v>
      </c>
      <c r="C22" s="30">
        <f t="shared" si="11"/>
        <v>208800</v>
      </c>
      <c r="D22" s="30">
        <f t="shared" si="11"/>
        <v>435000</v>
      </c>
      <c r="E22" s="30">
        <f t="shared" si="11"/>
        <v>783000</v>
      </c>
    </row>
    <row r="23" spans="1:5" x14ac:dyDescent="0.2">
      <c r="A23" t="s">
        <v>43</v>
      </c>
      <c r="B23" s="32">
        <f>'Capex &amp; Depreciation Schedule'!C13</f>
        <v>31666.666666666668</v>
      </c>
      <c r="C23" s="32">
        <f>'Capex &amp; Depreciation Schedule'!D13</f>
        <v>65000</v>
      </c>
      <c r="D23" s="32">
        <f>'Capex &amp; Depreciation Schedule'!E13</f>
        <v>103333.33333333334</v>
      </c>
      <c r="E23" s="32">
        <f>'Capex &amp; Depreciation Schedule'!F13</f>
        <v>86666.666666666672</v>
      </c>
    </row>
    <row r="24" spans="1:5" s="1" customFormat="1" x14ac:dyDescent="0.2">
      <c r="A24" s="1" t="s">
        <v>51</v>
      </c>
      <c r="B24" s="22">
        <f>SUM(B20:B23)</f>
        <v>945166.66666666663</v>
      </c>
      <c r="C24" s="22">
        <f t="shared" ref="C24:E24" si="12">SUM(C20:C23)</f>
        <v>1526600</v>
      </c>
      <c r="D24" s="22">
        <f t="shared" si="12"/>
        <v>3148333.3333333335</v>
      </c>
      <c r="E24" s="22">
        <f t="shared" si="12"/>
        <v>5567666.666666667</v>
      </c>
    </row>
    <row r="26" spans="1:5" s="1" customFormat="1" x14ac:dyDescent="0.2">
      <c r="A26" s="1" t="s">
        <v>66</v>
      </c>
      <c r="B26" s="22">
        <f>B16-B24</f>
        <v>542533.33333333337</v>
      </c>
      <c r="C26" s="22">
        <f t="shared" ref="C26:E26" si="13">C16-C24</f>
        <v>853720</v>
      </c>
      <c r="D26" s="22">
        <f t="shared" si="13"/>
        <v>1810666.6666666665</v>
      </c>
      <c r="E26" s="22">
        <f t="shared" si="13"/>
        <v>3358533.333333333</v>
      </c>
    </row>
    <row r="27" spans="1:5" s="1" customFormat="1" x14ac:dyDescent="0.2">
      <c r="B27" s="22"/>
      <c r="C27" s="22"/>
      <c r="D27" s="22"/>
      <c r="E27" s="22"/>
    </row>
    <row r="28" spans="1:5" x14ac:dyDescent="0.2">
      <c r="A28" t="s">
        <v>67</v>
      </c>
      <c r="B28" s="20">
        <f>'Balance Sheet'!C45</f>
        <v>192000</v>
      </c>
      <c r="C28" s="20">
        <f>'Balance Sheet'!D45</f>
        <v>240000</v>
      </c>
      <c r="D28" s="20">
        <f>'Balance Sheet'!E45</f>
        <v>168000</v>
      </c>
      <c r="E28" s="20">
        <f>'Balance Sheet'!F45</f>
        <v>96000</v>
      </c>
    </row>
    <row r="29" spans="1:5" s="1" customFormat="1" x14ac:dyDescent="0.2">
      <c r="B29" s="22"/>
      <c r="C29" s="22"/>
      <c r="D29" s="22"/>
      <c r="E29" s="22"/>
    </row>
    <row r="30" spans="1:5" s="1" customFormat="1" x14ac:dyDescent="0.2">
      <c r="A30" s="1" t="s">
        <v>68</v>
      </c>
      <c r="B30" s="22">
        <f>B26-B28</f>
        <v>350533.33333333337</v>
      </c>
      <c r="C30" s="22">
        <f>C26-C28</f>
        <v>613720</v>
      </c>
      <c r="D30" s="22">
        <f>D26-D28</f>
        <v>1642666.6666666665</v>
      </c>
      <c r="E30" s="22">
        <f>E26-E28</f>
        <v>3262533.333333333</v>
      </c>
    </row>
    <row r="31" spans="1:5" s="1" customFormat="1" x14ac:dyDescent="0.2">
      <c r="B31" s="22"/>
      <c r="C31" s="22"/>
      <c r="D31" s="22"/>
      <c r="E31" s="22"/>
    </row>
    <row r="32" spans="1:5" x14ac:dyDescent="0.2">
      <c r="A32" t="s">
        <v>52</v>
      </c>
      <c r="B32" s="20">
        <f>B30*B60</f>
        <v>73612</v>
      </c>
      <c r="C32" s="20">
        <f>C30*C60</f>
        <v>128881.2</v>
      </c>
      <c r="D32" s="20">
        <f>D30*D60</f>
        <v>344959.99999999994</v>
      </c>
      <c r="E32" s="20">
        <f>E30*E60</f>
        <v>685131.99999999988</v>
      </c>
    </row>
    <row r="33" spans="1:5" x14ac:dyDescent="0.2">
      <c r="B33" s="20"/>
      <c r="C33" s="20"/>
      <c r="D33" s="20"/>
      <c r="E33" s="20"/>
    </row>
    <row r="34" spans="1:5" s="1" customFormat="1" x14ac:dyDescent="0.2">
      <c r="A34" s="1" t="s">
        <v>69</v>
      </c>
      <c r="B34" s="22">
        <f>B30-B32</f>
        <v>276921.33333333337</v>
      </c>
      <c r="C34" s="22">
        <f t="shared" ref="C34:E34" si="14">C30-C32</f>
        <v>484838.8</v>
      </c>
      <c r="D34" s="22">
        <f t="shared" si="14"/>
        <v>1297706.6666666665</v>
      </c>
      <c r="E34" s="22">
        <f t="shared" si="14"/>
        <v>2577401.333333333</v>
      </c>
    </row>
    <row r="35" spans="1:5" s="24" customFormat="1" x14ac:dyDescent="0.2">
      <c r="A35" s="24" t="s">
        <v>54</v>
      </c>
      <c r="B35" s="25">
        <f>B34/B8</f>
        <v>0.10610012771392083</v>
      </c>
      <c r="C35" s="25">
        <f t="shared" ref="C35:E35" si="15">C34/C8</f>
        <v>0.11610124521072797</v>
      </c>
      <c r="D35" s="25">
        <f t="shared" si="15"/>
        <v>0.14916168582375477</v>
      </c>
      <c r="E35" s="25">
        <f t="shared" si="15"/>
        <v>0.16458501489995742</v>
      </c>
    </row>
    <row r="36" spans="1:5" s="24" customFormat="1" x14ac:dyDescent="0.2">
      <c r="B36" s="31"/>
      <c r="C36" s="31"/>
      <c r="D36" s="31"/>
      <c r="E36" s="31"/>
    </row>
    <row r="37" spans="1:5" x14ac:dyDescent="0.2">
      <c r="A37" t="s">
        <v>70</v>
      </c>
      <c r="B37" s="20">
        <f>B26+B23</f>
        <v>574200</v>
      </c>
      <c r="C37" s="20">
        <f>C26+C23</f>
        <v>918720</v>
      </c>
      <c r="D37" s="20">
        <f>D26+D23</f>
        <v>1913999.9999999998</v>
      </c>
      <c r="E37" s="20">
        <f>E26+E23</f>
        <v>3445199.9999999995</v>
      </c>
    </row>
    <row r="39" spans="1:5" s="14" customFormat="1" x14ac:dyDescent="0.2">
      <c r="A39" s="14" t="s">
        <v>29</v>
      </c>
    </row>
    <row r="41" spans="1:5" x14ac:dyDescent="0.2">
      <c r="A41" s="2" t="s">
        <v>30</v>
      </c>
    </row>
    <row r="42" spans="1:5" x14ac:dyDescent="0.2">
      <c r="A42" t="s">
        <v>31</v>
      </c>
      <c r="B42" s="15">
        <v>75000</v>
      </c>
      <c r="C42" s="15">
        <v>120000</v>
      </c>
      <c r="D42" s="15">
        <v>250000</v>
      </c>
      <c r="E42" s="15">
        <v>450000</v>
      </c>
    </row>
    <row r="43" spans="1:5" x14ac:dyDescent="0.2">
      <c r="A43" t="s">
        <v>32</v>
      </c>
      <c r="B43" s="16">
        <v>40</v>
      </c>
      <c r="C43" s="16">
        <v>40</v>
      </c>
      <c r="D43" s="16">
        <v>40</v>
      </c>
      <c r="E43" s="16">
        <v>40</v>
      </c>
    </row>
    <row r="44" spans="1:5" x14ac:dyDescent="0.2">
      <c r="A44" t="s">
        <v>33</v>
      </c>
      <c r="B44" s="17">
        <v>0.05</v>
      </c>
      <c r="C44" s="17">
        <v>0.05</v>
      </c>
      <c r="D44" s="17">
        <v>0.05</v>
      </c>
      <c r="E44" s="17">
        <v>0.05</v>
      </c>
    </row>
    <row r="45" spans="1:5" x14ac:dyDescent="0.2">
      <c r="A45" t="s">
        <v>34</v>
      </c>
      <c r="B45" s="17">
        <v>0.08</v>
      </c>
      <c r="C45" s="17">
        <v>0.08</v>
      </c>
      <c r="D45" s="17">
        <v>0.08</v>
      </c>
      <c r="E45" s="17">
        <v>0.08</v>
      </c>
    </row>
    <row r="47" spans="1:5" x14ac:dyDescent="0.2">
      <c r="A47" s="2" t="s">
        <v>35</v>
      </c>
    </row>
    <row r="48" spans="1:5" x14ac:dyDescent="0.2">
      <c r="A48" t="s">
        <v>36</v>
      </c>
      <c r="B48" s="17">
        <v>0.35</v>
      </c>
      <c r="C48" s="17">
        <v>0.35</v>
      </c>
      <c r="D48" s="17">
        <v>0.35</v>
      </c>
      <c r="E48" s="17">
        <v>0.35</v>
      </c>
    </row>
    <row r="49" spans="1:5" x14ac:dyDescent="0.2">
      <c r="A49" t="s">
        <v>37</v>
      </c>
      <c r="B49" s="17">
        <v>0.05</v>
      </c>
      <c r="C49" s="17">
        <v>0.05</v>
      </c>
      <c r="D49" s="17">
        <v>0.05</v>
      </c>
      <c r="E49" s="17">
        <v>0.05</v>
      </c>
    </row>
    <row r="50" spans="1:5" x14ac:dyDescent="0.2">
      <c r="A50" t="s">
        <v>38</v>
      </c>
      <c r="B50" s="17">
        <v>0.03</v>
      </c>
      <c r="C50" s="17">
        <v>0.03</v>
      </c>
      <c r="D50" s="17">
        <v>0.03</v>
      </c>
      <c r="E50" s="17">
        <v>0.03</v>
      </c>
    </row>
    <row r="52" spans="1:5" x14ac:dyDescent="0.2">
      <c r="A52" s="2" t="s">
        <v>39</v>
      </c>
    </row>
    <row r="53" spans="1:5" x14ac:dyDescent="0.2">
      <c r="A53" t="s">
        <v>40</v>
      </c>
      <c r="B53" s="17">
        <v>0.2</v>
      </c>
      <c r="C53" s="17">
        <v>0.2</v>
      </c>
      <c r="D53" s="17">
        <v>0.2</v>
      </c>
      <c r="E53" s="17">
        <v>0.2</v>
      </c>
    </row>
    <row r="54" spans="1:5" x14ac:dyDescent="0.2">
      <c r="A54" t="s">
        <v>41</v>
      </c>
      <c r="B54" s="17">
        <v>0.1</v>
      </c>
      <c r="C54" s="17">
        <v>0.1</v>
      </c>
      <c r="D54" s="17">
        <v>0.1</v>
      </c>
      <c r="E54" s="17">
        <v>0.1</v>
      </c>
    </row>
    <row r="55" spans="1:5" x14ac:dyDescent="0.2">
      <c r="A55" t="s">
        <v>42</v>
      </c>
      <c r="B55" s="17">
        <v>0.05</v>
      </c>
      <c r="C55" s="17">
        <v>0.05</v>
      </c>
      <c r="D55" s="17">
        <v>0.05</v>
      </c>
      <c r="E55" s="17">
        <v>0.05</v>
      </c>
    </row>
    <row r="56" spans="1:5" x14ac:dyDescent="0.2">
      <c r="A56" t="s">
        <v>43</v>
      </c>
      <c r="B56" t="s">
        <v>44</v>
      </c>
      <c r="C56" t="s">
        <v>44</v>
      </c>
      <c r="D56" t="s">
        <v>44</v>
      </c>
      <c r="E56" t="s">
        <v>44</v>
      </c>
    </row>
    <row r="58" spans="1:5" x14ac:dyDescent="0.2">
      <c r="A58" t="s">
        <v>45</v>
      </c>
      <c r="B58" t="s">
        <v>44</v>
      </c>
      <c r="C58" t="s">
        <v>44</v>
      </c>
      <c r="D58" t="s">
        <v>44</v>
      </c>
      <c r="E58" t="s">
        <v>44</v>
      </c>
    </row>
    <row r="60" spans="1:5" x14ac:dyDescent="0.2">
      <c r="A60" t="s">
        <v>46</v>
      </c>
      <c r="B60" s="17">
        <v>0.21</v>
      </c>
      <c r="C60" s="17">
        <v>0.21</v>
      </c>
      <c r="D60" s="17">
        <v>0.21</v>
      </c>
      <c r="E60" s="17">
        <v>0.21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="160" zoomScaleNormal="160" zoomScalePageLayoutView="160" workbookViewId="0">
      <selection sqref="A1:F13"/>
    </sheetView>
  </sheetViews>
  <sheetFormatPr baseColWidth="10" defaultColWidth="11" defaultRowHeight="16" x14ac:dyDescent="0.2"/>
  <cols>
    <col min="1" max="1" width="18.83203125" bestFit="1" customWidth="1"/>
    <col min="2" max="2" width="18.83203125" customWidth="1"/>
    <col min="3" max="3" width="11.33203125" bestFit="1" customWidth="1"/>
    <col min="5" max="6" width="11.33203125" bestFit="1" customWidth="1"/>
  </cols>
  <sheetData>
    <row r="1" spans="1:6" x14ac:dyDescent="0.25">
      <c r="A1" s="1" t="s">
        <v>27</v>
      </c>
      <c r="B1" s="26" t="s">
        <v>55</v>
      </c>
      <c r="C1" s="4" t="s">
        <v>9</v>
      </c>
      <c r="D1" s="4" t="s">
        <v>10</v>
      </c>
      <c r="E1" s="4" t="s">
        <v>11</v>
      </c>
      <c r="F1" s="4" t="s">
        <v>12</v>
      </c>
    </row>
    <row r="3" spans="1:6" x14ac:dyDescent="0.25">
      <c r="A3" s="2" t="s">
        <v>56</v>
      </c>
    </row>
    <row r="4" spans="1:6" x14ac:dyDescent="0.25">
      <c r="A4" t="s">
        <v>57</v>
      </c>
      <c r="B4" s="15">
        <v>5</v>
      </c>
      <c r="C4" s="16">
        <v>75000</v>
      </c>
      <c r="D4" s="16"/>
      <c r="E4" s="16"/>
      <c r="F4" s="16"/>
    </row>
    <row r="5" spans="1:6" x14ac:dyDescent="0.25">
      <c r="A5" t="s">
        <v>58</v>
      </c>
      <c r="B5" s="15">
        <v>3</v>
      </c>
      <c r="C5" s="16">
        <v>50000</v>
      </c>
      <c r="D5" s="16">
        <v>100000</v>
      </c>
      <c r="E5" s="16">
        <v>100000</v>
      </c>
      <c r="F5" s="16"/>
    </row>
    <row r="6" spans="1:6" x14ac:dyDescent="0.25">
      <c r="A6" t="s">
        <v>59</v>
      </c>
      <c r="B6" s="15">
        <v>6</v>
      </c>
      <c r="C6" s="27"/>
      <c r="D6" s="27"/>
      <c r="E6" s="27">
        <v>30000</v>
      </c>
      <c r="F6" s="27"/>
    </row>
    <row r="7" spans="1:6" s="1" customFormat="1" x14ac:dyDescent="0.25">
      <c r="A7" s="1" t="s">
        <v>60</v>
      </c>
      <c r="C7" s="22">
        <f>SUM(C4:C6)</f>
        <v>125000</v>
      </c>
      <c r="D7" s="22">
        <f>SUM(D4:D6)</f>
        <v>100000</v>
      </c>
      <c r="E7" s="22">
        <f>SUM(E4:E6)</f>
        <v>130000</v>
      </c>
      <c r="F7" s="22">
        <f>SUM(F4:F6)</f>
        <v>0</v>
      </c>
    </row>
    <row r="9" spans="1:6" x14ac:dyDescent="0.25">
      <c r="A9" s="2" t="s">
        <v>43</v>
      </c>
    </row>
    <row r="10" spans="1:6" x14ac:dyDescent="0.2">
      <c r="A10" t="s">
        <v>57</v>
      </c>
      <c r="C10" s="19">
        <f>$C$4/$B$4</f>
        <v>15000</v>
      </c>
      <c r="D10" s="19">
        <f>$C$4/$B$4</f>
        <v>15000</v>
      </c>
      <c r="E10" s="19">
        <f>$C$4/$B$4</f>
        <v>15000</v>
      </c>
      <c r="F10" s="19">
        <f>$C$4/$B$4</f>
        <v>15000</v>
      </c>
    </row>
    <row r="11" spans="1:6" x14ac:dyDescent="0.2">
      <c r="A11" t="s">
        <v>58</v>
      </c>
      <c r="C11" s="19">
        <f>$C$5/$B$5</f>
        <v>16666.666666666668</v>
      </c>
      <c r="D11" s="19">
        <f>$C$5/$B$5+$D$5/$B$5</f>
        <v>50000</v>
      </c>
      <c r="E11" s="19">
        <f>$C$5/$B$5+$D$5/$B$5+$E$5/$B$5</f>
        <v>83333.333333333343</v>
      </c>
      <c r="F11" s="19">
        <f>$D$5/$B$5+$E$5/$B$5</f>
        <v>66666.666666666672</v>
      </c>
    </row>
    <row r="12" spans="1:6" x14ac:dyDescent="0.2">
      <c r="A12" t="s">
        <v>59</v>
      </c>
      <c r="C12" s="28"/>
      <c r="D12" s="28"/>
      <c r="E12" s="28">
        <f>$E$6/$B$6</f>
        <v>5000</v>
      </c>
      <c r="F12" s="28">
        <f>$E$6/$B$6</f>
        <v>5000</v>
      </c>
    </row>
    <row r="13" spans="1:6" s="1" customFormat="1" x14ac:dyDescent="0.2">
      <c r="A13" s="1" t="s">
        <v>61</v>
      </c>
      <c r="C13" s="19">
        <f>SUM(C10:C12)</f>
        <v>31666.666666666668</v>
      </c>
      <c r="D13" s="19">
        <f>SUM(D10:D12)</f>
        <v>65000</v>
      </c>
      <c r="E13" s="19">
        <f>SUM(E10:E12)</f>
        <v>103333.33333333334</v>
      </c>
      <c r="F13" s="19">
        <f>SUM(F10:F12)</f>
        <v>86666.666666666672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tabSelected="1" zoomScale="120" zoomScaleNormal="120" zoomScalePageLayoutView="12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I42" sqref="I42"/>
    </sheetView>
  </sheetViews>
  <sheetFormatPr baseColWidth="10" defaultColWidth="11" defaultRowHeight="16" x14ac:dyDescent="0.2"/>
  <cols>
    <col min="1" max="1" width="27.1640625" bestFit="1" customWidth="1"/>
    <col min="2" max="2" width="13.1640625" customWidth="1"/>
    <col min="3" max="5" width="11.5" bestFit="1" customWidth="1"/>
    <col min="6" max="6" width="12.5" bestFit="1" customWidth="1"/>
  </cols>
  <sheetData>
    <row r="1" spans="1:6" x14ac:dyDescent="0.2">
      <c r="A1" s="1" t="s">
        <v>25</v>
      </c>
      <c r="B1" s="5" t="s">
        <v>22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2">
      <c r="B2" s="13" t="s">
        <v>26</v>
      </c>
    </row>
    <row r="3" spans="1:6" x14ac:dyDescent="0.2">
      <c r="A3" s="5" t="s">
        <v>4</v>
      </c>
      <c r="B3" s="5"/>
    </row>
    <row r="5" spans="1:6" x14ac:dyDescent="0.2">
      <c r="A5" t="s">
        <v>13</v>
      </c>
      <c r="B5" s="6">
        <v>4250000</v>
      </c>
      <c r="C5" s="20">
        <f>B5+'Cash Flow Statement'!B22</f>
        <v>3957988</v>
      </c>
      <c r="D5" s="20">
        <f>C5+'Cash Flow Statement'!C22</f>
        <v>5153986.8</v>
      </c>
      <c r="E5" s="20">
        <f>D5+'Cash Flow Statement'!D22</f>
        <v>6057466.7999999998</v>
      </c>
      <c r="F5" s="20">
        <f>E5+'Cash Flow Statement'!E22</f>
        <v>8761134.8000000007</v>
      </c>
    </row>
    <row r="6" spans="1:6" x14ac:dyDescent="0.2">
      <c r="A6" t="s">
        <v>28</v>
      </c>
      <c r="B6" s="8">
        <v>120000</v>
      </c>
      <c r="C6" s="21">
        <f>C37*C38</f>
        <v>130500</v>
      </c>
      <c r="D6" s="21">
        <f t="shared" ref="D6:F6" si="0">D37*D38</f>
        <v>208800</v>
      </c>
      <c r="E6" s="21">
        <f t="shared" si="0"/>
        <v>435000</v>
      </c>
      <c r="F6" s="21">
        <f t="shared" si="0"/>
        <v>783000</v>
      </c>
    </row>
    <row r="7" spans="1:6" x14ac:dyDescent="0.2">
      <c r="A7" s="1" t="s">
        <v>16</v>
      </c>
      <c r="B7" s="7">
        <f>SUM(B5:B6)</f>
        <v>4370000</v>
      </c>
      <c r="C7" s="7">
        <f t="shared" ref="C7:F7" si="1">SUM(C5:C6)</f>
        <v>4088488</v>
      </c>
      <c r="D7" s="7">
        <f t="shared" si="1"/>
        <v>5362786.8</v>
      </c>
      <c r="E7" s="7">
        <f t="shared" si="1"/>
        <v>6492466.7999999998</v>
      </c>
      <c r="F7" s="7">
        <f t="shared" si="1"/>
        <v>9544134.8000000007</v>
      </c>
    </row>
    <row r="9" spans="1:6" x14ac:dyDescent="0.2">
      <c r="A9" t="s">
        <v>14</v>
      </c>
      <c r="B9" s="6">
        <v>40000</v>
      </c>
      <c r="C9" s="12">
        <f>B9+'Capex &amp; Depreciation Schedule'!C7</f>
        <v>165000</v>
      </c>
      <c r="D9" s="12">
        <f>C9+'Capex &amp; Depreciation Schedule'!D7</f>
        <v>265000</v>
      </c>
      <c r="E9" s="12">
        <f>D9+'Capex &amp; Depreciation Schedule'!E7</f>
        <v>395000</v>
      </c>
      <c r="F9" s="12">
        <f>E9+'Capex &amp; Depreciation Schedule'!F7</f>
        <v>395000</v>
      </c>
    </row>
    <row r="10" spans="1:6" x14ac:dyDescent="0.2">
      <c r="A10" t="s">
        <v>15</v>
      </c>
      <c r="B10" s="8">
        <v>-10000</v>
      </c>
      <c r="C10" s="21">
        <f>B10-'Capex &amp; Depreciation Schedule'!C13</f>
        <v>-41666.666666666672</v>
      </c>
      <c r="D10" s="21">
        <f>C10-'Capex &amp; Depreciation Schedule'!D13</f>
        <v>-106666.66666666667</v>
      </c>
      <c r="E10" s="21">
        <f>D10-'Capex &amp; Depreciation Schedule'!E13</f>
        <v>-210000</v>
      </c>
      <c r="F10" s="21">
        <f>E10-'Capex &amp; Depreciation Schedule'!F13</f>
        <v>-296666.66666666669</v>
      </c>
    </row>
    <row r="11" spans="1:6" x14ac:dyDescent="0.2">
      <c r="A11" s="1" t="s">
        <v>18</v>
      </c>
      <c r="B11" s="7">
        <f>SUM(B9:B10)</f>
        <v>30000</v>
      </c>
      <c r="C11" s="7">
        <f t="shared" ref="C11" si="2">SUM(C9:C10)</f>
        <v>123333.33333333333</v>
      </c>
      <c r="D11" s="7">
        <f t="shared" ref="D11" si="3">SUM(D9:D10)</f>
        <v>158333.33333333331</v>
      </c>
      <c r="E11" s="7">
        <f t="shared" ref="E11" si="4">SUM(E9:E10)</f>
        <v>185000</v>
      </c>
      <c r="F11" s="7">
        <f t="shared" ref="F11" si="5">SUM(F9:F10)</f>
        <v>98333.333333333314</v>
      </c>
    </row>
    <row r="13" spans="1:6" ht="17" thickBot="1" x14ac:dyDescent="0.25">
      <c r="A13" s="1" t="s">
        <v>17</v>
      </c>
      <c r="B13" s="10">
        <f>B7+B11</f>
        <v>4400000</v>
      </c>
      <c r="C13" s="10">
        <f t="shared" ref="C13:F13" si="6">C7+C11</f>
        <v>4211821.333333333</v>
      </c>
      <c r="D13" s="10">
        <f t="shared" si="6"/>
        <v>5521120.1333333328</v>
      </c>
      <c r="E13" s="10">
        <f t="shared" si="6"/>
        <v>6677466.7999999998</v>
      </c>
      <c r="F13" s="10">
        <f t="shared" si="6"/>
        <v>9642468.1333333347</v>
      </c>
    </row>
    <row r="14" spans="1:6" ht="17" thickTop="1" x14ac:dyDescent="0.2"/>
    <row r="15" spans="1:6" s="1" customFormat="1" x14ac:dyDescent="0.2">
      <c r="A15" s="5" t="s">
        <v>5</v>
      </c>
      <c r="B15" s="5"/>
    </row>
    <row r="17" spans="1:6" x14ac:dyDescent="0.2">
      <c r="A17" t="s">
        <v>6</v>
      </c>
      <c r="B17" s="6">
        <v>75000</v>
      </c>
      <c r="C17" s="12">
        <f>C37*C39</f>
        <v>156600</v>
      </c>
      <c r="D17" s="12">
        <f t="shared" ref="D17:F17" si="7">D37*D39</f>
        <v>250560</v>
      </c>
      <c r="E17" s="12">
        <f t="shared" si="7"/>
        <v>522000</v>
      </c>
      <c r="F17" s="12">
        <f t="shared" si="7"/>
        <v>939600</v>
      </c>
    </row>
    <row r="18" spans="1:6" x14ac:dyDescent="0.2">
      <c r="A18" t="s">
        <v>19</v>
      </c>
      <c r="B18" s="8">
        <v>25000</v>
      </c>
      <c r="C18" s="21">
        <f>C37*C40</f>
        <v>78300</v>
      </c>
      <c r="D18" s="21">
        <f t="shared" ref="D18:F18" si="8">D37*D40</f>
        <v>208800</v>
      </c>
      <c r="E18" s="21">
        <f t="shared" si="8"/>
        <v>696000</v>
      </c>
      <c r="F18" s="21">
        <f t="shared" si="8"/>
        <v>1566000</v>
      </c>
    </row>
    <row r="19" spans="1:6" x14ac:dyDescent="0.2">
      <c r="A19" s="1" t="s">
        <v>16</v>
      </c>
      <c r="B19" s="9">
        <f>SUM(B17:B18)</f>
        <v>100000</v>
      </c>
      <c r="C19" s="7">
        <f t="shared" ref="C19" si="9">SUM(C17:C18)</f>
        <v>234900</v>
      </c>
      <c r="D19" s="7">
        <f t="shared" ref="D19" si="10">SUM(D17:D18)</f>
        <v>459360</v>
      </c>
      <c r="E19" s="7">
        <f t="shared" ref="E19" si="11">SUM(E17:E18)</f>
        <v>1218000</v>
      </c>
      <c r="F19" s="7">
        <f t="shared" ref="F19" si="12">SUM(F17:F18)</f>
        <v>2505600</v>
      </c>
    </row>
    <row r="21" spans="1:6" x14ac:dyDescent="0.2">
      <c r="A21" t="s">
        <v>2</v>
      </c>
      <c r="B21" s="6">
        <v>3000000</v>
      </c>
      <c r="C21" s="20">
        <f>B21+C42-C43</f>
        <v>2400000</v>
      </c>
      <c r="D21" s="20">
        <f>C21+D42-D43</f>
        <v>3000000</v>
      </c>
      <c r="E21" s="20">
        <f>D21+E42-E43</f>
        <v>2100000</v>
      </c>
      <c r="F21" s="20">
        <f>E21+F42-F43</f>
        <v>1200000</v>
      </c>
    </row>
    <row r="23" spans="1:6" ht="17" thickBot="1" x14ac:dyDescent="0.25">
      <c r="A23" s="1" t="s">
        <v>20</v>
      </c>
      <c r="B23" s="11">
        <f>B19+B21</f>
        <v>3100000</v>
      </c>
      <c r="C23" s="11">
        <f t="shared" ref="C23:F23" si="13">C19+C21</f>
        <v>2634900</v>
      </c>
      <c r="D23" s="11">
        <f t="shared" si="13"/>
        <v>3459360</v>
      </c>
      <c r="E23" s="11">
        <f t="shared" si="13"/>
        <v>3318000</v>
      </c>
      <c r="F23" s="11">
        <f t="shared" si="13"/>
        <v>3705600</v>
      </c>
    </row>
    <row r="24" spans="1:6" ht="17" thickTop="1" x14ac:dyDescent="0.2"/>
    <row r="25" spans="1:6" s="1" customFormat="1" x14ac:dyDescent="0.2">
      <c r="A25" s="5" t="s">
        <v>3</v>
      </c>
      <c r="B25" s="5"/>
    </row>
    <row r="27" spans="1:6" x14ac:dyDescent="0.2">
      <c r="A27" t="s">
        <v>0</v>
      </c>
      <c r="B27" s="6">
        <v>50000</v>
      </c>
      <c r="C27" s="20">
        <f>B27</f>
        <v>50000</v>
      </c>
      <c r="D27" s="20">
        <f>C27</f>
        <v>50000</v>
      </c>
      <c r="E27" s="20">
        <f>D27</f>
        <v>50000</v>
      </c>
      <c r="F27" s="20">
        <f>E27</f>
        <v>50000</v>
      </c>
    </row>
    <row r="28" spans="1:6" x14ac:dyDescent="0.2">
      <c r="A28" t="s">
        <v>1</v>
      </c>
      <c r="B28" s="8">
        <v>1250000</v>
      </c>
      <c r="C28" s="34">
        <f>B28+'Income Statement'!B34</f>
        <v>1526921.3333333335</v>
      </c>
      <c r="D28" s="35">
        <f>C28+'Income Statement'!C34</f>
        <v>2011760.1333333335</v>
      </c>
      <c r="E28" s="35">
        <f>D28+'Income Statement'!D34</f>
        <v>3309466.8</v>
      </c>
      <c r="F28" s="35">
        <f>E28+'Income Statement'!E34</f>
        <v>5886868.1333333328</v>
      </c>
    </row>
    <row r="29" spans="1:6" x14ac:dyDescent="0.2">
      <c r="A29" t="s">
        <v>21</v>
      </c>
      <c r="B29" s="12">
        <f>SUM(B27:B28)</f>
        <v>1300000</v>
      </c>
      <c r="C29" s="20">
        <f>SUM(C27:C28)</f>
        <v>1576921.3333333335</v>
      </c>
      <c r="D29" s="20">
        <f>SUM(D27:D28)</f>
        <v>2061760.1333333335</v>
      </c>
      <c r="E29" s="20">
        <f>SUM(E27:E28)</f>
        <v>3359466.8</v>
      </c>
      <c r="F29" s="20">
        <f>SUM(F27:F28)</f>
        <v>5936868.1333333328</v>
      </c>
    </row>
    <row r="31" spans="1:6" ht="17" thickBot="1" x14ac:dyDescent="0.25">
      <c r="A31" s="1" t="s">
        <v>7</v>
      </c>
      <c r="B31" s="11">
        <f>B23+B29</f>
        <v>4400000</v>
      </c>
      <c r="C31" s="11">
        <f t="shared" ref="C31:F31" si="14">C23+C29</f>
        <v>4211821.333333334</v>
      </c>
      <c r="D31" s="11">
        <f t="shared" si="14"/>
        <v>5521120.1333333338</v>
      </c>
      <c r="E31" s="11">
        <f t="shared" si="14"/>
        <v>6677466.7999999998</v>
      </c>
      <c r="F31" s="11">
        <f t="shared" si="14"/>
        <v>9642468.1333333328</v>
      </c>
    </row>
    <row r="32" spans="1:6" ht="17" thickTop="1" x14ac:dyDescent="0.2"/>
    <row r="33" spans="1:6" x14ac:dyDescent="0.2">
      <c r="A33" t="s">
        <v>8</v>
      </c>
      <c r="B33" s="3">
        <f>B13-B31</f>
        <v>0</v>
      </c>
      <c r="C33" s="3">
        <f t="shared" ref="C33:F33" si="15">C13-C31</f>
        <v>0</v>
      </c>
      <c r="D33" s="3">
        <f t="shared" si="15"/>
        <v>0</v>
      </c>
      <c r="E33" s="3">
        <f t="shared" si="15"/>
        <v>0</v>
      </c>
      <c r="F33" s="3">
        <f t="shared" si="15"/>
        <v>0</v>
      </c>
    </row>
    <row r="35" spans="1:6" s="14" customFormat="1" x14ac:dyDescent="0.2">
      <c r="A35" s="14" t="s">
        <v>29</v>
      </c>
    </row>
    <row r="37" spans="1:6" x14ac:dyDescent="0.2">
      <c r="A37" t="s">
        <v>48</v>
      </c>
      <c r="C37" s="19">
        <f>'Income Statement'!B8</f>
        <v>2610000</v>
      </c>
      <c r="D37" s="19">
        <f>'Income Statement'!C8</f>
        <v>4176000</v>
      </c>
      <c r="E37" s="19">
        <f>'Income Statement'!D8</f>
        <v>8700000</v>
      </c>
      <c r="F37" s="19">
        <f>'Income Statement'!E8</f>
        <v>15660000</v>
      </c>
    </row>
    <row r="38" spans="1:6" x14ac:dyDescent="0.2">
      <c r="A38" t="s">
        <v>73</v>
      </c>
      <c r="C38" s="33">
        <v>0.05</v>
      </c>
      <c r="D38" s="33">
        <v>0.05</v>
      </c>
      <c r="E38" s="33">
        <v>0.05</v>
      </c>
      <c r="F38" s="33">
        <v>0.05</v>
      </c>
    </row>
    <row r="39" spans="1:6" x14ac:dyDescent="0.2">
      <c r="A39" t="s">
        <v>72</v>
      </c>
      <c r="C39" s="33">
        <v>0.06</v>
      </c>
      <c r="D39" s="33">
        <v>0.06</v>
      </c>
      <c r="E39" s="33">
        <v>0.06</v>
      </c>
      <c r="F39" s="33">
        <v>0.06</v>
      </c>
    </row>
    <row r="40" spans="1:6" x14ac:dyDescent="0.2">
      <c r="A40" t="s">
        <v>71</v>
      </c>
      <c r="C40" s="33">
        <v>0.03</v>
      </c>
      <c r="D40" s="33">
        <v>0.05</v>
      </c>
      <c r="E40" s="33">
        <v>0.08</v>
      </c>
      <c r="F40" s="33">
        <v>0.1</v>
      </c>
    </row>
    <row r="42" spans="1:6" x14ac:dyDescent="0.2">
      <c r="A42" t="s">
        <v>74</v>
      </c>
      <c r="C42" s="16"/>
      <c r="D42" s="16">
        <v>1500000</v>
      </c>
      <c r="E42" s="16"/>
      <c r="F42" s="16"/>
    </row>
    <row r="43" spans="1:6" x14ac:dyDescent="0.2">
      <c r="A43" t="s">
        <v>75</v>
      </c>
      <c r="C43" s="16">
        <v>600000</v>
      </c>
      <c r="D43" s="16">
        <v>900000</v>
      </c>
      <c r="E43" s="16">
        <v>900000</v>
      </c>
      <c r="F43" s="16">
        <v>900000</v>
      </c>
    </row>
    <row r="44" spans="1:6" x14ac:dyDescent="0.2">
      <c r="A44" t="s">
        <v>62</v>
      </c>
      <c r="C44" s="33">
        <v>0.08</v>
      </c>
      <c r="D44" s="33">
        <v>0.08</v>
      </c>
      <c r="E44" s="33">
        <v>0.08</v>
      </c>
      <c r="F44" s="33">
        <v>0.08</v>
      </c>
    </row>
    <row r="45" spans="1:6" x14ac:dyDescent="0.2">
      <c r="A45" t="s">
        <v>76</v>
      </c>
      <c r="C45" s="20">
        <f>C44*C21</f>
        <v>192000</v>
      </c>
      <c r="D45" s="20">
        <f>D44*D21</f>
        <v>240000</v>
      </c>
      <c r="E45" s="20">
        <f>E44*E21</f>
        <v>168000</v>
      </c>
      <c r="F45" s="20">
        <f>F44*F21</f>
        <v>96000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ColWidth="11" defaultRowHeight="16" x14ac:dyDescent="0.2"/>
  <cols>
    <col min="1" max="1" width="20.1640625" bestFit="1" customWidth="1"/>
    <col min="2" max="2" width="13.1640625" bestFit="1" customWidth="1"/>
    <col min="3" max="3" width="12.6640625" bestFit="1" customWidth="1"/>
    <col min="4" max="5" width="13.83203125" bestFit="1" customWidth="1"/>
  </cols>
  <sheetData>
    <row r="1" spans="1:5" x14ac:dyDescent="0.2">
      <c r="A1" s="1" t="s">
        <v>24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2">
      <c r="A3" t="s">
        <v>53</v>
      </c>
      <c r="B3" s="19">
        <f>'Income Statement'!B34</f>
        <v>276921.33333333337</v>
      </c>
      <c r="C3" s="19">
        <f>'Income Statement'!C34</f>
        <v>484838.8</v>
      </c>
      <c r="D3" s="19">
        <f>'Income Statement'!D34</f>
        <v>1297706.6666666665</v>
      </c>
      <c r="E3" s="19">
        <f>'Income Statement'!E34</f>
        <v>2577401.333333333</v>
      </c>
    </row>
    <row r="5" spans="1:5" x14ac:dyDescent="0.2">
      <c r="A5" s="2" t="s">
        <v>77</v>
      </c>
    </row>
    <row r="6" spans="1:5" x14ac:dyDescent="0.2">
      <c r="A6" t="s">
        <v>43</v>
      </c>
      <c r="B6" s="7">
        <f>'Capex &amp; Depreciation Schedule'!C13</f>
        <v>31666.666666666668</v>
      </c>
      <c r="C6" s="7">
        <f>'Capex &amp; Depreciation Schedule'!D13</f>
        <v>65000</v>
      </c>
      <c r="D6" s="7">
        <f>'Capex &amp; Depreciation Schedule'!E13</f>
        <v>103333.33333333334</v>
      </c>
      <c r="E6" s="7">
        <f>'Capex &amp; Depreciation Schedule'!F13</f>
        <v>86666.666666666672</v>
      </c>
    </row>
    <row r="7" spans="1:5" x14ac:dyDescent="0.2">
      <c r="A7" t="s">
        <v>80</v>
      </c>
      <c r="B7" s="7">
        <f>'Balance Sheet'!B6-'Balance Sheet'!C6</f>
        <v>-10500</v>
      </c>
      <c r="C7" s="7">
        <f>'Balance Sheet'!C6-'Balance Sheet'!D6</f>
        <v>-78300</v>
      </c>
      <c r="D7" s="7">
        <f>'Balance Sheet'!D6-'Balance Sheet'!E6</f>
        <v>-226200</v>
      </c>
      <c r="E7" s="7">
        <f>'Balance Sheet'!E6-'Balance Sheet'!F6</f>
        <v>-348000</v>
      </c>
    </row>
    <row r="8" spans="1:5" x14ac:dyDescent="0.2">
      <c r="A8" t="s">
        <v>81</v>
      </c>
      <c r="B8" s="7">
        <f>'Balance Sheet'!C17-'Balance Sheet'!B17</f>
        <v>81600</v>
      </c>
      <c r="C8" s="7">
        <f>'Balance Sheet'!D17-'Balance Sheet'!C17</f>
        <v>93960</v>
      </c>
      <c r="D8" s="7">
        <f>'Balance Sheet'!E17-'Balance Sheet'!D17</f>
        <v>271440</v>
      </c>
      <c r="E8" s="7">
        <f>'Balance Sheet'!F17-'Balance Sheet'!E17</f>
        <v>417600</v>
      </c>
    </row>
    <row r="9" spans="1:5" x14ac:dyDescent="0.2">
      <c r="A9" t="s">
        <v>82</v>
      </c>
      <c r="B9" s="21">
        <f>'Balance Sheet'!C18-'Balance Sheet'!B18</f>
        <v>53300</v>
      </c>
      <c r="C9" s="21">
        <f>'Balance Sheet'!D18-'Balance Sheet'!C18</f>
        <v>130500</v>
      </c>
      <c r="D9" s="21">
        <f>'Balance Sheet'!E18-'Balance Sheet'!D18</f>
        <v>487200</v>
      </c>
      <c r="E9" s="21">
        <f>'Balance Sheet'!F18-'Balance Sheet'!E18</f>
        <v>870000</v>
      </c>
    </row>
    <row r="10" spans="1:5" x14ac:dyDescent="0.2">
      <c r="A10" t="s">
        <v>83</v>
      </c>
      <c r="B10" s="19">
        <f>B3+SUM(B6:B9)</f>
        <v>432988.00000000006</v>
      </c>
      <c r="C10" s="19">
        <f t="shared" ref="C10:E10" si="0">C3+SUM(C6:C9)</f>
        <v>695998.8</v>
      </c>
      <c r="D10" s="19">
        <f t="shared" si="0"/>
        <v>1933480</v>
      </c>
      <c r="E10" s="19">
        <f t="shared" si="0"/>
        <v>3603668</v>
      </c>
    </row>
    <row r="12" spans="1:5" x14ac:dyDescent="0.2">
      <c r="A12" s="2" t="s">
        <v>78</v>
      </c>
    </row>
    <row r="13" spans="1:5" x14ac:dyDescent="0.2">
      <c r="A13" t="s">
        <v>56</v>
      </c>
      <c r="B13" s="7">
        <f>'Capex &amp; Depreciation Schedule'!C7</f>
        <v>125000</v>
      </c>
      <c r="C13" s="7">
        <f>'Capex &amp; Depreciation Schedule'!D7</f>
        <v>100000</v>
      </c>
      <c r="D13" s="7">
        <f>'Capex &amp; Depreciation Schedule'!E7</f>
        <v>130000</v>
      </c>
      <c r="E13" s="7">
        <f>'Capex &amp; Depreciation Schedule'!F7</f>
        <v>0</v>
      </c>
    </row>
    <row r="15" spans="1:5" x14ac:dyDescent="0.2">
      <c r="A15" t="s">
        <v>84</v>
      </c>
      <c r="B15" s="20">
        <f>B10-B13</f>
        <v>307988.00000000006</v>
      </c>
      <c r="C15" s="20">
        <f t="shared" ref="C15:E15" si="1">C10-C13</f>
        <v>595998.80000000005</v>
      </c>
      <c r="D15" s="20">
        <f t="shared" si="1"/>
        <v>1803480</v>
      </c>
      <c r="E15" s="20">
        <f t="shared" si="1"/>
        <v>3603668</v>
      </c>
    </row>
    <row r="17" spans="1:5" x14ac:dyDescent="0.2">
      <c r="A17" s="2" t="s">
        <v>79</v>
      </c>
    </row>
    <row r="18" spans="1:5" x14ac:dyDescent="0.2">
      <c r="A18" t="s">
        <v>85</v>
      </c>
      <c r="B18" s="12">
        <f>-'Balance Sheet'!C43</f>
        <v>-600000</v>
      </c>
      <c r="C18" s="12">
        <f>-'Balance Sheet'!D43</f>
        <v>-900000</v>
      </c>
      <c r="D18" s="12">
        <f>-'Balance Sheet'!E43</f>
        <v>-900000</v>
      </c>
      <c r="E18" s="12">
        <f>-'Balance Sheet'!F43</f>
        <v>-900000</v>
      </c>
    </row>
    <row r="19" spans="1:5" x14ac:dyDescent="0.2">
      <c r="A19" t="s">
        <v>86</v>
      </c>
      <c r="B19" s="21">
        <f>'Balance Sheet'!C42</f>
        <v>0</v>
      </c>
      <c r="C19" s="21">
        <f>'Balance Sheet'!D42</f>
        <v>1500000</v>
      </c>
      <c r="D19" s="21">
        <f>'Balance Sheet'!E42</f>
        <v>0</v>
      </c>
      <c r="E19" s="21">
        <f>'Balance Sheet'!F42</f>
        <v>0</v>
      </c>
    </row>
    <row r="20" spans="1:5" x14ac:dyDescent="0.2">
      <c r="A20" t="s">
        <v>87</v>
      </c>
      <c r="B20" s="9">
        <f>SUM(B18:B19)</f>
        <v>-600000</v>
      </c>
      <c r="C20" s="9">
        <f>SUM(C18:C19)</f>
        <v>600000</v>
      </c>
      <c r="D20" s="9">
        <f>SUM(D18:D19)</f>
        <v>-900000</v>
      </c>
      <c r="E20" s="9">
        <f>SUM(E18:E19)</f>
        <v>-900000</v>
      </c>
    </row>
    <row r="22" spans="1:5" s="1" customFormat="1" ht="17" thickBot="1" x14ac:dyDescent="0.25">
      <c r="A22" s="1" t="s">
        <v>88</v>
      </c>
      <c r="B22" s="23">
        <f>B15+B20</f>
        <v>-292011.99999999994</v>
      </c>
      <c r="C22" s="23">
        <f>C15+C20</f>
        <v>1195998.8</v>
      </c>
      <c r="D22" s="23">
        <f>D15+D20</f>
        <v>903480</v>
      </c>
      <c r="E22" s="23">
        <f>E15+E20</f>
        <v>2703668</v>
      </c>
    </row>
    <row r="23" spans="1:5" ht="17" thickTop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Capex &amp; Depreciation Schedule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Haywood</cp:lastModifiedBy>
  <dcterms:created xsi:type="dcterms:W3CDTF">2020-06-01T20:52:29Z</dcterms:created>
  <dcterms:modified xsi:type="dcterms:W3CDTF">2024-09-02T16:58:48Z</dcterms:modified>
</cp:coreProperties>
</file>